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  <fileRecoveryPr repairLoad="1"/>
</workbook>
</file>

<file path=xl/calcChain.xml><?xml version="1.0" encoding="utf-8"?>
<calcChain xmlns="http://schemas.openxmlformats.org/spreadsheetml/2006/main">
  <c r="AC1074" i="2" l="1"/>
  <c r="AA1648" i="2" s="1"/>
  <c r="Z1075" i="2"/>
  <c r="Z1076" i="2"/>
  <c r="AE1635" i="2" s="1"/>
  <c r="Z1077" i="2"/>
  <c r="Z1078" i="2"/>
  <c r="Z1079" i="2"/>
  <c r="Z1080" i="2"/>
  <c r="Z1081" i="2"/>
  <c r="Z1082" i="2"/>
  <c r="Z1083" i="2"/>
  <c r="T1634" i="2" s="1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Y1075" i="2"/>
  <c r="R1631" i="2" s="1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Z1074" i="2"/>
  <c r="AA1635" i="2" s="1"/>
  <c r="Y1074" i="2"/>
  <c r="AA1631" i="2" s="1"/>
  <c r="AC1075" i="2"/>
  <c r="T1648" i="2" s="1"/>
  <c r="AC1076" i="2"/>
  <c r="AC1077" i="2"/>
  <c r="AE1648" i="2" s="1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1611" i="2"/>
  <c r="A1612" i="2"/>
  <c r="A1613" i="2"/>
  <c r="Z1631" i="2" l="1"/>
  <c r="Y1647" i="2"/>
  <c r="T1635" i="2"/>
  <c r="Y1630" i="2"/>
  <c r="Y1631" i="2"/>
  <c r="Y1634" i="2"/>
  <c r="Y1635" i="2"/>
  <c r="X1647" i="2"/>
  <c r="Y1648" i="2"/>
  <c r="Z1635" i="2"/>
  <c r="Z1648" i="2"/>
  <c r="X1630" i="2"/>
  <c r="X1631" i="2"/>
  <c r="X1634" i="2"/>
  <c r="X1635" i="2"/>
  <c r="R1648" i="2"/>
  <c r="W1647" i="2"/>
  <c r="X1648" i="2"/>
  <c r="Z1630" i="2"/>
  <c r="W1630" i="2"/>
  <c r="W1631" i="2"/>
  <c r="W1634" i="2"/>
  <c r="W1635" i="2"/>
  <c r="R1647" i="2"/>
  <c r="V1647" i="2"/>
  <c r="W1648" i="2"/>
  <c r="Z1634" i="2"/>
  <c r="V1630" i="2"/>
  <c r="V1631" i="2"/>
  <c r="V1634" i="2"/>
  <c r="V1635" i="2"/>
  <c r="T1647" i="2"/>
  <c r="U1647" i="2"/>
  <c r="V1648" i="2"/>
  <c r="U1630" i="2"/>
  <c r="U1631" i="2"/>
  <c r="U1634" i="2"/>
  <c r="U1635" i="2"/>
  <c r="AF1647" i="2"/>
  <c r="U1648" i="2"/>
  <c r="AF1630" i="2"/>
  <c r="AF1631" i="2"/>
  <c r="AF1634" i="2"/>
  <c r="AF1635" i="2"/>
  <c r="R1630" i="2"/>
  <c r="AE1647" i="2"/>
  <c r="AF1648" i="2"/>
  <c r="AE1630" i="2"/>
  <c r="AE1631" i="2"/>
  <c r="AE1634" i="2"/>
  <c r="AD1647" i="2"/>
  <c r="AD1630" i="2"/>
  <c r="AD1631" i="2"/>
  <c r="AD1634" i="2"/>
  <c r="AD1635" i="2"/>
  <c r="R1634" i="2"/>
  <c r="AC1647" i="2"/>
  <c r="AD1648" i="2"/>
  <c r="AC1630" i="2"/>
  <c r="AC1631" i="2"/>
  <c r="AC1634" i="2"/>
  <c r="AC1635" i="2"/>
  <c r="R1635" i="2"/>
  <c r="AB1647" i="2"/>
  <c r="AC1648" i="2"/>
  <c r="T1630" i="2"/>
  <c r="AB1630" i="2"/>
  <c r="AB1631" i="2"/>
  <c r="AB1634" i="2"/>
  <c r="AB1635" i="2"/>
  <c r="AA1647" i="2"/>
  <c r="AB1648" i="2"/>
  <c r="T1631" i="2"/>
  <c r="AA1630" i="2"/>
  <c r="AA1634" i="2"/>
  <c r="Z1647" i="2"/>
  <c r="AB1074" i="2" l="1"/>
  <c r="AA1644" i="2" l="1"/>
  <c r="AA1643" i="2"/>
  <c r="AB1644" i="2"/>
  <c r="AB1643" i="2"/>
  <c r="AC1644" i="2"/>
  <c r="AC1643" i="2"/>
  <c r="AD1644" i="2"/>
  <c r="AD1643" i="2"/>
  <c r="AE1644" i="2"/>
  <c r="AE1643" i="2"/>
  <c r="AF1644" i="2"/>
  <c r="AF1643" i="2"/>
  <c r="U1644" i="2"/>
  <c r="U1643" i="2"/>
  <c r="T1644" i="2"/>
  <c r="Z1644" i="2"/>
  <c r="V1644" i="2"/>
  <c r="V1643" i="2"/>
  <c r="T1643" i="2"/>
  <c r="R1643" i="2"/>
  <c r="W1644" i="2"/>
  <c r="W1643" i="2"/>
  <c r="Z1643" i="2"/>
  <c r="X1644" i="2"/>
  <c r="X1643" i="2"/>
  <c r="R1644" i="2"/>
  <c r="Y1644" i="2"/>
  <c r="Y1643" i="2"/>
  <c r="AA1074" i="2"/>
  <c r="R1640" i="2" l="1"/>
  <c r="AA1640" i="2"/>
  <c r="AA1639" i="2"/>
  <c r="R1639" i="2"/>
  <c r="AB1640" i="2"/>
  <c r="AB1639" i="2"/>
  <c r="AC1640" i="2"/>
  <c r="AC1639" i="2"/>
  <c r="AD1640" i="2"/>
  <c r="AD1639" i="2"/>
  <c r="AE1640" i="2"/>
  <c r="AE1639" i="2"/>
  <c r="AF1640" i="2"/>
  <c r="AF1639" i="2"/>
  <c r="U1640" i="2"/>
  <c r="U1639" i="2"/>
  <c r="Z1639" i="2"/>
  <c r="V1640" i="2"/>
  <c r="V1639" i="2"/>
  <c r="W1640" i="2"/>
  <c r="W1639" i="2"/>
  <c r="T1640" i="2"/>
  <c r="X1640" i="2"/>
  <c r="X1639" i="2"/>
  <c r="T1639" i="2"/>
  <c r="Y1640" i="2"/>
  <c r="Y1639" i="2"/>
  <c r="Z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A1640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1" i="2"/>
  <c r="A1630" i="2"/>
  <c r="Q548" i="2" l="1"/>
  <c r="Q1706" i="2" l="1"/>
  <c r="R1706" i="2"/>
  <c r="S1706" i="2"/>
  <c r="Q1705" i="2"/>
  <c r="R1705" i="2"/>
  <c r="S1705" i="2"/>
  <c r="Q1704" i="2"/>
  <c r="R1704" i="2"/>
  <c r="S1704" i="2"/>
  <c r="Q1703" i="2"/>
  <c r="R1703" i="2"/>
  <c r="S1703" i="2"/>
  <c r="Q1702" i="2"/>
  <c r="R1702" i="2"/>
  <c r="S1702" i="2"/>
  <c r="Q1701" i="2"/>
  <c r="R1701" i="2"/>
  <c r="S1701" i="2"/>
  <c r="Q1700" i="2"/>
  <c r="R1700" i="2"/>
  <c r="S1700" i="2"/>
  <c r="Q1699" i="2"/>
  <c r="R1699" i="2"/>
  <c r="S1699" i="2"/>
  <c r="Q1698" i="2"/>
  <c r="R1698" i="2"/>
  <c r="S1698" i="2"/>
  <c r="Q1697" i="2"/>
  <c r="R1697" i="2"/>
  <c r="S1697" i="2"/>
  <c r="Q1696" i="2"/>
  <c r="R1696" i="2"/>
  <c r="S1696" i="2"/>
  <c r="Q1695" i="2"/>
  <c r="R1695" i="2"/>
  <c r="S1695" i="2"/>
  <c r="Q1694" i="2"/>
  <c r="R1694" i="2"/>
  <c r="S1694" i="2"/>
  <c r="Q1693" i="2"/>
  <c r="R1693" i="2"/>
  <c r="S1693" i="2"/>
  <c r="Q1692" i="2"/>
  <c r="R1692" i="2"/>
  <c r="S1692" i="2"/>
  <c r="Q1691" i="2"/>
  <c r="R1691" i="2"/>
  <c r="S1691" i="2"/>
  <c r="Q1690" i="2"/>
  <c r="R1690" i="2"/>
  <c r="S1690" i="2"/>
  <c r="Q1689" i="2"/>
  <c r="R1689" i="2"/>
  <c r="S1689" i="2"/>
  <c r="Q1688" i="2"/>
  <c r="R1688" i="2"/>
  <c r="S1688" i="2"/>
  <c r="Q1687" i="2"/>
  <c r="R1687" i="2"/>
  <c r="S1687" i="2"/>
  <c r="Q1686" i="2"/>
  <c r="R1686" i="2"/>
  <c r="S1686" i="2"/>
  <c r="Q1685" i="2"/>
  <c r="R1685" i="2"/>
  <c r="S1685" i="2"/>
  <c r="Q1684" i="2"/>
  <c r="R1684" i="2"/>
  <c r="S1684" i="2"/>
  <c r="Q1683" i="2"/>
  <c r="R1683" i="2"/>
  <c r="S1683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35" i="2" l="1"/>
  <c r="E1635" i="2"/>
  <c r="F1635" i="2"/>
  <c r="G1635" i="2"/>
  <c r="H1635" i="2"/>
  <c r="I1635" i="2"/>
  <c r="J1635" i="2"/>
  <c r="K1635" i="2"/>
  <c r="L1635" i="2"/>
  <c r="M1635" i="2"/>
  <c r="N1635" i="2"/>
  <c r="O1635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A1635" i="2"/>
  <c r="A1634" i="2"/>
  <c r="C1635" i="2"/>
  <c r="C1634" i="2"/>
  <c r="O1650" i="2" l="1"/>
  <c r="O1651" i="2"/>
  <c r="O1652" i="2"/>
  <c r="O1655" i="2"/>
  <c r="O1656" i="2"/>
  <c r="O1657" i="2"/>
  <c r="O1660" i="2"/>
  <c r="O1661" i="2"/>
  <c r="O1662" i="2"/>
  <c r="O1665" i="2"/>
  <c r="O1666" i="2"/>
  <c r="O1667" i="2"/>
  <c r="O1670" i="2"/>
  <c r="O1671" i="2"/>
  <c r="O1672" i="2"/>
  <c r="O1675" i="2"/>
  <c r="O1676" i="2"/>
  <c r="O1677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688" i="2"/>
  <c r="O1687" i="2"/>
  <c r="O1686" i="2"/>
  <c r="O1685" i="2"/>
  <c r="O1684" i="2"/>
  <c r="O1683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T1693" i="2"/>
  <c r="T1703" i="2"/>
  <c r="T1705" i="2"/>
  <c r="T1688" i="2"/>
  <c r="T1692" i="2"/>
  <c r="T1698" i="2"/>
  <c r="T1702" i="2"/>
  <c r="T1704" i="2"/>
  <c r="T1706" i="2"/>
  <c r="Q24" i="2"/>
  <c r="T1683" i="2" l="1"/>
  <c r="T1690" i="2"/>
  <c r="T1696" i="2"/>
  <c r="T1701" i="2"/>
  <c r="T1684" i="2"/>
  <c r="T1694" i="2"/>
  <c r="T1685" i="2"/>
  <c r="T1699" i="2"/>
  <c r="T1689" i="2"/>
  <c r="T1691" i="2"/>
  <c r="T1686" i="2"/>
  <c r="T1700" i="2"/>
  <c r="T1695" i="2"/>
  <c r="T1697" i="2"/>
  <c r="T1687" i="2"/>
  <c r="F1643" i="2"/>
  <c r="J1643" i="2"/>
  <c r="A1644" i="2"/>
  <c r="D1643" i="2"/>
  <c r="D1644" i="2"/>
  <c r="J1644" i="2"/>
  <c r="H1643" i="2"/>
  <c r="F1644" i="2"/>
  <c r="H1644" i="2"/>
  <c r="O1643" i="2"/>
  <c r="M1644" i="2"/>
  <c r="M1643" i="2"/>
  <c r="O1644" i="2"/>
  <c r="L1643" i="2"/>
  <c r="C1643" i="2"/>
  <c r="A1643" i="2"/>
  <c r="L1644" i="2"/>
  <c r="E1643" i="2"/>
  <c r="E1644" i="2"/>
  <c r="I1643" i="2"/>
  <c r="G1643" i="2"/>
  <c r="N1643" i="2"/>
  <c r="K1643" i="2"/>
  <c r="I1644" i="2"/>
  <c r="G1644" i="2"/>
  <c r="N1644" i="2"/>
  <c r="K1644" i="2"/>
  <c r="C1644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27" i="2" l="1"/>
  <c r="O1725" i="2"/>
  <c r="O1726" i="2"/>
  <c r="O1728" i="2"/>
  <c r="D1728" i="2"/>
  <c r="D1727" i="2"/>
  <c r="C1728" i="2"/>
  <c r="E1727" i="2"/>
  <c r="C1727" i="2"/>
  <c r="F1727" i="2"/>
  <c r="A1727" i="2"/>
  <c r="G1727" i="2"/>
  <c r="A1728" i="2"/>
  <c r="H1727" i="2"/>
  <c r="E1728" i="2"/>
  <c r="F1728" i="2"/>
  <c r="G1728" i="2"/>
  <c r="H1728" i="2"/>
  <c r="I1728" i="2"/>
  <c r="J1728" i="2"/>
  <c r="J1727" i="2"/>
  <c r="K1727" i="2"/>
  <c r="L1727" i="2"/>
  <c r="M1727" i="2"/>
  <c r="N1727" i="2"/>
  <c r="I1727" i="2"/>
  <c r="K1728" i="2"/>
  <c r="L1728" i="2"/>
  <c r="M1728" i="2"/>
  <c r="N1728" i="2"/>
  <c r="A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A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A1677" i="2"/>
  <c r="A1675" i="2"/>
  <c r="A1672" i="2"/>
  <c r="A1670" i="2"/>
  <c r="A1667" i="2"/>
  <c r="A1665" i="2"/>
  <c r="A1662" i="2"/>
  <c r="A1660" i="2"/>
  <c r="A1657" i="2"/>
  <c r="A1655" i="2"/>
  <c r="A1652" i="2"/>
  <c r="A1650" i="2"/>
  <c r="A1676" i="2"/>
  <c r="A1671" i="2"/>
  <c r="A1666" i="2"/>
  <c r="A1661" i="2"/>
  <c r="A1656" i="2"/>
  <c r="A1651" i="2"/>
  <c r="D1706" i="2" l="1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D1701" i="2"/>
  <c r="E1701" i="2"/>
  <c r="F1701" i="2"/>
  <c r="G1701" i="2"/>
  <c r="H1701" i="2"/>
  <c r="I1701" i="2"/>
  <c r="J1701" i="2"/>
  <c r="K1701" i="2"/>
  <c r="L1701" i="2"/>
  <c r="M1701" i="2"/>
  <c r="N1701" i="2"/>
  <c r="D1700" i="2"/>
  <c r="E1700" i="2"/>
  <c r="F1700" i="2"/>
  <c r="G1700" i="2"/>
  <c r="H1700" i="2"/>
  <c r="I1700" i="2"/>
  <c r="J1700" i="2"/>
  <c r="K1700" i="2"/>
  <c r="L1700" i="2"/>
  <c r="M1700" i="2"/>
  <c r="N1700" i="2"/>
  <c r="D1699" i="2"/>
  <c r="E1699" i="2"/>
  <c r="F1699" i="2"/>
  <c r="G1699" i="2"/>
  <c r="H1699" i="2"/>
  <c r="I1699" i="2"/>
  <c r="J1699" i="2"/>
  <c r="K1699" i="2"/>
  <c r="L1699" i="2"/>
  <c r="M1699" i="2"/>
  <c r="N1699" i="2"/>
  <c r="D1698" i="2"/>
  <c r="E1698" i="2"/>
  <c r="F1698" i="2"/>
  <c r="G1698" i="2"/>
  <c r="H1698" i="2"/>
  <c r="I1698" i="2"/>
  <c r="J1698" i="2"/>
  <c r="K1698" i="2"/>
  <c r="L1698" i="2"/>
  <c r="M1698" i="2"/>
  <c r="N1698" i="2"/>
  <c r="D1697" i="2"/>
  <c r="E1697" i="2"/>
  <c r="F1697" i="2"/>
  <c r="G1697" i="2"/>
  <c r="H1697" i="2"/>
  <c r="I1697" i="2"/>
  <c r="J1697" i="2"/>
  <c r="K1697" i="2"/>
  <c r="L1697" i="2"/>
  <c r="M1697" i="2"/>
  <c r="N1697" i="2"/>
  <c r="D1696" i="2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3" i="2"/>
  <c r="E1693" i="2"/>
  <c r="F1693" i="2"/>
  <c r="G1693" i="2"/>
  <c r="H1693" i="2"/>
  <c r="I1693" i="2"/>
  <c r="J1693" i="2"/>
  <c r="K1693" i="2"/>
  <c r="L1693" i="2"/>
  <c r="M1693" i="2"/>
  <c r="N1693" i="2"/>
  <c r="D1692" i="2"/>
  <c r="E1692" i="2"/>
  <c r="F1692" i="2"/>
  <c r="G1692" i="2"/>
  <c r="H1692" i="2"/>
  <c r="I1692" i="2"/>
  <c r="J1692" i="2"/>
  <c r="K1692" i="2"/>
  <c r="L1692" i="2"/>
  <c r="M1692" i="2"/>
  <c r="N1692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8" i="2"/>
  <c r="E1688" i="2"/>
  <c r="F1688" i="2"/>
  <c r="G1688" i="2"/>
  <c r="H1688" i="2"/>
  <c r="I1688" i="2"/>
  <c r="J1688" i="2"/>
  <c r="K1688" i="2"/>
  <c r="L1688" i="2"/>
  <c r="M1688" i="2"/>
  <c r="N1688" i="2"/>
  <c r="D1687" i="2"/>
  <c r="E1687" i="2"/>
  <c r="F1687" i="2"/>
  <c r="G1687" i="2"/>
  <c r="H1687" i="2"/>
  <c r="I1687" i="2"/>
  <c r="J1687" i="2"/>
  <c r="K1687" i="2"/>
  <c r="L1687" i="2"/>
  <c r="M1687" i="2"/>
  <c r="N1687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3" i="2"/>
  <c r="E1683" i="2"/>
  <c r="F1683" i="2"/>
  <c r="G1683" i="2"/>
  <c r="H1683" i="2"/>
  <c r="I1683" i="2"/>
  <c r="J1683" i="2"/>
  <c r="K1683" i="2"/>
  <c r="L1683" i="2"/>
  <c r="M1683" i="2"/>
  <c r="N1683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A1690" i="2"/>
  <c r="A1689" i="2"/>
  <c r="C1690" i="2"/>
  <c r="C1689" i="2"/>
  <c r="A1688" i="2"/>
  <c r="A1687" i="2"/>
  <c r="A1686" i="2"/>
  <c r="A1685" i="2"/>
  <c r="A1684" i="2"/>
  <c r="A1683" i="2"/>
  <c r="C1688" i="2"/>
  <c r="C1687" i="2"/>
  <c r="C1686" i="2"/>
  <c r="C1685" i="2"/>
  <c r="C1684" i="2"/>
  <c r="C1683" i="2"/>
  <c r="V1695" i="2" l="1"/>
  <c r="V1694" i="2"/>
  <c r="V1706" i="2"/>
  <c r="V1693" i="2"/>
  <c r="V1705" i="2"/>
  <c r="V1692" i="2"/>
  <c r="V1704" i="2"/>
  <c r="V1691" i="2"/>
  <c r="V1703" i="2"/>
  <c r="V1690" i="2"/>
  <c r="V1702" i="2"/>
  <c r="V1689" i="2"/>
  <c r="V1701" i="2"/>
  <c r="V1683" i="2"/>
  <c r="V1688" i="2"/>
  <c r="V1700" i="2"/>
  <c r="V1687" i="2"/>
  <c r="V1699" i="2"/>
  <c r="V1686" i="2"/>
  <c r="V1698" i="2"/>
  <c r="V1685" i="2"/>
  <c r="V1697" i="2"/>
  <c r="V1684" i="2"/>
  <c r="V1696" i="2"/>
  <c r="D1677" i="2"/>
  <c r="E1677" i="2"/>
  <c r="F1677" i="2"/>
  <c r="G1677" i="2"/>
  <c r="H1677" i="2"/>
  <c r="I1677" i="2"/>
  <c r="J1677" i="2"/>
  <c r="K1677" i="2"/>
  <c r="L1677" i="2"/>
  <c r="M1677" i="2"/>
  <c r="N1677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2" i="2"/>
  <c r="E1672" i="2"/>
  <c r="F1672" i="2"/>
  <c r="G1672" i="2"/>
  <c r="H1672" i="2"/>
  <c r="I1672" i="2"/>
  <c r="J1672" i="2"/>
  <c r="K1672" i="2"/>
  <c r="L1672" i="2"/>
  <c r="M1672" i="2"/>
  <c r="N1672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7" i="2"/>
  <c r="E1667" i="2"/>
  <c r="F1667" i="2"/>
  <c r="G1667" i="2"/>
  <c r="H1667" i="2"/>
  <c r="I1667" i="2"/>
  <c r="J1667" i="2"/>
  <c r="K1667" i="2"/>
  <c r="L1667" i="2"/>
  <c r="M1667" i="2"/>
  <c r="N1667" i="2"/>
  <c r="D1666" i="2"/>
  <c r="E1666" i="2"/>
  <c r="F1666" i="2"/>
  <c r="G1666" i="2"/>
  <c r="H1666" i="2"/>
  <c r="I1666" i="2"/>
  <c r="J1666" i="2"/>
  <c r="K1666" i="2"/>
  <c r="L1666" i="2"/>
  <c r="M1666" i="2"/>
  <c r="N1666" i="2"/>
  <c r="D1665" i="2"/>
  <c r="E1665" i="2"/>
  <c r="F1665" i="2"/>
  <c r="G1665" i="2"/>
  <c r="H1665" i="2"/>
  <c r="I1665" i="2"/>
  <c r="J1665" i="2"/>
  <c r="K1665" i="2"/>
  <c r="L1665" i="2"/>
  <c r="M1665" i="2"/>
  <c r="N1665" i="2"/>
  <c r="D1662" i="2"/>
  <c r="E1662" i="2"/>
  <c r="F1662" i="2"/>
  <c r="G1662" i="2"/>
  <c r="H1662" i="2"/>
  <c r="I1662" i="2"/>
  <c r="J1662" i="2"/>
  <c r="K1662" i="2"/>
  <c r="L1662" i="2"/>
  <c r="M1662" i="2"/>
  <c r="N1662" i="2"/>
  <c r="D1661" i="2"/>
  <c r="E1661" i="2"/>
  <c r="F1661" i="2"/>
  <c r="G1661" i="2"/>
  <c r="H1661" i="2"/>
  <c r="I1661" i="2"/>
  <c r="J1661" i="2"/>
  <c r="K1661" i="2"/>
  <c r="L1661" i="2"/>
  <c r="M1661" i="2"/>
  <c r="N1661" i="2"/>
  <c r="D1660" i="2"/>
  <c r="E1660" i="2"/>
  <c r="F1660" i="2"/>
  <c r="G1660" i="2"/>
  <c r="H1660" i="2"/>
  <c r="I1660" i="2"/>
  <c r="J1660" i="2"/>
  <c r="K1660" i="2"/>
  <c r="L1660" i="2"/>
  <c r="M1660" i="2"/>
  <c r="N1660" i="2"/>
  <c r="D1657" i="2"/>
  <c r="E1657" i="2"/>
  <c r="F1657" i="2"/>
  <c r="G1657" i="2"/>
  <c r="H1657" i="2"/>
  <c r="I1657" i="2"/>
  <c r="J1657" i="2"/>
  <c r="K1657" i="2"/>
  <c r="L1657" i="2"/>
  <c r="M1657" i="2"/>
  <c r="N1657" i="2"/>
  <c r="D1656" i="2"/>
  <c r="E1656" i="2"/>
  <c r="F1656" i="2"/>
  <c r="G1656" i="2"/>
  <c r="H1656" i="2"/>
  <c r="I1656" i="2"/>
  <c r="J1656" i="2"/>
  <c r="K1656" i="2"/>
  <c r="L1656" i="2"/>
  <c r="M1656" i="2"/>
  <c r="N1656" i="2"/>
  <c r="D1655" i="2"/>
  <c r="E1655" i="2"/>
  <c r="F1655" i="2"/>
  <c r="G1655" i="2"/>
  <c r="H1655" i="2"/>
  <c r="I1655" i="2"/>
  <c r="J1655" i="2"/>
  <c r="K1655" i="2"/>
  <c r="L1655" i="2"/>
  <c r="M1655" i="2"/>
  <c r="N1655" i="2"/>
  <c r="D1652" i="2"/>
  <c r="E1652" i="2"/>
  <c r="F1652" i="2"/>
  <c r="G1652" i="2"/>
  <c r="H1652" i="2"/>
  <c r="I1652" i="2"/>
  <c r="J1652" i="2"/>
  <c r="K1652" i="2"/>
  <c r="L1652" i="2"/>
  <c r="M1652" i="2"/>
  <c r="N1652" i="2"/>
  <c r="D1651" i="2"/>
  <c r="E1651" i="2"/>
  <c r="F1651" i="2"/>
  <c r="G1651" i="2"/>
  <c r="H1651" i="2"/>
  <c r="I1651" i="2"/>
  <c r="J1651" i="2"/>
  <c r="K1651" i="2"/>
  <c r="L1651" i="2"/>
  <c r="M1651" i="2"/>
  <c r="N1651" i="2"/>
  <c r="D1650" i="2"/>
  <c r="E1650" i="2"/>
  <c r="F1650" i="2"/>
  <c r="G1650" i="2"/>
  <c r="H1650" i="2"/>
  <c r="I1650" i="2"/>
  <c r="J1650" i="2"/>
  <c r="K1650" i="2"/>
  <c r="L1650" i="2"/>
  <c r="M1650" i="2"/>
  <c r="N1650" i="2"/>
  <c r="C1677" i="2"/>
  <c r="C1676" i="2"/>
  <c r="C1675" i="2"/>
  <c r="C1672" i="2"/>
  <c r="C1671" i="2"/>
  <c r="C1670" i="2"/>
  <c r="C1667" i="2"/>
  <c r="C1666" i="2"/>
  <c r="C1665" i="2"/>
  <c r="C1662" i="2"/>
  <c r="C1661" i="2"/>
  <c r="C1660" i="2"/>
  <c r="C1657" i="2"/>
  <c r="C1656" i="2"/>
  <c r="C1655" i="2"/>
  <c r="C1652" i="2"/>
  <c r="C1651" i="2"/>
  <c r="C1650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N1719" i="2" l="1"/>
  <c r="S1711" i="2"/>
  <c r="Q1710" i="2"/>
  <c r="T1710" i="2"/>
  <c r="T1711" i="2"/>
  <c r="Q1711" i="2"/>
  <c r="R1710" i="2"/>
  <c r="R1711" i="2"/>
  <c r="S1710" i="2"/>
  <c r="T1722" i="2"/>
  <c r="T1723" i="2"/>
  <c r="Q1722" i="2"/>
  <c r="Q1723" i="2"/>
  <c r="R1722" i="2"/>
  <c r="R1723" i="2"/>
  <c r="S1722" i="2"/>
  <c r="S1723" i="2"/>
  <c r="Q1716" i="2"/>
  <c r="T1716" i="2"/>
  <c r="T1717" i="2"/>
  <c r="R1716" i="2"/>
  <c r="Q1717" i="2"/>
  <c r="R1717" i="2"/>
  <c r="S1716" i="2"/>
  <c r="S1717" i="2"/>
  <c r="Q1720" i="2"/>
  <c r="T1720" i="2"/>
  <c r="T1719" i="2"/>
  <c r="Q1719" i="2"/>
  <c r="R1720" i="2"/>
  <c r="R1719" i="2"/>
  <c r="S1720" i="2"/>
  <c r="S1719" i="2"/>
  <c r="S1713" i="2"/>
  <c r="Q1714" i="2"/>
  <c r="T1714" i="2"/>
  <c r="T1713" i="2"/>
  <c r="R1714" i="2"/>
  <c r="Q1713" i="2"/>
  <c r="R1713" i="2"/>
  <c r="S1714" i="2"/>
  <c r="O1716" i="2"/>
  <c r="O1717" i="2"/>
  <c r="O1720" i="2"/>
  <c r="O1719" i="2"/>
  <c r="O1723" i="2"/>
  <c r="O1722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10" i="2"/>
  <c r="O1711" i="2"/>
  <c r="O1714" i="2"/>
  <c r="O1713" i="2"/>
  <c r="D1720" i="2"/>
  <c r="I1719" i="2"/>
  <c r="C1720" i="2"/>
  <c r="C1719" i="2"/>
  <c r="N1720" i="2"/>
  <c r="H1719" i="2"/>
  <c r="F1719" i="2"/>
  <c r="M1720" i="2"/>
  <c r="L1720" i="2"/>
  <c r="G1719" i="2"/>
  <c r="E1719" i="2"/>
  <c r="K1720" i="2"/>
  <c r="J1720" i="2"/>
  <c r="A1719" i="2"/>
  <c r="I1720" i="2"/>
  <c r="H1720" i="2"/>
  <c r="M1719" i="2"/>
  <c r="A1720" i="2"/>
  <c r="G1720" i="2"/>
  <c r="L1719" i="2"/>
  <c r="F1720" i="2"/>
  <c r="K1719" i="2"/>
  <c r="D1719" i="2"/>
  <c r="E1720" i="2"/>
  <c r="J1719" i="2"/>
  <c r="L1723" i="2"/>
  <c r="K1722" i="2"/>
  <c r="H1723" i="2"/>
  <c r="K1723" i="2"/>
  <c r="J1722" i="2"/>
  <c r="C1723" i="2"/>
  <c r="J1723" i="2"/>
  <c r="I1722" i="2"/>
  <c r="A1723" i="2"/>
  <c r="I1723" i="2"/>
  <c r="H1722" i="2"/>
  <c r="E1723" i="2"/>
  <c r="D1723" i="2"/>
  <c r="G1722" i="2"/>
  <c r="F1722" i="2"/>
  <c r="F1723" i="2"/>
  <c r="E1722" i="2"/>
  <c r="D1722" i="2"/>
  <c r="C1722" i="2"/>
  <c r="G1723" i="2"/>
  <c r="N1722" i="2"/>
  <c r="A1722" i="2"/>
  <c r="N1723" i="2"/>
  <c r="M1722" i="2"/>
  <c r="M1723" i="2"/>
  <c r="L1722" i="2"/>
  <c r="H1711" i="2"/>
  <c r="G1711" i="2"/>
  <c r="N1710" i="2"/>
  <c r="F1711" i="2"/>
  <c r="M1710" i="2"/>
  <c r="E1711" i="2"/>
  <c r="L1710" i="2"/>
  <c r="A1711" i="2"/>
  <c r="A1710" i="2"/>
  <c r="D1711" i="2"/>
  <c r="K1710" i="2"/>
  <c r="C1711" i="2"/>
  <c r="J1710" i="2"/>
  <c r="N1711" i="2"/>
  <c r="I1710" i="2"/>
  <c r="M1711" i="2"/>
  <c r="H1710" i="2"/>
  <c r="L1711" i="2"/>
  <c r="G1710" i="2"/>
  <c r="K1711" i="2"/>
  <c r="F1710" i="2"/>
  <c r="J1711" i="2"/>
  <c r="E1710" i="2"/>
  <c r="I1711" i="2"/>
  <c r="C1710" i="2"/>
  <c r="D1710" i="2"/>
  <c r="G1717" i="2"/>
  <c r="H1716" i="2"/>
  <c r="F1717" i="2"/>
  <c r="G1716" i="2"/>
  <c r="E1717" i="2"/>
  <c r="E1716" i="2"/>
  <c r="F1716" i="2"/>
  <c r="C1716" i="2"/>
  <c r="A1716" i="2"/>
  <c r="N1717" i="2"/>
  <c r="C1717" i="2"/>
  <c r="D1716" i="2"/>
  <c r="M1717" i="2"/>
  <c r="N1716" i="2"/>
  <c r="L1717" i="2"/>
  <c r="M1716" i="2"/>
  <c r="A1717" i="2"/>
  <c r="K1717" i="2"/>
  <c r="L1716" i="2"/>
  <c r="J1717" i="2"/>
  <c r="K1716" i="2"/>
  <c r="D1717" i="2"/>
  <c r="I1717" i="2"/>
  <c r="J1716" i="2"/>
  <c r="H1717" i="2"/>
  <c r="I1716" i="2"/>
  <c r="A1714" i="2"/>
  <c r="F1713" i="2"/>
  <c r="H1714" i="2"/>
  <c r="I1713" i="2"/>
  <c r="G1714" i="2"/>
  <c r="D1714" i="2"/>
  <c r="M1713" i="2"/>
  <c r="G1713" i="2"/>
  <c r="N1713" i="2"/>
  <c r="K1713" i="2"/>
  <c r="C1713" i="2"/>
  <c r="A1713" i="2"/>
  <c r="D1713" i="2"/>
  <c r="E1713" i="2"/>
  <c r="N1714" i="2"/>
  <c r="E1714" i="2"/>
  <c r="H1713" i="2"/>
  <c r="M1714" i="2"/>
  <c r="L1713" i="2"/>
  <c r="L1714" i="2"/>
  <c r="F1714" i="2"/>
  <c r="K1714" i="2"/>
  <c r="J1713" i="2"/>
  <c r="J1714" i="2"/>
  <c r="C1714" i="2"/>
  <c r="I1714" i="2"/>
  <c r="V1722" i="2" l="1"/>
  <c r="V1723" i="2"/>
  <c r="V1714" i="2"/>
  <c r="V1716" i="2"/>
  <c r="V1710" i="2"/>
  <c r="V1711" i="2"/>
  <c r="V1720" i="2"/>
  <c r="V1713" i="2"/>
  <c r="V1717" i="2"/>
  <c r="V1719" i="2"/>
</calcChain>
</file>

<file path=xl/sharedStrings.xml><?xml version="1.0" encoding="utf-8"?>
<sst xmlns="http://schemas.openxmlformats.org/spreadsheetml/2006/main" count="3205" uniqueCount="1742">
  <si>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</si>
  <si>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</si>
  <si>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</si>
  <si>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</si>
  <si>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</si>
  <si>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</si>
  <si>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</si>
  <si>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</si>
  <si>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</si>
  <si>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</si>
  <si>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</si>
  <si>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</si>
  <si>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</si>
  <si>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</si>
  <si>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</si>
  <si>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</si>
  <si>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</si>
  <si>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</si>
  <si>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</si>
  <si>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</si>
  <si>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</si>
  <si>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</si>
  <si>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</si>
  <si>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</si>
  <si>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</si>
  <si>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</si>
  <si>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</si>
  <si>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</si>
  <si>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</si>
  <si>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</si>
  <si>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</si>
  <si>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</si>
  <si>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</si>
  <si>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</si>
  <si>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</si>
  <si>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</si>
  <si>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</si>
  <si>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</si>
  <si>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</si>
  <si>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</si>
  <si>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</si>
  <si>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</si>
  <si>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</si>
  <si>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</si>
  <si>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</si>
  <si>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</si>
  <si>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</si>
  <si>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</si>
  <si>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</si>
  <si>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</si>
  <si>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</si>
  <si>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</si>
  <si>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</si>
  <si>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</si>
  <si>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</si>
  <si>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</si>
  <si>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</si>
  <si>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</si>
  <si>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</si>
  <si>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</si>
  <si>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</si>
  <si>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</si>
  <si>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</si>
  <si>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</si>
  <si>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</si>
  <si>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</si>
  <si>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</si>
  <si>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</si>
  <si>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</si>
  <si>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</si>
  <si>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</si>
  <si>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</si>
  <si>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</si>
  <si>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</si>
  <si>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</si>
  <si>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</si>
  <si>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</si>
  <si>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</si>
  <si>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</si>
  <si>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</si>
  <si>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</si>
  <si>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</si>
  <si>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</si>
  <si>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</si>
  <si>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</si>
  <si>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</si>
  <si>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</si>
  <si>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</si>
  <si>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</si>
  <si>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</si>
  <si>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</si>
  <si>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</si>
  <si>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</si>
  <si>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</si>
  <si>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</si>
  <si>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</si>
  <si>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</si>
  <si>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</si>
  <si>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</si>
  <si>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</si>
  <si>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</si>
  <si>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</si>
  <si>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</si>
  <si>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</si>
  <si>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</si>
  <si>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</si>
  <si>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</si>
  <si>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</si>
  <si>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</si>
  <si>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</si>
  <si>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</si>
  <si>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</si>
  <si>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</si>
  <si>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</si>
  <si>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</si>
  <si>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</si>
  <si>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</si>
  <si>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</si>
  <si>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</si>
  <si>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</si>
  <si>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</si>
  <si>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</si>
  <si>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</si>
  <si>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</si>
  <si>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</si>
  <si>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</si>
  <si>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</si>
  <si>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</si>
  <si>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</si>
  <si>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</si>
  <si>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</si>
  <si>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</si>
  <si>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</si>
  <si>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</si>
  <si>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</si>
  <si>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</si>
  <si>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</si>
  <si>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</si>
  <si>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</si>
  <si>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</si>
  <si>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</si>
  <si>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</si>
  <si>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</si>
  <si>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</si>
  <si>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</si>
  <si>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</si>
  <si>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</si>
  <si>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</si>
  <si>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</si>
  <si>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</si>
  <si>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</si>
  <si>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</si>
  <si>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</si>
  <si>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</si>
  <si>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</si>
  <si>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</si>
  <si>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</si>
  <si>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</si>
  <si>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</si>
  <si>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</si>
  <si>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</si>
  <si>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</si>
  <si>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</si>
  <si>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</si>
  <si>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</si>
  <si>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</si>
  <si>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</si>
  <si>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</si>
  <si>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</si>
  <si>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</si>
  <si>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</si>
  <si>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</si>
  <si>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</si>
  <si>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</si>
  <si>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</si>
  <si>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</si>
  <si>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</si>
  <si>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</si>
  <si>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</si>
  <si>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</si>
  <si>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</si>
  <si>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</si>
  <si>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</si>
  <si>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</si>
  <si>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</si>
  <si>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</si>
  <si>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</si>
  <si>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</si>
  <si>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</si>
  <si>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</si>
  <si>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</si>
  <si>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</si>
  <si>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</si>
  <si>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</si>
  <si>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</si>
  <si>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</si>
  <si>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</si>
  <si>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</si>
  <si>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</si>
  <si>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</si>
  <si>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</si>
  <si>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</si>
  <si>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</si>
  <si>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</si>
  <si>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</si>
  <si>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</si>
  <si>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</si>
  <si>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</si>
  <si>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</si>
  <si>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</si>
  <si>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</si>
  <si>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</si>
  <si>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</si>
  <si>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</si>
  <si>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</si>
  <si>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</si>
  <si>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</si>
  <si>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</si>
  <si>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</si>
  <si>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</si>
  <si>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</si>
  <si>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</si>
  <si>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</si>
  <si>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</si>
  <si>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</si>
  <si>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</si>
  <si>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</si>
  <si>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</si>
  <si>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</si>
  <si>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</si>
  <si>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</si>
  <si>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</si>
  <si>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</si>
  <si>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</si>
  <si>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</si>
  <si>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</si>
  <si>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</si>
  <si>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</si>
  <si>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</si>
  <si>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</si>
  <si>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</si>
  <si>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</si>
  <si>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</si>
  <si>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</si>
  <si>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</si>
  <si>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</si>
  <si>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</si>
  <si>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</si>
  <si>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</si>
  <si>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</si>
  <si>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</si>
  <si>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</si>
  <si>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</si>
  <si>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</si>
  <si>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</si>
  <si>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</si>
  <si>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</si>
  <si>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</si>
  <si>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</si>
  <si>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</si>
  <si>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</si>
  <si>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</si>
  <si>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</si>
  <si>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</si>
  <si>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</si>
  <si>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</si>
  <si>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</si>
  <si>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</si>
  <si>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</si>
  <si>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</si>
  <si>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</si>
  <si>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</si>
  <si>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</si>
  <si>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</si>
  <si>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</si>
  <si>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</si>
  <si>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</si>
  <si>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</si>
  <si>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</si>
  <si>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</si>
  <si>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</si>
  <si>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</si>
  <si>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</si>
  <si>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</si>
  <si>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</si>
  <si>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</si>
  <si>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</si>
  <si>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</si>
  <si>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</si>
  <si>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</si>
  <si>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</si>
  <si>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</si>
  <si>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</si>
  <si>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</si>
  <si>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</si>
  <si>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</si>
  <si>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</si>
  <si>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</si>
  <si>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</si>
  <si>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</si>
  <si>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</si>
  <si>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</si>
  <si>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</si>
  <si>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</si>
  <si>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</si>
  <si>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</si>
  <si>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</si>
  <si>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</si>
  <si>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</si>
  <si>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</si>
  <si>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</si>
  <si>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</si>
  <si>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</si>
  <si>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</si>
  <si>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</si>
  <si>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</si>
  <si>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</si>
  <si>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</si>
  <si>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</si>
  <si>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</si>
  <si>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</si>
  <si>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</si>
  <si>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</si>
  <si>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</si>
  <si>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</si>
  <si>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</si>
  <si>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</si>
  <si>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</si>
  <si>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</si>
  <si>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</si>
  <si>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</si>
  <si>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</si>
  <si>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</si>
  <si>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</si>
  <si>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</si>
  <si>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</si>
  <si>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</si>
  <si>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</si>
  <si>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</si>
  <si>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</si>
  <si>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</si>
  <si>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</si>
  <si>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</si>
  <si>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</si>
  <si>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</si>
  <si>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</si>
  <si>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</si>
  <si>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</si>
  <si>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</si>
  <si>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</si>
  <si>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</si>
  <si>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</si>
  <si>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</si>
  <si>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</si>
  <si>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</si>
  <si>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</si>
  <si>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</si>
  <si>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</si>
  <si>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</si>
  <si>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</si>
  <si>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</si>
  <si>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</si>
  <si>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</si>
  <si>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</si>
  <si>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</si>
  <si>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</si>
  <si>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</si>
  <si>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</si>
  <si>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</si>
  <si>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</si>
  <si>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</si>
  <si>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</si>
  <si>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</si>
  <si>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</si>
  <si>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</si>
  <si>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</si>
  <si>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</si>
  <si>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</si>
  <si>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</si>
  <si>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</si>
  <si>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</si>
  <si>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</si>
  <si>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</si>
  <si>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</si>
  <si>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</si>
  <si>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</si>
  <si>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</si>
  <si>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</si>
  <si>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</si>
  <si>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</si>
  <si>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</si>
  <si>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</si>
  <si>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</si>
  <si>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</si>
  <si>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</si>
  <si>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</si>
  <si>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</si>
  <si>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</si>
  <si>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</si>
  <si>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</si>
  <si>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</si>
  <si>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</si>
  <si>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</si>
  <si>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</si>
  <si>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</si>
  <si>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</si>
  <si>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</si>
  <si>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</si>
  <si>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</si>
  <si>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</si>
  <si>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</si>
  <si>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</si>
  <si>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</si>
  <si>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</si>
  <si>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</si>
  <si>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</si>
  <si>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</si>
  <si>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</si>
  <si>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</si>
  <si>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</si>
  <si>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</si>
  <si>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</si>
  <si>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</si>
  <si>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</si>
  <si>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</si>
  <si>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</si>
  <si>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</si>
  <si>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</si>
  <si>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</si>
  <si>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</si>
  <si>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</si>
  <si>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</si>
  <si>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</si>
  <si>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</si>
  <si>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</si>
  <si>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</si>
  <si>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</si>
  <si>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</si>
  <si>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</si>
  <si>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</si>
  <si>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</si>
  <si>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</si>
  <si>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</si>
  <si>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</si>
  <si>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</si>
  <si>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</si>
  <si>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</si>
  <si>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</si>
  <si>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</si>
  <si>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</si>
  <si>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</si>
  <si>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</si>
  <si>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</si>
  <si>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</si>
  <si>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</si>
  <si>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</si>
  <si>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</si>
  <si>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</si>
  <si>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</si>
  <si>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</si>
  <si>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</si>
  <si>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</si>
  <si>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</si>
  <si>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</si>
  <si>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</si>
  <si>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</si>
  <si>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</si>
  <si>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</si>
  <si>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</si>
  <si>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</si>
  <si>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</si>
  <si>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</si>
  <si>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</si>
  <si>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</si>
  <si>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</si>
  <si>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</si>
  <si>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</si>
  <si>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</si>
  <si>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</si>
  <si>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</si>
  <si>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</si>
  <si>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</si>
  <si>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</si>
  <si>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</si>
  <si>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</si>
  <si>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</si>
  <si>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</si>
  <si>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</si>
  <si>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</si>
  <si>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</si>
  <si>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</si>
  <si>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</si>
  <si>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</si>
  <si>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</si>
  <si>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</si>
  <si>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</si>
  <si>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</si>
  <si>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</si>
  <si>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</si>
  <si>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</si>
  <si>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</si>
  <si>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</si>
  <si>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</si>
  <si>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</si>
  <si>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</si>
  <si>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</si>
  <si>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</si>
  <si>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</si>
  <si>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</si>
  <si>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</si>
  <si>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</si>
  <si>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</si>
  <si>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</si>
  <si>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</si>
  <si>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</si>
  <si>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</si>
  <si>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</si>
  <si>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</si>
  <si>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</si>
  <si>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</si>
  <si>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</si>
  <si>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</si>
  <si>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</si>
  <si>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</si>
  <si>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</si>
  <si>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</si>
  <si>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</si>
  <si>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</si>
  <si>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</si>
  <si>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</si>
  <si>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</si>
  <si>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</si>
  <si>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</si>
  <si>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</si>
  <si>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</si>
  <si>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</si>
  <si>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</si>
  <si>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</si>
  <si>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</si>
  <si>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</si>
  <si>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</si>
  <si>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</si>
  <si>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</si>
  <si>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</si>
  <si>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</si>
  <si>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</si>
  <si>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</si>
  <si>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</si>
  <si>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</si>
  <si>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</si>
  <si>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</si>
  <si>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</si>
  <si>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</si>
  <si>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</si>
  <si>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</si>
  <si>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</si>
  <si>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</si>
  <si>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</si>
  <si>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</si>
  <si>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</si>
  <si>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</si>
  <si>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</si>
  <si>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</si>
  <si>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</si>
  <si>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</si>
  <si>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</si>
  <si>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</si>
  <si>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</si>
  <si>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</si>
  <si>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</si>
  <si>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</si>
  <si>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</si>
  <si>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</si>
  <si>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</si>
  <si>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</si>
  <si>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</si>
  <si>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</si>
  <si>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</si>
  <si>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</si>
  <si>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</si>
  <si>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</si>
  <si>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</si>
  <si>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</si>
  <si>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</si>
  <si>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</si>
  <si>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</si>
  <si>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</si>
  <si>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</si>
  <si>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</si>
  <si>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</si>
  <si>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</si>
  <si>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</si>
  <si>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</si>
  <si>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</si>
  <si>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</si>
  <si>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</si>
  <si>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</si>
  <si>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</si>
  <si>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</si>
  <si>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</si>
  <si>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</si>
  <si>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</si>
  <si>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</si>
  <si>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</si>
  <si>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</si>
  <si>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</si>
  <si>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</si>
  <si>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</si>
  <si>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</si>
  <si>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</si>
  <si>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</si>
  <si>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</si>
  <si>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</si>
  <si>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</si>
  <si>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</si>
  <si>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</si>
  <si>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</si>
  <si>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</si>
  <si>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</si>
  <si>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</si>
  <si>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</si>
  <si>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</si>
  <si>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</si>
  <si>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</si>
  <si>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</si>
  <si>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</si>
  <si>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</si>
  <si>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</si>
  <si>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</si>
  <si>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</si>
  <si>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</si>
  <si>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</si>
  <si>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</si>
  <si>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</si>
  <si>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</si>
  <si>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</si>
  <si>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</si>
  <si>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</si>
  <si>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</si>
  <si>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</si>
  <si>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</si>
  <si>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</si>
  <si>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</si>
  <si>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</si>
  <si>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</si>
  <si>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</si>
  <si>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</si>
  <si>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</si>
  <si>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</si>
  <si>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</si>
  <si>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</si>
  <si>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</si>
  <si>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</si>
  <si>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</si>
  <si>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</si>
  <si>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</si>
  <si>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</si>
  <si>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</si>
  <si>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</si>
  <si>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</si>
  <si>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</si>
  <si>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</si>
  <si>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</si>
  <si>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</si>
  <si>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</si>
  <si>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</si>
  <si>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</si>
  <si>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</si>
  <si>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</si>
  <si>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</si>
  <si>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</si>
  <si>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</si>
  <si>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</si>
  <si>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</si>
  <si>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</si>
  <si>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</si>
  <si>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</si>
  <si>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</si>
  <si>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</si>
  <si>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</si>
  <si>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</si>
  <si>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</si>
  <si>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</si>
  <si>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</si>
  <si>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</si>
  <si>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</si>
  <si>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</si>
  <si>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</si>
  <si>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</si>
  <si>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</si>
  <si>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</si>
  <si>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</si>
  <si>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</si>
  <si>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</si>
  <si>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</si>
  <si>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</si>
  <si>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</si>
  <si>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</si>
  <si>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</si>
  <si>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</si>
  <si>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</si>
  <si>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</si>
  <si>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</si>
  <si>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</si>
  <si>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</si>
  <si>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</si>
  <si>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</si>
  <si>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</si>
  <si>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</si>
  <si>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</si>
  <si>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</si>
  <si>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</si>
  <si>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</si>
  <si>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</si>
  <si>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</si>
  <si>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</si>
  <si>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</si>
  <si>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</si>
  <si>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</si>
  <si>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</si>
  <si>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</si>
  <si>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</si>
  <si>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</si>
  <si>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</si>
  <si>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</si>
  <si>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</si>
  <si>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</si>
  <si>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</si>
  <si>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</si>
  <si>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</si>
  <si>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</si>
  <si>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</si>
  <si>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</si>
  <si>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</si>
  <si>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</si>
  <si>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</si>
  <si>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</si>
  <si>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</si>
  <si>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</si>
  <si>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</si>
  <si>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</si>
  <si>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</si>
  <si>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</si>
  <si>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</si>
  <si>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</si>
  <si>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</si>
  <si>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</si>
  <si>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</si>
  <si>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</si>
  <si>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</si>
  <si>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</si>
  <si>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</si>
  <si>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</si>
  <si>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</si>
  <si>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</si>
  <si>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</si>
  <si>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</si>
  <si>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</si>
  <si>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</si>
  <si>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</si>
  <si>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</si>
  <si>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</si>
  <si>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</si>
  <si>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</si>
  <si>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</si>
  <si>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</si>
  <si>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</si>
  <si>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</si>
  <si>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</si>
  <si>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</si>
  <si>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</si>
  <si>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</si>
  <si>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</si>
  <si>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</si>
  <si>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</si>
  <si>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</si>
  <si>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</si>
  <si>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</si>
  <si>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</si>
  <si>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</si>
  <si>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</si>
  <si>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</si>
  <si>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</si>
  <si>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</si>
  <si>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</si>
  <si>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</si>
  <si>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</si>
  <si>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</si>
  <si>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</si>
  <si>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</si>
  <si>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</si>
  <si>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</si>
  <si>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</si>
  <si>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</si>
  <si>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</si>
  <si>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</si>
  <si>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</si>
  <si>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</si>
  <si>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</si>
  <si>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</si>
  <si>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</si>
  <si>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</si>
  <si>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</si>
  <si>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</si>
  <si>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</si>
  <si>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</si>
  <si>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</si>
  <si>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</si>
  <si>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</si>
  <si>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</si>
  <si>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</si>
  <si>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</si>
  <si>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</si>
  <si>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</si>
  <si>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</si>
  <si>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</si>
  <si>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</si>
  <si>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</si>
  <si>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</si>
  <si>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</si>
  <si>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</si>
  <si>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</si>
  <si>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</si>
  <si>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</si>
  <si>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</si>
  <si>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</si>
  <si>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</si>
  <si>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</si>
  <si>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</si>
  <si>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</si>
  <si>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</si>
  <si>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</si>
  <si>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</si>
  <si>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</si>
  <si>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</si>
  <si>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</si>
  <si>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</si>
  <si>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</si>
  <si>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</si>
  <si>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</si>
  <si>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</si>
  <si>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</si>
  <si>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</si>
  <si>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</si>
  <si>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</si>
  <si>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</si>
  <si>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</si>
  <si>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</si>
  <si>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</si>
  <si>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</si>
  <si>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</si>
  <si>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</si>
  <si>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</si>
  <si>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</si>
  <si>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</si>
  <si>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</si>
  <si>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</si>
  <si>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</si>
  <si>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</si>
  <si>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</si>
  <si>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</si>
  <si>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</si>
  <si>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</si>
  <si>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</si>
  <si>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</si>
  <si>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</si>
  <si>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</si>
  <si>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</si>
  <si>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</si>
  <si>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</si>
  <si>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</si>
  <si>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</si>
  <si>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</si>
  <si>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</si>
  <si>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</si>
  <si>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</si>
  <si>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</si>
  <si>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</si>
  <si>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</si>
  <si>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</si>
  <si>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</si>
  <si>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</si>
  <si>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</si>
  <si>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</si>
  <si>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</si>
  <si>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</si>
  <si>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</si>
  <si>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</si>
  <si>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</si>
  <si>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</si>
  <si>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</si>
  <si>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</si>
  <si>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</si>
  <si>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</si>
  <si>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</si>
  <si>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</si>
  <si>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</si>
  <si>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</si>
  <si>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</si>
  <si>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</si>
  <si>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</si>
  <si>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</si>
  <si>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</si>
  <si>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</si>
  <si>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</si>
  <si>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</si>
  <si>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</si>
  <si>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</si>
  <si>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</si>
  <si>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</si>
  <si>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</si>
  <si>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</si>
  <si>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</si>
  <si>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</si>
  <si>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</si>
  <si>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</si>
  <si>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</si>
  <si>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</si>
  <si>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</si>
  <si>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</si>
  <si>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</si>
  <si>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</si>
  <si>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</si>
  <si>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</si>
  <si>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</si>
  <si>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</si>
  <si>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</si>
  <si>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</si>
  <si>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</si>
  <si>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</si>
  <si>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</si>
  <si>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</si>
  <si>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</si>
  <si>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</si>
  <si>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</si>
  <si>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</si>
  <si>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</si>
  <si>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</si>
  <si>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</si>
  <si>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</si>
  <si>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</si>
  <si>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</si>
  <si>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</si>
  <si>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</si>
  <si>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</si>
  <si>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</si>
  <si>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</si>
  <si>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</si>
  <si>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</si>
  <si>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</si>
  <si>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</si>
  <si>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</si>
  <si>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</si>
  <si>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</si>
  <si>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</si>
  <si>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</si>
  <si>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</si>
  <si>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</si>
  <si>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</si>
  <si>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</si>
  <si>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</si>
  <si>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</si>
  <si>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</si>
  <si>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</si>
  <si>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</si>
  <si>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</si>
  <si>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</si>
  <si>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</si>
  <si>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</si>
  <si>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</si>
  <si>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</si>
  <si>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</si>
  <si>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</si>
  <si>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</si>
  <si>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</si>
  <si>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</si>
  <si>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</si>
  <si>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</si>
  <si>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</si>
  <si>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</si>
  <si>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</si>
  <si>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</si>
  <si>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</si>
  <si>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</si>
  <si>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</si>
  <si>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</si>
  <si>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</si>
  <si>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</si>
  <si>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</si>
  <si>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</si>
  <si>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</si>
  <si>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</si>
  <si>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</si>
  <si>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</si>
  <si>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</si>
  <si>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</si>
  <si>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</si>
  <si>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</si>
  <si>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</si>
  <si>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</si>
  <si>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</si>
  <si>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</si>
  <si>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</si>
  <si>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</si>
  <si>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</si>
  <si>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</si>
  <si>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</si>
  <si>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</si>
  <si>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</si>
  <si>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</si>
  <si>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</si>
  <si>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</si>
  <si>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</si>
  <si>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</si>
  <si>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</si>
  <si>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</si>
  <si>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</si>
  <si>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</si>
  <si>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</si>
  <si>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</si>
  <si>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</si>
  <si>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</si>
  <si>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</si>
  <si>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</si>
  <si>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</si>
  <si>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</si>
  <si>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</si>
  <si>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</si>
  <si>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</si>
  <si>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</si>
  <si>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</si>
  <si>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</si>
  <si>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</si>
  <si>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</si>
  <si>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</si>
  <si>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</si>
  <si>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</si>
  <si>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</si>
  <si>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</si>
  <si>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</si>
  <si>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</si>
  <si>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</si>
  <si>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</si>
  <si>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</si>
  <si>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</si>
  <si>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</si>
  <si>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</si>
  <si>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</si>
  <si>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</si>
  <si>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</si>
  <si>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</si>
  <si>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</si>
  <si>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</si>
  <si>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</si>
  <si>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</si>
  <si>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</si>
  <si>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</si>
  <si>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</si>
  <si>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</si>
  <si>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</si>
  <si>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</si>
  <si>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</si>
  <si>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</si>
  <si>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</si>
  <si>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</si>
  <si>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</si>
  <si>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</si>
  <si>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</si>
  <si>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</si>
  <si>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</si>
  <si>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</si>
  <si>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</si>
  <si>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</si>
  <si>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</si>
  <si>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</si>
  <si>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</si>
  <si>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</si>
  <si>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</si>
  <si>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</si>
  <si>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</si>
  <si>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</si>
  <si>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</si>
  <si>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</si>
  <si>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</si>
  <si>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</si>
  <si>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</si>
  <si>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</si>
  <si>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</si>
  <si>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</si>
  <si>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</si>
  <si>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</si>
  <si>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</si>
  <si>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</si>
  <si>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</si>
  <si>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</si>
  <si>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</si>
  <si>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</si>
  <si>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</si>
  <si>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</si>
  <si>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</si>
  <si>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</si>
  <si>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</si>
  <si>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</si>
  <si>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</si>
  <si>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</si>
  <si>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</si>
  <si>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</si>
  <si>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</si>
  <si>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</si>
  <si>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</si>
  <si>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</si>
  <si>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</si>
  <si>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</si>
  <si>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</si>
  <si>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</si>
  <si>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</si>
  <si>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</si>
  <si>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</si>
  <si>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</si>
  <si>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</si>
  <si>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</si>
  <si>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</si>
  <si>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</si>
  <si>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</si>
  <si>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</si>
  <si>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</si>
  <si>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</si>
  <si>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</si>
  <si>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</si>
  <si>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</si>
  <si>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</si>
  <si>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</si>
  <si>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</si>
  <si>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</si>
  <si>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</si>
  <si>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</si>
  <si>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</si>
  <si>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</si>
  <si>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</si>
  <si>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</si>
  <si>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</si>
  <si>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</si>
  <si>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</si>
  <si>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</si>
  <si>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</si>
  <si>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</si>
  <si>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</si>
  <si>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</si>
  <si>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</si>
  <si>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</si>
  <si>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</si>
  <si>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</si>
  <si>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</si>
  <si>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</si>
  <si>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</si>
  <si>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</si>
  <si>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</si>
  <si>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</si>
  <si>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</si>
  <si>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</si>
  <si>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</si>
  <si>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</si>
  <si>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</si>
  <si>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</si>
  <si>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</si>
  <si>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</si>
  <si>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</si>
  <si>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</si>
  <si>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</si>
  <si>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</si>
  <si>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</si>
  <si>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</si>
  <si>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</si>
  <si>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</si>
  <si>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</si>
  <si>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</si>
  <si>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</si>
  <si>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</si>
  <si>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</si>
  <si>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</si>
  <si>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</si>
  <si>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</si>
  <si>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</si>
  <si>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</si>
  <si>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</si>
  <si>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</si>
  <si>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</si>
  <si>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</si>
  <si>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</si>
  <si>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</si>
  <si>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</si>
  <si>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</si>
  <si>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</si>
  <si>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</si>
  <si>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</si>
  <si>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</si>
  <si>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</si>
  <si>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</si>
  <si>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</si>
  <si>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</si>
  <si>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</si>
  <si>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</si>
  <si>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</si>
  <si>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</si>
  <si>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</si>
  <si>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</si>
  <si>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</si>
  <si>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</si>
  <si>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</si>
  <si>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</si>
  <si>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</si>
  <si>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</si>
  <si>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</si>
  <si>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</si>
  <si>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</si>
  <si>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</si>
  <si>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</si>
  <si>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</si>
  <si>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</si>
  <si>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</si>
  <si>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</si>
  <si>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</si>
  <si>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</si>
  <si>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</si>
  <si>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</si>
  <si>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</si>
  <si>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</si>
  <si>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</si>
  <si>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</si>
  <si>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</si>
  <si>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</si>
  <si>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</si>
  <si>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</si>
  <si>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</si>
  <si>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</si>
  <si>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</si>
  <si>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</si>
  <si>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</si>
  <si>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</si>
  <si>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</si>
  <si>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</si>
  <si>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</si>
  <si>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</si>
  <si>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</si>
  <si>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</si>
  <si>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</si>
  <si>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</si>
  <si>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</si>
  <si>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</si>
  <si>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</si>
  <si>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</si>
  <si>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</si>
  <si>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</si>
  <si>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</si>
  <si>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</si>
  <si>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</si>
  <si>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</si>
  <si>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</si>
  <si>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</si>
  <si>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</si>
  <si>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</si>
  <si>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</si>
  <si>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</si>
  <si>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</si>
  <si>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</si>
  <si>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</si>
  <si>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</si>
  <si>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</si>
  <si>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</si>
  <si>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</si>
  <si>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</si>
  <si>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</si>
  <si>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</si>
  <si>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</si>
  <si>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</si>
  <si>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</si>
  <si>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</si>
  <si>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</si>
  <si>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</si>
  <si>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</si>
  <si>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</si>
  <si>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</si>
  <si>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</si>
  <si>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</si>
  <si>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</si>
  <si>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</si>
  <si>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</si>
  <si>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</si>
  <si>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</si>
  <si>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</si>
  <si>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</si>
  <si>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</si>
  <si>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</si>
  <si>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</si>
  <si>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</si>
  <si>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</si>
  <si>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</si>
  <si>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</si>
  <si>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</si>
  <si>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</si>
  <si>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</si>
  <si>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</si>
  <si>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</si>
  <si>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</si>
  <si>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</si>
  <si>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</si>
  <si>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</si>
  <si>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</si>
  <si>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</si>
  <si>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</si>
  <si>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</si>
  <si>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</si>
  <si>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</si>
  <si>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</si>
  <si>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</si>
  <si>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</si>
  <si>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</si>
  <si>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</si>
  <si>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</si>
  <si>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</si>
  <si>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</si>
  <si>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</si>
  <si>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</si>
  <si>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</si>
  <si>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</si>
  <si>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</si>
  <si>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</si>
  <si>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</si>
  <si>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</si>
  <si>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</si>
  <si>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</si>
  <si>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</si>
  <si>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</si>
  <si>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</si>
  <si>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</si>
  <si>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</si>
  <si>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</si>
  <si>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</si>
  <si>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</si>
  <si>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</si>
  <si>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</si>
  <si>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</si>
  <si>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</si>
  <si>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</si>
  <si>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</si>
  <si>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</si>
  <si>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</si>
  <si>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</si>
  <si>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</si>
  <si>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</si>
  <si>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</si>
  <si>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</si>
  <si>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</si>
  <si>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</si>
  <si>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</si>
  <si>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</si>
  <si>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</si>
  <si>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</si>
  <si>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</si>
  <si>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</si>
  <si>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</si>
  <si>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</si>
  <si>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</si>
  <si>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</si>
  <si>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</si>
  <si>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</si>
  <si>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</si>
  <si>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</si>
  <si>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</si>
  <si>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</si>
  <si>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</si>
  <si>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</si>
  <si>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</si>
  <si>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</si>
  <si>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</si>
  <si>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</si>
  <si>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</si>
  <si>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</si>
  <si>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</si>
  <si>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</si>
  <si>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</si>
  <si>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</si>
  <si>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</si>
  <si>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</si>
  <si>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</si>
  <si>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</si>
  <si>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</si>
  <si>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</si>
  <si>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</si>
  <si>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</si>
  <si>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</si>
  <si>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</si>
  <si>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</si>
  <si>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</si>
  <si>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</si>
  <si>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</si>
  <si>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</si>
  <si>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</si>
  <si>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</si>
  <si>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</si>
  <si>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</si>
  <si>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</si>
  <si>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</si>
  <si>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</si>
  <si>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</si>
  <si>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</si>
  <si>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</si>
  <si>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</si>
  <si>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</si>
  <si>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</si>
  <si>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</si>
  <si>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</si>
  <si>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</si>
  <si>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</si>
  <si>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</si>
  <si>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</si>
  <si>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</si>
  <si>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</si>
  <si>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</si>
  <si>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</si>
  <si>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</si>
  <si>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</si>
  <si>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</si>
  <si>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</si>
  <si>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</si>
  <si>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</si>
  <si>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</si>
  <si>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</si>
  <si>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</si>
  <si>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</si>
  <si>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</si>
  <si>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</si>
  <si>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</si>
  <si>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</si>
  <si>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</si>
  <si>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</si>
  <si>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</si>
  <si>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</si>
  <si>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</si>
  <si>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</si>
  <si>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</si>
  <si>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</si>
  <si>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</si>
  <si>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</si>
  <si>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</si>
  <si>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</si>
  <si>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</si>
  <si>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</si>
  <si>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</si>
  <si>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</si>
  <si>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</si>
  <si>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</si>
  <si>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</si>
  <si>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</si>
  <si>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</si>
  <si>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</si>
  <si>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</si>
  <si>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</si>
  <si>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</si>
  <si>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</si>
  <si>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</si>
  <si>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</si>
  <si>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</si>
  <si>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</si>
  <si>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</si>
  <si>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</si>
  <si>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</si>
  <si>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</si>
  <si>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</si>
  <si>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</si>
  <si>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</si>
  <si>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</si>
  <si>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</si>
  <si>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</si>
  <si>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</si>
  <si>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</si>
  <si>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</si>
  <si>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</si>
  <si>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</si>
  <si>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</si>
  <si>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</si>
  <si>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</si>
  <si>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</si>
  <si>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</si>
  <si>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</si>
  <si>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</si>
  <si>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</si>
  <si>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</si>
  <si>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</si>
  <si>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</si>
  <si>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</si>
  <si>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</si>
  <si>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</si>
  <si>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</si>
  <si>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</si>
  <si>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</si>
  <si>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</si>
  <si>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</si>
  <si>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</si>
  <si>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</si>
  <si>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</si>
  <si>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</si>
  <si>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</si>
  <si>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</si>
  <si>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</si>
  <si>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</si>
  <si>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</si>
  <si>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</si>
  <si>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</si>
  <si>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</si>
  <si>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</si>
  <si>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</si>
  <si>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</si>
  <si>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</si>
  <si>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</si>
  <si>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</si>
  <si>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</si>
  <si>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</si>
  <si>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</si>
  <si>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</si>
  <si>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</si>
  <si>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</si>
  <si>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</si>
  <si>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</si>
  <si>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</si>
  <si>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</si>
  <si>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</si>
  <si>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</si>
  <si>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</si>
  <si>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</si>
  <si>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</si>
  <si>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</si>
  <si>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</si>
  <si>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</si>
  <si>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</si>
  <si>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</si>
  <si>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</si>
  <si>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</si>
  <si>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</si>
  <si>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</si>
  <si>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</si>
  <si>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</si>
  <si>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</si>
  <si>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</si>
  <si>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</si>
  <si>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</si>
  <si>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</si>
  <si>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</si>
  <si>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</si>
  <si>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</si>
  <si>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</si>
  <si>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</si>
  <si>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</si>
  <si>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</si>
  <si>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</si>
  <si>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</si>
  <si>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</si>
  <si>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</si>
  <si>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</si>
  <si>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</si>
  <si>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</si>
  <si>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</si>
  <si>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</si>
  <si>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</si>
  <si>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</si>
  <si>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</si>
  <si>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</si>
  <si>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</si>
  <si>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</si>
  <si>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</si>
  <si>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</si>
  <si>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</si>
  <si>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</si>
  <si>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</si>
  <si>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</si>
  <si>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</si>
  <si>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</si>
  <si>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</si>
  <si>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</si>
  <si>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</si>
  <si>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</si>
  <si>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</si>
  <si>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</si>
  <si>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</si>
  <si>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</si>
  <si>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</si>
  <si>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</si>
  <si>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</si>
  <si>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</si>
  <si>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</si>
  <si>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</si>
  <si>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</si>
  <si>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</si>
  <si>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</si>
  <si>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</si>
  <si>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</si>
  <si>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</si>
  <si>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</si>
  <si>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</si>
  <si>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</si>
  <si>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</si>
  <si>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</si>
  <si>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</si>
  <si>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</si>
  <si>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</si>
  <si>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</si>
  <si>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</si>
  <si>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</si>
  <si>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</si>
  <si>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</si>
  <si>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</si>
  <si>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</si>
  <si>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</si>
  <si>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</si>
  <si>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</si>
  <si>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</si>
  <si>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</si>
  <si>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</si>
  <si>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</si>
  <si>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</si>
  <si>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</si>
  <si>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</si>
  <si>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</si>
  <si>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</si>
  <si>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</si>
  <si>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</si>
  <si>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</si>
  <si>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</si>
  <si>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</si>
  <si>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</si>
  <si>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</si>
  <si>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</si>
  <si>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</si>
  <si>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</si>
  <si>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</si>
  <si>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</si>
  <si>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</si>
  <si>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</si>
  <si>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</si>
  <si>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</si>
  <si>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</si>
  <si>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</si>
  <si>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</si>
  <si>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</si>
  <si>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</si>
  <si>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</si>
  <si>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</si>
  <si>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</si>
  <si>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</si>
  <si>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</si>
  <si>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</si>
  <si>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</si>
  <si>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</si>
  <si>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</si>
  <si>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</si>
  <si>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</si>
  <si>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</si>
  <si>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</si>
  <si>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</si>
  <si>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</si>
  <si>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</si>
  <si>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</si>
  <si>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</si>
  <si>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</si>
  <si>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</si>
  <si>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</si>
  <si>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</si>
  <si>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</si>
  <si>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</si>
  <si>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</si>
  <si>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</si>
  <si>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</si>
  <si>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</si>
  <si>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</si>
  <si>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</si>
  <si>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</si>
  <si>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</si>
  <si>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</si>
  <si>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</si>
  <si>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</si>
  <si>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</si>
  <si>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</si>
  <si>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</si>
  <si>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</si>
  <si>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</si>
  <si>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</si>
  <si>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</si>
  <si>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</si>
  <si>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</si>
  <si>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</si>
  <si>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</si>
  <si>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</si>
  <si>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Correctness of Repaired</t>
  </si>
  <si>
    <t>p &lt; .05</t>
  </si>
  <si>
    <t>Single-Line-Avg-Fixed</t>
  </si>
  <si>
    <t>Single-Line-Avg-Repaired</t>
  </si>
  <si>
    <t>Multi-Line-Avg-Fixed</t>
  </si>
  <si>
    <t>Multi-Line-Avg-Repaired</t>
  </si>
  <si>
    <t>Wilcoxon signed-rank test</t>
  </si>
  <si>
    <t>Two-Factor Common</t>
  </si>
  <si>
    <t>Edits</t>
  </si>
  <si>
    <t>Project</t>
  </si>
  <si>
    <t>Lines</t>
  </si>
  <si>
    <t>Single-Chunk-Avg-Fixed</t>
  </si>
  <si>
    <t>Single-Chunk-Single-Edit-Avg-Fixed</t>
  </si>
  <si>
    <t>Single-Chunk-Avg-Repaired</t>
  </si>
  <si>
    <t>Single-Chunk-Single-Edit-Avg-Repaired</t>
  </si>
  <si>
    <t>Multi-Chunk-Avg-Fixed</t>
  </si>
  <si>
    <t>Single-Chunk-Multi-Edits-Avg-Fixed</t>
  </si>
  <si>
    <t>Multi-Chunk-Avg-Repaired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</si>
  <si>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</si>
  <si>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</si>
  <si>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</si>
  <si>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</si>
  <si>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</si>
  <si>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Multi-Chunk &amp; Multi-Line Common</t>
  </si>
  <si>
    <t>MC-SL Comm</t>
  </si>
  <si>
    <t>MC-ML Comm</t>
  </si>
  <si>
    <t>SC-SL Comm</t>
  </si>
  <si>
    <t>SC-ML Comm</t>
  </si>
  <si>
    <t>w</t>
  </si>
  <si>
    <t>DIFF SUM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</si>
  <si>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</si>
  <si>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</si>
  <si>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</si>
  <si>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</si>
  <si>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</si>
  <si>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</si>
  <si>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</si>
  <si>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</si>
  <si>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</si>
  <si>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</si>
  <si>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</si>
  <si>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</si>
  <si>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</si>
  <si>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</si>
  <si>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</si>
  <si>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</si>
  <si>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</si>
  <si>
    <t>ML - HE Comm</t>
  </si>
  <si>
    <t>Multi-Chunk-High-Edits-Avg-Fixed</t>
  </si>
  <si>
    <t>Multi-Chunk-High-Edits-Avg-Repaired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</si>
</sst>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0" fontId="18" fillId="40" borderId="0" xfId="0" applyFont="1" applyFill="1" applyAlignment="1">
      <alignment horizontal="center" vertical="center"/>
    </xf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  <xf numFmtId="0" fontId="24" fillId="35" borderId="15" xfId="0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32"/>
  <sheetViews>
    <sheetView showGridLines="0" tabSelected="1" topLeftCell="Q1050" zoomScale="55" zoomScaleNormal="55" workbookViewId="0">
      <selection activeCell="AC1073" sqref="AC1073:AC1599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30" width="9.109375" style="1"/>
    <col min="31" max="31" width="11.109375" style="1" customWidth="1"/>
    <col min="32" max="32" width="9.109375" style="1"/>
    <col min="33" max="33" width="11.5546875" style="1" customWidth="1"/>
    <col min="3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1692</v>
      </c>
      <c r="S23" s="12" t="s">
        <v>1292</v>
      </c>
      <c r="T23" s="12" t="s">
        <v>1293</v>
      </c>
      <c r="U23" s="12" t="s">
        <v>1294</v>
      </c>
      <c r="V23" s="12" t="s">
        <v>1702</v>
      </c>
      <c r="W23" s="12" t="s">
        <v>1701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>LEFT($A25,FIND("_",$A25)-1)</f>
        <v>ACS</v>
      </c>
      <c r="P25" s="13" t="str">
        <f>IF($O25="ACS", "True Search", IF($O25="Arja", "Evolutionary Search", IF($O25="AVATAR", "True Pattern", IF($O25="CapGen", "Search Like Pattern", IF($O25="Cardumen", "True Semantic", IF($O25="DynaMoth", "True Semantic", IF($O25="FixMiner", "True Pattern", IF($O25="GenProg-A", "Evolutionary Search", IF($O25="Hercules", "Learning Pattern", IF($O25="Jaid", "True Semantic",
IF($O25="Kali-A", "True Search", IF($O25="kPAR", "True Pattern", IF($O25="Nopol", "True Semantic", IF($O25="RSRepair-A", "Evolutionary Search", IF($O25="SequenceR", "Deep Learning", IF($O25="SimFix", "Search Like Pattern", IF($O25="SketchFix", "True Pattern", IF($O25="SOFix", "True Pattern", IF($O25="ssFix", "Search Like Pattern", IF($O25="TBar", "True Pattern", ""))))))))))))))))))))</f>
        <v>True Search</v>
      </c>
      <c r="Q25" s="13" t="str">
        <f>IF(NOT(ISERR(SEARCH("*_Buggy",$A25))), "Buggy", IF(NOT(ISERR(SEARCH("*_Fixed",$A25))), "Fixed", IF(NOT(ISERR(SEARCH("*_Repaired",$A25))), "Repaired", "")))</f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>LEFT($A26,FIND("_",$A26)-1)</f>
        <v>ACS</v>
      </c>
      <c r="P26" s="13" t="str">
        <f>IF($O26="ACS", "True Search", IF($O26="Arja", "Evolutionary Search", IF($O26="AVATAR", "True Pattern", IF($O26="CapGen", "Search Like Pattern", IF($O26="Cardumen", "True Semantic", IF($O26="DynaMoth", "True Semantic", IF($O26="FixMiner", "True Pattern", IF($O26="GenProg-A", "Evolutionary Search", IF($O26="Hercules", "Learning Pattern", IF($O26="Jaid", "True Semantic",
IF($O26="Kali-A", "True Search", IF($O26="kPAR", "True Pattern", IF($O26="Nopol", "True Semantic", IF($O26="RSRepair-A", "Evolutionary Search", IF($O26="SequenceR", "Deep Learning", IF($O26="SimFix", "Search Like Pattern", IF($O26="SketchFix", "True Pattern", IF($O26="SOFix", "True Pattern", IF($O26="ssFix", "Search Like Pattern", IF($O26="TBar", "True Pattern", ""))))))))))))))))))))</f>
        <v>True Search</v>
      </c>
      <c r="Q26" s="13" t="str">
        <f>IF(NOT(ISERR(SEARCH("*_Buggy",$A26))), "Buggy", IF(NOT(ISERR(SEARCH("*_Fixed",$A26))), "Fixed", IF(NOT(ISERR(SEARCH("*_Repaired",$A26))), "Repaired", "")))</f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>LEFT($A27,FIND("_",$A27)-1)</f>
        <v>ACS</v>
      </c>
      <c r="P27" s="13" t="str">
        <f>IF($O27="ACS", "True Search", IF($O27="Arja", "Evolutionary Search", IF($O27="AVATAR", "True Pattern", IF($O27="CapGen", "Search Like Pattern", IF($O27="Cardumen", "True Semantic", IF($O27="DynaMoth", "True Semantic", IF($O27="FixMiner", "True Pattern", IF($O27="GenProg-A", "Evolutionary Search", IF($O27="Hercules", "Learning Pattern", IF($O27="Jaid", "True Semantic",
IF($O27="Kali-A", "True Search", IF($O27="kPAR", "True Pattern", IF($O27="Nopol", "True Semantic", IF($O27="RSRepair-A", "Evolutionary Search", IF($O27="SequenceR", "Deep Learning", IF($O27="SimFix", "Search Like Pattern", IF($O27="SketchFix", "True Pattern", IF($O27="SOFix", "True Pattern", IF($O27="ssFix", "Search Like Pattern", IF($O27="TBar", "True Pattern", ""))))))))))))))))))))</f>
        <v>True Search</v>
      </c>
      <c r="Q27" s="13" t="str">
        <f>IF(NOT(ISERR(SEARCH("*_Buggy",$A27))), "Buggy", IF(NOT(ISERR(SEARCH("*_Fixed",$A27))), "Fixed", IF(NOT(ISERR(SEARCH("*_Repaired",$A27))), "Repaired", "")))</f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>LEFT($A28,FIND("_",$A28)-1)</f>
        <v>ACS</v>
      </c>
      <c r="P28" s="13" t="str">
        <f>IF($O28="ACS", "True Search", IF($O28="Arja", "Evolutionary Search", IF($O28="AVATAR", "True Pattern", IF($O28="CapGen", "Search Like Pattern", IF($O28="Cardumen", "True Semantic", IF($O28="DynaMoth", "True Semantic", IF($O28="FixMiner", "True Pattern", IF($O28="GenProg-A", "Evolutionary Search", IF($O28="Hercules", "Learning Pattern", IF($O28="Jaid", "True Semantic",
IF($O28="Kali-A", "True Search", IF($O28="kPAR", "True Pattern", IF($O28="Nopol", "True Semantic", IF($O28="RSRepair-A", "Evolutionary Search", IF($O28="SequenceR", "Deep Learning", IF($O28="SimFix", "Search Like Pattern", IF($O28="SketchFix", "True Pattern", IF($O28="SOFix", "True Pattern", IF($O28="ssFix", "Search Like Pattern", IF($O28="TBar", "True Pattern", ""))))))))))))))))))))</f>
        <v>True Search</v>
      </c>
      <c r="Q28" s="13" t="str">
        <f>IF(NOT(ISERR(SEARCH("*_Buggy",$A28))), "Buggy", IF(NOT(ISERR(SEARCH("*_Fixed",$A28))), "Fixed", IF(NOT(ISERR(SEARCH("*_Repaired",$A28))), "Repaired", "")))</f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>LEFT($A29,FIND("_",$A29)-1)</f>
        <v>ACS</v>
      </c>
      <c r="P29" s="13" t="str">
        <f>IF($O29="ACS", "True Search", IF($O29="Arja", "Evolutionary Search", IF($O29="AVATAR", "True Pattern", IF($O29="CapGen", "Search Like Pattern", IF($O29="Cardumen", "True Semantic", IF($O29="DynaMoth", "True Semantic", IF($O29="FixMiner", "True Pattern", IF($O29="GenProg-A", "Evolutionary Search", IF($O29="Hercules", "Learning Pattern", IF($O29="Jaid", "True Semantic",
IF($O29="Kali-A", "True Search", IF($O29="kPAR", "True Pattern", IF($O29="Nopol", "True Semantic", IF($O29="RSRepair-A", "Evolutionary Search", IF($O29="SequenceR", "Deep Learning", IF($O29="SimFix", "Search Like Pattern", IF($O29="SketchFix", "True Pattern", IF($O29="SOFix", "True Pattern", IF($O29="ssFix", "Search Like Pattern", IF($O29="TBar", "True Pattern", ""))))))))))))))))))))</f>
        <v>True Search</v>
      </c>
      <c r="Q29" s="13" t="str">
        <f>IF(NOT(ISERR(SEARCH("*_Buggy",$A29))), "Buggy", IF(NOT(ISERR(SEARCH("*_Fixed",$A29))), "Fixed", IF(NOT(ISERR(SEARCH("*_Repaired",$A29))), "Repaired", "")))</f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>LEFT($A30,FIND("_",$A30)-1)</f>
        <v>ACS</v>
      </c>
      <c r="P30" s="13" t="str">
        <f>IF($O30="ACS", "True Search", IF($O30="Arja", "Evolutionary Search", IF($O30="AVATAR", "True Pattern", IF($O30="CapGen", "Search Like Pattern", IF($O30="Cardumen", "True Semantic", IF($O30="DynaMoth", "True Semantic", IF($O30="FixMiner", "True Pattern", IF($O30="GenProg-A", "Evolutionary Search", IF($O30="Hercules", "Learning Pattern", IF($O30="Jaid", "True Semantic",
IF($O30="Kali-A", "True Search", IF($O30="kPAR", "True Pattern", IF($O30="Nopol", "True Semantic", IF($O30="RSRepair-A", "Evolutionary Search", IF($O30="SequenceR", "Deep Learning", IF($O30="SimFix", "Search Like Pattern", IF($O30="SketchFix", "True Pattern", IF($O30="SOFix", "True Pattern", IF($O30="ssFix", "Search Like Pattern", IF($O30="TBar", "True Pattern", ""))))))))))))))))))))</f>
        <v>True Search</v>
      </c>
      <c r="Q30" s="13" t="str">
        <f>IF(NOT(ISERR(SEARCH("*_Buggy",$A30))), "Buggy", IF(NOT(ISERR(SEARCH("*_Fixed",$A30))), "Fixed", IF(NOT(ISERR(SEARCH("*_Repaired",$A30))), "Repaired", "")))</f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>LEFT($A31,FIND("_",$A31)-1)</f>
        <v>ACS</v>
      </c>
      <c r="P31" s="13" t="str">
        <f>IF($O31="ACS", "True Search", IF($O31="Arja", "Evolutionary Search", IF($O31="AVATAR", "True Pattern", IF($O31="CapGen", "Search Like Pattern", IF($O31="Cardumen", "True Semantic", IF($O31="DynaMoth", "True Semantic", IF($O31="FixMiner", "True Pattern", IF($O31="GenProg-A", "Evolutionary Search", IF($O31="Hercules", "Learning Pattern", IF($O31="Jaid", "True Semantic",
IF($O31="Kali-A", "True Search", IF($O31="kPAR", "True Pattern", IF($O31="Nopol", "True Semantic", IF($O31="RSRepair-A", "Evolutionary Search", IF($O31="SequenceR", "Deep Learning", IF($O31="SimFix", "Search Like Pattern", IF($O31="SketchFix", "True Pattern", IF($O31="SOFix", "True Pattern", IF($O31="ssFix", "Search Like Pattern", IF($O31="TBar", "True Pattern", ""))))))))))))))))))))</f>
        <v>True Search</v>
      </c>
      <c r="Q31" s="13" t="str">
        <f>IF(NOT(ISERR(SEARCH("*_Buggy",$A31))), "Buggy", IF(NOT(ISERR(SEARCH("*_Fixed",$A31))), "Fixed", IF(NOT(ISERR(SEARCH("*_Repaired",$A31))), "Repaired", "")))</f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>LEFT($A32,FIND("_",$A32)-1)</f>
        <v>ACS</v>
      </c>
      <c r="P32" s="13" t="str">
        <f>IF($O32="ACS", "True Search", IF($O32="Arja", "Evolutionary Search", IF($O32="AVATAR", "True Pattern", IF($O32="CapGen", "Search Like Pattern", IF($O32="Cardumen", "True Semantic", IF($O32="DynaMoth", "True Semantic", IF($O32="FixMiner", "True Pattern", IF($O32="GenProg-A", "Evolutionary Search", IF($O32="Hercules", "Learning Pattern", IF($O32="Jaid", "True Semantic",
IF($O32="Kali-A", "True Search", IF($O32="kPAR", "True Pattern", IF($O32="Nopol", "True Semantic", IF($O32="RSRepair-A", "Evolutionary Search", IF($O32="SequenceR", "Deep Learning", IF($O32="SimFix", "Search Like Pattern", IF($O32="SketchFix", "True Pattern", IF($O32="SOFix", "True Pattern", IF($O32="ssFix", "Search Like Pattern", IF($O32="TBar", "True Pattern", ""))))))))))))))))))))</f>
        <v>True Search</v>
      </c>
      <c r="Q32" s="13" t="str">
        <f>IF(NOT(ISERR(SEARCH("*_Buggy",$A32))), "Buggy", IF(NOT(ISERR(SEARCH("*_Fixed",$A32))), "Fixed", IF(NOT(ISERR(SEARCH("*_Repaired",$A32))), "Repaired", "")))</f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>LEFT($A33,FIND("_",$A33)-1)</f>
        <v>ACS</v>
      </c>
      <c r="P33" s="13" t="str">
        <f>IF($O33="ACS", "True Search", IF($O33="Arja", "Evolutionary Search", IF($O33="AVATAR", "True Pattern", IF($O33="CapGen", "Search Like Pattern", IF($O33="Cardumen", "True Semantic", IF($O33="DynaMoth", "True Semantic", IF($O33="FixMiner", "True Pattern", IF($O33="GenProg-A", "Evolutionary Search", IF($O33="Hercules", "Learning Pattern", IF($O33="Jaid", "True Semantic",
IF($O33="Kali-A", "True Search", IF($O33="kPAR", "True Pattern", IF($O33="Nopol", "True Semantic", IF($O33="RSRepair-A", "Evolutionary Search", IF($O33="SequenceR", "Deep Learning", IF($O33="SimFix", "Search Like Pattern", IF($O33="SketchFix", "True Pattern", IF($O33="SOFix", "True Pattern", IF($O33="ssFix", "Search Like Pattern", IF($O33="TBar", "True Pattern", ""))))))))))))))))))))</f>
        <v>True Search</v>
      </c>
      <c r="Q33" s="13" t="str">
        <f>IF(NOT(ISERR(SEARCH("*_Buggy",$A33))), "Buggy", IF(NOT(ISERR(SEARCH("*_Fixed",$A33))), "Fixed", IF(NOT(ISERR(SEARCH("*_Repaired",$A33))), "Repaired", "")))</f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>LEFT($A34,FIND("_",$A34)-1)</f>
        <v>ACS</v>
      </c>
      <c r="P34" s="13" t="str">
        <f>IF($O34="ACS", "True Search", IF($O34="Arja", "Evolutionary Search", IF($O34="AVATAR", "True Pattern", IF($O34="CapGen", "Search Like Pattern", IF($O34="Cardumen", "True Semantic", IF($O34="DynaMoth", "True Semantic", IF($O34="FixMiner", "True Pattern", IF($O34="GenProg-A", "Evolutionary Search", IF($O34="Hercules", "Learning Pattern", IF($O34="Jaid", "True Semantic",
IF($O34="Kali-A", "True Search", IF($O34="kPAR", "True Pattern", IF($O34="Nopol", "True Semantic", IF($O34="RSRepair-A", "Evolutionary Search", IF($O34="SequenceR", "Deep Learning", IF($O34="SimFix", "Search Like Pattern", IF($O34="SketchFix", "True Pattern", IF($O34="SOFix", "True Pattern", IF($O34="ssFix", "Search Like Pattern", IF($O34="TBar", "True Pattern", ""))))))))))))))))))))</f>
        <v>True Search</v>
      </c>
      <c r="Q34" s="13" t="str">
        <f>IF(NOT(ISERR(SEARCH("*_Buggy",$A34))), "Buggy", IF(NOT(ISERR(SEARCH("*_Fixed",$A34))), "Fixed", IF(NOT(ISERR(SEARCH("*_Repaired",$A34))), "Repaired", "")))</f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>LEFT($A35,FIND("_",$A35)-1)</f>
        <v>ACS</v>
      </c>
      <c r="P35" s="13" t="str">
        <f>IF($O35="ACS", "True Search", IF($O35="Arja", "Evolutionary Search", IF($O35="AVATAR", "True Pattern", IF($O35="CapGen", "Search Like Pattern", IF($O35="Cardumen", "True Semantic", IF($O35="DynaMoth", "True Semantic", IF($O35="FixMiner", "True Pattern", IF($O35="GenProg-A", "Evolutionary Search", IF($O35="Hercules", "Learning Pattern", IF($O35="Jaid", "True Semantic",
IF($O35="Kali-A", "True Search", IF($O35="kPAR", "True Pattern", IF($O35="Nopol", "True Semantic", IF($O35="RSRepair-A", "Evolutionary Search", IF($O35="SequenceR", "Deep Learning", IF($O35="SimFix", "Search Like Pattern", IF($O35="SketchFix", "True Pattern", IF($O35="SOFix", "True Pattern", IF($O35="ssFix", "Search Like Pattern", IF($O35="TBar", "True Pattern", ""))))))))))))))))))))</f>
        <v>True Search</v>
      </c>
      <c r="Q35" s="13" t="str">
        <f>IF(NOT(ISERR(SEARCH("*_Buggy",$A35))), "Buggy", IF(NOT(ISERR(SEARCH("*_Fixed",$A35))), "Fixed", IF(NOT(ISERR(SEARCH("*_Repaired",$A35))), "Repaired", "")))</f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>LEFT($A36,FIND("_",$A36)-1)</f>
        <v>ACS</v>
      </c>
      <c r="P36" s="13" t="str">
        <f>IF($O36="ACS", "True Search", IF($O36="Arja", "Evolutionary Search", IF($O36="AVATAR", "True Pattern", IF($O36="CapGen", "Search Like Pattern", IF($O36="Cardumen", "True Semantic", IF($O36="DynaMoth", "True Semantic", IF($O36="FixMiner", "True Pattern", IF($O36="GenProg-A", "Evolutionary Search", IF($O36="Hercules", "Learning Pattern", IF($O36="Jaid", "True Semantic",
IF($O36="Kali-A", "True Search", IF($O36="kPAR", "True Pattern", IF($O36="Nopol", "True Semantic", IF($O36="RSRepair-A", "Evolutionary Search", IF($O36="SequenceR", "Deep Learning", IF($O36="SimFix", "Search Like Pattern", IF($O36="SketchFix", "True Pattern", IF($O36="SOFix", "True Pattern", IF($O36="ssFix", "Search Like Pattern", IF($O36="TBar", "True Pattern", ""))))))))))))))))))))</f>
        <v>True Search</v>
      </c>
      <c r="Q36" s="13" t="str">
        <f>IF(NOT(ISERR(SEARCH("*_Buggy",$A36))), "Buggy", IF(NOT(ISERR(SEARCH("*_Fixed",$A36))), "Fixed", IF(NOT(ISERR(SEARCH("*_Repaired",$A36))), "Repaired", "")))</f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>LEFT($A37,FIND("_",$A37)-1)</f>
        <v>ACS</v>
      </c>
      <c r="P37" s="13" t="str">
        <f>IF($O37="ACS", "True Search", IF($O37="Arja", "Evolutionary Search", IF($O37="AVATAR", "True Pattern", IF($O37="CapGen", "Search Like Pattern", IF($O37="Cardumen", "True Semantic", IF($O37="DynaMoth", "True Semantic", IF($O37="FixMiner", "True Pattern", IF($O37="GenProg-A", "Evolutionary Search", IF($O37="Hercules", "Learning Pattern", IF($O37="Jaid", "True Semantic",
IF($O37="Kali-A", "True Search", IF($O37="kPAR", "True Pattern", IF($O37="Nopol", "True Semantic", IF($O37="RSRepair-A", "Evolutionary Search", IF($O37="SequenceR", "Deep Learning", IF($O37="SimFix", "Search Like Pattern", IF($O37="SketchFix", "True Pattern", IF($O37="SOFix", "True Pattern", IF($O37="ssFix", "Search Like Pattern", IF($O37="TBar", "True Pattern", ""))))))))))))))))))))</f>
        <v>True Search</v>
      </c>
      <c r="Q37" s="13" t="str">
        <f>IF(NOT(ISERR(SEARCH("*_Buggy",$A37))), "Buggy", IF(NOT(ISERR(SEARCH("*_Fixed",$A37))), "Fixed", IF(NOT(ISERR(SEARCH("*_Repaired",$A37))), "Repaired", "")))</f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>LEFT($A38,FIND("_",$A38)-1)</f>
        <v>ACS</v>
      </c>
      <c r="P38" s="13" t="str">
        <f>IF($O38="ACS", "True Search", IF($O38="Arja", "Evolutionary Search", IF($O38="AVATAR", "True Pattern", IF($O38="CapGen", "Search Like Pattern", IF($O38="Cardumen", "True Semantic", IF($O38="DynaMoth", "True Semantic", IF($O38="FixMiner", "True Pattern", IF($O38="GenProg-A", "Evolutionary Search", IF($O38="Hercules", "Learning Pattern", IF($O38="Jaid", "True Semantic",
IF($O38="Kali-A", "True Search", IF($O38="kPAR", "True Pattern", IF($O38="Nopol", "True Semantic", IF($O38="RSRepair-A", "Evolutionary Search", IF($O38="SequenceR", "Deep Learning", IF($O38="SimFix", "Search Like Pattern", IF($O38="SketchFix", "True Pattern", IF($O38="SOFix", "True Pattern", IF($O38="ssFix", "Search Like Pattern", IF($O38="TBar", "True Pattern", ""))))))))))))))))))))</f>
        <v>True Search</v>
      </c>
      <c r="Q38" s="13" t="str">
        <f>IF(NOT(ISERR(SEARCH("*_Buggy",$A38))), "Buggy", IF(NOT(ISERR(SEARCH("*_Fixed",$A38))), "Fixed", IF(NOT(ISERR(SEARCH("*_Repaired",$A38))), "Repaired", "")))</f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>LEFT($A39,FIND("_",$A39)-1)</f>
        <v>ACS</v>
      </c>
      <c r="P39" s="13" t="str">
        <f>IF($O39="ACS", "True Search", IF($O39="Arja", "Evolutionary Search", IF($O39="AVATAR", "True Pattern", IF($O39="CapGen", "Search Like Pattern", IF($O39="Cardumen", "True Semantic", IF($O39="DynaMoth", "True Semantic", IF($O39="FixMiner", "True Pattern", IF($O39="GenProg-A", "Evolutionary Search", IF($O39="Hercules", "Learning Pattern", IF($O39="Jaid", "True Semantic",
IF($O39="Kali-A", "True Search", IF($O39="kPAR", "True Pattern", IF($O39="Nopol", "True Semantic", IF($O39="RSRepair-A", "Evolutionary Search", IF($O39="SequenceR", "Deep Learning", IF($O39="SimFix", "Search Like Pattern", IF($O39="SketchFix", "True Pattern", IF($O39="SOFix", "True Pattern", IF($O39="ssFix", "Search Like Pattern", IF($O39="TBar", "True Pattern", ""))))))))))))))))))))</f>
        <v>True Search</v>
      </c>
      <c r="Q39" s="13" t="str">
        <f>IF(NOT(ISERR(SEARCH("*_Buggy",$A39))), "Buggy", IF(NOT(ISERR(SEARCH("*_Fixed",$A39))), "Fixed", IF(NOT(ISERR(SEARCH("*_Repaired",$A39))), "Repaired", "")))</f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>LEFT($A40,FIND("_",$A40)-1)</f>
        <v>ACS</v>
      </c>
      <c r="P40" s="13" t="str">
        <f>IF($O40="ACS", "True Search", IF($O40="Arja", "Evolutionary Search", IF($O40="AVATAR", "True Pattern", IF($O40="CapGen", "Search Like Pattern", IF($O40="Cardumen", "True Semantic", IF($O40="DynaMoth", "True Semantic", IF($O40="FixMiner", "True Pattern", IF($O40="GenProg-A", "Evolutionary Search", IF($O40="Hercules", "Learning Pattern", IF($O40="Jaid", "True Semantic",
IF($O40="Kali-A", "True Search", IF($O40="kPAR", "True Pattern", IF($O40="Nopol", "True Semantic", IF($O40="RSRepair-A", "Evolutionary Search", IF($O40="SequenceR", "Deep Learning", IF($O40="SimFix", "Search Like Pattern", IF($O40="SketchFix", "True Pattern", IF($O40="SOFix", "True Pattern", IF($O40="ssFix", "Search Like Pattern", IF($O40="TBar", "True Pattern", ""))))))))))))))))))))</f>
        <v>True Search</v>
      </c>
      <c r="Q40" s="13" t="str">
        <f>IF(NOT(ISERR(SEARCH("*_Buggy",$A40))), "Buggy", IF(NOT(ISERR(SEARCH("*_Fixed",$A40))), "Fixed", IF(NOT(ISERR(SEARCH("*_Repaired",$A40))), "Repaired", "")))</f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>LEFT($A41,FIND("_",$A41)-1)</f>
        <v>ACS</v>
      </c>
      <c r="P41" s="13" t="str">
        <f>IF($O41="ACS", "True Search", IF($O41="Arja", "Evolutionary Search", IF($O41="AVATAR", "True Pattern", IF($O41="CapGen", "Search Like Pattern", IF($O41="Cardumen", "True Semantic", IF($O41="DynaMoth", "True Semantic", IF($O41="FixMiner", "True Pattern", IF($O41="GenProg-A", "Evolutionary Search", IF($O41="Hercules", "Learning Pattern", IF($O41="Jaid", "True Semantic",
IF($O41="Kali-A", "True Search", IF($O41="kPAR", "True Pattern", IF($O41="Nopol", "True Semantic", IF($O41="RSRepair-A", "Evolutionary Search", IF($O41="SequenceR", "Deep Learning", IF($O41="SimFix", "Search Like Pattern", IF($O41="SketchFix", "True Pattern", IF($O41="SOFix", "True Pattern", IF($O41="ssFix", "Search Like Pattern", IF($O41="TBar", "True Pattern", ""))))))))))))))))))))</f>
        <v>True Search</v>
      </c>
      <c r="Q41" s="13" t="str">
        <f>IF(NOT(ISERR(SEARCH("*_Buggy",$A41))), "Buggy", IF(NOT(ISERR(SEARCH("*_Fixed",$A41))), "Fixed", IF(NOT(ISERR(SEARCH("*_Repaired",$A41))), "Repaired", "")))</f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>LEFT($A42,FIND("_",$A42)-1)</f>
        <v>ACS</v>
      </c>
      <c r="P42" s="13" t="str">
        <f>IF($O42="ACS", "True Search", IF($O42="Arja", "Evolutionary Search", IF($O42="AVATAR", "True Pattern", IF($O42="CapGen", "Search Like Pattern", IF($O42="Cardumen", "True Semantic", IF($O42="DynaMoth", "True Semantic", IF($O42="FixMiner", "True Pattern", IF($O42="GenProg-A", "Evolutionary Search", IF($O42="Hercules", "Learning Pattern", IF($O42="Jaid", "True Semantic",
IF($O42="Kali-A", "True Search", IF($O42="kPAR", "True Pattern", IF($O42="Nopol", "True Semantic", IF($O42="RSRepair-A", "Evolutionary Search", IF($O42="SequenceR", "Deep Learning", IF($O42="SimFix", "Search Like Pattern", IF($O42="SketchFix", "True Pattern", IF($O42="SOFix", "True Pattern", IF($O42="ssFix", "Search Like Pattern", IF($O42="TBar", "True Pattern", ""))))))))))))))))))))</f>
        <v>True Search</v>
      </c>
      <c r="Q42" s="13" t="str">
        <f>IF(NOT(ISERR(SEARCH("*_Buggy",$A42))), "Buggy", IF(NOT(ISERR(SEARCH("*_Fixed",$A42))), "Fixed", IF(NOT(ISERR(SEARCH("*_Repaired",$A42))), "Repaired", "")))</f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>LEFT($A43,FIND("_",$A43)-1)</f>
        <v>ARJA</v>
      </c>
      <c r="P43" s="13" t="str">
        <f>IF($O43="ACS", "True Search", IF($O43="Arja", "Evolutionary Search", IF($O43="AVATAR", "True Pattern", IF($O43="CapGen", "Search Like Pattern", IF($O43="Cardumen", "True Semantic", IF($O43="DynaMoth", "True Semantic", IF($O43="FixMiner", "True Pattern", IF($O43="GenProg-A", "Evolutionary Search", IF($O43="Hercules", "Learning Pattern", IF($O43="Jaid", "True Semantic",
IF($O43="Kali-A", "True Search", IF($O43="kPAR", "True Pattern", IF($O43="Nopol", "True Semantic", IF($O43="RSRepair-A", "Evolutionary Search", IF($O43="SequenceR", "Deep Learning", IF($O43="SimFix", "Search Like Pattern", IF($O43="SketchFix", "True Pattern", IF($O43="SOFix", "True Pattern", IF($O43="ssFix", "Search Like Pattern", IF($O43="TBar", "True Pattern", ""))))))))))))))))))))</f>
        <v>Evolutionary Search</v>
      </c>
      <c r="Q43" s="13" t="str">
        <f>IF(NOT(ISERR(SEARCH("*_Buggy",$A43))), "Buggy", IF(NOT(ISERR(SEARCH("*_Fixed",$A43))), "Fixed", IF(NOT(ISERR(SEARCH("*_Repaired",$A43))), "Repaired", "")))</f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>LEFT($A44,FIND("_",$A44)-1)</f>
        <v>ARJA</v>
      </c>
      <c r="P44" s="13" t="str">
        <f>IF($O44="ACS", "True Search", IF($O44="Arja", "Evolutionary Search", IF($O44="AVATAR", "True Pattern", IF($O44="CapGen", "Search Like Pattern", IF($O44="Cardumen", "True Semantic", IF($O44="DynaMoth", "True Semantic", IF($O44="FixMiner", "True Pattern", IF($O44="GenProg-A", "Evolutionary Search", IF($O44="Hercules", "Learning Pattern", IF($O44="Jaid", "True Semantic",
IF($O44="Kali-A", "True Search", IF($O44="kPAR", "True Pattern", IF($O44="Nopol", "True Semantic", IF($O44="RSRepair-A", "Evolutionary Search", IF($O44="SequenceR", "Deep Learning", IF($O44="SimFix", "Search Like Pattern", IF($O44="SketchFix", "True Pattern", IF($O44="SOFix", "True Pattern", IF($O44="ssFix", "Search Like Pattern", IF($O44="TBar", "True Pattern", ""))))))))))))))))))))</f>
        <v>Evolutionary Search</v>
      </c>
      <c r="Q44" s="13" t="str">
        <f>IF(NOT(ISERR(SEARCH("*_Buggy",$A44))), "Buggy", IF(NOT(ISERR(SEARCH("*_Fixed",$A44))), "Fixed", IF(NOT(ISERR(SEARCH("*_Repaired",$A44))), "Repaired", "")))</f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>LEFT($A45,FIND("_",$A45)-1)</f>
        <v>ARJA</v>
      </c>
      <c r="P45" s="13" t="str">
        <f>IF($O45="ACS", "True Search", IF($O45="Arja", "Evolutionary Search", IF($O45="AVATAR", "True Pattern", IF($O45="CapGen", "Search Like Pattern", IF($O45="Cardumen", "True Semantic", IF($O45="DynaMoth", "True Semantic", IF($O45="FixMiner", "True Pattern", IF($O45="GenProg-A", "Evolutionary Search", IF($O45="Hercules", "Learning Pattern", IF($O45="Jaid", "True Semantic",
IF($O45="Kali-A", "True Search", IF($O45="kPAR", "True Pattern", IF($O45="Nopol", "True Semantic", IF($O45="RSRepair-A", "Evolutionary Search", IF($O45="SequenceR", "Deep Learning", IF($O45="SimFix", "Search Like Pattern", IF($O45="SketchFix", "True Pattern", IF($O45="SOFix", "True Pattern", IF($O45="ssFix", "Search Like Pattern", IF($O45="TBar", "True Pattern", ""))))))))))))))))))))</f>
        <v>Evolutionary Search</v>
      </c>
      <c r="Q45" s="13" t="str">
        <f>IF(NOT(ISERR(SEARCH("*_Buggy",$A45))), "Buggy", IF(NOT(ISERR(SEARCH("*_Fixed",$A45))), "Fixed", IF(NOT(ISERR(SEARCH("*_Repaired",$A45))), "Repaired", "")))</f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>LEFT($A46,FIND("_",$A46)-1)</f>
        <v>ARJA</v>
      </c>
      <c r="P46" s="13" t="str">
        <f>IF($O46="ACS", "True Search", IF($O46="Arja", "Evolutionary Search", IF($O46="AVATAR", "True Pattern", IF($O46="CapGen", "Search Like Pattern", IF($O46="Cardumen", "True Semantic", IF($O46="DynaMoth", "True Semantic", IF($O46="FixMiner", "True Pattern", IF($O46="GenProg-A", "Evolutionary Search", IF($O46="Hercules", "Learning Pattern", IF($O46="Jaid", "True Semantic",
IF($O46="Kali-A", "True Search", IF($O46="kPAR", "True Pattern", IF($O46="Nopol", "True Semantic", IF($O46="RSRepair-A", "Evolutionary Search", IF($O46="SequenceR", "Deep Learning", IF($O46="SimFix", "Search Like Pattern", IF($O46="SketchFix", "True Pattern", IF($O46="SOFix", "True Pattern", IF($O46="ssFix", "Search Like Pattern", IF($O46="TBar", "True Pattern", ""))))))))))))))))))))</f>
        <v>Evolutionary Search</v>
      </c>
      <c r="Q46" s="13" t="str">
        <f>IF(NOT(ISERR(SEARCH("*_Buggy",$A46))), "Buggy", IF(NOT(ISERR(SEARCH("*_Fixed",$A46))), "Fixed", IF(NOT(ISERR(SEARCH("*_Repaired",$A46))), "Repaired", "")))</f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>LEFT($A47,FIND("_",$A47)-1)</f>
        <v>ARJA</v>
      </c>
      <c r="P47" s="13" t="str">
        <f>IF($O47="ACS", "True Search", IF($O47="Arja", "Evolutionary Search", IF($O47="AVATAR", "True Pattern", IF($O47="CapGen", "Search Like Pattern", IF($O47="Cardumen", "True Semantic", IF($O47="DynaMoth", "True Semantic", IF($O47="FixMiner", "True Pattern", IF($O47="GenProg-A", "Evolutionary Search", IF($O47="Hercules", "Learning Pattern", IF($O47="Jaid", "True Semantic",
IF($O47="Kali-A", "True Search", IF($O47="kPAR", "True Pattern", IF($O47="Nopol", "True Semantic", IF($O47="RSRepair-A", "Evolutionary Search", IF($O47="SequenceR", "Deep Learning", IF($O47="SimFix", "Search Like Pattern", IF($O47="SketchFix", "True Pattern", IF($O47="SOFix", "True Pattern", IF($O47="ssFix", "Search Like Pattern", IF($O47="TBar", "True Pattern", ""))))))))))))))))))))</f>
        <v>Evolutionary Search</v>
      </c>
      <c r="Q47" s="13" t="str">
        <f>IF(NOT(ISERR(SEARCH("*_Buggy",$A47))), "Buggy", IF(NOT(ISERR(SEARCH("*_Fixed",$A47))), "Fixed", IF(NOT(ISERR(SEARCH("*_Repaired",$A47))), "Repaired", "")))</f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>LEFT($A48,FIND("_",$A48)-1)</f>
        <v>ARJA</v>
      </c>
      <c r="P48" s="13" t="str">
        <f>IF($O48="ACS", "True Search", IF($O48="Arja", "Evolutionary Search", IF($O48="AVATAR", "True Pattern", IF($O48="CapGen", "Search Like Pattern", IF($O48="Cardumen", "True Semantic", IF($O48="DynaMoth", "True Semantic", IF($O48="FixMiner", "True Pattern", IF($O48="GenProg-A", "Evolutionary Search", IF($O48="Hercules", "Learning Pattern", IF($O48="Jaid", "True Semantic",
IF($O48="Kali-A", "True Search", IF($O48="kPAR", "True Pattern", IF($O48="Nopol", "True Semantic", IF($O48="RSRepair-A", "Evolutionary Search", IF($O48="SequenceR", "Deep Learning", IF($O48="SimFix", "Search Like Pattern", IF($O48="SketchFix", "True Pattern", IF($O48="SOFix", "True Pattern", IF($O48="ssFix", "Search Like Pattern", IF($O48="TBar", "True Pattern", ""))))))))))))))))))))</f>
        <v>Evolutionary Search</v>
      </c>
      <c r="Q48" s="13" t="str">
        <f>IF(NOT(ISERR(SEARCH("*_Buggy",$A48))), "Buggy", IF(NOT(ISERR(SEARCH("*_Fixed",$A48))), "Fixed", IF(NOT(ISERR(SEARCH("*_Repaired",$A48))), "Repaired", "")))</f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>LEFT($A49,FIND("_",$A49)-1)</f>
        <v>ARJA</v>
      </c>
      <c r="P49" s="13" t="str">
        <f>IF($O49="ACS", "True Search", IF($O49="Arja", "Evolutionary Search", IF($O49="AVATAR", "True Pattern", IF($O49="CapGen", "Search Like Pattern", IF($O49="Cardumen", "True Semantic", IF($O49="DynaMoth", "True Semantic", IF($O49="FixMiner", "True Pattern", IF($O49="GenProg-A", "Evolutionary Search", IF($O49="Hercules", "Learning Pattern", IF($O49="Jaid", "True Semantic",
IF($O49="Kali-A", "True Search", IF($O49="kPAR", "True Pattern", IF($O49="Nopol", "True Semantic", IF($O49="RSRepair-A", "Evolutionary Search", IF($O49="SequenceR", "Deep Learning", IF($O49="SimFix", "Search Like Pattern", IF($O49="SketchFix", "True Pattern", IF($O49="SOFix", "True Pattern", IF($O49="ssFix", "Search Like Pattern", IF($O49="TBar", "True Pattern", ""))))))))))))))))))))</f>
        <v>Evolutionary Search</v>
      </c>
      <c r="Q49" s="13" t="str">
        <f>IF(NOT(ISERR(SEARCH("*_Buggy",$A49))), "Buggy", IF(NOT(ISERR(SEARCH("*_Fixed",$A49))), "Fixed", IF(NOT(ISERR(SEARCH("*_Repaired",$A49))), "Repaired", "")))</f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>LEFT($A50,FIND("_",$A50)-1)</f>
        <v>ARJA</v>
      </c>
      <c r="P50" s="13" t="str">
        <f>IF($O50="ACS", "True Search", IF($O50="Arja", "Evolutionary Search", IF($O50="AVATAR", "True Pattern", IF($O50="CapGen", "Search Like Pattern", IF($O50="Cardumen", "True Semantic", IF($O50="DynaMoth", "True Semantic", IF($O50="FixMiner", "True Pattern", IF($O50="GenProg-A", "Evolutionary Search", IF($O50="Hercules", "Learning Pattern", IF($O50="Jaid", "True Semantic",
IF($O50="Kali-A", "True Search", IF($O50="kPAR", "True Pattern", IF($O50="Nopol", "True Semantic", IF($O50="RSRepair-A", "Evolutionary Search", IF($O50="SequenceR", "Deep Learning", IF($O50="SimFix", "Search Like Pattern", IF($O50="SketchFix", "True Pattern", IF($O50="SOFix", "True Pattern", IF($O50="ssFix", "Search Like Pattern", IF($O50="TBar", "True Pattern", ""))))))))))))))))))))</f>
        <v>Evolutionary Search</v>
      </c>
      <c r="Q50" s="13" t="str">
        <f>IF(NOT(ISERR(SEARCH("*_Buggy",$A50))), "Buggy", IF(NOT(ISERR(SEARCH("*_Fixed",$A50))), "Fixed", IF(NOT(ISERR(SEARCH("*_Repaired",$A50))), "Repaired", "")))</f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>LEFT($A51,FIND("_",$A51)-1)</f>
        <v>ARJA</v>
      </c>
      <c r="P51" s="13" t="str">
        <f>IF($O51="ACS", "True Search", IF($O51="Arja", "Evolutionary Search", IF($O51="AVATAR", "True Pattern", IF($O51="CapGen", "Search Like Pattern", IF($O51="Cardumen", "True Semantic", IF($O51="DynaMoth", "True Semantic", IF($O51="FixMiner", "True Pattern", IF($O51="GenProg-A", "Evolutionary Search", IF($O51="Hercules", "Learning Pattern", IF($O51="Jaid", "True Semantic",
IF($O51="Kali-A", "True Search", IF($O51="kPAR", "True Pattern", IF($O51="Nopol", "True Semantic", IF($O51="RSRepair-A", "Evolutionary Search", IF($O51="SequenceR", "Deep Learning", IF($O51="SimFix", "Search Like Pattern", IF($O51="SketchFix", "True Pattern", IF($O51="SOFix", "True Pattern", IF($O51="ssFix", "Search Like Pattern", IF($O51="TBar", "True Pattern", ""))))))))))))))))))))</f>
        <v>Evolutionary Search</v>
      </c>
      <c r="Q51" s="13" t="str">
        <f>IF(NOT(ISERR(SEARCH("*_Buggy",$A51))), "Buggy", IF(NOT(ISERR(SEARCH("*_Fixed",$A51))), "Fixed", IF(NOT(ISERR(SEARCH("*_Repaired",$A51))), "Repaired", "")))</f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>LEFT($A52,FIND("_",$A52)-1)</f>
        <v>ARJA</v>
      </c>
      <c r="P52" s="13" t="str">
        <f>IF($O52="ACS", "True Search", IF($O52="Arja", "Evolutionary Search", IF($O52="AVATAR", "True Pattern", IF($O52="CapGen", "Search Like Pattern", IF($O52="Cardumen", "True Semantic", IF($O52="DynaMoth", "True Semantic", IF($O52="FixMiner", "True Pattern", IF($O52="GenProg-A", "Evolutionary Search", IF($O52="Hercules", "Learning Pattern", IF($O52="Jaid", "True Semantic",
IF($O52="Kali-A", "True Search", IF($O52="kPAR", "True Pattern", IF($O52="Nopol", "True Semantic", IF($O52="RSRepair-A", "Evolutionary Search", IF($O52="SequenceR", "Deep Learning", IF($O52="SimFix", "Search Like Pattern", IF($O52="SketchFix", "True Pattern", IF($O52="SOFix", "True Pattern", IF($O52="ssFix", "Search Like Pattern", IF($O52="TBar", "True Pattern", ""))))))))))))))))))))</f>
        <v>Evolutionary Search</v>
      </c>
      <c r="Q52" s="13" t="str">
        <f>IF(NOT(ISERR(SEARCH("*_Buggy",$A52))), "Buggy", IF(NOT(ISERR(SEARCH("*_Fixed",$A52))), "Fixed", IF(NOT(ISERR(SEARCH("*_Repaired",$A52))), "Repaired", "")))</f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>LEFT($A53,FIND("_",$A53)-1)</f>
        <v>ARJA</v>
      </c>
      <c r="P53" s="13" t="str">
        <f>IF($O53="ACS", "True Search", IF($O53="Arja", "Evolutionary Search", IF($O53="AVATAR", "True Pattern", IF($O53="CapGen", "Search Like Pattern", IF($O53="Cardumen", "True Semantic", IF($O53="DynaMoth", "True Semantic", IF($O53="FixMiner", "True Pattern", IF($O53="GenProg-A", "Evolutionary Search", IF($O53="Hercules", "Learning Pattern", IF($O53="Jaid", "True Semantic",
IF($O53="Kali-A", "True Search", IF($O53="kPAR", "True Pattern", IF($O53="Nopol", "True Semantic", IF($O53="RSRepair-A", "Evolutionary Search", IF($O53="SequenceR", "Deep Learning", IF($O53="SimFix", "Search Like Pattern", IF($O53="SketchFix", "True Pattern", IF($O53="SOFix", "True Pattern", IF($O53="ssFix", "Search Like Pattern", IF($O53="TBar", "True Pattern", ""))))))))))))))))))))</f>
        <v>Evolutionary Search</v>
      </c>
      <c r="Q53" s="13" t="str">
        <f>IF(NOT(ISERR(SEARCH("*_Buggy",$A53))), "Buggy", IF(NOT(ISERR(SEARCH("*_Fixed",$A53))), "Fixed", IF(NOT(ISERR(SEARCH("*_Repaired",$A53))), "Repaired", "")))</f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>LEFT($A54,FIND("_",$A54)-1)</f>
        <v>ARJA</v>
      </c>
      <c r="P54" s="13" t="str">
        <f>IF($O54="ACS", "True Search", IF($O54="Arja", "Evolutionary Search", IF($O54="AVATAR", "True Pattern", IF($O54="CapGen", "Search Like Pattern", IF($O54="Cardumen", "True Semantic", IF($O54="DynaMoth", "True Semantic", IF($O54="FixMiner", "True Pattern", IF($O54="GenProg-A", "Evolutionary Search", IF($O54="Hercules", "Learning Pattern", IF($O54="Jaid", "True Semantic",
IF($O54="Kali-A", "True Search", IF($O54="kPAR", "True Pattern", IF($O54="Nopol", "True Semantic", IF($O54="RSRepair-A", "Evolutionary Search", IF($O54="SequenceR", "Deep Learning", IF($O54="SimFix", "Search Like Pattern", IF($O54="SketchFix", "True Pattern", IF($O54="SOFix", "True Pattern", IF($O54="ssFix", "Search Like Pattern", IF($O54="TBar", "True Pattern", ""))))))))))))))))))))</f>
        <v>Evolutionary Search</v>
      </c>
      <c r="Q54" s="13" t="str">
        <f>IF(NOT(ISERR(SEARCH("*_Buggy",$A54))), "Buggy", IF(NOT(ISERR(SEARCH("*_Fixed",$A54))), "Fixed", IF(NOT(ISERR(SEARCH("*_Repaired",$A54))), "Repaired", "")))</f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>LEFT($A55,FIND("_",$A55)-1)</f>
        <v>ARJA</v>
      </c>
      <c r="P55" s="13" t="str">
        <f>IF($O55="ACS", "True Search", IF($O55="Arja", "Evolutionary Search", IF($O55="AVATAR", "True Pattern", IF($O55="CapGen", "Search Like Pattern", IF($O55="Cardumen", "True Semantic", IF($O55="DynaMoth", "True Semantic", IF($O55="FixMiner", "True Pattern", IF($O55="GenProg-A", "Evolutionary Search", IF($O55="Hercules", "Learning Pattern", IF($O55="Jaid", "True Semantic",
IF($O55="Kali-A", "True Search", IF($O55="kPAR", "True Pattern", IF($O55="Nopol", "True Semantic", IF($O55="RSRepair-A", "Evolutionary Search", IF($O55="SequenceR", "Deep Learning", IF($O55="SimFix", "Search Like Pattern", IF($O55="SketchFix", "True Pattern", IF($O55="SOFix", "True Pattern", IF($O55="ssFix", "Search Like Pattern", IF($O55="TBar", "True Pattern", ""))))))))))))))))))))</f>
        <v>Evolutionary Search</v>
      </c>
      <c r="Q55" s="13" t="str">
        <f>IF(NOT(ISERR(SEARCH("*_Buggy",$A55))), "Buggy", IF(NOT(ISERR(SEARCH("*_Fixed",$A55))), "Fixed", IF(NOT(ISERR(SEARCH("*_Repaired",$A55))), "Repaired", "")))</f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>LEFT($A56,FIND("_",$A56)-1)</f>
        <v>ARJA</v>
      </c>
      <c r="P56" s="13" t="str">
        <f>IF($O56="ACS", "True Search", IF($O56="Arja", "Evolutionary Search", IF($O56="AVATAR", "True Pattern", IF($O56="CapGen", "Search Like Pattern", IF($O56="Cardumen", "True Semantic", IF($O56="DynaMoth", "True Semantic", IF($O56="FixMiner", "True Pattern", IF($O56="GenProg-A", "Evolutionary Search", IF($O56="Hercules", "Learning Pattern", IF($O56="Jaid", "True Semantic",
IF($O56="Kali-A", "True Search", IF($O56="kPAR", "True Pattern", IF($O56="Nopol", "True Semantic", IF($O56="RSRepair-A", "Evolutionary Search", IF($O56="SequenceR", "Deep Learning", IF($O56="SimFix", "Search Like Pattern", IF($O56="SketchFix", "True Pattern", IF($O56="SOFix", "True Pattern", IF($O56="ssFix", "Search Like Pattern", IF($O56="TBar", "True Pattern", ""))))))))))))))))))))</f>
        <v>Evolutionary Search</v>
      </c>
      <c r="Q56" s="13" t="str">
        <f>IF(NOT(ISERR(SEARCH("*_Buggy",$A56))), "Buggy", IF(NOT(ISERR(SEARCH("*_Fixed",$A56))), "Fixed", IF(NOT(ISERR(SEARCH("*_Repaired",$A56))), "Repaired", "")))</f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>LEFT($A57,FIND("_",$A57)-1)</f>
        <v>ARJA</v>
      </c>
      <c r="P57" s="13" t="str">
        <f>IF($O57="ACS", "True Search", IF($O57="Arja", "Evolutionary Search", IF($O57="AVATAR", "True Pattern", IF($O57="CapGen", "Search Like Pattern", IF($O57="Cardumen", "True Semantic", IF($O57="DynaMoth", "True Semantic", IF($O57="FixMiner", "True Pattern", IF($O57="GenProg-A", "Evolutionary Search", IF($O57="Hercules", "Learning Pattern", IF($O57="Jaid", "True Semantic",
IF($O57="Kali-A", "True Search", IF($O57="kPAR", "True Pattern", IF($O57="Nopol", "True Semantic", IF($O57="RSRepair-A", "Evolutionary Search", IF($O57="SequenceR", "Deep Learning", IF($O57="SimFix", "Search Like Pattern", IF($O57="SketchFix", "True Pattern", IF($O57="SOFix", "True Pattern", IF($O57="ssFix", "Search Like Pattern", IF($O57="TBar", "True Pattern", ""))))))))))))))))))))</f>
        <v>Evolutionary Search</v>
      </c>
      <c r="Q57" s="13" t="str">
        <f>IF(NOT(ISERR(SEARCH("*_Buggy",$A57))), "Buggy", IF(NOT(ISERR(SEARCH("*_Fixed",$A57))), "Fixed", IF(NOT(ISERR(SEARCH("*_Repaired",$A57))), "Repaired", "")))</f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>LEFT($A58,FIND("_",$A58)-1)</f>
        <v>ARJA</v>
      </c>
      <c r="P58" s="13" t="str">
        <f>IF($O58="ACS", "True Search", IF($O58="Arja", "Evolutionary Search", IF($O58="AVATAR", "True Pattern", IF($O58="CapGen", "Search Like Pattern", IF($O58="Cardumen", "True Semantic", IF($O58="DynaMoth", "True Semantic", IF($O58="FixMiner", "True Pattern", IF($O58="GenProg-A", "Evolutionary Search", IF($O58="Hercules", "Learning Pattern", IF($O58="Jaid", "True Semantic",
IF($O58="Kali-A", "True Search", IF($O58="kPAR", "True Pattern", IF($O58="Nopol", "True Semantic", IF($O58="RSRepair-A", "Evolutionary Search", IF($O58="SequenceR", "Deep Learning", IF($O58="SimFix", "Search Like Pattern", IF($O58="SketchFix", "True Pattern", IF($O58="SOFix", "True Pattern", IF($O58="ssFix", "Search Like Pattern", IF($O58="TBar", "True Pattern", ""))))))))))))))))))))</f>
        <v>Evolutionary Search</v>
      </c>
      <c r="Q58" s="13" t="str">
        <f>IF(NOT(ISERR(SEARCH("*_Buggy",$A58))), "Buggy", IF(NOT(ISERR(SEARCH("*_Fixed",$A58))), "Fixed", IF(NOT(ISERR(SEARCH("*_Repaired",$A58))), "Repaired", "")))</f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>LEFT($A59,FIND("_",$A59)-1)</f>
        <v>ARJA</v>
      </c>
      <c r="P59" s="13" t="str">
        <f>IF($O59="ACS", "True Search", IF($O59="Arja", "Evolutionary Search", IF($O59="AVATAR", "True Pattern", IF($O59="CapGen", "Search Like Pattern", IF($O59="Cardumen", "True Semantic", IF($O59="DynaMoth", "True Semantic", IF($O59="FixMiner", "True Pattern", IF($O59="GenProg-A", "Evolutionary Search", IF($O59="Hercules", "Learning Pattern", IF($O59="Jaid", "True Semantic",
IF($O59="Kali-A", "True Search", IF($O59="kPAR", "True Pattern", IF($O59="Nopol", "True Semantic", IF($O59="RSRepair-A", "Evolutionary Search", IF($O59="SequenceR", "Deep Learning", IF($O59="SimFix", "Search Like Pattern", IF($O59="SketchFix", "True Pattern", IF($O59="SOFix", "True Pattern", IF($O59="ssFix", "Search Like Pattern", IF($O59="TBar", "True Pattern", ""))))))))))))))))))))</f>
        <v>Evolutionary Search</v>
      </c>
      <c r="Q59" s="13" t="str">
        <f>IF(NOT(ISERR(SEARCH("*_Buggy",$A59))), "Buggy", IF(NOT(ISERR(SEARCH("*_Fixed",$A59))), "Fixed", IF(NOT(ISERR(SEARCH("*_Repaired",$A59))), "Repaired", "")))</f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>LEFT($A60,FIND("_",$A60)-1)</f>
        <v>ARJA</v>
      </c>
      <c r="P60" s="13" t="str">
        <f>IF($O60="ACS", "True Search", IF($O60="Arja", "Evolutionary Search", IF($O60="AVATAR", "True Pattern", IF($O60="CapGen", "Search Like Pattern", IF($O60="Cardumen", "True Semantic", IF($O60="DynaMoth", "True Semantic", IF($O60="FixMiner", "True Pattern", IF($O60="GenProg-A", "Evolutionary Search", IF($O60="Hercules", "Learning Pattern", IF($O60="Jaid", "True Semantic",
IF($O60="Kali-A", "True Search", IF($O60="kPAR", "True Pattern", IF($O60="Nopol", "True Semantic", IF($O60="RSRepair-A", "Evolutionary Search", IF($O60="SequenceR", "Deep Learning", IF($O60="SimFix", "Search Like Pattern", IF($O60="SketchFix", "True Pattern", IF($O60="SOFix", "True Pattern", IF($O60="ssFix", "Search Like Pattern", IF($O60="TBar", "True Pattern", ""))))))))))))))))))))</f>
        <v>Evolutionary Search</v>
      </c>
      <c r="Q60" s="13" t="str">
        <f>IF(NOT(ISERR(SEARCH("*_Buggy",$A60))), "Buggy", IF(NOT(ISERR(SEARCH("*_Fixed",$A60))), "Fixed", IF(NOT(ISERR(SEARCH("*_Repaired",$A60))), "Repaired", "")))</f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>LEFT($A61,FIND("_",$A61)-1)</f>
        <v>ARJA</v>
      </c>
      <c r="P61" s="13" t="str">
        <f>IF($O61="ACS", "True Search", IF($O61="Arja", "Evolutionary Search", IF($O61="AVATAR", "True Pattern", IF($O61="CapGen", "Search Like Pattern", IF($O61="Cardumen", "True Semantic", IF($O61="DynaMoth", "True Semantic", IF($O61="FixMiner", "True Pattern", IF($O61="GenProg-A", "Evolutionary Search", IF($O61="Hercules", "Learning Pattern", IF($O61="Jaid", "True Semantic",
IF($O61="Kali-A", "True Search", IF($O61="kPAR", "True Pattern", IF($O61="Nopol", "True Semantic", IF($O61="RSRepair-A", "Evolutionary Search", IF($O61="SequenceR", "Deep Learning", IF($O61="SimFix", "Search Like Pattern", IF($O61="SketchFix", "True Pattern", IF($O61="SOFix", "True Pattern", IF($O61="ssFix", "Search Like Pattern", IF($O61="TBar", "True Pattern", ""))))))))))))))))))))</f>
        <v>Evolutionary Search</v>
      </c>
      <c r="Q61" s="13" t="str">
        <f>IF(NOT(ISERR(SEARCH("*_Buggy",$A61))), "Buggy", IF(NOT(ISERR(SEARCH("*_Fixed",$A61))), "Fixed", IF(NOT(ISERR(SEARCH("*_Repaired",$A61))), "Repaired", "")))</f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>LEFT($A62,FIND("_",$A62)-1)</f>
        <v>ARJA</v>
      </c>
      <c r="P62" s="13" t="str">
        <f>IF($O62="ACS", "True Search", IF($O62="Arja", "Evolutionary Search", IF($O62="AVATAR", "True Pattern", IF($O62="CapGen", "Search Like Pattern", IF($O62="Cardumen", "True Semantic", IF($O62="DynaMoth", "True Semantic", IF($O62="FixMiner", "True Pattern", IF($O62="GenProg-A", "Evolutionary Search", IF($O62="Hercules", "Learning Pattern", IF($O62="Jaid", "True Semantic",
IF($O62="Kali-A", "True Search", IF($O62="kPAR", "True Pattern", IF($O62="Nopol", "True Semantic", IF($O62="RSRepair-A", "Evolutionary Search", IF($O62="SequenceR", "Deep Learning", IF($O62="SimFix", "Search Like Pattern", IF($O62="SketchFix", "True Pattern", IF($O62="SOFix", "True Pattern", IF($O62="ssFix", "Search Like Pattern", IF($O62="TBar", "True Pattern", ""))))))))))))))))))))</f>
        <v>Evolutionary Search</v>
      </c>
      <c r="Q62" s="13" t="str">
        <f>IF(NOT(ISERR(SEARCH("*_Buggy",$A62))), "Buggy", IF(NOT(ISERR(SEARCH("*_Fixed",$A62))), "Fixed", IF(NOT(ISERR(SEARCH("*_Repaired",$A62))), "Repaired", "")))</f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>LEFT($A63,FIND("_",$A63)-1)</f>
        <v>ARJA</v>
      </c>
      <c r="P63" s="13" t="str">
        <f>IF($O63="ACS", "True Search", IF($O63="Arja", "Evolutionary Search", IF($O63="AVATAR", "True Pattern", IF($O63="CapGen", "Search Like Pattern", IF($O63="Cardumen", "True Semantic", IF($O63="DynaMoth", "True Semantic", IF($O63="FixMiner", "True Pattern", IF($O63="GenProg-A", "Evolutionary Search", IF($O63="Hercules", "Learning Pattern", IF($O63="Jaid", "True Semantic",
IF($O63="Kali-A", "True Search", IF($O63="kPAR", "True Pattern", IF($O63="Nopol", "True Semantic", IF($O63="RSRepair-A", "Evolutionary Search", IF($O63="SequenceR", "Deep Learning", IF($O63="SimFix", "Search Like Pattern", IF($O63="SketchFix", "True Pattern", IF($O63="SOFix", "True Pattern", IF($O63="ssFix", "Search Like Pattern", IF($O63="TBar", "True Pattern", ""))))))))))))))))))))</f>
        <v>Evolutionary Search</v>
      </c>
      <c r="Q63" s="13" t="str">
        <f>IF(NOT(ISERR(SEARCH("*_Buggy",$A63))), "Buggy", IF(NOT(ISERR(SEARCH("*_Fixed",$A63))), "Fixed", IF(NOT(ISERR(SEARCH("*_Repaired",$A63))), "Repaired", "")))</f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>LEFT($A64,FIND("_",$A64)-1)</f>
        <v>ARJA</v>
      </c>
      <c r="P64" s="13" t="str">
        <f>IF($O64="ACS", "True Search", IF($O64="Arja", "Evolutionary Search", IF($O64="AVATAR", "True Pattern", IF($O64="CapGen", "Search Like Pattern", IF($O64="Cardumen", "True Semantic", IF($O64="DynaMoth", "True Semantic", IF($O64="FixMiner", "True Pattern", IF($O64="GenProg-A", "Evolutionary Search", IF($O64="Hercules", "Learning Pattern", IF($O64="Jaid", "True Semantic",
IF($O64="Kali-A", "True Search", IF($O64="kPAR", "True Pattern", IF($O64="Nopol", "True Semantic", IF($O64="RSRepair-A", "Evolutionary Search", IF($O64="SequenceR", "Deep Learning", IF($O64="SimFix", "Search Like Pattern", IF($O64="SketchFix", "True Pattern", IF($O64="SOFix", "True Pattern", IF($O64="ssFix", "Search Like Pattern", IF($O64="TBar", "True Pattern", ""))))))))))))))))))))</f>
        <v>Evolutionary Search</v>
      </c>
      <c r="Q64" s="13" t="str">
        <f>IF(NOT(ISERR(SEARCH("*_Buggy",$A64))), "Buggy", IF(NOT(ISERR(SEARCH("*_Fixed",$A64))), "Fixed", IF(NOT(ISERR(SEARCH("*_Repaired",$A64))), "Repaired", "")))</f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>LEFT($A65,FIND("_",$A65)-1)</f>
        <v>ARJA</v>
      </c>
      <c r="P65" s="13" t="str">
        <f>IF($O65="ACS", "True Search", IF($O65="Arja", "Evolutionary Search", IF($O65="AVATAR", "True Pattern", IF($O65="CapGen", "Search Like Pattern", IF($O65="Cardumen", "True Semantic", IF($O65="DynaMoth", "True Semantic", IF($O65="FixMiner", "True Pattern", IF($O65="GenProg-A", "Evolutionary Search", IF($O65="Hercules", "Learning Pattern", IF($O65="Jaid", "True Semantic",
IF($O65="Kali-A", "True Search", IF($O65="kPAR", "True Pattern", IF($O65="Nopol", "True Semantic", IF($O65="RSRepair-A", "Evolutionary Search", IF($O65="SequenceR", "Deep Learning", IF($O65="SimFix", "Search Like Pattern", IF($O65="SketchFix", "True Pattern", IF($O65="SOFix", "True Pattern", IF($O65="ssFix", "Search Like Pattern", IF($O65="TBar", "True Pattern", ""))))))))))))))))))))</f>
        <v>Evolutionary Search</v>
      </c>
      <c r="Q65" s="13" t="str">
        <f>IF(NOT(ISERR(SEARCH("*_Buggy",$A65))), "Buggy", IF(NOT(ISERR(SEARCH("*_Fixed",$A65))), "Fixed", IF(NOT(ISERR(SEARCH("*_Repaired",$A65))), "Repaired", "")))</f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>LEFT($A66,FIND("_",$A66)-1)</f>
        <v>ARJA</v>
      </c>
      <c r="P66" s="13" t="str">
        <f>IF($O66="ACS", "True Search", IF($O66="Arja", "Evolutionary Search", IF($O66="AVATAR", "True Pattern", IF($O66="CapGen", "Search Like Pattern", IF($O66="Cardumen", "True Semantic", IF($O66="DynaMoth", "True Semantic", IF($O66="FixMiner", "True Pattern", IF($O66="GenProg-A", "Evolutionary Search", IF($O66="Hercules", "Learning Pattern", IF($O66="Jaid", "True Semantic",
IF($O66="Kali-A", "True Search", IF($O66="kPAR", "True Pattern", IF($O66="Nopol", "True Semantic", IF($O66="RSRepair-A", "Evolutionary Search", IF($O66="SequenceR", "Deep Learning", IF($O66="SimFix", "Search Like Pattern", IF($O66="SketchFix", "True Pattern", IF($O66="SOFix", "True Pattern", IF($O66="ssFix", "Search Like Pattern", IF($O66="TBar", "True Pattern", ""))))))))))))))))))))</f>
        <v>Evolutionary Search</v>
      </c>
      <c r="Q66" s="13" t="str">
        <f>IF(NOT(ISERR(SEARCH("*_Buggy",$A66))), "Buggy", IF(NOT(ISERR(SEARCH("*_Fixed",$A66))), "Fixed", IF(NOT(ISERR(SEARCH("*_Repaired",$A66))), "Repaired", "")))</f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>LEFT($A67,FIND("_",$A67)-1)</f>
        <v>ARJA</v>
      </c>
      <c r="P67" s="13" t="str">
        <f>IF($O67="ACS", "True Search", IF($O67="Arja", "Evolutionary Search", IF($O67="AVATAR", "True Pattern", IF($O67="CapGen", "Search Like Pattern", IF($O67="Cardumen", "True Semantic", IF($O67="DynaMoth", "True Semantic", IF($O67="FixMiner", "True Pattern", IF($O67="GenProg-A", "Evolutionary Search", IF($O67="Hercules", "Learning Pattern", IF($O67="Jaid", "True Semantic",
IF($O67="Kali-A", "True Search", IF($O67="kPAR", "True Pattern", IF($O67="Nopol", "True Semantic", IF($O67="RSRepair-A", "Evolutionary Search", IF($O67="SequenceR", "Deep Learning", IF($O67="SimFix", "Search Like Pattern", IF($O67="SketchFix", "True Pattern", IF($O67="SOFix", "True Pattern", IF($O67="ssFix", "Search Like Pattern", IF($O67="TBar", "True Pattern", ""))))))))))))))))))))</f>
        <v>Evolutionary Search</v>
      </c>
      <c r="Q67" s="13" t="str">
        <f>IF(NOT(ISERR(SEARCH("*_Buggy",$A67))), "Buggy", IF(NOT(ISERR(SEARCH("*_Fixed",$A67))), "Fixed", IF(NOT(ISERR(SEARCH("*_Repaired",$A67))), "Repaired", "")))</f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>LEFT($A68,FIND("_",$A68)-1)</f>
        <v>ARJA</v>
      </c>
      <c r="P68" s="13" t="str">
        <f>IF($O68="ACS", "True Search", IF($O68="Arja", "Evolutionary Search", IF($O68="AVATAR", "True Pattern", IF($O68="CapGen", "Search Like Pattern", IF($O68="Cardumen", "True Semantic", IF($O68="DynaMoth", "True Semantic", IF($O68="FixMiner", "True Pattern", IF($O68="GenProg-A", "Evolutionary Search", IF($O68="Hercules", "Learning Pattern", IF($O68="Jaid", "True Semantic",
IF($O68="Kali-A", "True Search", IF($O68="kPAR", "True Pattern", IF($O68="Nopol", "True Semantic", IF($O68="RSRepair-A", "Evolutionary Search", IF($O68="SequenceR", "Deep Learning", IF($O68="SimFix", "Search Like Pattern", IF($O68="SketchFix", "True Pattern", IF($O68="SOFix", "True Pattern", IF($O68="ssFix", "Search Like Pattern", IF($O68="TBar", "True Pattern", ""))))))))))))))))))))</f>
        <v>Evolutionary Search</v>
      </c>
      <c r="Q68" s="13" t="str">
        <f>IF(NOT(ISERR(SEARCH("*_Buggy",$A68))), "Buggy", IF(NOT(ISERR(SEARCH("*_Fixed",$A68))), "Fixed", IF(NOT(ISERR(SEARCH("*_Repaired",$A68))), "Repaired", "")))</f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>LEFT($A69,FIND("_",$A69)-1)</f>
        <v>ARJA</v>
      </c>
      <c r="P69" s="13" t="str">
        <f>IF($O69="ACS", "True Search", IF($O69="Arja", "Evolutionary Search", IF($O69="AVATAR", "True Pattern", IF($O69="CapGen", "Search Like Pattern", IF($O69="Cardumen", "True Semantic", IF($O69="DynaMoth", "True Semantic", IF($O69="FixMiner", "True Pattern", IF($O69="GenProg-A", "Evolutionary Search", IF($O69="Hercules", "Learning Pattern", IF($O69="Jaid", "True Semantic",
IF($O69="Kali-A", "True Search", IF($O69="kPAR", "True Pattern", IF($O69="Nopol", "True Semantic", IF($O69="RSRepair-A", "Evolutionary Search", IF($O69="SequenceR", "Deep Learning", IF($O69="SimFix", "Search Like Pattern", IF($O69="SketchFix", "True Pattern", IF($O69="SOFix", "True Pattern", IF($O69="ssFix", "Search Like Pattern", IF($O69="TBar", "True Pattern", ""))))))))))))))))))))</f>
        <v>Evolutionary Search</v>
      </c>
      <c r="Q69" s="13" t="str">
        <f>IF(NOT(ISERR(SEARCH("*_Buggy",$A69))), "Buggy", IF(NOT(ISERR(SEARCH("*_Fixed",$A69))), "Fixed", IF(NOT(ISERR(SEARCH("*_Repaired",$A69))), "Repaired", "")))</f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>LEFT($A70,FIND("_",$A70)-1)</f>
        <v>ARJA</v>
      </c>
      <c r="P70" s="13" t="str">
        <f>IF($O70="ACS", "True Search", IF($O70="Arja", "Evolutionary Search", IF($O70="AVATAR", "True Pattern", IF($O70="CapGen", "Search Like Pattern", IF($O70="Cardumen", "True Semantic", IF($O70="DynaMoth", "True Semantic", IF($O70="FixMiner", "True Pattern", IF($O70="GenProg-A", "Evolutionary Search", IF($O70="Hercules", "Learning Pattern", IF($O70="Jaid", "True Semantic",
IF($O70="Kali-A", "True Search", IF($O70="kPAR", "True Pattern", IF($O70="Nopol", "True Semantic", IF($O70="RSRepair-A", "Evolutionary Search", IF($O70="SequenceR", "Deep Learning", IF($O70="SimFix", "Search Like Pattern", IF($O70="SketchFix", "True Pattern", IF($O70="SOFix", "True Pattern", IF($O70="ssFix", "Search Like Pattern", IF($O70="TBar", "True Pattern", ""))))))))))))))))))))</f>
        <v>Evolutionary Search</v>
      </c>
      <c r="Q70" s="13" t="str">
        <f>IF(NOT(ISERR(SEARCH("*_Buggy",$A70))), "Buggy", IF(NOT(ISERR(SEARCH("*_Fixed",$A70))), "Fixed", IF(NOT(ISERR(SEARCH("*_Repaired",$A70))), "Repaired", "")))</f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>LEFT($A71,FIND("_",$A71)-1)</f>
        <v>ARJA</v>
      </c>
      <c r="P71" s="13" t="str">
        <f>IF($O71="ACS", "True Search", IF($O71="Arja", "Evolutionary Search", IF($O71="AVATAR", "True Pattern", IF($O71="CapGen", "Search Like Pattern", IF($O71="Cardumen", "True Semantic", IF($O71="DynaMoth", "True Semantic", IF($O71="FixMiner", "True Pattern", IF($O71="GenProg-A", "Evolutionary Search", IF($O71="Hercules", "Learning Pattern", IF($O71="Jaid", "True Semantic",
IF($O71="Kali-A", "True Search", IF($O71="kPAR", "True Pattern", IF($O71="Nopol", "True Semantic", IF($O71="RSRepair-A", "Evolutionary Search", IF($O71="SequenceR", "Deep Learning", IF($O71="SimFix", "Search Like Pattern", IF($O71="SketchFix", "True Pattern", IF($O71="SOFix", "True Pattern", IF($O71="ssFix", "Search Like Pattern", IF($O71="TBar", "True Pattern", ""))))))))))))))))))))</f>
        <v>Evolutionary Search</v>
      </c>
      <c r="Q71" s="13" t="str">
        <f>IF(NOT(ISERR(SEARCH("*_Buggy",$A71))), "Buggy", IF(NOT(ISERR(SEARCH("*_Fixed",$A71))), "Fixed", IF(NOT(ISERR(SEARCH("*_Repaired",$A71))), "Repaired", "")))</f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>LEFT($A72,FIND("_",$A72)-1)</f>
        <v>ARJA</v>
      </c>
      <c r="P72" s="13" t="str">
        <f>IF($O72="ACS", "True Search", IF($O72="Arja", "Evolutionary Search", IF($O72="AVATAR", "True Pattern", IF($O72="CapGen", "Search Like Pattern", IF($O72="Cardumen", "True Semantic", IF($O72="DynaMoth", "True Semantic", IF($O72="FixMiner", "True Pattern", IF($O72="GenProg-A", "Evolutionary Search", IF($O72="Hercules", "Learning Pattern", IF($O72="Jaid", "True Semantic",
IF($O72="Kali-A", "True Search", IF($O72="kPAR", "True Pattern", IF($O72="Nopol", "True Semantic", IF($O72="RSRepair-A", "Evolutionary Search", IF($O72="SequenceR", "Deep Learning", IF($O72="SimFix", "Search Like Pattern", IF($O72="SketchFix", "True Pattern", IF($O72="SOFix", "True Pattern", IF($O72="ssFix", "Search Like Pattern", IF($O72="TBar", "True Pattern", ""))))))))))))))))))))</f>
        <v>Evolutionary Search</v>
      </c>
      <c r="Q72" s="13" t="str">
        <f>IF(NOT(ISERR(SEARCH("*_Buggy",$A72))), "Buggy", IF(NOT(ISERR(SEARCH("*_Fixed",$A72))), "Fixed", IF(NOT(ISERR(SEARCH("*_Repaired",$A72))), "Repaired", "")))</f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>LEFT($A73,FIND("_",$A73)-1)</f>
        <v>ARJA</v>
      </c>
      <c r="P73" s="13" t="str">
        <f>IF($O73="ACS", "True Search", IF($O73="Arja", "Evolutionary Search", IF($O73="AVATAR", "True Pattern", IF($O73="CapGen", "Search Like Pattern", IF($O73="Cardumen", "True Semantic", IF($O73="DynaMoth", "True Semantic", IF($O73="FixMiner", "True Pattern", IF($O73="GenProg-A", "Evolutionary Search", IF($O73="Hercules", "Learning Pattern", IF($O73="Jaid", "True Semantic",
IF($O73="Kali-A", "True Search", IF($O73="kPAR", "True Pattern", IF($O73="Nopol", "True Semantic", IF($O73="RSRepair-A", "Evolutionary Search", IF($O73="SequenceR", "Deep Learning", IF($O73="SimFix", "Search Like Pattern", IF($O73="SketchFix", "True Pattern", IF($O73="SOFix", "True Pattern", IF($O73="ssFix", "Search Like Pattern", IF($O73="TBar", "True Pattern", ""))))))))))))))))))))</f>
        <v>Evolutionary Search</v>
      </c>
      <c r="Q73" s="13" t="str">
        <f>IF(NOT(ISERR(SEARCH("*_Buggy",$A73))), "Buggy", IF(NOT(ISERR(SEARCH("*_Fixed",$A73))), "Fixed", IF(NOT(ISERR(SEARCH("*_Repaired",$A73))), "Repaired", "")))</f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>LEFT($A74,FIND("_",$A74)-1)</f>
        <v>ARJA</v>
      </c>
      <c r="P74" s="13" t="str">
        <f>IF($O74="ACS", "True Search", IF($O74="Arja", "Evolutionary Search", IF($O74="AVATAR", "True Pattern", IF($O74="CapGen", "Search Like Pattern", IF($O74="Cardumen", "True Semantic", IF($O74="DynaMoth", "True Semantic", IF($O74="FixMiner", "True Pattern", IF($O74="GenProg-A", "Evolutionary Search", IF($O74="Hercules", "Learning Pattern", IF($O74="Jaid", "True Semantic",
IF($O74="Kali-A", "True Search", IF($O74="kPAR", "True Pattern", IF($O74="Nopol", "True Semantic", IF($O74="RSRepair-A", "Evolutionary Search", IF($O74="SequenceR", "Deep Learning", IF($O74="SimFix", "Search Like Pattern", IF($O74="SketchFix", "True Pattern", IF($O74="SOFix", "True Pattern", IF($O74="ssFix", "Search Like Pattern", IF($O74="TBar", "True Pattern", ""))))))))))))))))))))</f>
        <v>Evolutionary Search</v>
      </c>
      <c r="Q74" s="13" t="str">
        <f>IF(NOT(ISERR(SEARCH("*_Buggy",$A74))), "Buggy", IF(NOT(ISERR(SEARCH("*_Fixed",$A74))), "Fixed", IF(NOT(ISERR(SEARCH("*_Repaired",$A74))), "Repaired", "")))</f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>LEFT($A75,FIND("_",$A75)-1)</f>
        <v>ARJA</v>
      </c>
      <c r="P75" s="13" t="str">
        <f>IF($O75="ACS", "True Search", IF($O75="Arja", "Evolutionary Search", IF($O75="AVATAR", "True Pattern", IF($O75="CapGen", "Search Like Pattern", IF($O75="Cardumen", "True Semantic", IF($O75="DynaMoth", "True Semantic", IF($O75="FixMiner", "True Pattern", IF($O75="GenProg-A", "Evolutionary Search", IF($O75="Hercules", "Learning Pattern", IF($O75="Jaid", "True Semantic",
IF($O75="Kali-A", "True Search", IF($O75="kPAR", "True Pattern", IF($O75="Nopol", "True Semantic", IF($O75="RSRepair-A", "Evolutionary Search", IF($O75="SequenceR", "Deep Learning", IF($O75="SimFix", "Search Like Pattern", IF($O75="SketchFix", "True Pattern", IF($O75="SOFix", "True Pattern", IF($O75="ssFix", "Search Like Pattern", IF($O75="TBar", "True Pattern", ""))))))))))))))))))))</f>
        <v>Evolutionary Search</v>
      </c>
      <c r="Q75" s="13" t="str">
        <f>IF(NOT(ISERR(SEARCH("*_Buggy",$A75))), "Buggy", IF(NOT(ISERR(SEARCH("*_Fixed",$A75))), "Fixed", IF(NOT(ISERR(SEARCH("*_Repaired",$A75))), "Repaired", "")))</f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>LEFT($A76,FIND("_",$A76)-1)</f>
        <v>ARJA</v>
      </c>
      <c r="P76" s="13" t="str">
        <f>IF($O76="ACS", "True Search", IF($O76="Arja", "Evolutionary Search", IF($O76="AVATAR", "True Pattern", IF($O76="CapGen", "Search Like Pattern", IF($O76="Cardumen", "True Semantic", IF($O76="DynaMoth", "True Semantic", IF($O76="FixMiner", "True Pattern", IF($O76="GenProg-A", "Evolutionary Search", IF($O76="Hercules", "Learning Pattern", IF($O76="Jaid", "True Semantic",
IF($O76="Kali-A", "True Search", IF($O76="kPAR", "True Pattern", IF($O76="Nopol", "True Semantic", IF($O76="RSRepair-A", "Evolutionary Search", IF($O76="SequenceR", "Deep Learning", IF($O76="SimFix", "Search Like Pattern", IF($O76="SketchFix", "True Pattern", IF($O76="SOFix", "True Pattern", IF($O76="ssFix", "Search Like Pattern", IF($O76="TBar", "True Pattern", ""))))))))))))))))))))</f>
        <v>Evolutionary Search</v>
      </c>
      <c r="Q76" s="13" t="str">
        <f>IF(NOT(ISERR(SEARCH("*_Buggy",$A76))), "Buggy", IF(NOT(ISERR(SEARCH("*_Fixed",$A76))), "Fixed", IF(NOT(ISERR(SEARCH("*_Repaired",$A76))), "Repaired", "")))</f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>LEFT($A77,FIND("_",$A77)-1)</f>
        <v>ARJA</v>
      </c>
      <c r="P77" s="13" t="str">
        <f>IF($O77="ACS", "True Search", IF($O77="Arja", "Evolutionary Search", IF($O77="AVATAR", "True Pattern", IF($O77="CapGen", "Search Like Pattern", IF($O77="Cardumen", "True Semantic", IF($O77="DynaMoth", "True Semantic", IF($O77="FixMiner", "True Pattern", IF($O77="GenProg-A", "Evolutionary Search", IF($O77="Hercules", "Learning Pattern", IF($O77="Jaid", "True Semantic",
IF($O77="Kali-A", "True Search", IF($O77="kPAR", "True Pattern", IF($O77="Nopol", "True Semantic", IF($O77="RSRepair-A", "Evolutionary Search", IF($O77="SequenceR", "Deep Learning", IF($O77="SimFix", "Search Like Pattern", IF($O77="SketchFix", "True Pattern", IF($O77="SOFix", "True Pattern", IF($O77="ssFix", "Search Like Pattern", IF($O77="TBar", "True Pattern", ""))))))))))))))))))))</f>
        <v>Evolutionary Search</v>
      </c>
      <c r="Q77" s="13" t="str">
        <f>IF(NOT(ISERR(SEARCH("*_Buggy",$A77))), "Buggy", IF(NOT(ISERR(SEARCH("*_Fixed",$A77))), "Fixed", IF(NOT(ISERR(SEARCH("*_Repaired",$A77))), "Repaired", "")))</f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>LEFT($A78,FIND("_",$A78)-1)</f>
        <v>ARJA</v>
      </c>
      <c r="P78" s="13" t="str">
        <f>IF($O78="ACS", "True Search", IF($O78="Arja", "Evolutionary Search", IF($O78="AVATAR", "True Pattern", IF($O78="CapGen", "Search Like Pattern", IF($O78="Cardumen", "True Semantic", IF($O78="DynaMoth", "True Semantic", IF($O78="FixMiner", "True Pattern", IF($O78="GenProg-A", "Evolutionary Search", IF($O78="Hercules", "Learning Pattern", IF($O78="Jaid", "True Semantic",
IF($O78="Kali-A", "True Search", IF($O78="kPAR", "True Pattern", IF($O78="Nopol", "True Semantic", IF($O78="RSRepair-A", "Evolutionary Search", IF($O78="SequenceR", "Deep Learning", IF($O78="SimFix", "Search Like Pattern", IF($O78="SketchFix", "True Pattern", IF($O78="SOFix", "True Pattern", IF($O78="ssFix", "Search Like Pattern", IF($O78="TBar", "True Pattern", ""))))))))))))))))))))</f>
        <v>Evolutionary Search</v>
      </c>
      <c r="Q78" s="13" t="str">
        <f>IF(NOT(ISERR(SEARCH("*_Buggy",$A78))), "Buggy", IF(NOT(ISERR(SEARCH("*_Fixed",$A78))), "Fixed", IF(NOT(ISERR(SEARCH("*_Repaired",$A78))), "Repaired", "")))</f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>LEFT($A79,FIND("_",$A79)-1)</f>
        <v>ARJA</v>
      </c>
      <c r="P79" s="13" t="str">
        <f>IF($O79="ACS", "True Search", IF($O79="Arja", "Evolutionary Search", IF($O79="AVATAR", "True Pattern", IF($O79="CapGen", "Search Like Pattern", IF($O79="Cardumen", "True Semantic", IF($O79="DynaMoth", "True Semantic", IF($O79="FixMiner", "True Pattern", IF($O79="GenProg-A", "Evolutionary Search", IF($O79="Hercules", "Learning Pattern", IF($O79="Jaid", "True Semantic",
IF($O79="Kali-A", "True Search", IF($O79="kPAR", "True Pattern", IF($O79="Nopol", "True Semantic", IF($O79="RSRepair-A", "Evolutionary Search", IF($O79="SequenceR", "Deep Learning", IF($O79="SimFix", "Search Like Pattern", IF($O79="SketchFix", "True Pattern", IF($O79="SOFix", "True Pattern", IF($O79="ssFix", "Search Like Pattern", IF($O79="TBar", "True Pattern", ""))))))))))))))))))))</f>
        <v>Evolutionary Search</v>
      </c>
      <c r="Q79" s="13" t="str">
        <f>IF(NOT(ISERR(SEARCH("*_Buggy",$A79))), "Buggy", IF(NOT(ISERR(SEARCH("*_Fixed",$A79))), "Fixed", IF(NOT(ISERR(SEARCH("*_Repaired",$A79))), "Repaired", "")))</f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>LEFT($A80,FIND("_",$A80)-1)</f>
        <v>ARJA</v>
      </c>
      <c r="P80" s="13" t="str">
        <f>IF($O80="ACS", "True Search", IF($O80="Arja", "Evolutionary Search", IF($O80="AVATAR", "True Pattern", IF($O80="CapGen", "Search Like Pattern", IF($O80="Cardumen", "True Semantic", IF($O80="DynaMoth", "True Semantic", IF($O80="FixMiner", "True Pattern", IF($O80="GenProg-A", "Evolutionary Search", IF($O80="Hercules", "Learning Pattern", IF($O80="Jaid", "True Semantic",
IF($O80="Kali-A", "True Search", IF($O80="kPAR", "True Pattern", IF($O80="Nopol", "True Semantic", IF($O80="RSRepair-A", "Evolutionary Search", IF($O80="SequenceR", "Deep Learning", IF($O80="SimFix", "Search Like Pattern", IF($O80="SketchFix", "True Pattern", IF($O80="SOFix", "True Pattern", IF($O80="ssFix", "Search Like Pattern", IF($O80="TBar", "True Pattern", ""))))))))))))))))))))</f>
        <v>Evolutionary Search</v>
      </c>
      <c r="Q80" s="13" t="str">
        <f>IF(NOT(ISERR(SEARCH("*_Buggy",$A80))), "Buggy", IF(NOT(ISERR(SEARCH("*_Fixed",$A80))), "Fixed", IF(NOT(ISERR(SEARCH("*_Repaired",$A80))), "Repaired", "")))</f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>LEFT($A81,FIND("_",$A81)-1)</f>
        <v>ARJA</v>
      </c>
      <c r="P81" s="13" t="str">
        <f>IF($O81="ACS", "True Search", IF($O81="Arja", "Evolutionary Search", IF($O81="AVATAR", "True Pattern", IF($O81="CapGen", "Search Like Pattern", IF($O81="Cardumen", "True Semantic", IF($O81="DynaMoth", "True Semantic", IF($O81="FixMiner", "True Pattern", IF($O81="GenProg-A", "Evolutionary Search", IF($O81="Hercules", "Learning Pattern", IF($O81="Jaid", "True Semantic",
IF($O81="Kali-A", "True Search", IF($O81="kPAR", "True Pattern", IF($O81="Nopol", "True Semantic", IF($O81="RSRepair-A", "Evolutionary Search", IF($O81="SequenceR", "Deep Learning", IF($O81="SimFix", "Search Like Pattern", IF($O81="SketchFix", "True Pattern", IF($O81="SOFix", "True Pattern", IF($O81="ssFix", "Search Like Pattern", IF($O81="TBar", "True Pattern", ""))))))))))))))))))))</f>
        <v>Evolutionary Search</v>
      </c>
      <c r="Q81" s="13" t="str">
        <f>IF(NOT(ISERR(SEARCH("*_Buggy",$A81))), "Buggy", IF(NOT(ISERR(SEARCH("*_Fixed",$A81))), "Fixed", IF(NOT(ISERR(SEARCH("*_Repaired",$A81))), "Repaired", "")))</f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>LEFT($A82,FIND("_",$A82)-1)</f>
        <v>ARJA</v>
      </c>
      <c r="P82" s="13" t="str">
        <f>IF($O82="ACS", "True Search", IF($O82="Arja", "Evolutionary Search", IF($O82="AVATAR", "True Pattern", IF($O82="CapGen", "Search Like Pattern", IF($O82="Cardumen", "True Semantic", IF($O82="DynaMoth", "True Semantic", IF($O82="FixMiner", "True Pattern", IF($O82="GenProg-A", "Evolutionary Search", IF($O82="Hercules", "Learning Pattern", IF($O82="Jaid", "True Semantic",
IF($O82="Kali-A", "True Search", IF($O82="kPAR", "True Pattern", IF($O82="Nopol", "True Semantic", IF($O82="RSRepair-A", "Evolutionary Search", IF($O82="SequenceR", "Deep Learning", IF($O82="SimFix", "Search Like Pattern", IF($O82="SketchFix", "True Pattern", IF($O82="SOFix", "True Pattern", IF($O82="ssFix", "Search Like Pattern", IF($O82="TBar", "True Pattern", ""))))))))))))))))))))</f>
        <v>Evolutionary Search</v>
      </c>
      <c r="Q82" s="13" t="str">
        <f>IF(NOT(ISERR(SEARCH("*_Buggy",$A82))), "Buggy", IF(NOT(ISERR(SEARCH("*_Fixed",$A82))), "Fixed", IF(NOT(ISERR(SEARCH("*_Repaired",$A82))), "Repaired", "")))</f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>LEFT($A83,FIND("_",$A83)-1)</f>
        <v>ARJA</v>
      </c>
      <c r="P83" s="13" t="str">
        <f>IF($O83="ACS", "True Search", IF($O83="Arja", "Evolutionary Search", IF($O83="AVATAR", "True Pattern", IF($O83="CapGen", "Search Like Pattern", IF($O83="Cardumen", "True Semantic", IF($O83="DynaMoth", "True Semantic", IF($O83="FixMiner", "True Pattern", IF($O83="GenProg-A", "Evolutionary Search", IF($O83="Hercules", "Learning Pattern", IF($O83="Jaid", "True Semantic",
IF($O83="Kali-A", "True Search", IF($O83="kPAR", "True Pattern", IF($O83="Nopol", "True Semantic", IF($O83="RSRepair-A", "Evolutionary Search", IF($O83="SequenceR", "Deep Learning", IF($O83="SimFix", "Search Like Pattern", IF($O83="SketchFix", "True Pattern", IF($O83="SOFix", "True Pattern", IF($O83="ssFix", "Search Like Pattern", IF($O83="TBar", "True Pattern", ""))))))))))))))))))))</f>
        <v>Evolutionary Search</v>
      </c>
      <c r="Q83" s="13" t="str">
        <f>IF(NOT(ISERR(SEARCH("*_Buggy",$A83))), "Buggy", IF(NOT(ISERR(SEARCH("*_Fixed",$A83))), "Fixed", IF(NOT(ISERR(SEARCH("*_Repaired",$A83))), "Repaired", "")))</f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>LEFT($A84,FIND("_",$A84)-1)</f>
        <v>ARJA</v>
      </c>
      <c r="P84" s="13" t="str">
        <f>IF($O84="ACS", "True Search", IF($O84="Arja", "Evolutionary Search", IF($O84="AVATAR", "True Pattern", IF($O84="CapGen", "Search Like Pattern", IF($O84="Cardumen", "True Semantic", IF($O84="DynaMoth", "True Semantic", IF($O84="FixMiner", "True Pattern", IF($O84="GenProg-A", "Evolutionary Search", IF($O84="Hercules", "Learning Pattern", IF($O84="Jaid", "True Semantic",
IF($O84="Kali-A", "True Search", IF($O84="kPAR", "True Pattern", IF($O84="Nopol", "True Semantic", IF($O84="RSRepair-A", "Evolutionary Search", IF($O84="SequenceR", "Deep Learning", IF($O84="SimFix", "Search Like Pattern", IF($O84="SketchFix", "True Pattern", IF($O84="SOFix", "True Pattern", IF($O84="ssFix", "Search Like Pattern", IF($O84="TBar", "True Pattern", ""))))))))))))))))))))</f>
        <v>Evolutionary Search</v>
      </c>
      <c r="Q84" s="13" t="str">
        <f>IF(NOT(ISERR(SEARCH("*_Buggy",$A84))), "Buggy", IF(NOT(ISERR(SEARCH("*_Fixed",$A84))), "Fixed", IF(NOT(ISERR(SEARCH("*_Repaired",$A84))), "Repaired", "")))</f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>LEFT($A85,FIND("_",$A85)-1)</f>
        <v>AVATAR</v>
      </c>
      <c r="P85" s="13" t="str">
        <f>IF($O85="ACS", "True Search", IF($O85="Arja", "Evolutionary Search", IF($O85="AVATAR", "True Pattern", IF($O85="CapGen", "Search Like Pattern", IF($O85="Cardumen", "True Semantic", IF($O85="DynaMoth", "True Semantic", IF($O85="FixMiner", "True Pattern", IF($O85="GenProg-A", "Evolutionary Search", IF($O85="Hercules", "Learning Pattern", IF($O85="Jaid", "True Semantic",
IF($O85="Kali-A", "True Search", IF($O85="kPAR", "True Pattern", IF($O85="Nopol", "True Semantic", IF($O85="RSRepair-A", "Evolutionary Search", IF($O85="SequenceR", "Deep Learning", IF($O85="SimFix", "Search Like Pattern", IF($O85="SketchFix", "True Pattern", IF($O85="SOFix", "True Pattern", IF($O85="ssFix", "Search Like Pattern", IF($O85="TBar", "True Pattern", ""))))))))))))))))))))</f>
        <v>True Pattern</v>
      </c>
      <c r="Q85" s="13" t="str">
        <f>IF(NOT(ISERR(SEARCH("*_Buggy",$A85))), "Buggy", IF(NOT(ISERR(SEARCH("*_Fixed",$A85))), "Fixed", IF(NOT(ISERR(SEARCH("*_Repaired",$A85))), "Repaired", "")))</f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>LEFT($A86,FIND("_",$A86)-1)</f>
        <v>AVATAR</v>
      </c>
      <c r="P86" s="13" t="str">
        <f>IF($O86="ACS", "True Search", IF($O86="Arja", "Evolutionary Search", IF($O86="AVATAR", "True Pattern", IF($O86="CapGen", "Search Like Pattern", IF($O86="Cardumen", "True Semantic", IF($O86="DynaMoth", "True Semantic", IF($O86="FixMiner", "True Pattern", IF($O86="GenProg-A", "Evolutionary Search", IF($O86="Hercules", "Learning Pattern", IF($O86="Jaid", "True Semantic",
IF($O86="Kali-A", "True Search", IF($O86="kPAR", "True Pattern", IF($O86="Nopol", "True Semantic", IF($O86="RSRepair-A", "Evolutionary Search", IF($O86="SequenceR", "Deep Learning", IF($O86="SimFix", "Search Like Pattern", IF($O86="SketchFix", "True Pattern", IF($O86="SOFix", "True Pattern", IF($O86="ssFix", "Search Like Pattern", IF($O86="TBar", "True Pattern", ""))))))))))))))))))))</f>
        <v>True Pattern</v>
      </c>
      <c r="Q86" s="13" t="str">
        <f>IF(NOT(ISERR(SEARCH("*_Buggy",$A86))), "Buggy", IF(NOT(ISERR(SEARCH("*_Fixed",$A86))), "Fixed", IF(NOT(ISERR(SEARCH("*_Repaired",$A86))), "Repaired", "")))</f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>LEFT($A87,FIND("_",$A87)-1)</f>
        <v>AVATAR</v>
      </c>
      <c r="P87" s="13" t="str">
        <f>IF($O87="ACS", "True Search", IF($O87="Arja", "Evolutionary Search", IF($O87="AVATAR", "True Pattern", IF($O87="CapGen", "Search Like Pattern", IF($O87="Cardumen", "True Semantic", IF($O87="DynaMoth", "True Semantic", IF($O87="FixMiner", "True Pattern", IF($O87="GenProg-A", "Evolutionary Search", IF($O87="Hercules", "Learning Pattern", IF($O87="Jaid", "True Semantic",
IF($O87="Kali-A", "True Search", IF($O87="kPAR", "True Pattern", IF($O87="Nopol", "True Semantic", IF($O87="RSRepair-A", "Evolutionary Search", IF($O87="SequenceR", "Deep Learning", IF($O87="SimFix", "Search Like Pattern", IF($O87="SketchFix", "True Pattern", IF($O87="SOFix", "True Pattern", IF($O87="ssFix", "Search Like Pattern", IF($O87="TBar", "True Pattern", ""))))))))))))))))))))</f>
        <v>True Pattern</v>
      </c>
      <c r="Q87" s="13" t="str">
        <f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>LEFT($A88,FIND("_",$A88)-1)</f>
        <v>AVATAR</v>
      </c>
      <c r="P88" s="13" t="str">
        <f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>IF(NOT(ISERR(SEARCH("*_Buggy",$A88))), "Buggy", IF(NOT(ISERR(SEARCH("*_Fixed",$A88))), "Fixed", IF(NOT(ISERR(SEARCH("*_Repaired",$A88))), "Repaired", "")))</f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>LEFT($A89,FIND("_",$A89)-1)</f>
        <v>AVATAR</v>
      </c>
      <c r="P89" s="13" t="str">
        <f>IF($O89="ACS", "True Search", IF($O89="Arja", "Evolutionary Search", IF($O89="AVATAR", "True Pattern", IF($O89="CapGen", "Search Like Pattern", IF($O89="Cardumen", "True Semantic", IF($O89="DynaMoth", "True Semantic", IF($O89="FixMiner", "True Pattern", IF($O89="GenProg-A", "Evolutionary Search", IF($O89="Hercules", "Learning Pattern", IF($O89="Jaid", "True Semantic",
IF($O89="Kali-A", "True Search", IF($O89="kPAR", "True Pattern", IF($O89="Nopol", "True Semantic", IF($O89="RSRepair-A", "Evolutionary Search", IF($O89="SequenceR", "Deep Learning", IF($O89="SimFix", "Search Like Pattern", IF($O89="SketchFix", "True Pattern", IF($O89="SOFix", "True Pattern", IF($O89="ssFix", "Search Like Pattern", IF($O89="TBar", "True Pattern", ""))))))))))))))))))))</f>
        <v>True Pattern</v>
      </c>
      <c r="Q89" s="13" t="str">
        <f>IF(NOT(ISERR(SEARCH("*_Buggy",$A89))), "Buggy", IF(NOT(ISERR(SEARCH("*_Fixed",$A89))), "Fixed", IF(NOT(ISERR(SEARCH("*_Repaired",$A89))), "Repaired", "")))</f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>LEFT($A90,FIND("_",$A90)-1)</f>
        <v>AVATAR</v>
      </c>
      <c r="P90" s="13" t="str">
        <f>IF($O90="ACS", "True Search", IF($O90="Arja", "Evolutionary Search", IF($O90="AVATAR", "True Pattern", IF($O90="CapGen", "Search Like Pattern", IF($O90="Cardumen", "True Semantic", IF($O90="DynaMoth", "True Semantic", IF($O90="FixMiner", "True Pattern", IF($O90="GenProg-A", "Evolutionary Search", IF($O90="Hercules", "Learning Pattern", IF($O90="Jaid", "True Semantic",
IF($O90="Kali-A", "True Search", IF($O90="kPAR", "True Pattern", IF($O90="Nopol", "True Semantic", IF($O90="RSRepair-A", "Evolutionary Search", IF($O90="SequenceR", "Deep Learning", IF($O90="SimFix", "Search Like Pattern", IF($O90="SketchFix", "True Pattern", IF($O90="SOFix", "True Pattern", IF($O90="ssFix", "Search Like Pattern", IF($O90="TBar", "True Pattern", ""))))))))))))))))))))</f>
        <v>True Pattern</v>
      </c>
      <c r="Q90" s="13" t="str">
        <f>IF(NOT(ISERR(SEARCH("*_Buggy",$A90))), "Buggy", IF(NOT(ISERR(SEARCH("*_Fixed",$A90))), "Fixed", IF(NOT(ISERR(SEARCH("*_Repaired",$A90))), "Repaired", "")))</f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>LEFT($A91,FIND("_",$A91)-1)</f>
        <v>AVATAR</v>
      </c>
      <c r="P91" s="13" t="str">
        <f>IF($O91="ACS", "True Search", IF($O91="Arja", "Evolutionary Search", IF($O91="AVATAR", "True Pattern", IF($O91="CapGen", "Search Like Pattern", IF($O91="Cardumen", "True Semantic", IF($O91="DynaMoth", "True Semantic", IF($O91="FixMiner", "True Pattern", IF($O91="GenProg-A", "Evolutionary Search", IF($O91="Hercules", "Learning Pattern", IF($O91="Jaid", "True Semantic",
IF($O91="Kali-A", "True Search", IF($O91="kPAR", "True Pattern", IF($O91="Nopol", "True Semantic", IF($O91="RSRepair-A", "Evolutionary Search", IF($O91="SequenceR", "Deep Learning", IF($O91="SimFix", "Search Like Pattern", IF($O91="SketchFix", "True Pattern", IF($O91="SOFix", "True Pattern", IF($O91="ssFix", "Search Like Pattern", IF($O91="TBar", "True Pattern", ""))))))))))))))))))))</f>
        <v>True Pattern</v>
      </c>
      <c r="Q91" s="13" t="str">
        <f>IF(NOT(ISERR(SEARCH("*_Buggy",$A91))), "Buggy", IF(NOT(ISERR(SEARCH("*_Fixed",$A91))), "Fixed", IF(NOT(ISERR(SEARCH("*_Repaired",$A91))), "Repaired", "")))</f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>LEFT($A92,FIND("_",$A92)-1)</f>
        <v>AVATAR</v>
      </c>
      <c r="P92" s="13" t="str">
        <f>IF($O92="ACS", "True Search", IF($O92="Arja", "Evolutionary Search", IF($O92="AVATAR", "True Pattern", IF($O92="CapGen", "Search Like Pattern", IF($O92="Cardumen", "True Semantic", IF($O92="DynaMoth", "True Semantic", IF($O92="FixMiner", "True Pattern", IF($O92="GenProg-A", "Evolutionary Search", IF($O92="Hercules", "Learning Pattern", IF($O92="Jaid", "True Semantic",
IF($O92="Kali-A", "True Search", IF($O92="kPAR", "True Pattern", IF($O92="Nopol", "True Semantic", IF($O92="RSRepair-A", "Evolutionary Search", IF($O92="SequenceR", "Deep Learning", IF($O92="SimFix", "Search Like Pattern", IF($O92="SketchFix", "True Pattern", IF($O92="SOFix", "True Pattern", IF($O92="ssFix", "Search Like Pattern", IF($O92="TBar", "True Pattern", ""))))))))))))))))))))</f>
        <v>True Pattern</v>
      </c>
      <c r="Q92" s="13" t="str">
        <f>IF(NOT(ISERR(SEARCH("*_Buggy",$A92))), "Buggy", IF(NOT(ISERR(SEARCH("*_Fixed",$A92))), "Fixed", IF(NOT(ISERR(SEARCH("*_Repaired",$A92))), "Repaired", "")))</f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>LEFT($A93,FIND("_",$A93)-1)</f>
        <v>AVATAR</v>
      </c>
      <c r="P93" s="13" t="str">
        <f>IF($O93="ACS", "True Search", IF($O93="Arja", "Evolutionary Search", IF($O93="AVATAR", "True Pattern", IF($O93="CapGen", "Search Like Pattern", IF($O93="Cardumen", "True Semantic", IF($O93="DynaMoth", "True Semantic", IF($O93="FixMiner", "True Pattern", IF($O93="GenProg-A", "Evolutionary Search", IF($O93="Hercules", "Learning Pattern", IF($O93="Jaid", "True Semantic",
IF($O93="Kali-A", "True Search", IF($O93="kPAR", "True Pattern", IF($O93="Nopol", "True Semantic", IF($O93="RSRepair-A", "Evolutionary Search", IF($O93="SequenceR", "Deep Learning", IF($O93="SimFix", "Search Like Pattern", IF($O93="SketchFix", "True Pattern", IF($O93="SOFix", "True Pattern", IF($O93="ssFix", "Search Like Pattern", IF($O93="TBar", "True Pattern", ""))))))))))))))))))))</f>
        <v>True Pattern</v>
      </c>
      <c r="Q93" s="13" t="str">
        <f>IF(NOT(ISERR(SEARCH("*_Buggy",$A93))), "Buggy", IF(NOT(ISERR(SEARCH("*_Fixed",$A93))), "Fixed", IF(NOT(ISERR(SEARCH("*_Repaired",$A93))), "Repaired", "")))</f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>LEFT($A94,FIND("_",$A94)-1)</f>
        <v>AVATAR</v>
      </c>
      <c r="P94" s="13" t="str">
        <f>IF($O94="ACS", "True Search", IF($O94="Arja", "Evolutionary Search", IF($O94="AVATAR", "True Pattern", IF($O94="CapGen", "Search Like Pattern", IF($O94="Cardumen", "True Semantic", IF($O94="DynaMoth", "True Semantic", IF($O94="FixMiner", "True Pattern", IF($O94="GenProg-A", "Evolutionary Search", IF($O94="Hercules", "Learning Pattern", IF($O94="Jaid", "True Semantic",
IF($O94="Kali-A", "True Search", IF($O94="kPAR", "True Pattern", IF($O94="Nopol", "True Semantic", IF($O94="RSRepair-A", "Evolutionary Search", IF($O94="SequenceR", "Deep Learning", IF($O94="SimFix", "Search Like Pattern", IF($O94="SketchFix", "True Pattern", IF($O94="SOFix", "True Pattern", IF($O94="ssFix", "Search Like Pattern", IF($O94="TBar", "True Pattern", ""))))))))))))))))))))</f>
        <v>True Pattern</v>
      </c>
      <c r="Q94" s="13" t="str">
        <f>IF(NOT(ISERR(SEARCH("*_Buggy",$A94))), "Buggy", IF(NOT(ISERR(SEARCH("*_Fixed",$A94))), "Fixed", IF(NOT(ISERR(SEARCH("*_Repaired",$A94))), "Repaired", "")))</f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>LEFT($A95,FIND("_",$A95)-1)</f>
        <v>AVATAR</v>
      </c>
      <c r="P95" s="13" t="str">
        <f>IF($O95="ACS", "True Search", IF($O95="Arja", "Evolutionary Search", IF($O95="AVATAR", "True Pattern", IF($O95="CapGen", "Search Like Pattern", IF($O95="Cardumen", "True Semantic", IF($O95="DynaMoth", "True Semantic", IF($O95="FixMiner", "True Pattern", IF($O95="GenProg-A", "Evolutionary Search", IF($O95="Hercules", "Learning Pattern", IF($O95="Jaid", "True Semantic",
IF($O95="Kali-A", "True Search", IF($O95="kPAR", "True Pattern", IF($O95="Nopol", "True Semantic", IF($O95="RSRepair-A", "Evolutionary Search", IF($O95="SequenceR", "Deep Learning", IF($O95="SimFix", "Search Like Pattern", IF($O95="SketchFix", "True Pattern", IF($O95="SOFix", "True Pattern", IF($O95="ssFix", "Search Like Pattern", IF($O95="TBar", "True Pattern", ""))))))))))))))))))))</f>
        <v>True Pattern</v>
      </c>
      <c r="Q95" s="13" t="str">
        <f>IF(NOT(ISERR(SEARCH("*_Buggy",$A95))), "Buggy", IF(NOT(ISERR(SEARCH("*_Fixed",$A95))), "Fixed", IF(NOT(ISERR(SEARCH("*_Repaired",$A95))), "Repaired", "")))</f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>LEFT($A96,FIND("_",$A96)-1)</f>
        <v>AVATAR</v>
      </c>
      <c r="P96" s="13" t="str">
        <f>IF($O96="ACS", "True Search", IF($O96="Arja", "Evolutionary Search", IF($O96="AVATAR", "True Pattern", IF($O96="CapGen", "Search Like Pattern", IF($O96="Cardumen", "True Semantic", IF($O96="DynaMoth", "True Semantic", IF($O96="FixMiner", "True Pattern", IF($O96="GenProg-A", "Evolutionary Search", IF($O96="Hercules", "Learning Pattern", IF($O96="Jaid", "True Semantic",
IF($O96="Kali-A", "True Search", IF($O96="kPAR", "True Pattern", IF($O96="Nopol", "True Semantic", IF($O96="RSRepair-A", "Evolutionary Search", IF($O96="SequenceR", "Deep Learning", IF($O96="SimFix", "Search Like Pattern", IF($O96="SketchFix", "True Pattern", IF($O96="SOFix", "True Pattern", IF($O96="ssFix", "Search Like Pattern", IF($O96="TBar", "True Pattern", ""))))))))))))))))))))</f>
        <v>True Pattern</v>
      </c>
      <c r="Q96" s="13" t="str">
        <f>IF(NOT(ISERR(SEARCH("*_Buggy",$A96))), "Buggy", IF(NOT(ISERR(SEARCH("*_Fixed",$A96))), "Fixed", IF(NOT(ISERR(SEARCH("*_Repaired",$A96))), "Repaired", "")))</f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>LEFT($A97,FIND("_",$A97)-1)</f>
        <v>AVATAR</v>
      </c>
      <c r="P97" s="13" t="str">
        <f>IF($O97="ACS", "True Search", IF($O97="Arja", "Evolutionary Search", IF($O97="AVATAR", "True Pattern", IF($O97="CapGen", "Search Like Pattern", IF($O97="Cardumen", "True Semantic", IF($O97="DynaMoth", "True Semantic", IF($O97="FixMiner", "True Pattern", IF($O97="GenProg-A", "Evolutionary Search", IF($O97="Hercules", "Learning Pattern", IF($O97="Jaid", "True Semantic",
IF($O97="Kali-A", "True Search", IF($O97="kPAR", "True Pattern", IF($O97="Nopol", "True Semantic", IF($O97="RSRepair-A", "Evolutionary Search", IF($O97="SequenceR", "Deep Learning", IF($O97="SimFix", "Search Like Pattern", IF($O97="SketchFix", "True Pattern", IF($O97="SOFix", "True Pattern", IF($O97="ssFix", "Search Like Pattern", IF($O97="TBar", "True Pattern", ""))))))))))))))))))))</f>
        <v>True Pattern</v>
      </c>
      <c r="Q97" s="13" t="str">
        <f>IF(NOT(ISERR(SEARCH("*_Buggy",$A97))), "Buggy", IF(NOT(ISERR(SEARCH("*_Fixed",$A97))), "Fixed", IF(NOT(ISERR(SEARCH("*_Repaired",$A97))), "Repaired", "")))</f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>LEFT($A98,FIND("_",$A98)-1)</f>
        <v>AVATAR</v>
      </c>
      <c r="P98" s="13" t="str">
        <f>IF($O98="ACS", "True Search", IF($O98="Arja", "Evolutionary Search", IF($O98="AVATAR", "True Pattern", IF($O98="CapGen", "Search Like Pattern", IF($O98="Cardumen", "True Semantic", IF($O98="DynaMoth", "True Semantic", IF($O98="FixMiner", "True Pattern", IF($O98="GenProg-A", "Evolutionary Search", IF($O98="Hercules", "Learning Pattern", IF($O98="Jaid", "True Semantic",
IF($O98="Kali-A", "True Search", IF($O98="kPAR", "True Pattern", IF($O98="Nopol", "True Semantic", IF($O98="RSRepair-A", "Evolutionary Search", IF($O98="SequenceR", "Deep Learning", IF($O98="SimFix", "Search Like Pattern", IF($O98="SketchFix", "True Pattern", IF($O98="SOFix", "True Pattern", IF($O98="ssFix", "Search Like Pattern", IF($O98="TBar", "True Pattern", ""))))))))))))))))))))</f>
        <v>True Pattern</v>
      </c>
      <c r="Q98" s="13" t="str">
        <f>IF(NOT(ISERR(SEARCH("*_Buggy",$A98))), "Buggy", IF(NOT(ISERR(SEARCH("*_Fixed",$A98))), "Fixed", IF(NOT(ISERR(SEARCH("*_Repaired",$A98))), "Repaired", "")))</f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>LEFT($A99,FIND("_",$A99)-1)</f>
        <v>AVATAR</v>
      </c>
      <c r="P99" s="13" t="str">
        <f>IF($O99="ACS", "True Search", IF($O99="Arja", "Evolutionary Search", IF($O99="AVATAR", "True Pattern", IF($O99="CapGen", "Search Like Pattern", IF($O99="Cardumen", "True Semantic", IF($O99="DynaMoth", "True Semantic", IF($O99="FixMiner", "True Pattern", IF($O99="GenProg-A", "Evolutionary Search", IF($O99="Hercules", "Learning Pattern", IF($O99="Jaid", "True Semantic",
IF($O99="Kali-A", "True Search", IF($O99="kPAR", "True Pattern", IF($O99="Nopol", "True Semantic", IF($O99="RSRepair-A", "Evolutionary Search", IF($O99="SequenceR", "Deep Learning", IF($O99="SimFix", "Search Like Pattern", IF($O99="SketchFix", "True Pattern", IF($O99="SOFix", "True Pattern", IF($O99="ssFix", "Search Like Pattern", IF($O99="TBar", "True Pattern", ""))))))))))))))))))))</f>
        <v>True Pattern</v>
      </c>
      <c r="Q99" s="13" t="str">
        <f>IF(NOT(ISERR(SEARCH("*_Buggy",$A99))), "Buggy", IF(NOT(ISERR(SEARCH("*_Fixed",$A99))), "Fixed", IF(NOT(ISERR(SEARCH("*_Repaired",$A99))), "Repaired", "")))</f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>LEFT($A100,FIND("_",$A100)-1)</f>
        <v>AVATAR</v>
      </c>
      <c r="P100" s="13" t="str">
        <f>IF($O100="ACS", "True Search", IF($O100="Arja", "Evolutionary Search", IF($O100="AVATAR", "True Pattern", IF($O100="CapGen", "Search Like Pattern", IF($O100="Cardumen", "True Semantic", IF($O100="DynaMoth", "True Semantic", IF($O100="FixMiner", "True Pattern", IF($O100="GenProg-A", "Evolutionary Search", IF($O100="Hercules", "Learning Pattern", IF($O100="Jaid", "True Semantic",
IF($O100="Kali-A", "True Search", IF($O100="kPAR", "True Pattern", IF($O100="Nopol", "True Semantic", IF($O100="RSRepair-A", "Evolutionary Search", IF($O100="SequenceR", "Deep Learning", IF($O100="SimFix", "Search Like Pattern", IF($O100="SketchFix", "True Pattern", IF($O100="SOFix", "True Pattern", IF($O100="ssFix", "Search Like Pattern", IF($O100="TBar", "True Pattern", ""))))))))))))))))))))</f>
        <v>True Pattern</v>
      </c>
      <c r="Q100" s="13" t="str">
        <f>IF(NOT(ISERR(SEARCH("*_Buggy",$A100))), "Buggy", IF(NOT(ISERR(SEARCH("*_Fixed",$A100))), "Fixed", IF(NOT(ISERR(SEARCH("*_Repaired",$A100))), "Repaired", "")))</f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>LEFT($A101,FIND("_",$A101)-1)</f>
        <v>AVATAR</v>
      </c>
      <c r="P101" s="13" t="str">
        <f>IF($O101="ACS", "True Search", IF($O101="Arja", "Evolutionary Search", IF($O101="AVATAR", "True Pattern", IF($O101="CapGen", "Search Like Pattern", IF($O101="Cardumen", "True Semantic", IF($O101="DynaMoth", "True Semantic", IF($O101="FixMiner", "True Pattern", IF($O101="GenProg-A", "Evolutionary Search", IF($O101="Hercules", "Learning Pattern", IF($O101="Jaid", "True Semantic",
IF($O101="Kali-A", "True Search", IF($O101="kPAR", "True Pattern", IF($O101="Nopol", "True Semantic", IF($O101="RSRepair-A", "Evolutionary Search", IF($O101="SequenceR", "Deep Learning", IF($O101="SimFix", "Search Like Pattern", IF($O101="SketchFix", "True Pattern", IF($O101="SOFix", "True Pattern", IF($O101="ssFix", "Search Like Pattern", IF($O101="TBar", "True Pattern", ""))))))))))))))))))))</f>
        <v>True Pattern</v>
      </c>
      <c r="Q101" s="13" t="str">
        <f>IF(NOT(ISERR(SEARCH("*_Buggy",$A101))), "Buggy", IF(NOT(ISERR(SEARCH("*_Fixed",$A101))), "Fixed", IF(NOT(ISERR(SEARCH("*_Repaired",$A101))), "Repaired", "")))</f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>LEFT($A102,FIND("_",$A102)-1)</f>
        <v>AVATAR</v>
      </c>
      <c r="P102" s="13" t="str">
        <f>IF($O102="ACS", "True Search", IF($O102="Arja", "Evolutionary Search", IF($O102="AVATAR", "True Pattern", IF($O102="CapGen", "Search Like Pattern", IF($O102="Cardumen", "True Semantic", IF($O102="DynaMoth", "True Semantic", IF($O102="FixMiner", "True Pattern", IF($O102="GenProg-A", "Evolutionary Search", IF($O102="Hercules", "Learning Pattern", IF($O102="Jaid", "True Semantic",
IF($O102="Kali-A", "True Search", IF($O102="kPAR", "True Pattern", IF($O102="Nopol", "True Semantic", IF($O102="RSRepair-A", "Evolutionary Search", IF($O102="SequenceR", "Deep Learning", IF($O102="SimFix", "Search Like Pattern", IF($O102="SketchFix", "True Pattern", IF($O102="SOFix", "True Pattern", IF($O102="ssFix", "Search Like Pattern", IF($O102="TBar", "True Pattern", ""))))))))))))))))))))</f>
        <v>True Pattern</v>
      </c>
      <c r="Q102" s="13" t="str">
        <f>IF(NOT(ISERR(SEARCH("*_Buggy",$A102))), "Buggy", IF(NOT(ISERR(SEARCH("*_Fixed",$A102))), "Fixed", IF(NOT(ISERR(SEARCH("*_Repaired",$A102))), "Repaired", "")))</f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>LEFT($A103,FIND("_",$A103)-1)</f>
        <v>AVATAR</v>
      </c>
      <c r="P103" s="13" t="str">
        <f>IF($O103="ACS", "True Search", IF($O103="Arja", "Evolutionary Search", IF($O103="AVATAR", "True Pattern", IF($O103="CapGen", "Search Like Pattern", IF($O103="Cardumen", "True Semantic", IF($O103="DynaMoth", "True Semantic", IF($O103="FixMiner", "True Pattern", IF($O103="GenProg-A", "Evolutionary Search", IF($O103="Hercules", "Learning Pattern", IF($O103="Jaid", "True Semantic",
IF($O103="Kali-A", "True Search", IF($O103="kPAR", "True Pattern", IF($O103="Nopol", "True Semantic", IF($O103="RSRepair-A", "Evolutionary Search", IF($O103="SequenceR", "Deep Learning", IF($O103="SimFix", "Search Like Pattern", IF($O103="SketchFix", "True Pattern", IF($O103="SOFix", "True Pattern", IF($O103="ssFix", "Search Like Pattern", IF($O103="TBar", "True Pattern", ""))))))))))))))))))))</f>
        <v>True Pattern</v>
      </c>
      <c r="Q103" s="13" t="str">
        <f>IF(NOT(ISERR(SEARCH("*_Buggy",$A103))), "Buggy", IF(NOT(ISERR(SEARCH("*_Fixed",$A103))), "Fixed", IF(NOT(ISERR(SEARCH("*_Repaired",$A103))), "Repaired", "")))</f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>LEFT($A104,FIND("_",$A104)-1)</f>
        <v>AVATAR</v>
      </c>
      <c r="P104" s="13" t="str">
        <f>IF($O104="ACS", "True Search", IF($O104="Arja", "Evolutionary Search", IF($O104="AVATAR", "True Pattern", IF($O104="CapGen", "Search Like Pattern", IF($O104="Cardumen", "True Semantic", IF($O104="DynaMoth", "True Semantic", IF($O104="FixMiner", "True Pattern", IF($O104="GenProg-A", "Evolutionary Search", IF($O104="Hercules", "Learning Pattern", IF($O104="Jaid", "True Semantic",
IF($O104="Kali-A", "True Search", IF($O104="kPAR", "True Pattern", IF($O104="Nopol", "True Semantic", IF($O104="RSRepair-A", "Evolutionary Search", IF($O104="SequenceR", "Deep Learning", IF($O104="SimFix", "Search Like Pattern", IF($O104="SketchFix", "True Pattern", IF($O104="SOFix", "True Pattern", IF($O104="ssFix", "Search Like Pattern", IF($O104="TBar", "True Pattern", ""))))))))))))))))))))</f>
        <v>True Pattern</v>
      </c>
      <c r="Q104" s="13" t="str">
        <f>IF(NOT(ISERR(SEARCH("*_Buggy",$A104))), "Buggy", IF(NOT(ISERR(SEARCH("*_Fixed",$A104))), "Fixed", IF(NOT(ISERR(SEARCH("*_Repaired",$A104))), "Repaired", "")))</f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>LEFT($A105,FIND("_",$A105)-1)</f>
        <v>AVATAR</v>
      </c>
      <c r="P105" s="13" t="str">
        <f>IF($O105="ACS", "True Search", IF($O105="Arja", "Evolutionary Search", IF($O105="AVATAR", "True Pattern", IF($O105="CapGen", "Search Like Pattern", IF($O105="Cardumen", "True Semantic", IF($O105="DynaMoth", "True Semantic", IF($O105="FixMiner", "True Pattern", IF($O105="GenProg-A", "Evolutionary Search", IF($O105="Hercules", "Learning Pattern", IF($O105="Jaid", "True Semantic",
IF($O105="Kali-A", "True Search", IF($O105="kPAR", "True Pattern", IF($O105="Nopol", "True Semantic", IF($O105="RSRepair-A", "Evolutionary Search", IF($O105="SequenceR", "Deep Learning", IF($O105="SimFix", "Search Like Pattern", IF($O105="SketchFix", "True Pattern", IF($O105="SOFix", "True Pattern", IF($O105="ssFix", "Search Like Pattern", IF($O105="TBar", "True Pattern", ""))))))))))))))))))))</f>
        <v>True Pattern</v>
      </c>
      <c r="Q105" s="13" t="str">
        <f>IF(NOT(ISERR(SEARCH("*_Buggy",$A105))), "Buggy", IF(NOT(ISERR(SEARCH("*_Fixed",$A105))), "Fixed", IF(NOT(ISERR(SEARCH("*_Repaired",$A105))), "Repaired", "")))</f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>LEFT($A106,FIND("_",$A106)-1)</f>
        <v>AVATAR</v>
      </c>
      <c r="P106" s="13" t="str">
        <f>IF($O106="ACS", "True Search", IF($O106="Arja", "Evolutionary Search", IF($O106="AVATAR", "True Pattern", IF($O106="CapGen", "Search Like Pattern", IF($O106="Cardumen", "True Semantic", IF($O106="DynaMoth", "True Semantic", IF($O106="FixMiner", "True Pattern", IF($O106="GenProg-A", "Evolutionary Search", IF($O106="Hercules", "Learning Pattern", IF($O106="Jaid", "True Semantic",
IF($O106="Kali-A", "True Search", IF($O106="kPAR", "True Pattern", IF($O106="Nopol", "True Semantic", IF($O106="RSRepair-A", "Evolutionary Search", IF($O106="SequenceR", "Deep Learning", IF($O106="SimFix", "Search Like Pattern", IF($O106="SketchFix", "True Pattern", IF($O106="SOFix", "True Pattern", IF($O106="ssFix", "Search Like Pattern", IF($O106="TBar", "True Pattern", ""))))))))))))))))))))</f>
        <v>True Pattern</v>
      </c>
      <c r="Q106" s="13" t="str">
        <f>IF(NOT(ISERR(SEARCH("*_Buggy",$A106))), "Buggy", IF(NOT(ISERR(SEARCH("*_Fixed",$A106))), "Fixed", IF(NOT(ISERR(SEARCH("*_Repaired",$A106))), "Repaired", "")))</f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>LEFT($A107,FIND("_",$A107)-1)</f>
        <v>AVATAR</v>
      </c>
      <c r="P107" s="13" t="str">
        <f>IF($O107="ACS", "True Search", IF($O107="Arja", "Evolutionary Search", IF($O107="AVATAR", "True Pattern", IF($O107="CapGen", "Search Like Pattern", IF($O107="Cardumen", "True Semantic", IF($O107="DynaMoth", "True Semantic", IF($O107="FixMiner", "True Pattern", IF($O107="GenProg-A", "Evolutionary Search", IF($O107="Hercules", "Learning Pattern", IF($O107="Jaid", "True Semantic",
IF($O107="Kali-A", "True Search", IF($O107="kPAR", "True Pattern", IF($O107="Nopol", "True Semantic", IF($O107="RSRepair-A", "Evolutionary Search", IF($O107="SequenceR", "Deep Learning", IF($O107="SimFix", "Search Like Pattern", IF($O107="SketchFix", "True Pattern", IF($O107="SOFix", "True Pattern", IF($O107="ssFix", "Search Like Pattern", IF($O107="TBar", "True Pattern", ""))))))))))))))))))))</f>
        <v>True Pattern</v>
      </c>
      <c r="Q107" s="13" t="str">
        <f>IF(NOT(ISERR(SEARCH("*_Buggy",$A107))), "Buggy", IF(NOT(ISERR(SEARCH("*_Fixed",$A107))), "Fixed", IF(NOT(ISERR(SEARCH("*_Repaired",$A107))), "Repaired", "")))</f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>LEFT($A108,FIND("_",$A108)-1)</f>
        <v>AVATAR</v>
      </c>
      <c r="P108" s="13" t="str">
        <f>IF($O108="ACS", "True Search", IF($O108="Arja", "Evolutionary Search", IF($O108="AVATAR", "True Pattern", IF($O108="CapGen", "Search Like Pattern", IF($O108="Cardumen", "True Semantic", IF($O108="DynaMoth", "True Semantic", IF($O108="FixMiner", "True Pattern", IF($O108="GenProg-A", "Evolutionary Search", IF($O108="Hercules", "Learning Pattern", IF($O108="Jaid", "True Semantic",
IF($O108="Kali-A", "True Search", IF($O108="kPAR", "True Pattern", IF($O108="Nopol", "True Semantic", IF($O108="RSRepair-A", "Evolutionary Search", IF($O108="SequenceR", "Deep Learning", IF($O108="SimFix", "Search Like Pattern", IF($O108="SketchFix", "True Pattern", IF($O108="SOFix", "True Pattern", IF($O108="ssFix", "Search Like Pattern", IF($O108="TBar", "True Pattern", ""))))))))))))))))))))</f>
        <v>True Pattern</v>
      </c>
      <c r="Q108" s="13" t="str">
        <f>IF(NOT(ISERR(SEARCH("*_Buggy",$A108))), "Buggy", IF(NOT(ISERR(SEARCH("*_Fixed",$A108))), "Fixed", IF(NOT(ISERR(SEARCH("*_Repaired",$A108))), "Repaired", "")))</f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>LEFT($A109,FIND("_",$A109)-1)</f>
        <v>AVATAR</v>
      </c>
      <c r="P109" s="13" t="str">
        <f>IF($O109="ACS", "True Search", IF($O109="Arja", "Evolutionary Search", IF($O109="AVATAR", "True Pattern", IF($O109="CapGen", "Search Like Pattern", IF($O109="Cardumen", "True Semantic", IF($O109="DynaMoth", "True Semantic", IF($O109="FixMiner", "True Pattern", IF($O109="GenProg-A", "Evolutionary Search", IF($O109="Hercules", "Learning Pattern", IF($O109="Jaid", "True Semantic",
IF($O109="Kali-A", "True Search", IF($O109="kPAR", "True Pattern", IF($O109="Nopol", "True Semantic", IF($O109="RSRepair-A", "Evolutionary Search", IF($O109="SequenceR", "Deep Learning", IF($O109="SimFix", "Search Like Pattern", IF($O109="SketchFix", "True Pattern", IF($O109="SOFix", "True Pattern", IF($O109="ssFix", "Search Like Pattern", IF($O109="TBar", "True Pattern", ""))))))))))))))))))))</f>
        <v>True Pattern</v>
      </c>
      <c r="Q109" s="13" t="str">
        <f>IF(NOT(ISERR(SEARCH("*_Buggy",$A109))), "Buggy", IF(NOT(ISERR(SEARCH("*_Fixed",$A109))), "Fixed", IF(NOT(ISERR(SEARCH("*_Repaired",$A109))), "Repaired", "")))</f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>LEFT($A110,FIND("_",$A110)-1)</f>
        <v>AVATAR</v>
      </c>
      <c r="P110" s="13" t="str">
        <f>IF($O110="ACS", "True Search", IF($O110="Arja", "Evolutionary Search", IF($O110="AVATAR", "True Pattern", IF($O110="CapGen", "Search Like Pattern", IF($O110="Cardumen", "True Semantic", IF($O110="DynaMoth", "True Semantic", IF($O110="FixMiner", "True Pattern", IF($O110="GenProg-A", "Evolutionary Search", IF($O110="Hercules", "Learning Pattern", IF($O110="Jaid", "True Semantic",
IF($O110="Kali-A", "True Search", IF($O110="kPAR", "True Pattern", IF($O110="Nopol", "True Semantic", IF($O110="RSRepair-A", "Evolutionary Search", IF($O110="SequenceR", "Deep Learning", IF($O110="SimFix", "Search Like Pattern", IF($O110="SketchFix", "True Pattern", IF($O110="SOFix", "True Pattern", IF($O110="ssFix", "Search Like Pattern", IF($O110="TBar", "True Pattern", ""))))))))))))))))))))</f>
        <v>True Pattern</v>
      </c>
      <c r="Q110" s="13" t="str">
        <f>IF(NOT(ISERR(SEARCH("*_Buggy",$A110))), "Buggy", IF(NOT(ISERR(SEARCH("*_Fixed",$A110))), "Fixed", IF(NOT(ISERR(SEARCH("*_Repaired",$A110))), "Repaired", "")))</f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>LEFT($A111,FIND("_",$A111)-1)</f>
        <v>AVATAR</v>
      </c>
      <c r="P111" s="13" t="str">
        <f>IF($O111="ACS", "True Search", IF($O111="Arja", "Evolutionary Search", IF($O111="AVATAR", "True Pattern", IF($O111="CapGen", "Search Like Pattern", IF($O111="Cardumen", "True Semantic", IF($O111="DynaMoth", "True Semantic", IF($O111="FixMiner", "True Pattern", IF($O111="GenProg-A", "Evolutionary Search", IF($O111="Hercules", "Learning Pattern", IF($O111="Jaid", "True Semantic",
IF($O111="Kali-A", "True Search", IF($O111="kPAR", "True Pattern", IF($O111="Nopol", "True Semantic", IF($O111="RSRepair-A", "Evolutionary Search", IF($O111="SequenceR", "Deep Learning", IF($O111="SimFix", "Search Like Pattern", IF($O111="SketchFix", "True Pattern", IF($O111="SOFix", "True Pattern", IF($O111="ssFix", "Search Like Pattern", IF($O111="TBar", "True Pattern", ""))))))))))))))))))))</f>
        <v>True Pattern</v>
      </c>
      <c r="Q111" s="13" t="str">
        <f>IF(NOT(ISERR(SEARCH("*_Buggy",$A111))), "Buggy", IF(NOT(ISERR(SEARCH("*_Fixed",$A111))), "Fixed", IF(NOT(ISERR(SEARCH("*_Repaired",$A111))), "Repaired", "")))</f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>LEFT($A112,FIND("_",$A112)-1)</f>
        <v>AVATAR</v>
      </c>
      <c r="P112" s="13" t="str">
        <f>IF($O112="ACS", "True Search", IF($O112="Arja", "Evolutionary Search", IF($O112="AVATAR", "True Pattern", IF($O112="CapGen", "Search Like Pattern", IF($O112="Cardumen", "True Semantic", IF($O112="DynaMoth", "True Semantic", IF($O112="FixMiner", "True Pattern", IF($O112="GenProg-A", "Evolutionary Search", IF($O112="Hercules", "Learning Pattern", IF($O112="Jaid", "True Semantic",
IF($O112="Kali-A", "True Search", IF($O112="kPAR", "True Pattern", IF($O112="Nopol", "True Semantic", IF($O112="RSRepair-A", "Evolutionary Search", IF($O112="SequenceR", "Deep Learning", IF($O112="SimFix", "Search Like Pattern", IF($O112="SketchFix", "True Pattern", IF($O112="SOFix", "True Pattern", IF($O112="ssFix", "Search Like Pattern", IF($O112="TBar", "True Pattern", ""))))))))))))))))))))</f>
        <v>True Pattern</v>
      </c>
      <c r="Q112" s="13" t="str">
        <f>IF(NOT(ISERR(SEARCH("*_Buggy",$A112))), "Buggy", IF(NOT(ISERR(SEARCH("*_Fixed",$A112))), "Fixed", IF(NOT(ISERR(SEARCH("*_Repaired",$A112))), "Repaired", "")))</f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>LEFT($A113,FIND("_",$A113)-1)</f>
        <v>AVATAR</v>
      </c>
      <c r="P113" s="13" t="str">
        <f>IF($O113="ACS", "True Search", IF($O113="Arja", "Evolutionary Search", IF($O113="AVATAR", "True Pattern", IF($O113="CapGen", "Search Like Pattern", IF($O113="Cardumen", "True Semantic", IF($O113="DynaMoth", "True Semantic", IF($O113="FixMiner", "True Pattern", IF($O113="GenProg-A", "Evolutionary Search", IF($O113="Hercules", "Learning Pattern", IF($O113="Jaid", "True Semantic",
IF($O113="Kali-A", "True Search", IF($O113="kPAR", "True Pattern", IF($O113="Nopol", "True Semantic", IF($O113="RSRepair-A", "Evolutionary Search", IF($O113="SequenceR", "Deep Learning", IF($O113="SimFix", "Search Like Pattern", IF($O113="SketchFix", "True Pattern", IF($O113="SOFix", "True Pattern", IF($O113="ssFix", "Search Like Pattern", IF($O113="TBar", "True Pattern", ""))))))))))))))))))))</f>
        <v>True Pattern</v>
      </c>
      <c r="Q113" s="13" t="str">
        <f>IF(NOT(ISERR(SEARCH("*_Buggy",$A113))), "Buggy", IF(NOT(ISERR(SEARCH("*_Fixed",$A113))), "Fixed", IF(NOT(ISERR(SEARCH("*_Repaired",$A113))), "Repaired", "")))</f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>LEFT($A114,FIND("_",$A114)-1)</f>
        <v>AVATAR</v>
      </c>
      <c r="P114" s="13" t="str">
        <f>IF($O114="ACS", "True Search", IF($O114="Arja", "Evolutionary Search", IF($O114="AVATAR", "True Pattern", IF($O114="CapGen", "Search Like Pattern", IF($O114="Cardumen", "True Semantic", IF($O114="DynaMoth", "True Semantic", IF($O114="FixMiner", "True Pattern", IF($O114="GenProg-A", "Evolutionary Search", IF($O114="Hercules", "Learning Pattern", IF($O114="Jaid", "True Semantic",
IF($O114="Kali-A", "True Search", IF($O114="kPAR", "True Pattern", IF($O114="Nopol", "True Semantic", IF($O114="RSRepair-A", "Evolutionary Search", IF($O114="SequenceR", "Deep Learning", IF($O114="SimFix", "Search Like Pattern", IF($O114="SketchFix", "True Pattern", IF($O114="SOFix", "True Pattern", IF($O114="ssFix", "Search Like Pattern", IF($O114="TBar", "True Pattern", ""))))))))))))))))))))</f>
        <v>True Pattern</v>
      </c>
      <c r="Q114" s="13" t="str">
        <f>IF(NOT(ISERR(SEARCH("*_Buggy",$A114))), "Buggy", IF(NOT(ISERR(SEARCH("*_Fixed",$A114))), "Fixed", IF(NOT(ISERR(SEARCH("*_Repaired",$A114))), "Repaired", "")))</f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>LEFT($A115,FIND("_",$A115)-1)</f>
        <v>AVATAR</v>
      </c>
      <c r="P115" s="13" t="str">
        <f>IF($O115="ACS", "True Search", IF($O115="Arja", "Evolutionary Search", IF($O115="AVATAR", "True Pattern", IF($O115="CapGen", "Search Like Pattern", IF($O115="Cardumen", "True Semantic", IF($O115="DynaMoth", "True Semantic", IF($O115="FixMiner", "True Pattern", IF($O115="GenProg-A", "Evolutionary Search", IF($O115="Hercules", "Learning Pattern", IF($O115="Jaid", "True Semantic",
IF($O115="Kali-A", "True Search", IF($O115="kPAR", "True Pattern", IF($O115="Nopol", "True Semantic", IF($O115="RSRepair-A", "Evolutionary Search", IF($O115="SequenceR", "Deep Learning", IF($O115="SimFix", "Search Like Pattern", IF($O115="SketchFix", "True Pattern", IF($O115="SOFix", "True Pattern", IF($O115="ssFix", "Search Like Pattern", IF($O115="TBar", "True Pattern", ""))))))))))))))))))))</f>
        <v>True Pattern</v>
      </c>
      <c r="Q115" s="13" t="str">
        <f>IF(NOT(ISERR(SEARCH("*_Buggy",$A115))), "Buggy", IF(NOT(ISERR(SEARCH("*_Fixed",$A115))), "Fixed", IF(NOT(ISERR(SEARCH("*_Repaired",$A115))), "Repaired", "")))</f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>LEFT($A116,FIND("_",$A116)-1)</f>
        <v>AVATAR</v>
      </c>
      <c r="P116" s="13" t="str">
        <f>IF($O116="ACS", "True Search", IF($O116="Arja", "Evolutionary Search", IF($O116="AVATAR", "True Pattern", IF($O116="CapGen", "Search Like Pattern", IF($O116="Cardumen", "True Semantic", IF($O116="DynaMoth", "True Semantic", IF($O116="FixMiner", "True Pattern", IF($O116="GenProg-A", "Evolutionary Search", IF($O116="Hercules", "Learning Pattern", IF($O116="Jaid", "True Semantic",
IF($O116="Kali-A", "True Search", IF($O116="kPAR", "True Pattern", IF($O116="Nopol", "True Semantic", IF($O116="RSRepair-A", "Evolutionary Search", IF($O116="SequenceR", "Deep Learning", IF($O116="SimFix", "Search Like Pattern", IF($O116="SketchFix", "True Pattern", IF($O116="SOFix", "True Pattern", IF($O116="ssFix", "Search Like Pattern", IF($O116="TBar", "True Pattern", ""))))))))))))))))))))</f>
        <v>True Pattern</v>
      </c>
      <c r="Q116" s="13" t="str">
        <f>IF(NOT(ISERR(SEARCH("*_Buggy",$A116))), "Buggy", IF(NOT(ISERR(SEARCH("*_Fixed",$A116))), "Fixed", IF(NOT(ISERR(SEARCH("*_Repaired",$A116))), "Repaired", "")))</f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>LEFT($A117,FIND("_",$A117)-1)</f>
        <v>AVATAR</v>
      </c>
      <c r="P117" s="13" t="str">
        <f>IF($O117="ACS", "True Search", IF($O117="Arja", "Evolutionary Search", IF($O117="AVATAR", "True Pattern", IF($O117="CapGen", "Search Like Pattern", IF($O117="Cardumen", "True Semantic", IF($O117="DynaMoth", "True Semantic", IF($O117="FixMiner", "True Pattern", IF($O117="GenProg-A", "Evolutionary Search", IF($O117="Hercules", "Learning Pattern", IF($O117="Jaid", "True Semantic",
IF($O117="Kali-A", "True Search", IF($O117="kPAR", "True Pattern", IF($O117="Nopol", "True Semantic", IF($O117="RSRepair-A", "Evolutionary Search", IF($O117="SequenceR", "Deep Learning", IF($O117="SimFix", "Search Like Pattern", IF($O117="SketchFix", "True Pattern", IF($O117="SOFix", "True Pattern", IF($O117="ssFix", "Search Like Pattern", IF($O117="TBar", "True Pattern", ""))))))))))))))))))))</f>
        <v>True Pattern</v>
      </c>
      <c r="Q117" s="13" t="str">
        <f>IF(NOT(ISERR(SEARCH("*_Buggy",$A117))), "Buggy", IF(NOT(ISERR(SEARCH("*_Fixed",$A117))), "Fixed", IF(NOT(ISERR(SEARCH("*_Repaired",$A117))), "Repaired", "")))</f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>LEFT($A118,FIND("_",$A118)-1)</f>
        <v>AVATAR</v>
      </c>
      <c r="P118" s="13" t="str">
        <f>IF($O118="ACS", "True Search", IF($O118="Arja", "Evolutionary Search", IF($O118="AVATAR", "True Pattern", IF($O118="CapGen", "Search Like Pattern", IF($O118="Cardumen", "True Semantic", IF($O118="DynaMoth", "True Semantic", IF($O118="FixMiner", "True Pattern", IF($O118="GenProg-A", "Evolutionary Search", IF($O118="Hercules", "Learning Pattern", IF($O118="Jaid", "True Semantic",
IF($O118="Kali-A", "True Search", IF($O118="kPAR", "True Pattern", IF($O118="Nopol", "True Semantic", IF($O118="RSRepair-A", "Evolutionary Search", IF($O118="SequenceR", "Deep Learning", IF($O118="SimFix", "Search Like Pattern", IF($O118="SketchFix", "True Pattern", IF($O118="SOFix", "True Pattern", IF($O118="ssFix", "Search Like Pattern", IF($O118="TBar", "True Pattern", ""))))))))))))))))))))</f>
        <v>True Pattern</v>
      </c>
      <c r="Q118" s="13" t="str">
        <f>IF(NOT(ISERR(SEARCH("*_Buggy",$A118))), "Buggy", IF(NOT(ISERR(SEARCH("*_Fixed",$A118))), "Fixed", IF(NOT(ISERR(SEARCH("*_Repaired",$A118))), "Repaired", "")))</f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>LEFT($A119,FIND("_",$A119)-1)</f>
        <v>AVATAR</v>
      </c>
      <c r="P119" s="13" t="str">
        <f>IF($O119="ACS", "True Search", IF($O119="Arja", "Evolutionary Search", IF($O119="AVATAR", "True Pattern", IF($O119="CapGen", "Search Like Pattern", IF($O119="Cardumen", "True Semantic", IF($O119="DynaMoth", "True Semantic", IF($O119="FixMiner", "True Pattern", IF($O119="GenProg-A", "Evolutionary Search", IF($O119="Hercules", "Learning Pattern", IF($O119="Jaid", "True Semantic",
IF($O119="Kali-A", "True Search", IF($O119="kPAR", "True Pattern", IF($O119="Nopol", "True Semantic", IF($O119="RSRepair-A", "Evolutionary Search", IF($O119="SequenceR", "Deep Learning", IF($O119="SimFix", "Search Like Pattern", IF($O119="SketchFix", "True Pattern", IF($O119="SOFix", "True Pattern", IF($O119="ssFix", "Search Like Pattern", IF($O119="TBar", "True Pattern", ""))))))))))))))))))))</f>
        <v>True Pattern</v>
      </c>
      <c r="Q119" s="13" t="str">
        <f>IF(NOT(ISERR(SEARCH("*_Buggy",$A119))), "Buggy", IF(NOT(ISERR(SEARCH("*_Fixed",$A119))), "Fixed", IF(NOT(ISERR(SEARCH("*_Repaired",$A119))), "Repaired", "")))</f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>LEFT($A120,FIND("_",$A120)-1)</f>
        <v>AVATAR</v>
      </c>
      <c r="P120" s="13" t="str">
        <f>IF($O120="ACS", "True Search", IF($O120="Arja", "Evolutionary Search", IF($O120="AVATAR", "True Pattern", IF($O120="CapGen", "Search Like Pattern", IF($O120="Cardumen", "True Semantic", IF($O120="DynaMoth", "True Semantic", IF($O120="FixMiner", "True Pattern", IF($O120="GenProg-A", "Evolutionary Search", IF($O120="Hercules", "Learning Pattern", IF($O120="Jaid", "True Semantic",
IF($O120="Kali-A", "True Search", IF($O120="kPAR", "True Pattern", IF($O120="Nopol", "True Semantic", IF($O120="RSRepair-A", "Evolutionary Search", IF($O120="SequenceR", "Deep Learning", IF($O120="SimFix", "Search Like Pattern", IF($O120="SketchFix", "True Pattern", IF($O120="SOFix", "True Pattern", IF($O120="ssFix", "Search Like Pattern", IF($O120="TBar", "True Pattern", ""))))))))))))))))))))</f>
        <v>True Pattern</v>
      </c>
      <c r="Q120" s="13" t="str">
        <f>IF(NOT(ISERR(SEARCH("*_Buggy",$A120))), "Buggy", IF(NOT(ISERR(SEARCH("*_Fixed",$A120))), "Fixed", IF(NOT(ISERR(SEARCH("*_Repaired",$A120))), "Repaired", "")))</f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>LEFT($A121,FIND("_",$A121)-1)</f>
        <v>AVATAR</v>
      </c>
      <c r="P121" s="13" t="str">
        <f>IF($O121="ACS", "True Search", IF($O121="Arja", "Evolutionary Search", IF($O121="AVATAR", "True Pattern", IF($O121="CapGen", "Search Like Pattern", IF($O121="Cardumen", "True Semantic", IF($O121="DynaMoth", "True Semantic", IF($O121="FixMiner", "True Pattern", IF($O121="GenProg-A", "Evolutionary Search", IF($O121="Hercules", "Learning Pattern", IF($O121="Jaid", "True Semantic",
IF($O121="Kali-A", "True Search", IF($O121="kPAR", "True Pattern", IF($O121="Nopol", "True Semantic", IF($O121="RSRepair-A", "Evolutionary Search", IF($O121="SequenceR", "Deep Learning", IF($O121="SimFix", "Search Like Pattern", IF($O121="SketchFix", "True Pattern", IF($O121="SOFix", "True Pattern", IF($O121="ssFix", "Search Like Pattern", IF($O121="TBar", "True Pattern", ""))))))))))))))))))))</f>
        <v>True Pattern</v>
      </c>
      <c r="Q121" s="13" t="str">
        <f>IF(NOT(ISERR(SEARCH("*_Buggy",$A121))), "Buggy", IF(NOT(ISERR(SEARCH("*_Fixed",$A121))), "Fixed", IF(NOT(ISERR(SEARCH("*_Repaired",$A121))), "Repaired", "")))</f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>LEFT($A122,FIND("_",$A122)-1)</f>
        <v>AVATAR</v>
      </c>
      <c r="P122" s="13" t="str">
        <f>IF($O122="ACS", "True Search", IF($O122="Arja", "Evolutionary Search", IF($O122="AVATAR", "True Pattern", IF($O122="CapGen", "Search Like Pattern", IF($O122="Cardumen", "True Semantic", IF($O122="DynaMoth", "True Semantic", IF($O122="FixMiner", "True Pattern", IF($O122="GenProg-A", "Evolutionary Search", IF($O122="Hercules", "Learning Pattern", IF($O122="Jaid", "True Semantic",
IF($O122="Kali-A", "True Search", IF($O122="kPAR", "True Pattern", IF($O122="Nopol", "True Semantic", IF($O122="RSRepair-A", "Evolutionary Search", IF($O122="SequenceR", "Deep Learning", IF($O122="SimFix", "Search Like Pattern", IF($O122="SketchFix", "True Pattern", IF($O122="SOFix", "True Pattern", IF($O122="ssFix", "Search Like Pattern", IF($O122="TBar", "True Pattern", ""))))))))))))))))))))</f>
        <v>True Pattern</v>
      </c>
      <c r="Q122" s="13" t="str">
        <f>IF(NOT(ISERR(SEARCH("*_Buggy",$A122))), "Buggy", IF(NOT(ISERR(SEARCH("*_Fixed",$A122))), "Fixed", IF(NOT(ISERR(SEARCH("*_Repaired",$A122))), "Repaired", "")))</f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>LEFT($A123,FIND("_",$A123)-1)</f>
        <v>AVATAR</v>
      </c>
      <c r="P123" s="13" t="str">
        <f>IF($O123="ACS", "True Search", IF($O123="Arja", "Evolutionary Search", IF($O123="AVATAR", "True Pattern", IF($O123="CapGen", "Search Like Pattern", IF($O123="Cardumen", "True Semantic", IF($O123="DynaMoth", "True Semantic", IF($O123="FixMiner", "True Pattern", IF($O123="GenProg-A", "Evolutionary Search", IF($O123="Hercules", "Learning Pattern", IF($O123="Jaid", "True Semantic",
IF($O123="Kali-A", "True Search", IF($O123="kPAR", "True Pattern", IF($O123="Nopol", "True Semantic", IF($O123="RSRepair-A", "Evolutionary Search", IF($O123="SequenceR", "Deep Learning", IF($O123="SimFix", "Search Like Pattern", IF($O123="SketchFix", "True Pattern", IF($O123="SOFix", "True Pattern", IF($O123="ssFix", "Search Like Pattern", IF($O123="TBar", "True Pattern", ""))))))))))))))))))))</f>
        <v>True Pattern</v>
      </c>
      <c r="Q123" s="13" t="str">
        <f>IF(NOT(ISERR(SEARCH("*_Buggy",$A123))), "Buggy", IF(NOT(ISERR(SEARCH("*_Fixed",$A123))), "Fixed", IF(NOT(ISERR(SEARCH("*_Repaired",$A123))), "Repaired", "")))</f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>LEFT($A124,FIND("_",$A124)-1)</f>
        <v>AVATAR</v>
      </c>
      <c r="P124" s="13" t="str">
        <f>IF($O124="ACS", "True Search", IF($O124="Arja", "Evolutionary Search", IF($O124="AVATAR", "True Pattern", IF($O124="CapGen", "Search Like Pattern", IF($O124="Cardumen", "True Semantic", IF($O124="DynaMoth", "True Semantic", IF($O124="FixMiner", "True Pattern", IF($O124="GenProg-A", "Evolutionary Search", IF($O124="Hercules", "Learning Pattern", IF($O124="Jaid", "True Semantic",
IF($O124="Kali-A", "True Search", IF($O124="kPAR", "True Pattern", IF($O124="Nopol", "True Semantic", IF($O124="RSRepair-A", "Evolutionary Search", IF($O124="SequenceR", "Deep Learning", IF($O124="SimFix", "Search Like Pattern", IF($O124="SketchFix", "True Pattern", IF($O124="SOFix", "True Pattern", IF($O124="ssFix", "Search Like Pattern", IF($O124="TBar", "True Pattern", ""))))))))))))))))))))</f>
        <v>True Pattern</v>
      </c>
      <c r="Q124" s="13" t="str">
        <f>IF(NOT(ISERR(SEARCH("*_Buggy",$A124))), "Buggy", IF(NOT(ISERR(SEARCH("*_Fixed",$A124))), "Fixed", IF(NOT(ISERR(SEARCH("*_Repaired",$A124))), "Repaired", "")))</f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>LEFT($A125,FIND("_",$A125)-1)</f>
        <v>AVATAR</v>
      </c>
      <c r="P125" s="13" t="str">
        <f>IF($O125="ACS", "True Search", IF($O125="Arja", "Evolutionary Search", IF($O125="AVATAR", "True Pattern", IF($O125="CapGen", "Search Like Pattern", IF($O125="Cardumen", "True Semantic", IF($O125="DynaMoth", "True Semantic", IF($O125="FixMiner", "True Pattern", IF($O125="GenProg-A", "Evolutionary Search", IF($O125="Hercules", "Learning Pattern", IF($O125="Jaid", "True Semantic",
IF($O125="Kali-A", "True Search", IF($O125="kPAR", "True Pattern", IF($O125="Nopol", "True Semantic", IF($O125="RSRepair-A", "Evolutionary Search", IF($O125="SequenceR", "Deep Learning", IF($O125="SimFix", "Search Like Pattern", IF($O125="SketchFix", "True Pattern", IF($O125="SOFix", "True Pattern", IF($O125="ssFix", "Search Like Pattern", IF($O125="TBar", "True Pattern", ""))))))))))))))))))))</f>
        <v>True Pattern</v>
      </c>
      <c r="Q125" s="13" t="str">
        <f>IF(NOT(ISERR(SEARCH("*_Buggy",$A125))), "Buggy", IF(NOT(ISERR(SEARCH("*_Fixed",$A125))), "Fixed", IF(NOT(ISERR(SEARCH("*_Repaired",$A125))), "Repaired", "")))</f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>LEFT($A126,FIND("_",$A126)-1)</f>
        <v>AVATAR</v>
      </c>
      <c r="P126" s="13" t="str">
        <f>IF($O126="ACS", "True Search", IF($O126="Arja", "Evolutionary Search", IF($O126="AVATAR", "True Pattern", IF($O126="CapGen", "Search Like Pattern", IF($O126="Cardumen", "True Semantic", IF($O126="DynaMoth", "True Semantic", IF($O126="FixMiner", "True Pattern", IF($O126="GenProg-A", "Evolutionary Search", IF($O126="Hercules", "Learning Pattern", IF($O126="Jaid", "True Semantic",
IF($O126="Kali-A", "True Search", IF($O126="kPAR", "True Pattern", IF($O126="Nopol", "True Semantic", IF($O126="RSRepair-A", "Evolutionary Search", IF($O126="SequenceR", "Deep Learning", IF($O126="SimFix", "Search Like Pattern", IF($O126="SketchFix", "True Pattern", IF($O126="SOFix", "True Pattern", IF($O126="ssFix", "Search Like Pattern", IF($O126="TBar", "True Pattern", ""))))))))))))))))))))</f>
        <v>True Pattern</v>
      </c>
      <c r="Q126" s="13" t="str">
        <f>IF(NOT(ISERR(SEARCH("*_Buggy",$A126))), "Buggy", IF(NOT(ISERR(SEARCH("*_Fixed",$A126))), "Fixed", IF(NOT(ISERR(SEARCH("*_Repaired",$A126))), "Repaired", "")))</f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>LEFT($A127,FIND("_",$A127)-1)</f>
        <v>AVATAR</v>
      </c>
      <c r="P127" s="13" t="str">
        <f>IF($O127="ACS", "True Search", IF($O127="Arja", "Evolutionary Search", IF($O127="AVATAR", "True Pattern", IF($O127="CapGen", "Search Like Pattern", IF($O127="Cardumen", "True Semantic", IF($O127="DynaMoth", "True Semantic", IF($O127="FixMiner", "True Pattern", IF($O127="GenProg-A", "Evolutionary Search", IF($O127="Hercules", "Learning Pattern", IF($O127="Jaid", "True Semantic",
IF($O127="Kali-A", "True Search", IF($O127="kPAR", "True Pattern", IF($O127="Nopol", "True Semantic", IF($O127="RSRepair-A", "Evolutionary Search", IF($O127="SequenceR", "Deep Learning", IF($O127="SimFix", "Search Like Pattern", IF($O127="SketchFix", "True Pattern", IF($O127="SOFix", "True Pattern", IF($O127="ssFix", "Search Like Pattern", IF($O127="TBar", "True Pattern", ""))))))))))))))))))))</f>
        <v>True Pattern</v>
      </c>
      <c r="Q127" s="13" t="str">
        <f>IF(NOT(ISERR(SEARCH("*_Buggy",$A127))), "Buggy", IF(NOT(ISERR(SEARCH("*_Fixed",$A127))), "Fixed", IF(NOT(ISERR(SEARCH("*_Repaired",$A127))), "Repaired", "")))</f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>LEFT($A128,FIND("_",$A128)-1)</f>
        <v>AVATAR</v>
      </c>
      <c r="P128" s="13" t="str">
        <f>IF($O128="ACS", "True Search", IF($O128="Arja", "Evolutionary Search", IF($O128="AVATAR", "True Pattern", IF($O128="CapGen", "Search Like Pattern", IF($O128="Cardumen", "True Semantic", IF($O128="DynaMoth", "True Semantic", IF($O128="FixMiner", "True Pattern", IF($O128="GenProg-A", "Evolutionary Search", IF($O128="Hercules", "Learning Pattern", IF($O128="Jaid", "True Semantic",
IF($O128="Kali-A", "True Search", IF($O128="kPAR", "True Pattern", IF($O128="Nopol", "True Semantic", IF($O128="RSRepair-A", "Evolutionary Search", IF($O128="SequenceR", "Deep Learning", IF($O128="SimFix", "Search Like Pattern", IF($O128="SketchFix", "True Pattern", IF($O128="SOFix", "True Pattern", IF($O128="ssFix", "Search Like Pattern", IF($O128="TBar", "True Pattern", ""))))))))))))))))))))</f>
        <v>True Pattern</v>
      </c>
      <c r="Q128" s="13" t="str">
        <f>IF(NOT(ISERR(SEARCH("*_Buggy",$A128))), "Buggy", IF(NOT(ISERR(SEARCH("*_Fixed",$A128))), "Fixed", IF(NOT(ISERR(SEARCH("*_Repaired",$A128))), "Repaired", "")))</f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>LEFT($A129,FIND("_",$A129)-1)</f>
        <v>AVATAR</v>
      </c>
      <c r="P129" s="13" t="str">
        <f>IF($O129="ACS", "True Search", IF($O129="Arja", "Evolutionary Search", IF($O129="AVATAR", "True Pattern", IF($O129="CapGen", "Search Like Pattern", IF($O129="Cardumen", "True Semantic", IF($O129="DynaMoth", "True Semantic", IF($O129="FixMiner", "True Pattern", IF($O129="GenProg-A", "Evolutionary Search", IF($O129="Hercules", "Learning Pattern", IF($O129="Jaid", "True Semantic",
IF($O129="Kali-A", "True Search", IF($O129="kPAR", "True Pattern", IF($O129="Nopol", "True Semantic", IF($O129="RSRepair-A", "Evolutionary Search", IF($O129="SequenceR", "Deep Learning", IF($O129="SimFix", "Search Like Pattern", IF($O129="SketchFix", "True Pattern", IF($O129="SOFix", "True Pattern", IF($O129="ssFix", "Search Like Pattern", IF($O129="TBar", "True Pattern", ""))))))))))))))))))))</f>
        <v>True Pattern</v>
      </c>
      <c r="Q129" s="13" t="str">
        <f>IF(NOT(ISERR(SEARCH("*_Buggy",$A129))), "Buggy", IF(NOT(ISERR(SEARCH("*_Fixed",$A129))), "Fixed", IF(NOT(ISERR(SEARCH("*_Repaired",$A129))), "Repaired", "")))</f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>LEFT($A130,FIND("_",$A130)-1)</f>
        <v>AVATAR</v>
      </c>
      <c r="P130" s="13" t="str">
        <f>IF($O130="ACS", "True Search", IF($O130="Arja", "Evolutionary Search", IF($O130="AVATAR", "True Pattern", IF($O130="CapGen", "Search Like Pattern", IF($O130="Cardumen", "True Semantic", IF($O130="DynaMoth", "True Semantic", IF($O130="FixMiner", "True Pattern", IF($O130="GenProg-A", "Evolutionary Search", IF($O130="Hercules", "Learning Pattern", IF($O130="Jaid", "True Semantic",
IF($O130="Kali-A", "True Search", IF($O130="kPAR", "True Pattern", IF($O130="Nopol", "True Semantic", IF($O130="RSRepair-A", "Evolutionary Search", IF($O130="SequenceR", "Deep Learning", IF($O130="SimFix", "Search Like Pattern", IF($O130="SketchFix", "True Pattern", IF($O130="SOFix", "True Pattern", IF($O130="ssFix", "Search Like Pattern", IF($O130="TBar", "True Pattern", ""))))))))))))))))))))</f>
        <v>True Pattern</v>
      </c>
      <c r="Q130" s="13" t="str">
        <f>IF(NOT(ISERR(SEARCH("*_Buggy",$A130))), "Buggy", IF(NOT(ISERR(SEARCH("*_Fixed",$A130))), "Fixed", IF(NOT(ISERR(SEARCH("*_Repaired",$A130))), "Repaired", "")))</f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>LEFT($A131,FIND("_",$A131)-1)</f>
        <v>AVATAR</v>
      </c>
      <c r="P131" s="13" t="str">
        <f>IF($O131="ACS", "True Search", IF($O131="Arja", "Evolutionary Search", IF($O131="AVATAR", "True Pattern", IF($O131="CapGen", "Search Like Pattern", IF($O131="Cardumen", "True Semantic", IF($O131="DynaMoth", "True Semantic", IF($O131="FixMiner", "True Pattern", IF($O131="GenProg-A", "Evolutionary Search", IF($O131="Hercules", "Learning Pattern", IF($O131="Jaid", "True Semantic",
IF($O131="Kali-A", "True Search", IF($O131="kPAR", "True Pattern", IF($O131="Nopol", "True Semantic", IF($O131="RSRepair-A", "Evolutionary Search", IF($O131="SequenceR", "Deep Learning", IF($O131="SimFix", "Search Like Pattern", IF($O131="SketchFix", "True Pattern", IF($O131="SOFix", "True Pattern", IF($O131="ssFix", "Search Like Pattern", IF($O131="TBar", "True Pattern", ""))))))))))))))))))))</f>
        <v>True Pattern</v>
      </c>
      <c r="Q131" s="13" t="str">
        <f>IF(NOT(ISERR(SEARCH("*_Buggy",$A131))), "Buggy", IF(NOT(ISERR(SEARCH("*_Fixed",$A131))), "Fixed", IF(NOT(ISERR(SEARCH("*_Repaired",$A131))), "Repaired", "")))</f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>LEFT($A132,FIND("_",$A132)-1)</f>
        <v>AVATAR</v>
      </c>
      <c r="P132" s="13" t="str">
        <f>IF($O132="ACS", "True Search", IF($O132="Arja", "Evolutionary Search", IF($O132="AVATAR", "True Pattern", IF($O132="CapGen", "Search Like Pattern", IF($O132="Cardumen", "True Semantic", IF($O132="DynaMoth", "True Semantic", IF($O132="FixMiner", "True Pattern", IF($O132="GenProg-A", "Evolutionary Search", IF($O132="Hercules", "Learning Pattern", IF($O132="Jaid", "True Semantic",
IF($O132="Kali-A", "True Search", IF($O132="kPAR", "True Pattern", IF($O132="Nopol", "True Semantic", IF($O132="RSRepair-A", "Evolutionary Search", IF($O132="SequenceR", "Deep Learning", IF($O132="SimFix", "Search Like Pattern", IF($O132="SketchFix", "True Pattern", IF($O132="SOFix", "True Pattern", IF($O132="ssFix", "Search Like Pattern", IF($O132="TBar", "True Pattern", ""))))))))))))))))))))</f>
        <v>True Pattern</v>
      </c>
      <c r="Q132" s="13" t="str">
        <f>IF(NOT(ISERR(SEARCH("*_Buggy",$A132))), "Buggy", IF(NOT(ISERR(SEARCH("*_Fixed",$A132))), "Fixed", IF(NOT(ISERR(SEARCH("*_Repaired",$A132))), "Repaired", "")))</f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>LEFT($A133,FIND("_",$A133)-1)</f>
        <v>AVATAR</v>
      </c>
      <c r="P133" s="13" t="str">
        <f>IF($O133="ACS", "True Search", IF($O133="Arja", "Evolutionary Search", IF($O133="AVATAR", "True Pattern", IF($O133="CapGen", "Search Like Pattern", IF($O133="Cardumen", "True Semantic", IF($O133="DynaMoth", "True Semantic", IF($O133="FixMiner", "True Pattern", IF($O133="GenProg-A", "Evolutionary Search", IF($O133="Hercules", "Learning Pattern", IF($O133="Jaid", "True Semantic",
IF($O133="Kali-A", "True Search", IF($O133="kPAR", "True Pattern", IF($O133="Nopol", "True Semantic", IF($O133="RSRepair-A", "Evolutionary Search", IF($O133="SequenceR", "Deep Learning", IF($O133="SimFix", "Search Like Pattern", IF($O133="SketchFix", "True Pattern", IF($O133="SOFix", "True Pattern", IF($O133="ssFix", "Search Like Pattern", IF($O133="TBar", "True Pattern", ""))))))))))))))))))))</f>
        <v>True Pattern</v>
      </c>
      <c r="Q133" s="13" t="str">
        <f>IF(NOT(ISERR(SEARCH("*_Buggy",$A133))), "Buggy", IF(NOT(ISERR(SEARCH("*_Fixed",$A133))), "Fixed", IF(NOT(ISERR(SEARCH("*_Repaired",$A133))), "Repaired", "")))</f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>LEFT($A134,FIND("_",$A134)-1)</f>
        <v>AVATAR</v>
      </c>
      <c r="P134" s="13" t="str">
        <f>IF($O134="ACS", "True Search", IF($O134="Arja", "Evolutionary Search", IF($O134="AVATAR", "True Pattern", IF($O134="CapGen", "Search Like Pattern", IF($O134="Cardumen", "True Semantic", IF($O134="DynaMoth", "True Semantic", IF($O134="FixMiner", "True Pattern", IF($O134="GenProg-A", "Evolutionary Search", IF($O134="Hercules", "Learning Pattern", IF($O134="Jaid", "True Semantic",
IF($O134="Kali-A", "True Search", IF($O134="kPAR", "True Pattern", IF($O134="Nopol", "True Semantic", IF($O134="RSRepair-A", "Evolutionary Search", IF($O134="SequenceR", "Deep Learning", IF($O134="SimFix", "Search Like Pattern", IF($O134="SketchFix", "True Pattern", IF($O134="SOFix", "True Pattern", IF($O134="ssFix", "Search Like Pattern", IF($O134="TBar", "True Pattern", ""))))))))))))))))))))</f>
        <v>True Pattern</v>
      </c>
      <c r="Q134" s="13" t="str">
        <f>IF(NOT(ISERR(SEARCH("*_Buggy",$A134))), "Buggy", IF(NOT(ISERR(SEARCH("*_Fixed",$A134))), "Fixed", IF(NOT(ISERR(SEARCH("*_Repaired",$A134))), "Repaired", "")))</f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>LEFT($A135,FIND("_",$A135)-1)</f>
        <v>AVATAR</v>
      </c>
      <c r="P135" s="13" t="str">
        <f>IF($O135="ACS", "True Search", IF($O135="Arja", "Evolutionary Search", IF($O135="AVATAR", "True Pattern", IF($O135="CapGen", "Search Like Pattern", IF($O135="Cardumen", "True Semantic", IF($O135="DynaMoth", "True Semantic", IF($O135="FixMiner", "True Pattern", IF($O135="GenProg-A", "Evolutionary Search", IF($O135="Hercules", "Learning Pattern", IF($O135="Jaid", "True Semantic",
IF($O135="Kali-A", "True Search", IF($O135="kPAR", "True Pattern", IF($O135="Nopol", "True Semantic", IF($O135="RSRepair-A", "Evolutionary Search", IF($O135="SequenceR", "Deep Learning", IF($O135="SimFix", "Search Like Pattern", IF($O135="SketchFix", "True Pattern", IF($O135="SOFix", "True Pattern", IF($O135="ssFix", "Search Like Pattern", IF($O135="TBar", "True Pattern", ""))))))))))))))))))))</f>
        <v>True Pattern</v>
      </c>
      <c r="Q135" s="13" t="str">
        <f>IF(NOT(ISERR(SEARCH("*_Buggy",$A135))), "Buggy", IF(NOT(ISERR(SEARCH("*_Fixed",$A135))), "Fixed", IF(NOT(ISERR(SEARCH("*_Repaired",$A135))), "Repaired", "")))</f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>LEFT($A136,FIND("_",$A136)-1)</f>
        <v>AVATAR</v>
      </c>
      <c r="P136" s="13" t="str">
        <f>IF($O136="ACS", "True Search", IF($O136="Arja", "Evolutionary Search", IF($O136="AVATAR", "True Pattern", IF($O136="CapGen", "Search Like Pattern", IF($O136="Cardumen", "True Semantic", IF($O136="DynaMoth", "True Semantic", IF($O136="FixMiner", "True Pattern", IF($O136="GenProg-A", "Evolutionary Search", IF($O136="Hercules", "Learning Pattern", IF($O136="Jaid", "True Semantic",
IF($O136="Kali-A", "True Search", IF($O136="kPAR", "True Pattern", IF($O136="Nopol", "True Semantic", IF($O136="RSRepair-A", "Evolutionary Search", IF($O136="SequenceR", "Deep Learning", IF($O136="SimFix", "Search Like Pattern", IF($O136="SketchFix", "True Pattern", IF($O136="SOFix", "True Pattern", IF($O136="ssFix", "Search Like Pattern", IF($O136="TBar", "True Pattern", ""))))))))))))))))))))</f>
        <v>True Pattern</v>
      </c>
      <c r="Q136" s="13" t="str">
        <f>IF(NOT(ISERR(SEARCH("*_Buggy",$A136))), "Buggy", IF(NOT(ISERR(SEARCH("*_Fixed",$A136))), "Fixed", IF(NOT(ISERR(SEARCH("*_Repaired",$A136))), "Repaired", "")))</f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>LEFT($A137,FIND("_",$A137)-1)</f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>IF(NOT(ISERR(SEARCH("*_Buggy",$A137))), "Buggy", IF(NOT(ISERR(SEARCH("*_Fixed",$A137))), "Fixed", IF(NOT(ISERR(SEARCH("*_Repaired",$A137))), "Repaired", "")))</f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>LEFT($A138,FIND("_",$A138)-1)</f>
        <v>DynaMoth</v>
      </c>
      <c r="P138" s="13" t="str">
        <f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>IF(NOT(ISERR(SEARCH("*_Buggy",$A138))), "Buggy", IF(NOT(ISERR(SEARCH("*_Fixed",$A138))), "Fixed", IF(NOT(ISERR(SEARCH("*_Repaired",$A138))), "Repaired", "")))</f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>LEFT($A139,FIND("_",$A139)-1)</f>
        <v>DynaMoth</v>
      </c>
      <c r="P139" s="13" t="str">
        <f>IF($O139="ACS", "True Search", IF($O139="Arja", "Evolutionary Search", IF($O139="AVATAR", "True Pattern", IF($O139="CapGen", "Search Like Pattern", IF($O139="Cardumen", "True Semantic", IF($O139="DynaMoth", "True Semantic", IF($O139="FixMiner", "True Pattern", IF($O139="GenProg-A", "Evolutionary Search", IF($O139="Hercules", "Learning Pattern", IF($O139="Jaid", "True Semantic",
IF($O139="Kali-A", "True Search", IF($O139="kPAR", "True Pattern", IF($O139="Nopol", "True Semantic", IF($O139="RSRepair-A", "Evolutionary Search", IF($O139="SequenceR", "Deep Learning", IF($O139="SimFix", "Search Like Pattern", IF($O139="SketchFix", "True Pattern", IF($O139="SOFix", "True Pattern", IF($O139="ssFix", "Search Like Pattern", IF($O139="TBar", "True Pattern", ""))))))))))))))))))))</f>
        <v>True Semantic</v>
      </c>
      <c r="Q139" s="13" t="str">
        <f>IF(NOT(ISERR(SEARCH("*_Buggy",$A139))), "Buggy", IF(NOT(ISERR(SEARCH("*_Fixed",$A139))), "Fixed", IF(NOT(ISERR(SEARCH("*_Repaired",$A139))), "Repaired", "")))</f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>LEFT($A140,FIND("_",$A140)-1)</f>
        <v>DynaMoth</v>
      </c>
      <c r="P140" s="13" t="str">
        <f>IF($O140="ACS", "True Search", IF($O140="Arja", "Evolutionary Search", IF($O140="AVATAR", "True Pattern", IF($O140="CapGen", "Search Like Pattern", IF($O140="Cardumen", "True Semantic", IF($O140="DynaMoth", "True Semantic", IF($O140="FixMiner", "True Pattern", IF($O140="GenProg-A", "Evolutionary Search", IF($O140="Hercules", "Learning Pattern", IF($O140="Jaid", "True Semantic",
IF($O140="Kali-A", "True Search", IF($O140="kPAR", "True Pattern", IF($O140="Nopol", "True Semantic", IF($O140="RSRepair-A", "Evolutionary Search", IF($O140="SequenceR", "Deep Learning", IF($O140="SimFix", "Search Like Pattern", IF($O140="SketchFix", "True Pattern", IF($O140="SOFix", "True Pattern", IF($O140="ssFix", "Search Like Pattern", IF($O140="TBar", "True Pattern", ""))))))))))))))))))))</f>
        <v>True Semantic</v>
      </c>
      <c r="Q140" s="13" t="str">
        <f>IF(NOT(ISERR(SEARCH("*_Buggy",$A140))), "Buggy", IF(NOT(ISERR(SEARCH("*_Fixed",$A140))), "Fixed", IF(NOT(ISERR(SEARCH("*_Repaired",$A140))), "Repaired", "")))</f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>LEFT($A141,FIND("_",$A141)-1)</f>
        <v>DynaMoth</v>
      </c>
      <c r="P141" s="13" t="str">
        <f>IF($O141="ACS", "True Search", IF($O141="Arja", "Evolutionary Search", IF($O141="AVATAR", "True Pattern", IF($O141="CapGen", "Search Like Pattern", IF($O141="Cardumen", "True Semantic", IF($O141="DynaMoth", "True Semantic", IF($O141="FixMiner", "True Pattern", IF($O141="GenProg-A", "Evolutionary Search", IF($O141="Hercules", "Learning Pattern", IF($O141="Jaid", "True Semantic",
IF($O141="Kali-A", "True Search", IF($O141="kPAR", "True Pattern", IF($O141="Nopol", "True Semantic", IF($O141="RSRepair-A", "Evolutionary Search", IF($O141="SequenceR", "Deep Learning", IF($O141="SimFix", "Search Like Pattern", IF($O141="SketchFix", "True Pattern", IF($O141="SOFix", "True Pattern", IF($O141="ssFix", "Search Like Pattern", IF($O141="TBar", "True Pattern", ""))))))))))))))))))))</f>
        <v>True Semantic</v>
      </c>
      <c r="Q141" s="13" t="str">
        <f>IF(NOT(ISERR(SEARCH("*_Buggy",$A141))), "Buggy", IF(NOT(ISERR(SEARCH("*_Fixed",$A141))), "Fixed", IF(NOT(ISERR(SEARCH("*_Repaired",$A141))), "Repaired", "")))</f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>LEFT($A142,FIND("_",$A142)-1)</f>
        <v>DynaMoth</v>
      </c>
      <c r="P142" s="13" t="str">
        <f>IF($O142="ACS", "True Search", IF($O142="Arja", "Evolutionary Search", IF($O142="AVATAR", "True Pattern", IF($O142="CapGen", "Search Like Pattern", IF($O142="Cardumen", "True Semantic", IF($O142="DynaMoth", "True Semantic", IF($O142="FixMiner", "True Pattern", IF($O142="GenProg-A", "Evolutionary Search", IF($O142="Hercules", "Learning Pattern", IF($O142="Jaid", "True Semantic",
IF($O142="Kali-A", "True Search", IF($O142="kPAR", "True Pattern", IF($O142="Nopol", "True Semantic", IF($O142="RSRepair-A", "Evolutionary Search", IF($O142="SequenceR", "Deep Learning", IF($O142="SimFix", "Search Like Pattern", IF($O142="SketchFix", "True Pattern", IF($O142="SOFix", "True Pattern", IF($O142="ssFix", "Search Like Pattern", IF($O142="TBar", "True Pattern", ""))))))))))))))))))))</f>
        <v>True Semantic</v>
      </c>
      <c r="Q142" s="13" t="str">
        <f>IF(NOT(ISERR(SEARCH("*_Buggy",$A142))), "Buggy", IF(NOT(ISERR(SEARCH("*_Fixed",$A142))), "Fixed", IF(NOT(ISERR(SEARCH("*_Repaired",$A142))), "Repaired", "")))</f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>LEFT($A143,FIND("_",$A143)-1)</f>
        <v>DynaMoth</v>
      </c>
      <c r="P143" s="13" t="str">
        <f>IF($O143="ACS", "True Search", IF($O143="Arja", "Evolutionary Search", IF($O143="AVATAR", "True Pattern", IF($O143="CapGen", "Search Like Pattern", IF($O143="Cardumen", "True Semantic", IF($O143="DynaMoth", "True Semantic", IF($O143="FixMiner", "True Pattern", IF($O143="GenProg-A", "Evolutionary Search", IF($O143="Hercules", "Learning Pattern", IF($O143="Jaid", "True Semantic",
IF($O143="Kali-A", "True Search", IF($O143="kPAR", "True Pattern", IF($O143="Nopol", "True Semantic", IF($O143="RSRepair-A", "Evolutionary Search", IF($O143="SequenceR", "Deep Learning", IF($O143="SimFix", "Search Like Pattern", IF($O143="SketchFix", "True Pattern", IF($O143="SOFix", "True Pattern", IF($O143="ssFix", "Search Like Pattern", IF($O143="TBar", "True Pattern", ""))))))))))))))))))))</f>
        <v>True Semantic</v>
      </c>
      <c r="Q143" s="13" t="str">
        <f>IF(NOT(ISERR(SEARCH("*_Buggy",$A143))), "Buggy", IF(NOT(ISERR(SEARCH("*_Fixed",$A143))), "Fixed", IF(NOT(ISERR(SEARCH("*_Repaired",$A143))), "Repaired", "")))</f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>LEFT($A144,FIND("_",$A144)-1)</f>
        <v>DynaMoth</v>
      </c>
      <c r="P144" s="13" t="str">
        <f>IF($O144="ACS", "True Search", IF($O144="Arja", "Evolutionary Search", IF($O144="AVATAR", "True Pattern", IF($O144="CapGen", "Search Like Pattern", IF($O144="Cardumen", "True Semantic", IF($O144="DynaMoth", "True Semantic", IF($O144="FixMiner", "True Pattern", IF($O144="GenProg-A", "Evolutionary Search", IF($O144="Hercules", "Learning Pattern", IF($O144="Jaid", "True Semantic",
IF($O144="Kali-A", "True Search", IF($O144="kPAR", "True Pattern", IF($O144="Nopol", "True Semantic", IF($O144="RSRepair-A", "Evolutionary Search", IF($O144="SequenceR", "Deep Learning", IF($O144="SimFix", "Search Like Pattern", IF($O144="SketchFix", "True Pattern", IF($O144="SOFix", "True Pattern", IF($O144="ssFix", "Search Like Pattern", IF($O144="TBar", "True Pattern", ""))))))))))))))))))))</f>
        <v>True Semantic</v>
      </c>
      <c r="Q144" s="13" t="str">
        <f>IF(NOT(ISERR(SEARCH("*_Buggy",$A144))), "Buggy", IF(NOT(ISERR(SEARCH("*_Fixed",$A144))), "Fixed", IF(NOT(ISERR(SEARCH("*_Repaired",$A144))), "Repaired", "")))</f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>LEFT($A145,FIND("_",$A145)-1)</f>
        <v>DynaMoth</v>
      </c>
      <c r="P145" s="13" t="str">
        <f>IF($O145="ACS", "True Search", IF($O145="Arja", "Evolutionary Search", IF($O145="AVATAR", "True Pattern", IF($O145="CapGen", "Search Like Pattern", IF($O145="Cardumen", "True Semantic", IF($O145="DynaMoth", "True Semantic", IF($O145="FixMiner", "True Pattern", IF($O145="GenProg-A", "Evolutionary Search", IF($O145="Hercules", "Learning Pattern", IF($O145="Jaid", "True Semantic",
IF($O145="Kali-A", "True Search", IF($O145="kPAR", "True Pattern", IF($O145="Nopol", "True Semantic", IF($O145="RSRepair-A", "Evolutionary Search", IF($O145="SequenceR", "Deep Learning", IF($O145="SimFix", "Search Like Pattern", IF($O145="SketchFix", "True Pattern", IF($O145="SOFix", "True Pattern", IF($O145="ssFix", "Search Like Pattern", IF($O145="TBar", "True Pattern", ""))))))))))))))))))))</f>
        <v>True Semantic</v>
      </c>
      <c r="Q145" s="13" t="str">
        <f>IF(NOT(ISERR(SEARCH("*_Buggy",$A145))), "Buggy", IF(NOT(ISERR(SEARCH("*_Fixed",$A145))), "Fixed", IF(NOT(ISERR(SEARCH("*_Repaired",$A145))), "Repaired", "")))</f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>LEFT($A146,FIND("_",$A146)-1)</f>
        <v>DynaMoth</v>
      </c>
      <c r="P146" s="13" t="str">
        <f>IF($O146="ACS", "True Search", IF($O146="Arja", "Evolutionary Search", IF($O146="AVATAR", "True Pattern", IF($O146="CapGen", "Search Like Pattern", IF($O146="Cardumen", "True Semantic", IF($O146="DynaMoth", "True Semantic", IF($O146="FixMiner", "True Pattern", IF($O146="GenProg-A", "Evolutionary Search", IF($O146="Hercules", "Learning Pattern", IF($O146="Jaid", "True Semantic",
IF($O146="Kali-A", "True Search", IF($O146="kPAR", "True Pattern", IF($O146="Nopol", "True Semantic", IF($O146="RSRepair-A", "Evolutionary Search", IF($O146="SequenceR", "Deep Learning", IF($O146="SimFix", "Search Like Pattern", IF($O146="SketchFix", "True Pattern", IF($O146="SOFix", "True Pattern", IF($O146="ssFix", "Search Like Pattern", IF($O146="TBar", "True Pattern", ""))))))))))))))))))))</f>
        <v>True Semantic</v>
      </c>
      <c r="Q146" s="13" t="str">
        <f>IF(NOT(ISERR(SEARCH("*_Buggy",$A146))), "Buggy", IF(NOT(ISERR(SEARCH("*_Fixed",$A146))), "Fixed", IF(NOT(ISERR(SEARCH("*_Repaired",$A146))), "Repaired", "")))</f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>LEFT($A147,FIND("_",$A147)-1)</f>
        <v>DynaMoth</v>
      </c>
      <c r="P147" s="13" t="str">
        <f>IF($O147="ACS", "True Search", IF($O147="Arja", "Evolutionary Search", IF($O147="AVATAR", "True Pattern", IF($O147="CapGen", "Search Like Pattern", IF($O147="Cardumen", "True Semantic", IF($O147="DynaMoth", "True Semantic", IF($O147="FixMiner", "True Pattern", IF($O147="GenProg-A", "Evolutionary Search", IF($O147="Hercules", "Learning Pattern", IF($O147="Jaid", "True Semantic",
IF($O147="Kali-A", "True Search", IF($O147="kPAR", "True Pattern", IF($O147="Nopol", "True Semantic", IF($O147="RSRepair-A", "Evolutionary Search", IF($O147="SequenceR", "Deep Learning", IF($O147="SimFix", "Search Like Pattern", IF($O147="SketchFix", "True Pattern", IF($O147="SOFix", "True Pattern", IF($O147="ssFix", "Search Like Pattern", IF($O147="TBar", "True Pattern", ""))))))))))))))))))))</f>
        <v>True Semantic</v>
      </c>
      <c r="Q147" s="13" t="str">
        <f>IF(NOT(ISERR(SEARCH("*_Buggy",$A147))), "Buggy", IF(NOT(ISERR(SEARCH("*_Fixed",$A147))), "Fixed", IF(NOT(ISERR(SEARCH("*_Repaired",$A147))), "Repaired", "")))</f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>LEFT($A148,FIND("_",$A148)-1)</f>
        <v>DynaMoth</v>
      </c>
      <c r="P148" s="13" t="str">
        <f>IF($O148="ACS", "True Search", IF($O148="Arja", "Evolutionary Search", IF($O148="AVATAR", "True Pattern", IF($O148="CapGen", "Search Like Pattern", IF($O148="Cardumen", "True Semantic", IF($O148="DynaMoth", "True Semantic", IF($O148="FixMiner", "True Pattern", IF($O148="GenProg-A", "Evolutionary Search", IF($O148="Hercules", "Learning Pattern", IF($O148="Jaid", "True Semantic",
IF($O148="Kali-A", "True Search", IF($O148="kPAR", "True Pattern", IF($O148="Nopol", "True Semantic", IF($O148="RSRepair-A", "Evolutionary Search", IF($O148="SequenceR", "Deep Learning", IF($O148="SimFix", "Search Like Pattern", IF($O148="SketchFix", "True Pattern", IF($O148="SOFix", "True Pattern", IF($O148="ssFix", "Search Like Pattern", IF($O148="TBar", "True Pattern", ""))))))))))))))))))))</f>
        <v>True Semantic</v>
      </c>
      <c r="Q148" s="13" t="str">
        <f>IF(NOT(ISERR(SEARCH("*_Buggy",$A148))), "Buggy", IF(NOT(ISERR(SEARCH("*_Fixed",$A148))), "Fixed", IF(NOT(ISERR(SEARCH("*_Repaired",$A148))), "Repaired", "")))</f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>LEFT($A149,FIND("_",$A149)-1)</f>
        <v>DynaMoth</v>
      </c>
      <c r="P149" s="13" t="str">
        <f>IF($O149="ACS", "True Search", IF($O149="Arja", "Evolutionary Search", IF($O149="AVATAR", "True Pattern", IF($O149="CapGen", "Search Like Pattern", IF($O149="Cardumen", "True Semantic", IF($O149="DynaMoth", "True Semantic", IF($O149="FixMiner", "True Pattern", IF($O149="GenProg-A", "Evolutionary Search", IF($O149="Hercules", "Learning Pattern", IF($O149="Jaid", "True Semantic",
IF($O149="Kali-A", "True Search", IF($O149="kPAR", "True Pattern", IF($O149="Nopol", "True Semantic", IF($O149="RSRepair-A", "Evolutionary Search", IF($O149="SequenceR", "Deep Learning", IF($O149="SimFix", "Search Like Pattern", IF($O149="SketchFix", "True Pattern", IF($O149="SOFix", "True Pattern", IF($O149="ssFix", "Search Like Pattern", IF($O149="TBar", "True Pattern", ""))))))))))))))))))))</f>
        <v>True Semantic</v>
      </c>
      <c r="Q149" s="13" t="str">
        <f>IF(NOT(ISERR(SEARCH("*_Buggy",$A149))), "Buggy", IF(NOT(ISERR(SEARCH("*_Fixed",$A149))), "Fixed", IF(NOT(ISERR(SEARCH("*_Repaired",$A149))), "Repaired", "")))</f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>LEFT($A150,FIND("_",$A150)-1)</f>
        <v>DynaMoth</v>
      </c>
      <c r="P150" s="13" t="str">
        <f>IF($O150="ACS", "True Search", IF($O150="Arja", "Evolutionary Search", IF($O150="AVATAR", "True Pattern", IF($O150="CapGen", "Search Like Pattern", IF($O150="Cardumen", "True Semantic", IF($O150="DynaMoth", "True Semantic", IF($O150="FixMiner", "True Pattern", IF($O150="GenProg-A", "Evolutionary Search", IF($O150="Hercules", "Learning Pattern", IF($O150="Jaid", "True Semantic",
IF($O150="Kali-A", "True Search", IF($O150="kPAR", "True Pattern", IF($O150="Nopol", "True Semantic", IF($O150="RSRepair-A", "Evolutionary Search", IF($O150="SequenceR", "Deep Learning", IF($O150="SimFix", "Search Like Pattern", IF($O150="SketchFix", "True Pattern", IF($O150="SOFix", "True Pattern", IF($O150="ssFix", "Search Like Pattern", IF($O150="TBar", "True Pattern", ""))))))))))))))))))))</f>
        <v>True Semantic</v>
      </c>
      <c r="Q150" s="13" t="str">
        <f>IF(NOT(ISERR(SEARCH("*_Buggy",$A150))), "Buggy", IF(NOT(ISERR(SEARCH("*_Fixed",$A150))), "Fixed", IF(NOT(ISERR(SEARCH("*_Repaired",$A150))), "Repaired", "")))</f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>LEFT($A151,FIND("_",$A151)-1)</f>
        <v>DynaMoth</v>
      </c>
      <c r="P151" s="13" t="str">
        <f>IF($O151="ACS", "True Search", IF($O151="Arja", "Evolutionary Search", IF($O151="AVATAR", "True Pattern", IF($O151="CapGen", "Search Like Pattern", IF($O151="Cardumen", "True Semantic", IF($O151="DynaMoth", "True Semantic", IF($O151="FixMiner", "True Pattern", IF($O151="GenProg-A", "Evolutionary Search", IF($O151="Hercules", "Learning Pattern", IF($O151="Jaid", "True Semantic",
IF($O151="Kali-A", "True Search", IF($O151="kPAR", "True Pattern", IF($O151="Nopol", "True Semantic", IF($O151="RSRepair-A", "Evolutionary Search", IF($O151="SequenceR", "Deep Learning", IF($O151="SimFix", "Search Like Pattern", IF($O151="SketchFix", "True Pattern", IF($O151="SOFix", "True Pattern", IF($O151="ssFix", "Search Like Pattern", IF($O151="TBar", "True Pattern", ""))))))))))))))))))))</f>
        <v>True Semantic</v>
      </c>
      <c r="Q151" s="13" t="str">
        <f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>LEFT($A152,FIND("_",$A152)-1)</f>
        <v>DynaMoth</v>
      </c>
      <c r="P152" s="13" t="str">
        <f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>IF(NOT(ISERR(SEARCH("*_Buggy",$A152))), "Buggy", IF(NOT(ISERR(SEARCH("*_Fixed",$A152))), "Fixed", IF(NOT(ISERR(SEARCH("*_Repaired",$A152))), "Repaired", "")))</f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>LEFT($A153,FIND("_",$A153)-1)</f>
        <v>DynaMoth</v>
      </c>
      <c r="P153" s="13" t="str">
        <f>IF($O153="ACS", "True Search", IF($O153="Arja", "Evolutionary Search", IF($O153="AVATAR", "True Pattern", IF($O153="CapGen", "Search Like Pattern", IF($O153="Cardumen", "True Semantic", IF($O153="DynaMoth", "True Semantic", IF($O153="FixMiner", "True Pattern", IF($O153="GenProg-A", "Evolutionary Search", IF($O153="Hercules", "Learning Pattern", IF($O153="Jaid", "True Semantic",
IF($O153="Kali-A", "True Search", IF($O153="kPAR", "True Pattern", IF($O153="Nopol", "True Semantic", IF($O153="RSRepair-A", "Evolutionary Search", IF($O153="SequenceR", "Deep Learning", IF($O153="SimFix", "Search Like Pattern", IF($O153="SketchFix", "True Pattern", IF($O153="SOFix", "True Pattern", IF($O153="ssFix", "Search Like Pattern", IF($O153="TBar", "True Pattern", ""))))))))))))))))))))</f>
        <v>True Semantic</v>
      </c>
      <c r="Q153" s="13" t="str">
        <f>IF(NOT(ISERR(SEARCH("*_Buggy",$A153))), "Buggy", IF(NOT(ISERR(SEARCH("*_Fixed",$A153))), "Fixed", IF(NOT(ISERR(SEARCH("*_Repaired",$A153))), "Repaired", "")))</f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>LEFT($A154,FIND("_",$A154)-1)</f>
        <v>DynaMoth</v>
      </c>
      <c r="P154" s="13" t="str">
        <f>IF($O154="ACS", "True Search", IF($O154="Arja", "Evolutionary Search", IF($O154="AVATAR", "True Pattern", IF($O154="CapGen", "Search Like Pattern", IF($O154="Cardumen", "True Semantic", IF($O154="DynaMoth", "True Semantic", IF($O154="FixMiner", "True Pattern", IF($O154="GenProg-A", "Evolutionary Search", IF($O154="Hercules", "Learning Pattern", IF($O154="Jaid", "True Semantic",
IF($O154="Kali-A", "True Search", IF($O154="kPAR", "True Pattern", IF($O154="Nopol", "True Semantic", IF($O154="RSRepair-A", "Evolutionary Search", IF($O154="SequenceR", "Deep Learning", IF($O154="SimFix", "Search Like Pattern", IF($O154="SketchFix", "True Pattern", IF($O154="SOFix", "True Pattern", IF($O154="ssFix", "Search Like Pattern", IF($O154="TBar", "True Pattern", ""))))))))))))))))))))</f>
        <v>True Semantic</v>
      </c>
      <c r="Q154" s="13" t="str">
        <f>IF(NOT(ISERR(SEARCH("*_Buggy",$A154))), "Buggy", IF(NOT(ISERR(SEARCH("*_Fixed",$A154))), "Fixed", IF(NOT(ISERR(SEARCH("*_Repaired",$A154))), "Repaired", "")))</f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>LEFT($A155,FIND("_",$A155)-1)</f>
        <v>DynaMoth</v>
      </c>
      <c r="P155" s="13" t="str">
        <f>IF($O155="ACS", "True Search", IF($O155="Arja", "Evolutionary Search", IF($O155="AVATAR", "True Pattern", IF($O155="CapGen", "Search Like Pattern", IF($O155="Cardumen", "True Semantic", IF($O155="DynaMoth", "True Semantic", IF($O155="FixMiner", "True Pattern", IF($O155="GenProg-A", "Evolutionary Search", IF($O155="Hercules", "Learning Pattern", IF($O155="Jaid", "True Semantic",
IF($O155="Kali-A", "True Search", IF($O155="kPAR", "True Pattern", IF($O155="Nopol", "True Semantic", IF($O155="RSRepair-A", "Evolutionary Search", IF($O155="SequenceR", "Deep Learning", IF($O155="SimFix", "Search Like Pattern", IF($O155="SketchFix", "True Pattern", IF($O155="SOFix", "True Pattern", IF($O155="ssFix", "Search Like Pattern", IF($O155="TBar", "True Pattern", ""))))))))))))))))))))</f>
        <v>True Semantic</v>
      </c>
      <c r="Q155" s="13" t="str">
        <f>IF(NOT(ISERR(SEARCH("*_Buggy",$A155))), "Buggy", IF(NOT(ISERR(SEARCH("*_Fixed",$A155))), "Fixed", IF(NOT(ISERR(SEARCH("*_Repaired",$A155))), "Repaired", "")))</f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>LEFT($A156,FIND("_",$A156)-1)</f>
        <v>DynaMoth</v>
      </c>
      <c r="P156" s="13" t="str">
        <f>IF($O156="ACS", "True Search", IF($O156="Arja", "Evolutionary Search", IF($O156="AVATAR", "True Pattern", IF($O156="CapGen", "Search Like Pattern", IF($O156="Cardumen", "True Semantic", IF($O156="DynaMoth", "True Semantic", IF($O156="FixMiner", "True Pattern", IF($O156="GenProg-A", "Evolutionary Search", IF($O156="Hercules", "Learning Pattern", IF($O156="Jaid", "True Semantic",
IF($O156="Kali-A", "True Search", IF($O156="kPAR", "True Pattern", IF($O156="Nopol", "True Semantic", IF($O156="RSRepair-A", "Evolutionary Search", IF($O156="SequenceR", "Deep Learning", IF($O156="SimFix", "Search Like Pattern", IF($O156="SketchFix", "True Pattern", IF($O156="SOFix", "True Pattern", IF($O156="ssFix", "Search Like Pattern", IF($O156="TBar", "True Pattern", ""))))))))))))))))))))</f>
        <v>True Semantic</v>
      </c>
      <c r="Q156" s="13" t="str">
        <f>IF(NOT(ISERR(SEARCH("*_Buggy",$A156))), "Buggy", IF(NOT(ISERR(SEARCH("*_Fixed",$A156))), "Fixed", IF(NOT(ISERR(SEARCH("*_Repaired",$A156))), "Repaired", "")))</f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>LEFT($A157,FIND("_",$A157)-1)</f>
        <v>DynaMoth</v>
      </c>
      <c r="P157" s="13" t="str">
        <f>IF($O157="ACS", "True Search", IF($O157="Arja", "Evolutionary Search", IF($O157="AVATAR", "True Pattern", IF($O157="CapGen", "Search Like Pattern", IF($O157="Cardumen", "True Semantic", IF($O157="DynaMoth", "True Semantic", IF($O157="FixMiner", "True Pattern", IF($O157="GenProg-A", "Evolutionary Search", IF($O157="Hercules", "Learning Pattern", IF($O157="Jaid", "True Semantic",
IF($O157="Kali-A", "True Search", IF($O157="kPAR", "True Pattern", IF($O157="Nopol", "True Semantic", IF($O157="RSRepair-A", "Evolutionary Search", IF($O157="SequenceR", "Deep Learning", IF($O157="SimFix", "Search Like Pattern", IF($O157="SketchFix", "True Pattern", IF($O157="SOFix", "True Pattern", IF($O157="ssFix", "Search Like Pattern", IF($O157="TBar", "True Pattern", ""))))))))))))))))))))</f>
        <v>True Semantic</v>
      </c>
      <c r="Q157" s="13" t="str">
        <f>IF(NOT(ISERR(SEARCH("*_Buggy",$A157))), "Buggy", IF(NOT(ISERR(SEARCH("*_Fixed",$A157))), "Fixed", IF(NOT(ISERR(SEARCH("*_Repaired",$A157))), "Repaired", "")))</f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>LEFT($A158,FIND("_",$A158)-1)</f>
        <v>DynaMoth</v>
      </c>
      <c r="P158" s="13" t="str">
        <f>IF($O158="ACS", "True Search", IF($O158="Arja", "Evolutionary Search", IF($O158="AVATAR", "True Pattern", IF($O158="CapGen", "Search Like Pattern", IF($O158="Cardumen", "True Semantic", IF($O158="DynaMoth", "True Semantic", IF($O158="FixMiner", "True Pattern", IF($O158="GenProg-A", "Evolutionary Search", IF($O158="Hercules", "Learning Pattern", IF($O158="Jaid", "True Semantic",
IF($O158="Kali-A", "True Search", IF($O158="kPAR", "True Pattern", IF($O158="Nopol", "True Semantic", IF($O158="RSRepair-A", "Evolutionary Search", IF($O158="SequenceR", "Deep Learning", IF($O158="SimFix", "Search Like Pattern", IF($O158="SketchFix", "True Pattern", IF($O158="SOFix", "True Pattern", IF($O158="ssFix", "Search Like Pattern", IF($O158="TBar", "True Pattern", ""))))))))))))))))))))</f>
        <v>True Semantic</v>
      </c>
      <c r="Q158" s="13" t="str">
        <f>IF(NOT(ISERR(SEARCH("*_Buggy",$A158))), "Buggy", IF(NOT(ISERR(SEARCH("*_Fixed",$A158))), "Fixed", IF(NOT(ISERR(SEARCH("*_Repaired",$A158))), "Repaired", "")))</f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>LEFT($A159,FIND("_",$A159)-1)</f>
        <v>DynaMoth</v>
      </c>
      <c r="P159" s="13" t="str">
        <f>IF($O159="ACS", "True Search", IF($O159="Arja", "Evolutionary Search", IF($O159="AVATAR", "True Pattern", IF($O159="CapGen", "Search Like Pattern", IF($O159="Cardumen", "True Semantic", IF($O159="DynaMoth", "True Semantic", IF($O159="FixMiner", "True Pattern", IF($O159="GenProg-A", "Evolutionary Search", IF($O159="Hercules", "Learning Pattern", IF($O159="Jaid", "True Semantic",
IF($O159="Kali-A", "True Search", IF($O159="kPAR", "True Pattern", IF($O159="Nopol", "True Semantic", IF($O159="RSRepair-A", "Evolutionary Search", IF($O159="SequenceR", "Deep Learning", IF($O159="SimFix", "Search Like Pattern", IF($O159="SketchFix", "True Pattern", IF($O159="SOFix", "True Pattern", IF($O159="ssFix", "Search Like Pattern", IF($O159="TBar", "True Pattern", ""))))))))))))))))))))</f>
        <v>True Semantic</v>
      </c>
      <c r="Q159" s="13" t="str">
        <f>IF(NOT(ISERR(SEARCH("*_Buggy",$A159))), "Buggy", IF(NOT(ISERR(SEARCH("*_Fixed",$A159))), "Fixed", IF(NOT(ISERR(SEARCH("*_Repaired",$A159))), "Repaired", "")))</f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>LEFT($A160,FIND("_",$A160)-1)</f>
        <v>DynaMoth</v>
      </c>
      <c r="P160" s="13" t="str">
        <f>IF($O160="ACS", "True Search", IF($O160="Arja", "Evolutionary Search", IF($O160="AVATAR", "True Pattern", IF($O160="CapGen", "Search Like Pattern", IF($O160="Cardumen", "True Semantic", IF($O160="DynaMoth", "True Semantic", IF($O160="FixMiner", "True Pattern", IF($O160="GenProg-A", "Evolutionary Search", IF($O160="Hercules", "Learning Pattern", IF($O160="Jaid", "True Semantic",
IF($O160="Kali-A", "True Search", IF($O160="kPAR", "True Pattern", IF($O160="Nopol", "True Semantic", IF($O160="RSRepair-A", "Evolutionary Search", IF($O160="SequenceR", "Deep Learning", IF($O160="SimFix", "Search Like Pattern", IF($O160="SketchFix", "True Pattern", IF($O160="SOFix", "True Pattern", IF($O160="ssFix", "Search Like Pattern", IF($O160="TBar", "True Pattern", ""))))))))))))))))))))</f>
        <v>True Semantic</v>
      </c>
      <c r="Q160" s="13" t="str">
        <f>IF(NOT(ISERR(SEARCH("*_Buggy",$A160))), "Buggy", IF(NOT(ISERR(SEARCH("*_Fixed",$A160))), "Fixed", IF(NOT(ISERR(SEARCH("*_Repaired",$A160))), "Repaired", "")))</f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>LEFT($A161,FIND("_",$A161)-1)</f>
        <v>FixMiner</v>
      </c>
      <c r="P161" s="13" t="str">
        <f>IF($O161="ACS", "True Search", IF($O161="Arja", "Evolutionary Search", IF($O161="AVATAR", "True Pattern", IF($O161="CapGen", "Search Like Pattern", IF($O161="Cardumen", "True Semantic", IF($O161="DynaMoth", "True Semantic", IF($O161="FixMiner", "True Pattern", IF($O161="GenProg-A", "Evolutionary Search", IF($O161="Hercules", "Learning Pattern", IF($O161="Jaid", "True Semantic",
IF($O161="Kali-A", "True Search", IF($O161="kPAR", "True Pattern", IF($O161="Nopol", "True Semantic", IF($O161="RSRepair-A", "Evolutionary Search", IF($O161="SequenceR", "Deep Learning", IF($O161="SimFix", "Search Like Pattern", IF($O161="SketchFix", "True Pattern", IF($O161="SOFix", "True Pattern", IF($O161="ssFix", "Search Like Pattern", IF($O161="TBar", "True Pattern", ""))))))))))))))))))))</f>
        <v>True Pattern</v>
      </c>
      <c r="Q161" s="13" t="str">
        <f>IF(NOT(ISERR(SEARCH("*_Buggy",$A161))), "Buggy", IF(NOT(ISERR(SEARCH("*_Fixed",$A161))), "Fixed", IF(NOT(ISERR(SEARCH("*_Repaired",$A161))), "Repaired", "")))</f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>LEFT($A162,FIND("_",$A162)-1)</f>
        <v>FixMiner</v>
      </c>
      <c r="P162" s="13" t="str">
        <f>IF($O162="ACS", "True Search", IF($O162="Arja", "Evolutionary Search", IF($O162="AVATAR", "True Pattern", IF($O162="CapGen", "Search Like Pattern", IF($O162="Cardumen", "True Semantic", IF($O162="DynaMoth", "True Semantic", IF($O162="FixMiner", "True Pattern", IF($O162="GenProg-A", "Evolutionary Search", IF($O162="Hercules", "Learning Pattern", IF($O162="Jaid", "True Semantic",
IF($O162="Kali-A", "True Search", IF($O162="kPAR", "True Pattern", IF($O162="Nopol", "True Semantic", IF($O162="RSRepair-A", "Evolutionary Search", IF($O162="SequenceR", "Deep Learning", IF($O162="SimFix", "Search Like Pattern", IF($O162="SketchFix", "True Pattern", IF($O162="SOFix", "True Pattern", IF($O162="ssFix", "Search Like Pattern", IF($O162="TBar", "True Pattern", ""))))))))))))))))))))</f>
        <v>True Pattern</v>
      </c>
      <c r="Q162" s="13" t="str">
        <f>IF(NOT(ISERR(SEARCH("*_Buggy",$A162))), "Buggy", IF(NOT(ISERR(SEARCH("*_Fixed",$A162))), "Fixed", IF(NOT(ISERR(SEARCH("*_Repaired",$A162))), "Repaired", "")))</f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>LEFT($A163,FIND("_",$A163)-1)</f>
        <v>FixMiner</v>
      </c>
      <c r="P163" s="13" t="str">
        <f>IF($O163="ACS", "True Search", IF($O163="Arja", "Evolutionary Search", IF($O163="AVATAR", "True Pattern", IF($O163="CapGen", "Search Like Pattern", IF($O163="Cardumen", "True Semantic", IF($O163="DynaMoth", "True Semantic", IF($O163="FixMiner", "True Pattern", IF($O163="GenProg-A", "Evolutionary Search", IF($O163="Hercules", "Learning Pattern", IF($O163="Jaid", "True Semantic",
IF($O163="Kali-A", "True Search", IF($O163="kPAR", "True Pattern", IF($O163="Nopol", "True Semantic", IF($O163="RSRepair-A", "Evolutionary Search", IF($O163="SequenceR", "Deep Learning", IF($O163="SimFix", "Search Like Pattern", IF($O163="SketchFix", "True Pattern", IF($O163="SOFix", "True Pattern", IF($O163="ssFix", "Search Like Pattern", IF($O163="TBar", "True Pattern", ""))))))))))))))))))))</f>
        <v>True Pattern</v>
      </c>
      <c r="Q163" s="13" t="str">
        <f>IF(NOT(ISERR(SEARCH("*_Buggy",$A163))), "Buggy", IF(NOT(ISERR(SEARCH("*_Fixed",$A163))), "Fixed", IF(NOT(ISERR(SEARCH("*_Repaired",$A163))), "Repaired", "")))</f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>LEFT($A164,FIND("_",$A164)-1)</f>
        <v>FixMiner</v>
      </c>
      <c r="P164" s="13" t="str">
        <f>IF($O164="ACS", "True Search", IF($O164="Arja", "Evolutionary Search", IF($O164="AVATAR", "True Pattern", IF($O164="CapGen", "Search Like Pattern", IF($O164="Cardumen", "True Semantic", IF($O164="DynaMoth", "True Semantic", IF($O164="FixMiner", "True Pattern", IF($O164="GenProg-A", "Evolutionary Search", IF($O164="Hercules", "Learning Pattern", IF($O164="Jaid", "True Semantic",
IF($O164="Kali-A", "True Search", IF($O164="kPAR", "True Pattern", IF($O164="Nopol", "True Semantic", IF($O164="RSRepair-A", "Evolutionary Search", IF($O164="SequenceR", "Deep Learning", IF($O164="SimFix", "Search Like Pattern", IF($O164="SketchFix", "True Pattern", IF($O164="SOFix", "True Pattern", IF($O164="ssFix", "Search Like Pattern", IF($O164="TBar", "True Pattern", ""))))))))))))))))))))</f>
        <v>True Pattern</v>
      </c>
      <c r="Q164" s="13" t="str">
        <f>IF(NOT(ISERR(SEARCH("*_Buggy",$A164))), "Buggy", IF(NOT(ISERR(SEARCH("*_Fixed",$A164))), "Fixed", IF(NOT(ISERR(SEARCH("*_Repaired",$A164))), "Repaired", "")))</f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>LEFT($A165,FIND("_",$A165)-1)</f>
        <v>FixMiner</v>
      </c>
      <c r="P165" s="13" t="str">
        <f>IF($O165="ACS", "True Search", IF($O165="Arja", "Evolutionary Search", IF($O165="AVATAR", "True Pattern", IF($O165="CapGen", "Search Like Pattern", IF($O165="Cardumen", "True Semantic", IF($O165="DynaMoth", "True Semantic", IF($O165="FixMiner", "True Pattern", IF($O165="GenProg-A", "Evolutionary Search", IF($O165="Hercules", "Learning Pattern", IF($O165="Jaid", "True Semantic",
IF($O165="Kali-A", "True Search", IF($O165="kPAR", "True Pattern", IF($O165="Nopol", "True Semantic", IF($O165="RSRepair-A", "Evolutionary Search", IF($O165="SequenceR", "Deep Learning", IF($O165="SimFix", "Search Like Pattern", IF($O165="SketchFix", "True Pattern", IF($O165="SOFix", "True Pattern", IF($O165="ssFix", "Search Like Pattern", IF($O165="TBar", "True Pattern", ""))))))))))))))))))))</f>
        <v>True Pattern</v>
      </c>
      <c r="Q165" s="13" t="str">
        <f>IF(NOT(ISERR(SEARCH("*_Buggy",$A165))), "Buggy", IF(NOT(ISERR(SEARCH("*_Fixed",$A165))), "Fixed", IF(NOT(ISERR(SEARCH("*_Repaired",$A165))), "Repaired", "")))</f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>LEFT($A166,FIND("_",$A166)-1)</f>
        <v>FixMiner</v>
      </c>
      <c r="P166" s="13" t="str">
        <f>IF($O166="ACS", "True Search", IF($O166="Arja", "Evolutionary Search", IF($O166="AVATAR", "True Pattern", IF($O166="CapGen", "Search Like Pattern", IF($O166="Cardumen", "True Semantic", IF($O166="DynaMoth", "True Semantic", IF($O166="FixMiner", "True Pattern", IF($O166="GenProg-A", "Evolutionary Search", IF($O166="Hercules", "Learning Pattern", IF($O166="Jaid", "True Semantic",
IF($O166="Kali-A", "True Search", IF($O166="kPAR", "True Pattern", IF($O166="Nopol", "True Semantic", IF($O166="RSRepair-A", "Evolutionary Search", IF($O166="SequenceR", "Deep Learning", IF($O166="SimFix", "Search Like Pattern", IF($O166="SketchFix", "True Pattern", IF($O166="SOFix", "True Pattern", IF($O166="ssFix", "Search Like Pattern", IF($O166="TBar", "True Pattern", ""))))))))))))))))))))</f>
        <v>True Pattern</v>
      </c>
      <c r="Q166" s="13" t="str">
        <f>IF(NOT(ISERR(SEARCH("*_Buggy",$A166))), "Buggy", IF(NOT(ISERR(SEARCH("*_Fixed",$A166))), "Fixed", IF(NOT(ISERR(SEARCH("*_Repaired",$A166))), "Repaired", "")))</f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>LEFT($A167,FIND("_",$A167)-1)</f>
        <v>FixMiner</v>
      </c>
      <c r="P167" s="13" t="str">
        <f>IF($O167="ACS", "True Search", IF($O167="Arja", "Evolutionary Search", IF($O167="AVATAR", "True Pattern", IF($O167="CapGen", "Search Like Pattern", IF($O167="Cardumen", "True Semantic", IF($O167="DynaMoth", "True Semantic", IF($O167="FixMiner", "True Pattern", IF($O167="GenProg-A", "Evolutionary Search", IF($O167="Hercules", "Learning Pattern", IF($O167="Jaid", "True Semantic",
IF($O167="Kali-A", "True Search", IF($O167="kPAR", "True Pattern", IF($O167="Nopol", "True Semantic", IF($O167="RSRepair-A", "Evolutionary Search", IF($O167="SequenceR", "Deep Learning", IF($O167="SimFix", "Search Like Pattern", IF($O167="SketchFix", "True Pattern", IF($O167="SOFix", "True Pattern", IF($O167="ssFix", "Search Like Pattern", IF($O167="TBar", "True Pattern", ""))))))))))))))))))))</f>
        <v>True Pattern</v>
      </c>
      <c r="Q167" s="13" t="str">
        <f>IF(NOT(ISERR(SEARCH("*_Buggy",$A167))), "Buggy", IF(NOT(ISERR(SEARCH("*_Fixed",$A167))), "Fixed", IF(NOT(ISERR(SEARCH("*_Repaired",$A167))), "Repaired", "")))</f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>LEFT($A168,FIND("_",$A168)-1)</f>
        <v>FixMiner</v>
      </c>
      <c r="P168" s="13" t="str">
        <f>IF($O168="ACS", "True Search", IF($O168="Arja", "Evolutionary Search", IF($O168="AVATAR", "True Pattern", IF($O168="CapGen", "Search Like Pattern", IF($O168="Cardumen", "True Semantic", IF($O168="DynaMoth", "True Semantic", IF($O168="FixMiner", "True Pattern", IF($O168="GenProg-A", "Evolutionary Search", IF($O168="Hercules", "Learning Pattern", IF($O168="Jaid", "True Semantic",
IF($O168="Kali-A", "True Search", IF($O168="kPAR", "True Pattern", IF($O168="Nopol", "True Semantic", IF($O168="RSRepair-A", "Evolutionary Search", IF($O168="SequenceR", "Deep Learning", IF($O168="SimFix", "Search Like Pattern", IF($O168="SketchFix", "True Pattern", IF($O168="SOFix", "True Pattern", IF($O168="ssFix", "Search Like Pattern", IF($O168="TBar", "True Pattern", ""))))))))))))))))))))</f>
        <v>True Pattern</v>
      </c>
      <c r="Q168" s="13" t="str">
        <f>IF(NOT(ISERR(SEARCH("*_Buggy",$A168))), "Buggy", IF(NOT(ISERR(SEARCH("*_Fixed",$A168))), "Fixed", IF(NOT(ISERR(SEARCH("*_Repaired",$A168))), "Repaired", "")))</f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>LEFT($A169,FIND("_",$A169)-1)</f>
        <v>FixMiner</v>
      </c>
      <c r="P169" s="13" t="str">
        <f>IF($O169="ACS", "True Search", IF($O169="Arja", "Evolutionary Search", IF($O169="AVATAR", "True Pattern", IF($O169="CapGen", "Search Like Pattern", IF($O169="Cardumen", "True Semantic", IF($O169="DynaMoth", "True Semantic", IF($O169="FixMiner", "True Pattern", IF($O169="GenProg-A", "Evolutionary Search", IF($O169="Hercules", "Learning Pattern", IF($O169="Jaid", "True Semantic",
IF($O169="Kali-A", "True Search", IF($O169="kPAR", "True Pattern", IF($O169="Nopol", "True Semantic", IF($O169="RSRepair-A", "Evolutionary Search", IF($O169="SequenceR", "Deep Learning", IF($O169="SimFix", "Search Like Pattern", IF($O169="SketchFix", "True Pattern", IF($O169="SOFix", "True Pattern", IF($O169="ssFix", "Search Like Pattern", IF($O169="TBar", "True Pattern", ""))))))))))))))))))))</f>
        <v>True Pattern</v>
      </c>
      <c r="Q169" s="13" t="str">
        <f>IF(NOT(ISERR(SEARCH("*_Buggy",$A169))), "Buggy", IF(NOT(ISERR(SEARCH("*_Fixed",$A169))), "Fixed", IF(NOT(ISERR(SEARCH("*_Repaired",$A169))), "Repaired", "")))</f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>LEFT($A170,FIND("_",$A170)-1)</f>
        <v>FixMiner</v>
      </c>
      <c r="P170" s="13" t="str">
        <f>IF($O170="ACS", "True Search", IF($O170="Arja", "Evolutionary Search", IF($O170="AVATAR", "True Pattern", IF($O170="CapGen", "Search Like Pattern", IF($O170="Cardumen", "True Semantic", IF($O170="DynaMoth", "True Semantic", IF($O170="FixMiner", "True Pattern", IF($O170="GenProg-A", "Evolutionary Search", IF($O170="Hercules", "Learning Pattern", IF($O170="Jaid", "True Semantic",
IF($O170="Kali-A", "True Search", IF($O170="kPAR", "True Pattern", IF($O170="Nopol", "True Semantic", IF($O170="RSRepair-A", "Evolutionary Search", IF($O170="SequenceR", "Deep Learning", IF($O170="SimFix", "Search Like Pattern", IF($O170="SketchFix", "True Pattern", IF($O170="SOFix", "True Pattern", IF($O170="ssFix", "Search Like Pattern", IF($O170="TBar", "True Pattern", ""))))))))))))))))))))</f>
        <v>True Pattern</v>
      </c>
      <c r="Q170" s="13" t="str">
        <f>IF(NOT(ISERR(SEARCH("*_Buggy",$A170))), "Buggy", IF(NOT(ISERR(SEARCH("*_Fixed",$A170))), "Fixed", IF(NOT(ISERR(SEARCH("*_Repaired",$A170))), "Repaired", "")))</f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>LEFT($A171,FIND("_",$A171)-1)</f>
        <v>FixMiner</v>
      </c>
      <c r="P171" s="13" t="str">
        <f>IF($O171="ACS", "True Search", IF($O171="Arja", "Evolutionary Search", IF($O171="AVATAR", "True Pattern", IF($O171="CapGen", "Search Like Pattern", IF($O171="Cardumen", "True Semantic", IF($O171="DynaMoth", "True Semantic", IF($O171="FixMiner", "True Pattern", IF($O171="GenProg-A", "Evolutionary Search", IF($O171="Hercules", "Learning Pattern", IF($O171="Jaid", "True Semantic",
IF($O171="Kali-A", "True Search", IF($O171="kPAR", "True Pattern", IF($O171="Nopol", "True Semantic", IF($O171="RSRepair-A", "Evolutionary Search", IF($O171="SequenceR", "Deep Learning", IF($O171="SimFix", "Search Like Pattern", IF($O171="SketchFix", "True Pattern", IF($O171="SOFix", "True Pattern", IF($O171="ssFix", "Search Like Pattern", IF($O171="TBar", "True Pattern", ""))))))))))))))))))))</f>
        <v>True Pattern</v>
      </c>
      <c r="Q171" s="13" t="str">
        <f>IF(NOT(ISERR(SEARCH("*_Buggy",$A171))), "Buggy", IF(NOT(ISERR(SEARCH("*_Fixed",$A171))), "Fixed", IF(NOT(ISERR(SEARCH("*_Repaired",$A171))), "Repaired", "")))</f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>LEFT($A172,FIND("_",$A172)-1)</f>
        <v>FixMiner</v>
      </c>
      <c r="P172" s="13" t="str">
        <f>IF($O172="ACS", "True Search", IF($O172="Arja", "Evolutionary Search", IF($O172="AVATAR", "True Pattern", IF($O172="CapGen", "Search Like Pattern", IF($O172="Cardumen", "True Semantic", IF($O172="DynaMoth", "True Semantic", IF($O172="FixMiner", "True Pattern", IF($O172="GenProg-A", "Evolutionary Search", IF($O172="Hercules", "Learning Pattern", IF($O172="Jaid", "True Semantic",
IF($O172="Kali-A", "True Search", IF($O172="kPAR", "True Pattern", IF($O172="Nopol", "True Semantic", IF($O172="RSRepair-A", "Evolutionary Search", IF($O172="SequenceR", "Deep Learning", IF($O172="SimFix", "Search Like Pattern", IF($O172="SketchFix", "True Pattern", IF($O172="SOFix", "True Pattern", IF($O172="ssFix", "Search Like Pattern", IF($O172="TBar", "True Pattern", ""))))))))))))))))))))</f>
        <v>True Pattern</v>
      </c>
      <c r="Q172" s="13" t="str">
        <f>IF(NOT(ISERR(SEARCH("*_Buggy",$A172))), "Buggy", IF(NOT(ISERR(SEARCH("*_Fixed",$A172))), "Fixed", IF(NOT(ISERR(SEARCH("*_Repaired",$A172))), "Repaired", "")))</f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>LEFT($A173,FIND("_",$A173)-1)</f>
        <v>FixMiner</v>
      </c>
      <c r="P173" s="13" t="str">
        <f>IF($O173="ACS", "True Search", IF($O173="Arja", "Evolutionary Search", IF($O173="AVATAR", "True Pattern", IF($O173="CapGen", "Search Like Pattern", IF($O173="Cardumen", "True Semantic", IF($O173="DynaMoth", "True Semantic", IF($O173="FixMiner", "True Pattern", IF($O173="GenProg-A", "Evolutionary Search", IF($O173="Hercules", "Learning Pattern", IF($O173="Jaid", "True Semantic",
IF($O173="Kali-A", "True Search", IF($O173="kPAR", "True Pattern", IF($O173="Nopol", "True Semantic", IF($O173="RSRepair-A", "Evolutionary Search", IF($O173="SequenceR", "Deep Learning", IF($O173="SimFix", "Search Like Pattern", IF($O173="SketchFix", "True Pattern", IF($O173="SOFix", "True Pattern", IF($O173="ssFix", "Search Like Pattern", IF($O173="TBar", "True Pattern", ""))))))))))))))))))))</f>
        <v>True Pattern</v>
      </c>
      <c r="Q173" s="13" t="str">
        <f>IF(NOT(ISERR(SEARCH("*_Buggy",$A173))), "Buggy", IF(NOT(ISERR(SEARCH("*_Fixed",$A173))), "Fixed", IF(NOT(ISERR(SEARCH("*_Repaired",$A173))), "Repaired", "")))</f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>LEFT($A174,FIND("_",$A174)-1)</f>
        <v>FixMiner</v>
      </c>
      <c r="P174" s="13" t="str">
        <f>IF($O174="ACS", "True Search", IF($O174="Arja", "Evolutionary Search", IF($O174="AVATAR", "True Pattern", IF($O174="CapGen", "Search Like Pattern", IF($O174="Cardumen", "True Semantic", IF($O174="DynaMoth", "True Semantic", IF($O174="FixMiner", "True Pattern", IF($O174="GenProg-A", "Evolutionary Search", IF($O174="Hercules", "Learning Pattern", IF($O174="Jaid", "True Semantic",
IF($O174="Kali-A", "True Search", IF($O174="kPAR", "True Pattern", IF($O174="Nopol", "True Semantic", IF($O174="RSRepair-A", "Evolutionary Search", IF($O174="SequenceR", "Deep Learning", IF($O174="SimFix", "Search Like Pattern", IF($O174="SketchFix", "True Pattern", IF($O174="SOFix", "True Pattern", IF($O174="ssFix", "Search Like Pattern", IF($O174="TBar", "True Pattern", ""))))))))))))))))))))</f>
        <v>True Pattern</v>
      </c>
      <c r="Q174" s="13" t="str">
        <f>IF(NOT(ISERR(SEARCH("*_Buggy",$A174))), "Buggy", IF(NOT(ISERR(SEARCH("*_Fixed",$A174))), "Fixed", IF(NOT(ISERR(SEARCH("*_Repaired",$A174))), "Repaired", "")))</f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>LEFT($A175,FIND("_",$A175)-1)</f>
        <v>FixMiner</v>
      </c>
      <c r="P175" s="13" t="str">
        <f>IF($O175="ACS", "True Search", IF($O175="Arja", "Evolutionary Search", IF($O175="AVATAR", "True Pattern", IF($O175="CapGen", "Search Like Pattern", IF($O175="Cardumen", "True Semantic", IF($O175="DynaMoth", "True Semantic", IF($O175="FixMiner", "True Pattern", IF($O175="GenProg-A", "Evolutionary Search", IF($O175="Hercules", "Learning Pattern", IF($O175="Jaid", "True Semantic",
IF($O175="Kali-A", "True Search", IF($O175="kPAR", "True Pattern", IF($O175="Nopol", "True Semantic", IF($O175="RSRepair-A", "Evolutionary Search", IF($O175="SequenceR", "Deep Learning", IF($O175="SimFix", "Search Like Pattern", IF($O175="SketchFix", "True Pattern", IF($O175="SOFix", "True Pattern", IF($O175="ssFix", "Search Like Pattern", IF($O175="TBar", "True Pattern", ""))))))))))))))))))))</f>
        <v>True Pattern</v>
      </c>
      <c r="Q175" s="13" t="str">
        <f>IF(NOT(ISERR(SEARCH("*_Buggy",$A175))), "Buggy", IF(NOT(ISERR(SEARCH("*_Fixed",$A175))), "Fixed", IF(NOT(ISERR(SEARCH("*_Repaired",$A175))), "Repaired", "")))</f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>LEFT($A176,FIND("_",$A176)-1)</f>
        <v>FixMiner</v>
      </c>
      <c r="P176" s="13" t="str">
        <f>IF($O176="ACS", "True Search", IF($O176="Arja", "Evolutionary Search", IF($O176="AVATAR", "True Pattern", IF($O176="CapGen", "Search Like Pattern", IF($O176="Cardumen", "True Semantic", IF($O176="DynaMoth", "True Semantic", IF($O176="FixMiner", "True Pattern", IF($O176="GenProg-A", "Evolutionary Search", IF($O176="Hercules", "Learning Pattern", IF($O176="Jaid", "True Semantic",
IF($O176="Kali-A", "True Search", IF($O176="kPAR", "True Pattern", IF($O176="Nopol", "True Semantic", IF($O176="RSRepair-A", "Evolutionary Search", IF($O176="SequenceR", "Deep Learning", IF($O176="SimFix", "Search Like Pattern", IF($O176="SketchFix", "True Pattern", IF($O176="SOFix", "True Pattern", IF($O176="ssFix", "Search Like Pattern", IF($O176="TBar", "True Pattern", ""))))))))))))))))))))</f>
        <v>True Pattern</v>
      </c>
      <c r="Q176" s="13" t="str">
        <f>IF(NOT(ISERR(SEARCH("*_Buggy",$A176))), "Buggy", IF(NOT(ISERR(SEARCH("*_Fixed",$A176))), "Fixed", IF(NOT(ISERR(SEARCH("*_Repaired",$A176))), "Repaired", "")))</f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>LEFT($A177,FIND("_",$A177)-1)</f>
        <v>FixMiner</v>
      </c>
      <c r="P177" s="13" t="str">
        <f>IF($O177="ACS", "True Search", IF($O177="Arja", "Evolutionary Search", IF($O177="AVATAR", "True Pattern", IF($O177="CapGen", "Search Like Pattern", IF($O177="Cardumen", "True Semantic", IF($O177="DynaMoth", "True Semantic", IF($O177="FixMiner", "True Pattern", IF($O177="GenProg-A", "Evolutionary Search", IF($O177="Hercules", "Learning Pattern", IF($O177="Jaid", "True Semantic",
IF($O177="Kali-A", "True Search", IF($O177="kPAR", "True Pattern", IF($O177="Nopol", "True Semantic", IF($O177="RSRepair-A", "Evolutionary Search", IF($O177="SequenceR", "Deep Learning", IF($O177="SimFix", "Search Like Pattern", IF($O177="SketchFix", "True Pattern", IF($O177="SOFix", "True Pattern", IF($O177="ssFix", "Search Like Pattern", IF($O177="TBar", "True Pattern", ""))))))))))))))))))))</f>
        <v>True Pattern</v>
      </c>
      <c r="Q177" s="13" t="str">
        <f>IF(NOT(ISERR(SEARCH("*_Buggy",$A177))), "Buggy", IF(NOT(ISERR(SEARCH("*_Fixed",$A177))), "Fixed", IF(NOT(ISERR(SEARCH("*_Repaired",$A177))), "Repaired", "")))</f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>LEFT($A178,FIND("_",$A178)-1)</f>
        <v>FixMiner</v>
      </c>
      <c r="P178" s="13" t="str">
        <f>IF($O178="ACS", "True Search", IF($O178="Arja", "Evolutionary Search", IF($O178="AVATAR", "True Pattern", IF($O178="CapGen", "Search Like Pattern", IF($O178="Cardumen", "True Semantic", IF($O178="DynaMoth", "True Semantic", IF($O178="FixMiner", "True Pattern", IF($O178="GenProg-A", "Evolutionary Search", IF($O178="Hercules", "Learning Pattern", IF($O178="Jaid", "True Semantic",
IF($O178="Kali-A", "True Search", IF($O178="kPAR", "True Pattern", IF($O178="Nopol", "True Semantic", IF($O178="RSRepair-A", "Evolutionary Search", IF($O178="SequenceR", "Deep Learning", IF($O178="SimFix", "Search Like Pattern", IF($O178="SketchFix", "True Pattern", IF($O178="SOFix", "True Pattern", IF($O178="ssFix", "Search Like Pattern", IF($O178="TBar", "True Pattern", ""))))))))))))))))))))</f>
        <v>True Pattern</v>
      </c>
      <c r="Q178" s="13" t="str">
        <f>IF(NOT(ISERR(SEARCH("*_Buggy",$A178))), "Buggy", IF(NOT(ISERR(SEARCH("*_Fixed",$A178))), "Fixed", IF(NOT(ISERR(SEARCH("*_Repaired",$A178))), "Repaired", "")))</f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>LEFT($A179,FIND("_",$A179)-1)</f>
        <v>FixMiner</v>
      </c>
      <c r="P179" s="13" t="str">
        <f>IF($O179="ACS", "True Search", IF($O179="Arja", "Evolutionary Search", IF($O179="AVATAR", "True Pattern", IF($O179="CapGen", "Search Like Pattern", IF($O179="Cardumen", "True Semantic", IF($O179="DynaMoth", "True Semantic", IF($O179="FixMiner", "True Pattern", IF($O179="GenProg-A", "Evolutionary Search", IF($O179="Hercules", "Learning Pattern", IF($O179="Jaid", "True Semantic",
IF($O179="Kali-A", "True Search", IF($O179="kPAR", "True Pattern", IF($O179="Nopol", "True Semantic", IF($O179="RSRepair-A", "Evolutionary Search", IF($O179="SequenceR", "Deep Learning", IF($O179="SimFix", "Search Like Pattern", IF($O179="SketchFix", "True Pattern", IF($O179="SOFix", "True Pattern", IF($O179="ssFix", "Search Like Pattern", IF($O179="TBar", "True Pattern", ""))))))))))))))))))))</f>
        <v>True Pattern</v>
      </c>
      <c r="Q179" s="13" t="str">
        <f>IF(NOT(ISERR(SEARCH("*_Buggy",$A179))), "Buggy", IF(NOT(ISERR(SEARCH("*_Fixed",$A179))), "Fixed", IF(NOT(ISERR(SEARCH("*_Repaired",$A179))), "Repaired", "")))</f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>LEFT($A180,FIND("_",$A180)-1)</f>
        <v>FixMiner</v>
      </c>
      <c r="P180" s="13" t="str">
        <f>IF($O180="ACS", "True Search", IF($O180="Arja", "Evolutionary Search", IF($O180="AVATAR", "True Pattern", IF($O180="CapGen", "Search Like Pattern", IF($O180="Cardumen", "True Semantic", IF($O180="DynaMoth", "True Semantic", IF($O180="FixMiner", "True Pattern", IF($O180="GenProg-A", "Evolutionary Search", IF($O180="Hercules", "Learning Pattern", IF($O180="Jaid", "True Semantic",
IF($O180="Kali-A", "True Search", IF($O180="kPAR", "True Pattern", IF($O180="Nopol", "True Semantic", IF($O180="RSRepair-A", "Evolutionary Search", IF($O180="SequenceR", "Deep Learning", IF($O180="SimFix", "Search Like Pattern", IF($O180="SketchFix", "True Pattern", IF($O180="SOFix", "True Pattern", IF($O180="ssFix", "Search Like Pattern", IF($O180="TBar", "True Pattern", ""))))))))))))))))))))</f>
        <v>True Pattern</v>
      </c>
      <c r="Q180" s="13" t="str">
        <f>IF(NOT(ISERR(SEARCH("*_Buggy",$A180))), "Buggy", IF(NOT(ISERR(SEARCH("*_Fixed",$A180))), "Fixed", IF(NOT(ISERR(SEARCH("*_Repaired",$A180))), "Repaired", "")))</f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>LEFT($A181,FIND("_",$A181)-1)</f>
        <v>FixMiner</v>
      </c>
      <c r="P181" s="13" t="str">
        <f>IF($O181="ACS", "True Search", IF($O181="Arja", "Evolutionary Search", IF($O181="AVATAR", "True Pattern", IF($O181="CapGen", "Search Like Pattern", IF($O181="Cardumen", "True Semantic", IF($O181="DynaMoth", "True Semantic", IF($O181="FixMiner", "True Pattern", IF($O181="GenProg-A", "Evolutionary Search", IF($O181="Hercules", "Learning Pattern", IF($O181="Jaid", "True Semantic",
IF($O181="Kali-A", "True Search", IF($O181="kPAR", "True Pattern", IF($O181="Nopol", "True Semantic", IF($O181="RSRepair-A", "Evolutionary Search", IF($O181="SequenceR", "Deep Learning", IF($O181="SimFix", "Search Like Pattern", IF($O181="SketchFix", "True Pattern", IF($O181="SOFix", "True Pattern", IF($O181="ssFix", "Search Like Pattern", IF($O181="TBar", "True Pattern", ""))))))))))))))))))))</f>
        <v>True Pattern</v>
      </c>
      <c r="Q181" s="13" t="str">
        <f>IF(NOT(ISERR(SEARCH("*_Buggy",$A181))), "Buggy", IF(NOT(ISERR(SEARCH("*_Fixed",$A181))), "Fixed", IF(NOT(ISERR(SEARCH("*_Repaired",$A181))), "Repaired", "")))</f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>LEFT($A182,FIND("_",$A182)-1)</f>
        <v>FixMiner</v>
      </c>
      <c r="P182" s="13" t="str">
        <f>IF($O182="ACS", "True Search", IF($O182="Arja", "Evolutionary Search", IF($O182="AVATAR", "True Pattern", IF($O182="CapGen", "Search Like Pattern", IF($O182="Cardumen", "True Semantic", IF($O182="DynaMoth", "True Semantic", IF($O182="FixMiner", "True Pattern", IF($O182="GenProg-A", "Evolutionary Search", IF($O182="Hercules", "Learning Pattern", IF($O182="Jaid", "True Semantic",
IF($O182="Kali-A", "True Search", IF($O182="kPAR", "True Pattern", IF($O182="Nopol", "True Semantic", IF($O182="RSRepair-A", "Evolutionary Search", IF($O182="SequenceR", "Deep Learning", IF($O182="SimFix", "Search Like Pattern", IF($O182="SketchFix", "True Pattern", IF($O182="SOFix", "True Pattern", IF($O182="ssFix", "Search Like Pattern", IF($O182="TBar", "True Pattern", ""))))))))))))))))))))</f>
        <v>True Pattern</v>
      </c>
      <c r="Q182" s="13" t="str">
        <f>IF(NOT(ISERR(SEARCH("*_Buggy",$A182))), "Buggy", IF(NOT(ISERR(SEARCH("*_Fixed",$A182))), "Fixed", IF(NOT(ISERR(SEARCH("*_Repaired",$A182))), "Repaired", "")))</f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>LEFT($A183,FIND("_",$A183)-1)</f>
        <v>FixMiner</v>
      </c>
      <c r="P183" s="13" t="str">
        <f>IF($O183="ACS", "True Search", IF($O183="Arja", "Evolutionary Search", IF($O183="AVATAR", "True Pattern", IF($O183="CapGen", "Search Like Pattern", IF($O183="Cardumen", "True Semantic", IF($O183="DynaMoth", "True Semantic", IF($O183="FixMiner", "True Pattern", IF($O183="GenProg-A", "Evolutionary Search", IF($O183="Hercules", "Learning Pattern", IF($O183="Jaid", "True Semantic",
IF($O183="Kali-A", "True Search", IF($O183="kPAR", "True Pattern", IF($O183="Nopol", "True Semantic", IF($O183="RSRepair-A", "Evolutionary Search", IF($O183="SequenceR", "Deep Learning", IF($O183="SimFix", "Search Like Pattern", IF($O183="SketchFix", "True Pattern", IF($O183="SOFix", "True Pattern", IF($O183="ssFix", "Search Like Pattern", IF($O183="TBar", "True Pattern", ""))))))))))))))))))))</f>
        <v>True Pattern</v>
      </c>
      <c r="Q183" s="13" t="str">
        <f>IF(NOT(ISERR(SEARCH("*_Buggy",$A183))), "Buggy", IF(NOT(ISERR(SEARCH("*_Fixed",$A183))), "Fixed", IF(NOT(ISERR(SEARCH("*_Repaired",$A183))), "Repaired", "")))</f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>LEFT($A184,FIND("_",$A184)-1)</f>
        <v>FixMiner</v>
      </c>
      <c r="P184" s="13" t="str">
        <f>IF($O184="ACS", "True Search", IF($O184="Arja", "Evolutionary Search", IF($O184="AVATAR", "True Pattern", IF($O184="CapGen", "Search Like Pattern", IF($O184="Cardumen", "True Semantic", IF($O184="DynaMoth", "True Semantic", IF($O184="FixMiner", "True Pattern", IF($O184="GenProg-A", "Evolutionary Search", IF($O184="Hercules", "Learning Pattern", IF($O184="Jaid", "True Semantic",
IF($O184="Kali-A", "True Search", IF($O184="kPAR", "True Pattern", IF($O184="Nopol", "True Semantic", IF($O184="RSRepair-A", "Evolutionary Search", IF($O184="SequenceR", "Deep Learning", IF($O184="SimFix", "Search Like Pattern", IF($O184="SketchFix", "True Pattern", IF($O184="SOFix", "True Pattern", IF($O184="ssFix", "Search Like Pattern", IF($O184="TBar", "True Pattern", ""))))))))))))))))))))</f>
        <v>True Pattern</v>
      </c>
      <c r="Q184" s="13" t="str">
        <f>IF(NOT(ISERR(SEARCH("*_Buggy",$A184))), "Buggy", IF(NOT(ISERR(SEARCH("*_Fixed",$A184))), "Fixed", IF(NOT(ISERR(SEARCH("*_Repaired",$A184))), "Repaired", "")))</f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>LEFT($A185,FIND("_",$A185)-1)</f>
        <v>FixMiner</v>
      </c>
      <c r="P185" s="13" t="str">
        <f>IF($O185="ACS", "True Search", IF($O185="Arja", "Evolutionary Search", IF($O185="AVATAR", "True Pattern", IF($O185="CapGen", "Search Like Pattern", IF($O185="Cardumen", "True Semantic", IF($O185="DynaMoth", "True Semantic", IF($O185="FixMiner", "True Pattern", IF($O185="GenProg-A", "Evolutionary Search", IF($O185="Hercules", "Learning Pattern", IF($O185="Jaid", "True Semantic",
IF($O185="Kali-A", "True Search", IF($O185="kPAR", "True Pattern", IF($O185="Nopol", "True Semantic", IF($O185="RSRepair-A", "Evolutionary Search", IF($O185="SequenceR", "Deep Learning", IF($O185="SimFix", "Search Like Pattern", IF($O185="SketchFix", "True Pattern", IF($O185="SOFix", "True Pattern", IF($O185="ssFix", "Search Like Pattern", IF($O185="TBar", "True Pattern", ""))))))))))))))))))))</f>
        <v>True Pattern</v>
      </c>
      <c r="Q185" s="13" t="str">
        <f>IF(NOT(ISERR(SEARCH("*_Buggy",$A185))), "Buggy", IF(NOT(ISERR(SEARCH("*_Fixed",$A185))), "Fixed", IF(NOT(ISERR(SEARCH("*_Repaired",$A185))), "Repaired", "")))</f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>LEFT($A186,FIND("_",$A186)-1)</f>
        <v>FixMiner</v>
      </c>
      <c r="P186" s="13" t="str">
        <f>IF($O186="ACS", "True Search", IF($O186="Arja", "Evolutionary Search", IF($O186="AVATAR", "True Pattern", IF($O186="CapGen", "Search Like Pattern", IF($O186="Cardumen", "True Semantic", IF($O186="DynaMoth", "True Semantic", IF($O186="FixMiner", "True Pattern", IF($O186="GenProg-A", "Evolutionary Search", IF($O186="Hercules", "Learning Pattern", IF($O186="Jaid", "True Semantic",
IF($O186="Kali-A", "True Search", IF($O186="kPAR", "True Pattern", IF($O186="Nopol", "True Semantic", IF($O186="RSRepair-A", "Evolutionary Search", IF($O186="SequenceR", "Deep Learning", IF($O186="SimFix", "Search Like Pattern", IF($O186="SketchFix", "True Pattern", IF($O186="SOFix", "True Pattern", IF($O186="ssFix", "Search Like Pattern", IF($O186="TBar", "True Pattern", ""))))))))))))))))))))</f>
        <v>True Pattern</v>
      </c>
      <c r="Q186" s="13" t="str">
        <f>IF(NOT(ISERR(SEARCH("*_Buggy",$A186))), "Buggy", IF(NOT(ISERR(SEARCH("*_Fixed",$A186))), "Fixed", IF(NOT(ISERR(SEARCH("*_Repaired",$A186))), "Repaired", "")))</f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>LEFT($A187,FIND("_",$A187)-1)</f>
        <v>FixMiner</v>
      </c>
      <c r="P187" s="13" t="str">
        <f>IF($O187="ACS", "True Search", IF($O187="Arja", "Evolutionary Search", IF($O187="AVATAR", "True Pattern", IF($O187="CapGen", "Search Like Pattern", IF($O187="Cardumen", "True Semantic", IF($O187="DynaMoth", "True Semantic", IF($O187="FixMiner", "True Pattern", IF($O187="GenProg-A", "Evolutionary Search", IF($O187="Hercules", "Learning Pattern", IF($O187="Jaid", "True Semantic",
IF($O187="Kali-A", "True Search", IF($O187="kPAR", "True Pattern", IF($O187="Nopol", "True Semantic", IF($O187="RSRepair-A", "Evolutionary Search", IF($O187="SequenceR", "Deep Learning", IF($O187="SimFix", "Search Like Pattern", IF($O187="SketchFix", "True Pattern", IF($O187="SOFix", "True Pattern", IF($O187="ssFix", "Search Like Pattern", IF($O187="TBar", "True Pattern", ""))))))))))))))))))))</f>
        <v>True Pattern</v>
      </c>
      <c r="Q187" s="13" t="str">
        <f>IF(NOT(ISERR(SEARCH("*_Buggy",$A187))), "Buggy", IF(NOT(ISERR(SEARCH("*_Fixed",$A187))), "Fixed", IF(NOT(ISERR(SEARCH("*_Repaired",$A187))), "Repaired", "")))</f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>LEFT($A188,FIND("_",$A188)-1)</f>
        <v>FixMiner</v>
      </c>
      <c r="P188" s="13" t="str">
        <f>IF($O188="ACS", "True Search", IF($O188="Arja", "Evolutionary Search", IF($O188="AVATAR", "True Pattern", IF($O188="CapGen", "Search Like Pattern", IF($O188="Cardumen", "True Semantic", IF($O188="DynaMoth", "True Semantic", IF($O188="FixMiner", "True Pattern", IF($O188="GenProg-A", "Evolutionary Search", IF($O188="Hercules", "Learning Pattern", IF($O188="Jaid", "True Semantic",
IF($O188="Kali-A", "True Search", IF($O188="kPAR", "True Pattern", IF($O188="Nopol", "True Semantic", IF($O188="RSRepair-A", "Evolutionary Search", IF($O188="SequenceR", "Deep Learning", IF($O188="SimFix", "Search Like Pattern", IF($O188="SketchFix", "True Pattern", IF($O188="SOFix", "True Pattern", IF($O188="ssFix", "Search Like Pattern", IF($O188="TBar", "True Pattern", ""))))))))))))))))))))</f>
        <v>True Pattern</v>
      </c>
      <c r="Q188" s="13" t="str">
        <f>IF(NOT(ISERR(SEARCH("*_Buggy",$A188))), "Buggy", IF(NOT(ISERR(SEARCH("*_Fixed",$A188))), "Fixed", IF(NOT(ISERR(SEARCH("*_Repaired",$A188))), "Repaired", "")))</f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>LEFT($A189,FIND("_",$A189)-1)</f>
        <v>FixMiner</v>
      </c>
      <c r="P189" s="13" t="str">
        <f>IF($O189="ACS", "True Search", IF($O189="Arja", "Evolutionary Search", IF($O189="AVATAR", "True Pattern", IF($O189="CapGen", "Search Like Pattern", IF($O189="Cardumen", "True Semantic", IF($O189="DynaMoth", "True Semantic", IF($O189="FixMiner", "True Pattern", IF($O189="GenProg-A", "Evolutionary Search", IF($O189="Hercules", "Learning Pattern", IF($O189="Jaid", "True Semantic",
IF($O189="Kali-A", "True Search", IF($O189="kPAR", "True Pattern", IF($O189="Nopol", "True Semantic", IF($O189="RSRepair-A", "Evolutionary Search", IF($O189="SequenceR", "Deep Learning", IF($O189="SimFix", "Search Like Pattern", IF($O189="SketchFix", "True Pattern", IF($O189="SOFix", "True Pattern", IF($O189="ssFix", "Search Like Pattern", IF($O189="TBar", "True Pattern", ""))))))))))))))))))))</f>
        <v>True Pattern</v>
      </c>
      <c r="Q189" s="13" t="str">
        <f>IF(NOT(ISERR(SEARCH("*_Buggy",$A189))), "Buggy", IF(NOT(ISERR(SEARCH("*_Fixed",$A189))), "Fixed", IF(NOT(ISERR(SEARCH("*_Repaired",$A189))), "Repaired", "")))</f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>LEFT($A190,FIND("_",$A190)-1)</f>
        <v>FixMiner</v>
      </c>
      <c r="P190" s="13" t="str">
        <f>IF($O190="ACS", "True Search", IF($O190="Arja", "Evolutionary Search", IF($O190="AVATAR", "True Pattern", IF($O190="CapGen", "Search Like Pattern", IF($O190="Cardumen", "True Semantic", IF($O190="DynaMoth", "True Semantic", IF($O190="FixMiner", "True Pattern", IF($O190="GenProg-A", "Evolutionary Search", IF($O190="Hercules", "Learning Pattern", IF($O190="Jaid", "True Semantic",
IF($O190="Kali-A", "True Search", IF($O190="kPAR", "True Pattern", IF($O190="Nopol", "True Semantic", IF($O190="RSRepair-A", "Evolutionary Search", IF($O190="SequenceR", "Deep Learning", IF($O190="SimFix", "Search Like Pattern", IF($O190="SketchFix", "True Pattern", IF($O190="SOFix", "True Pattern", IF($O190="ssFix", "Search Like Pattern", IF($O190="TBar", "True Pattern", ""))))))))))))))))))))</f>
        <v>True Pattern</v>
      </c>
      <c r="Q190" s="13" t="str">
        <f>IF(NOT(ISERR(SEARCH("*_Buggy",$A190))), "Buggy", IF(NOT(ISERR(SEARCH("*_Fixed",$A190))), "Fixed", IF(NOT(ISERR(SEARCH("*_Repaired",$A190))), "Repaired", "")))</f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>LEFT($A191,FIND("_",$A191)-1)</f>
        <v>FixMiner</v>
      </c>
      <c r="P191" s="13" t="str">
        <f>IF($O191="ACS", "True Search", IF($O191="Arja", "Evolutionary Search", IF($O191="AVATAR", "True Pattern", IF($O191="CapGen", "Search Like Pattern", IF($O191="Cardumen", "True Semantic", IF($O191="DynaMoth", "True Semantic", IF($O191="FixMiner", "True Pattern", IF($O191="GenProg-A", "Evolutionary Search", IF($O191="Hercules", "Learning Pattern", IF($O191="Jaid", "True Semantic",
IF($O191="Kali-A", "True Search", IF($O191="kPAR", "True Pattern", IF($O191="Nopol", "True Semantic", IF($O191="RSRepair-A", "Evolutionary Search", IF($O191="SequenceR", "Deep Learning", IF($O191="SimFix", "Search Like Pattern", IF($O191="SketchFix", "True Pattern", IF($O191="SOFix", "True Pattern", IF($O191="ssFix", "Search Like Pattern", IF($O191="TBar", "True Pattern", ""))))))))))))))))))))</f>
        <v>True Pattern</v>
      </c>
      <c r="Q191" s="13" t="str">
        <f>IF(NOT(ISERR(SEARCH("*_Buggy",$A191))), "Buggy", IF(NOT(ISERR(SEARCH("*_Fixed",$A191))), "Fixed", IF(NOT(ISERR(SEARCH("*_Repaired",$A191))), "Repaired", "")))</f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>LEFT($A192,FIND("_",$A192)-1)</f>
        <v>FixMiner</v>
      </c>
      <c r="P192" s="13" t="str">
        <f>IF($O192="ACS", "True Search", IF($O192="Arja", "Evolutionary Search", IF($O192="AVATAR", "True Pattern", IF($O192="CapGen", "Search Like Pattern", IF($O192="Cardumen", "True Semantic", IF($O192="DynaMoth", "True Semantic", IF($O192="FixMiner", "True Pattern", IF($O192="GenProg-A", "Evolutionary Search", IF($O192="Hercules", "Learning Pattern", IF($O192="Jaid", "True Semantic",
IF($O192="Kali-A", "True Search", IF($O192="kPAR", "True Pattern", IF($O192="Nopol", "True Semantic", IF($O192="RSRepair-A", "Evolutionary Search", IF($O192="SequenceR", "Deep Learning", IF($O192="SimFix", "Search Like Pattern", IF($O192="SketchFix", "True Pattern", IF($O192="SOFix", "True Pattern", IF($O192="ssFix", "Search Like Pattern", IF($O192="TBar", "True Pattern", ""))))))))))))))))))))</f>
        <v>True Pattern</v>
      </c>
      <c r="Q192" s="13" t="str">
        <f>IF(NOT(ISERR(SEARCH("*_Buggy",$A192))), "Buggy", IF(NOT(ISERR(SEARCH("*_Fixed",$A192))), "Fixed", IF(NOT(ISERR(SEARCH("*_Repaired",$A192))), "Repaired", "")))</f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>LEFT($A193,FIND("_",$A193)-1)</f>
        <v>FixMiner</v>
      </c>
      <c r="P193" s="13" t="str">
        <f>IF($O193="ACS", "True Search", IF($O193="Arja", "Evolutionary Search", IF($O193="AVATAR", "True Pattern", IF($O193="CapGen", "Search Like Pattern", IF($O193="Cardumen", "True Semantic", IF($O193="DynaMoth", "True Semantic", IF($O193="FixMiner", "True Pattern", IF($O193="GenProg-A", "Evolutionary Search", IF($O193="Hercules", "Learning Pattern", IF($O193="Jaid", "True Semantic",
IF($O193="Kali-A", "True Search", IF($O193="kPAR", "True Pattern", IF($O193="Nopol", "True Semantic", IF($O193="RSRepair-A", "Evolutionary Search", IF($O193="SequenceR", "Deep Learning", IF($O193="SimFix", "Search Like Pattern", IF($O193="SketchFix", "True Pattern", IF($O193="SOFix", "True Pattern", IF($O193="ssFix", "Search Like Pattern", IF($O193="TBar", "True Pattern", ""))))))))))))))))))))</f>
        <v>True Pattern</v>
      </c>
      <c r="Q193" s="13" t="str">
        <f>IF(NOT(ISERR(SEARCH("*_Buggy",$A193))), "Buggy", IF(NOT(ISERR(SEARCH("*_Fixed",$A193))), "Fixed", IF(NOT(ISERR(SEARCH("*_Repaired",$A193))), "Repaired", "")))</f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>LEFT($A194,FIND("_",$A194)-1)</f>
        <v>FixMiner</v>
      </c>
      <c r="P194" s="13" t="str">
        <f>IF($O194="ACS", "True Search", IF($O194="Arja", "Evolutionary Search", IF($O194="AVATAR", "True Pattern", IF($O194="CapGen", "Search Like Pattern", IF($O194="Cardumen", "True Semantic", IF($O194="DynaMoth", "True Semantic", IF($O194="FixMiner", "True Pattern", IF($O194="GenProg-A", "Evolutionary Search", IF($O194="Hercules", "Learning Pattern", IF($O194="Jaid", "True Semantic",
IF($O194="Kali-A", "True Search", IF($O194="kPAR", "True Pattern", IF($O194="Nopol", "True Semantic", IF($O194="RSRepair-A", "Evolutionary Search", IF($O194="SequenceR", "Deep Learning", IF($O194="SimFix", "Search Like Pattern", IF($O194="SketchFix", "True Pattern", IF($O194="SOFix", "True Pattern", IF($O194="ssFix", "Search Like Pattern", IF($O194="TBar", "True Pattern", ""))))))))))))))))))))</f>
        <v>True Pattern</v>
      </c>
      <c r="Q194" s="13" t="str">
        <f>IF(NOT(ISERR(SEARCH("*_Buggy",$A194))), "Buggy", IF(NOT(ISERR(SEARCH("*_Fixed",$A194))), "Fixed", IF(NOT(ISERR(SEARCH("*_Repaired",$A194))), "Repaired", "")))</f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>LEFT($A195,FIND("_",$A195)-1)</f>
        <v>FixMiner</v>
      </c>
      <c r="P195" s="13" t="str">
        <f>IF($O195="ACS", "True Search", IF($O195="Arja", "Evolutionary Search", IF($O195="AVATAR", "True Pattern", IF($O195="CapGen", "Search Like Pattern", IF($O195="Cardumen", "True Semantic", IF($O195="DynaMoth", "True Semantic", IF($O195="FixMiner", "True Pattern", IF($O195="GenProg-A", "Evolutionary Search", IF($O195="Hercules", "Learning Pattern", IF($O195="Jaid", "True Semantic",
IF($O195="Kali-A", "True Search", IF($O195="kPAR", "True Pattern", IF($O195="Nopol", "True Semantic", IF($O195="RSRepair-A", "Evolutionary Search", IF($O195="SequenceR", "Deep Learning", IF($O195="SimFix", "Search Like Pattern", IF($O195="SketchFix", "True Pattern", IF($O195="SOFix", "True Pattern", IF($O195="ssFix", "Search Like Pattern", IF($O195="TBar", "True Pattern", ""))))))))))))))))))))</f>
        <v>True Pattern</v>
      </c>
      <c r="Q195" s="13" t="str">
        <f>IF(NOT(ISERR(SEARCH("*_Buggy",$A195))), "Buggy", IF(NOT(ISERR(SEARCH("*_Fixed",$A195))), "Fixed", IF(NOT(ISERR(SEARCH("*_Repaired",$A195))), "Repaired", "")))</f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>LEFT($A196,FIND("_",$A196)-1)</f>
        <v>FixMiner</v>
      </c>
      <c r="P196" s="13" t="str">
        <f>IF($O196="ACS", "True Search", IF($O196="Arja", "Evolutionary Search", IF($O196="AVATAR", "True Pattern", IF($O196="CapGen", "Search Like Pattern", IF($O196="Cardumen", "True Semantic", IF($O196="DynaMoth", "True Semantic", IF($O196="FixMiner", "True Pattern", IF($O196="GenProg-A", "Evolutionary Search", IF($O196="Hercules", "Learning Pattern", IF($O196="Jaid", "True Semantic",
IF($O196="Kali-A", "True Search", IF($O196="kPAR", "True Pattern", IF($O196="Nopol", "True Semantic", IF($O196="RSRepair-A", "Evolutionary Search", IF($O196="SequenceR", "Deep Learning", IF($O196="SimFix", "Search Like Pattern", IF($O196="SketchFix", "True Pattern", IF($O196="SOFix", "True Pattern", IF($O196="ssFix", "Search Like Pattern", IF($O196="TBar", "True Pattern", ""))))))))))))))))))))</f>
        <v>True Pattern</v>
      </c>
      <c r="Q196" s="13" t="str">
        <f>IF(NOT(ISERR(SEARCH("*_Buggy",$A196))), "Buggy", IF(NOT(ISERR(SEARCH("*_Fixed",$A196))), "Fixed", IF(NOT(ISERR(SEARCH("*_Repaired",$A196))), "Repaired", "")))</f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>LEFT($A197,FIND("_",$A197)-1)</f>
        <v>FixMiner</v>
      </c>
      <c r="P197" s="13" t="str">
        <f>IF($O197="ACS", "True Search", IF($O197="Arja", "Evolutionary Search", IF($O197="AVATAR", "True Pattern", IF($O197="CapGen", "Search Like Pattern", IF($O197="Cardumen", "True Semantic", IF($O197="DynaMoth", "True Semantic", IF($O197="FixMiner", "True Pattern", IF($O197="GenProg-A", "Evolutionary Search", IF($O197="Hercules", "Learning Pattern", IF($O197="Jaid", "True Semantic",
IF($O197="Kali-A", "True Search", IF($O197="kPAR", "True Pattern", IF($O197="Nopol", "True Semantic", IF($O197="RSRepair-A", "Evolutionary Search", IF($O197="SequenceR", "Deep Learning", IF($O197="SimFix", "Search Like Pattern", IF($O197="SketchFix", "True Pattern", IF($O197="SOFix", "True Pattern", IF($O197="ssFix", "Search Like Pattern", IF($O197="TBar", "True Pattern", ""))))))))))))))))))))</f>
        <v>True Pattern</v>
      </c>
      <c r="Q197" s="13" t="str">
        <f>IF(NOT(ISERR(SEARCH("*_Buggy",$A197))), "Buggy", IF(NOT(ISERR(SEARCH("*_Fixed",$A197))), "Fixed", IF(NOT(ISERR(SEARCH("*_Repaired",$A197))), "Repaired", "")))</f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>LEFT($A198,FIND("_",$A198)-1)</f>
        <v>FixMiner</v>
      </c>
      <c r="P198" s="13" t="str">
        <f>IF($O198="ACS", "True Search", IF($O198="Arja", "Evolutionary Search", IF($O198="AVATAR", "True Pattern", IF($O198="CapGen", "Search Like Pattern", IF($O198="Cardumen", "True Semantic", IF($O198="DynaMoth", "True Semantic", IF($O198="FixMiner", "True Pattern", IF($O198="GenProg-A", "Evolutionary Search", IF($O198="Hercules", "Learning Pattern", IF($O198="Jaid", "True Semantic",
IF($O198="Kali-A", "True Search", IF($O198="kPAR", "True Pattern", IF($O198="Nopol", "True Semantic", IF($O198="RSRepair-A", "Evolutionary Search", IF($O198="SequenceR", "Deep Learning", IF($O198="SimFix", "Search Like Pattern", IF($O198="SketchFix", "True Pattern", IF($O198="SOFix", "True Pattern", IF($O198="ssFix", "Search Like Pattern", IF($O198="TBar", "True Pattern", ""))))))))))))))))))))</f>
        <v>True Pattern</v>
      </c>
      <c r="Q198" s="13" t="str">
        <f>IF(NOT(ISERR(SEARCH("*_Buggy",$A198))), "Buggy", IF(NOT(ISERR(SEARCH("*_Fixed",$A198))), "Fixed", IF(NOT(ISERR(SEARCH("*_Repaired",$A198))), "Repaired", "")))</f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>LEFT($A199,FIND("_",$A199)-1)</f>
        <v>FixMiner</v>
      </c>
      <c r="P199" s="13" t="str">
        <f>IF($O199="ACS", "True Search", IF($O199="Arja", "Evolutionary Search", IF($O199="AVATAR", "True Pattern", IF($O199="CapGen", "Search Like Pattern", IF($O199="Cardumen", "True Semantic", IF($O199="DynaMoth", "True Semantic", IF($O199="FixMiner", "True Pattern", IF($O199="GenProg-A", "Evolutionary Search", IF($O199="Hercules", "Learning Pattern", IF($O199="Jaid", "True Semantic",
IF($O199="Kali-A", "True Search", IF($O199="kPAR", "True Pattern", IF($O199="Nopol", "True Semantic", IF($O199="RSRepair-A", "Evolutionary Search", IF($O199="SequenceR", "Deep Learning", IF($O199="SimFix", "Search Like Pattern", IF($O199="SketchFix", "True Pattern", IF($O199="SOFix", "True Pattern", IF($O199="ssFix", "Search Like Pattern", IF($O199="TBar", "True Pattern", ""))))))))))))))))))))</f>
        <v>True Pattern</v>
      </c>
      <c r="Q199" s="13" t="str">
        <f>IF(NOT(ISERR(SEARCH("*_Buggy",$A199))), "Buggy", IF(NOT(ISERR(SEARCH("*_Fixed",$A199))), "Fixed", IF(NOT(ISERR(SEARCH("*_Repaired",$A199))), "Repaired", "")))</f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>LEFT($A200,FIND("_",$A200)-1)</f>
        <v>FixMiner</v>
      </c>
      <c r="P200" s="13" t="str">
        <f>IF($O200="ACS", "True Search", IF($O200="Arja", "Evolutionary Search", IF($O200="AVATAR", "True Pattern", IF($O200="CapGen", "Search Like Pattern", IF($O200="Cardumen", "True Semantic", IF($O200="DynaMoth", "True Semantic", IF($O200="FixMiner", "True Pattern", IF($O200="GenProg-A", "Evolutionary Search", IF($O200="Hercules", "Learning Pattern", IF($O200="Jaid", "True Semantic",
IF($O200="Kali-A", "True Search", IF($O200="kPAR", "True Pattern", IF($O200="Nopol", "True Semantic", IF($O200="RSRepair-A", "Evolutionary Search", IF($O200="SequenceR", "Deep Learning", IF($O200="SimFix", "Search Like Pattern", IF($O200="SketchFix", "True Pattern", IF($O200="SOFix", "True Pattern", IF($O200="ssFix", "Search Like Pattern", IF($O200="TBar", "True Pattern", ""))))))))))))))))))))</f>
        <v>True Pattern</v>
      </c>
      <c r="Q200" s="13" t="str">
        <f>IF(NOT(ISERR(SEARCH("*_Buggy",$A200))), "Buggy", IF(NOT(ISERR(SEARCH("*_Fixed",$A200))), "Fixed", IF(NOT(ISERR(SEARCH("*_Repaired",$A200))), "Repaired", "")))</f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>LEFT($A201,FIND("_",$A201)-1)</f>
        <v>FixMiner</v>
      </c>
      <c r="P201" s="13" t="str">
        <f>IF($O201="ACS", "True Search", IF($O201="Arja", "Evolutionary Search", IF($O201="AVATAR", "True Pattern", IF($O201="CapGen", "Search Like Pattern", IF($O201="Cardumen", "True Semantic", IF($O201="DynaMoth", "True Semantic", IF($O201="FixMiner", "True Pattern", IF($O201="GenProg-A", "Evolutionary Search", IF($O201="Hercules", "Learning Pattern", IF($O201="Jaid", "True Semantic",
IF($O201="Kali-A", "True Search", IF($O201="kPAR", "True Pattern", IF($O201="Nopol", "True Semantic", IF($O201="RSRepair-A", "Evolutionary Search", IF($O201="SequenceR", "Deep Learning", IF($O201="SimFix", "Search Like Pattern", IF($O201="SketchFix", "True Pattern", IF($O201="SOFix", "True Pattern", IF($O201="ssFix", "Search Like Pattern", IF($O201="TBar", "True Pattern", ""))))))))))))))))))))</f>
        <v>True Pattern</v>
      </c>
      <c r="Q201" s="13" t="str">
        <f>IF(NOT(ISERR(SEARCH("*_Buggy",$A201))), "Buggy", IF(NOT(ISERR(SEARCH("*_Fixed",$A201))), "Fixed", IF(NOT(ISERR(SEARCH("*_Repaired",$A201))), "Repaired", "")))</f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>LEFT($A202,FIND("_",$A202)-1)</f>
        <v>FixMiner</v>
      </c>
      <c r="P202" s="13" t="str">
        <f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>IF(NOT(ISERR(SEARCH("*_Buggy",$A202))), "Buggy", IF(NOT(ISERR(SEARCH("*_Fixed",$A202))), "Fixed", IF(NOT(ISERR(SEARCH("*_Repaired",$A202))), "Repaired", "")))</f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>LEFT($A203,FIND("_",$A203)-1)</f>
        <v>FixMiner</v>
      </c>
      <c r="P203" s="13" t="str">
        <f>IF($O203="ACS", "True Search", IF($O203="Arja", "Evolutionary Search", IF($O203="AVATAR", "True Pattern", IF($O203="CapGen", "Search Like Pattern", IF($O203="Cardumen", "True Semantic", IF($O203="DynaMoth", "True Semantic", IF($O203="FixMiner", "True Pattern", IF($O203="GenProg-A", "Evolutionary Search", IF($O203="Hercules", "Learning Pattern", IF($O203="Jaid", "True Semantic",
IF($O203="Kali-A", "True Search", IF($O203="kPAR", "True Pattern", IF($O203="Nopol", "True Semantic", IF($O203="RSRepair-A", "Evolutionary Search", IF($O203="SequenceR", "Deep Learning", IF($O203="SimFix", "Search Like Pattern", IF($O203="SketchFix", "True Pattern", IF($O203="SOFix", "True Pattern", IF($O203="ssFix", "Search Like Pattern", IF($O203="TBar", "True Pattern", ""))))))))))))))))))))</f>
        <v>True Pattern</v>
      </c>
      <c r="Q203" s="13" t="str">
        <f>IF(NOT(ISERR(SEARCH("*_Buggy",$A203))), "Buggy", IF(NOT(ISERR(SEARCH("*_Fixed",$A203))), "Fixed", IF(NOT(ISERR(SEARCH("*_Repaired",$A203))), "Repaired", "")))</f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>LEFT($A204,FIND("_",$A204)-1)</f>
        <v>FixMiner</v>
      </c>
      <c r="P204" s="13" t="str">
        <f>IF($O204="ACS", "True Search", IF($O204="Arja", "Evolutionary Search", IF($O204="AVATAR", "True Pattern", IF($O204="CapGen", "Search Like Pattern", IF($O204="Cardumen", "True Semantic", IF($O204="DynaMoth", "True Semantic", IF($O204="FixMiner", "True Pattern", IF($O204="GenProg-A", "Evolutionary Search", IF($O204="Hercules", "Learning Pattern", IF($O204="Jaid", "True Semantic",
IF($O204="Kali-A", "True Search", IF($O204="kPAR", "True Pattern", IF($O204="Nopol", "True Semantic", IF($O204="RSRepair-A", "Evolutionary Search", IF($O204="SequenceR", "Deep Learning", IF($O204="SimFix", "Search Like Pattern", IF($O204="SketchFix", "True Pattern", IF($O204="SOFix", "True Pattern", IF($O204="ssFix", "Search Like Pattern", IF($O204="TBar", "True Pattern", ""))))))))))))))))))))</f>
        <v>True Pattern</v>
      </c>
      <c r="Q204" s="13" t="str">
        <f>IF(NOT(ISERR(SEARCH("*_Buggy",$A204))), "Buggy", IF(NOT(ISERR(SEARCH("*_Fixed",$A204))), "Fixed", IF(NOT(ISERR(SEARCH("*_Repaired",$A204))), "Repaired", "")))</f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>LEFT($A205,FIND("_",$A205)-1)</f>
        <v>FixMiner</v>
      </c>
      <c r="P205" s="13" t="str">
        <f>IF($O205="ACS", "True Search", IF($O205="Arja", "Evolutionary Search", IF($O205="AVATAR", "True Pattern", IF($O205="CapGen", "Search Like Pattern", IF($O205="Cardumen", "True Semantic", IF($O205="DynaMoth", "True Semantic", IF($O205="FixMiner", "True Pattern", IF($O205="GenProg-A", "Evolutionary Search", IF($O205="Hercules", "Learning Pattern", IF($O205="Jaid", "True Semantic",
IF($O205="Kali-A", "True Search", IF($O205="kPAR", "True Pattern", IF($O205="Nopol", "True Semantic", IF($O205="RSRepair-A", "Evolutionary Search", IF($O205="SequenceR", "Deep Learning", IF($O205="SimFix", "Search Like Pattern", IF($O205="SketchFix", "True Pattern", IF($O205="SOFix", "True Pattern", IF($O205="ssFix", "Search Like Pattern", IF($O205="TBar", "True Pattern", ""))))))))))))))))))))</f>
        <v>True Pattern</v>
      </c>
      <c r="Q205" s="13" t="str">
        <f>IF(NOT(ISERR(SEARCH("*_Buggy",$A205))), "Buggy", IF(NOT(ISERR(SEARCH("*_Fixed",$A205))), "Fixed", IF(NOT(ISERR(SEARCH("*_Repaired",$A205))), "Repaired", "")))</f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>LEFT($A206,FIND("_",$A206)-1)</f>
        <v>FixMiner</v>
      </c>
      <c r="P206" s="13" t="str">
        <f>IF($O206="ACS", "True Search", IF($O206="Arja", "Evolutionary Search", IF($O206="AVATAR", "True Pattern", IF($O206="CapGen", "Search Like Pattern", IF($O206="Cardumen", "True Semantic", IF($O206="DynaMoth", "True Semantic", IF($O206="FixMiner", "True Pattern", IF($O206="GenProg-A", "Evolutionary Search", IF($O206="Hercules", "Learning Pattern", IF($O206="Jaid", "True Semantic",
IF($O206="Kali-A", "True Search", IF($O206="kPAR", "True Pattern", IF($O206="Nopol", "True Semantic", IF($O206="RSRepair-A", "Evolutionary Search", IF($O206="SequenceR", "Deep Learning", IF($O206="SimFix", "Search Like Pattern", IF($O206="SketchFix", "True Pattern", IF($O206="SOFix", "True Pattern", IF($O206="ssFix", "Search Like Pattern", IF($O206="TBar", "True Pattern", ""))))))))))))))))))))</f>
        <v>True Pattern</v>
      </c>
      <c r="Q206" s="13" t="str">
        <f>IF(NOT(ISERR(SEARCH("*_Buggy",$A206))), "Buggy", IF(NOT(ISERR(SEARCH("*_Fixed",$A206))), "Fixed", IF(NOT(ISERR(SEARCH("*_Repaired",$A206))), "Repaired", "")))</f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>LEFT($A207,FIND("_",$A207)-1)</f>
        <v>FixMiner</v>
      </c>
      <c r="P207" s="13" t="str">
        <f>IF($O207="ACS", "True Search", IF($O207="Arja", "Evolutionary Search", IF($O207="AVATAR", "True Pattern", IF($O207="CapGen", "Search Like Pattern", IF($O207="Cardumen", "True Semantic", IF($O207="DynaMoth", "True Semantic", IF($O207="FixMiner", "True Pattern", IF($O207="GenProg-A", "Evolutionary Search", IF($O207="Hercules", "Learning Pattern", IF($O207="Jaid", "True Semantic",
IF($O207="Kali-A", "True Search", IF($O207="kPAR", "True Pattern", IF($O207="Nopol", "True Semantic", IF($O207="RSRepair-A", "Evolutionary Search", IF($O207="SequenceR", "Deep Learning", IF($O207="SimFix", "Search Like Pattern", IF($O207="SketchFix", "True Pattern", IF($O207="SOFix", "True Pattern", IF($O207="ssFix", "Search Like Pattern", IF($O207="TBar", "True Pattern", ""))))))))))))))))))))</f>
        <v>True Pattern</v>
      </c>
      <c r="Q207" s="13" t="str">
        <f>IF(NOT(ISERR(SEARCH("*_Buggy",$A207))), "Buggy", IF(NOT(ISERR(SEARCH("*_Fixed",$A207))), "Fixed", IF(NOT(ISERR(SEARCH("*_Repaired",$A207))), "Repaired", "")))</f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>LEFT($A208,FIND("_",$A208)-1)</f>
        <v>FixMiner</v>
      </c>
      <c r="P208" s="13" t="str">
        <f>IF($O208="ACS", "True Search", IF($O208="Arja", "Evolutionary Search", IF($O208="AVATAR", "True Pattern", IF($O208="CapGen", "Search Like Pattern", IF($O208="Cardumen", "True Semantic", IF($O208="DynaMoth", "True Semantic", IF($O208="FixMiner", "True Pattern", IF($O208="GenProg-A", "Evolutionary Search", IF($O208="Hercules", "Learning Pattern", IF($O208="Jaid", "True Semantic",
IF($O208="Kali-A", "True Search", IF($O208="kPAR", "True Pattern", IF($O208="Nopol", "True Semantic", IF($O208="RSRepair-A", "Evolutionary Search", IF($O208="SequenceR", "Deep Learning", IF($O208="SimFix", "Search Like Pattern", IF($O208="SketchFix", "True Pattern", IF($O208="SOFix", "True Pattern", IF($O208="ssFix", "Search Like Pattern", IF($O208="TBar", "True Pattern", ""))))))))))))))))))))</f>
        <v>True Pattern</v>
      </c>
      <c r="Q208" s="13" t="str">
        <f>IF(NOT(ISERR(SEARCH("*_Buggy",$A208))), "Buggy", IF(NOT(ISERR(SEARCH("*_Fixed",$A208))), "Fixed", IF(NOT(ISERR(SEARCH("*_Repaired",$A208))), "Repaired", "")))</f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>LEFT($A209,FIND("_",$A209)-1)</f>
        <v>FixMiner</v>
      </c>
      <c r="P209" s="13" t="str">
        <f>IF($O209="ACS", "True Search", IF($O209="Arja", "Evolutionary Search", IF($O209="AVATAR", "True Pattern", IF($O209="CapGen", "Search Like Pattern", IF($O209="Cardumen", "True Semantic", IF($O209="DynaMoth", "True Semantic", IF($O209="FixMiner", "True Pattern", IF($O209="GenProg-A", "Evolutionary Search", IF($O209="Hercules", "Learning Pattern", IF($O209="Jaid", "True Semantic",
IF($O209="Kali-A", "True Search", IF($O209="kPAR", "True Pattern", IF($O209="Nopol", "True Semantic", IF($O209="RSRepair-A", "Evolutionary Search", IF($O209="SequenceR", "Deep Learning", IF($O209="SimFix", "Search Like Pattern", IF($O209="SketchFix", "True Pattern", IF($O209="SOFix", "True Pattern", IF($O209="ssFix", "Search Like Pattern", IF($O209="TBar", "True Pattern", ""))))))))))))))))))))</f>
        <v>True Pattern</v>
      </c>
      <c r="Q209" s="13" t="str">
        <f>IF(NOT(ISERR(SEARCH("*_Buggy",$A209))), "Buggy", IF(NOT(ISERR(SEARCH("*_Fixed",$A209))), "Fixed", IF(NOT(ISERR(SEARCH("*_Repaired",$A209))), "Repaired", "")))</f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>LEFT($A210,FIND("_",$A210)-1)</f>
        <v>FixMiner</v>
      </c>
      <c r="P210" s="13" t="str">
        <f>IF($O210="ACS", "True Search", IF($O210="Arja", "Evolutionary Search", IF($O210="AVATAR", "True Pattern", IF($O210="CapGen", "Search Like Pattern", IF($O210="Cardumen", "True Semantic", IF($O210="DynaMoth", "True Semantic", IF($O210="FixMiner", "True Pattern", IF($O210="GenProg-A", "Evolutionary Search", IF($O210="Hercules", "Learning Pattern", IF($O210="Jaid", "True Semantic",
IF($O210="Kali-A", "True Search", IF($O210="kPAR", "True Pattern", IF($O210="Nopol", "True Semantic", IF($O210="RSRepair-A", "Evolutionary Search", IF($O210="SequenceR", "Deep Learning", IF($O210="SimFix", "Search Like Pattern", IF($O210="SketchFix", "True Pattern", IF($O210="SOFix", "True Pattern", IF($O210="ssFix", "Search Like Pattern", IF($O210="TBar", "True Pattern", ""))))))))))))))))))))</f>
        <v>True Pattern</v>
      </c>
      <c r="Q210" s="13" t="str">
        <f>IF(NOT(ISERR(SEARCH("*_Buggy",$A210))), "Buggy", IF(NOT(ISERR(SEARCH("*_Fixed",$A210))), "Fixed", IF(NOT(ISERR(SEARCH("*_Repaired",$A210))), "Repaired", "")))</f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>LEFT($A211,FIND("_",$A211)-1)</f>
        <v>FixMiner</v>
      </c>
      <c r="P211" s="13" t="str">
        <f>IF($O211="ACS", "True Search", IF($O211="Arja", "Evolutionary Search", IF($O211="AVATAR", "True Pattern", IF($O211="CapGen", "Search Like Pattern", IF($O211="Cardumen", "True Semantic", IF($O211="DynaMoth", "True Semantic", IF($O211="FixMiner", "True Pattern", IF($O211="GenProg-A", "Evolutionary Search", IF($O211="Hercules", "Learning Pattern", IF($O211="Jaid", "True Semantic",
IF($O211="Kali-A", "True Search", IF($O211="kPAR", "True Pattern", IF($O211="Nopol", "True Semantic", IF($O211="RSRepair-A", "Evolutionary Search", IF($O211="SequenceR", "Deep Learning", IF($O211="SimFix", "Search Like Pattern", IF($O211="SketchFix", "True Pattern", IF($O211="SOFix", "True Pattern", IF($O211="ssFix", "Search Like Pattern", IF($O211="TBar", "True Pattern", ""))))))))))))))))))))</f>
        <v>True Pattern</v>
      </c>
      <c r="Q211" s="13" t="str">
        <f>IF(NOT(ISERR(SEARCH("*_Buggy",$A211))), "Buggy", IF(NOT(ISERR(SEARCH("*_Fixed",$A211))), "Fixed", IF(NOT(ISERR(SEARCH("*_Repaired",$A211))), "Repaired", "")))</f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>LEFT($A212,FIND("_",$A212)-1)</f>
        <v>FixMiner</v>
      </c>
      <c r="P212" s="13" t="str">
        <f>IF($O212="ACS", "True Search", IF($O212="Arja", "Evolutionary Search", IF($O212="AVATAR", "True Pattern", IF($O212="CapGen", "Search Like Pattern", IF($O212="Cardumen", "True Semantic", IF($O212="DynaMoth", "True Semantic", IF($O212="FixMiner", "True Pattern", IF($O212="GenProg-A", "Evolutionary Search", IF($O212="Hercules", "Learning Pattern", IF($O212="Jaid", "True Semantic",
IF($O212="Kali-A", "True Search", IF($O212="kPAR", "True Pattern", IF($O212="Nopol", "True Semantic", IF($O212="RSRepair-A", "Evolutionary Search", IF($O212="SequenceR", "Deep Learning", IF($O212="SimFix", "Search Like Pattern", IF($O212="SketchFix", "True Pattern", IF($O212="SOFix", "True Pattern", IF($O212="ssFix", "Search Like Pattern", IF($O212="TBar", "True Pattern", ""))))))))))))))))))))</f>
        <v>True Pattern</v>
      </c>
      <c r="Q212" s="13" t="str">
        <f>IF(NOT(ISERR(SEARCH("*_Buggy",$A212))), "Buggy", IF(NOT(ISERR(SEARCH("*_Fixed",$A212))), "Fixed", IF(NOT(ISERR(SEARCH("*_Repaired",$A212))), "Repaired", "")))</f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>LEFT($A213,FIND("_",$A213)-1)</f>
        <v>FixMiner</v>
      </c>
      <c r="P213" s="13" t="str">
        <f>IF($O213="ACS", "True Search", IF($O213="Arja", "Evolutionary Search", IF($O213="AVATAR", "True Pattern", IF($O213="CapGen", "Search Like Pattern", IF($O213="Cardumen", "True Semantic", IF($O213="DynaMoth", "True Semantic", IF($O213="FixMiner", "True Pattern", IF($O213="GenProg-A", "Evolutionary Search", IF($O213="Hercules", "Learning Pattern", IF($O213="Jaid", "True Semantic",
IF($O213="Kali-A", "True Search", IF($O213="kPAR", "True Pattern", IF($O213="Nopol", "True Semantic", IF($O213="RSRepair-A", "Evolutionary Search", IF($O213="SequenceR", "Deep Learning", IF($O213="SimFix", "Search Like Pattern", IF($O213="SketchFix", "True Pattern", IF($O213="SOFix", "True Pattern", IF($O213="ssFix", "Search Like Pattern", IF($O213="TBar", "True Pattern", ""))))))))))))))))))))</f>
        <v>True Pattern</v>
      </c>
      <c r="Q213" s="13" t="str">
        <f>IF(NOT(ISERR(SEARCH("*_Buggy",$A213))), "Buggy", IF(NOT(ISERR(SEARCH("*_Fixed",$A213))), "Fixed", IF(NOT(ISERR(SEARCH("*_Repaired",$A213))), "Repaired", "")))</f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>LEFT($A214,FIND("_",$A214)-1)</f>
        <v>GenProg-A</v>
      </c>
      <c r="P214" s="13" t="str">
        <f>IF($O214="ACS", "True Search", IF($O214="Arja", "Evolutionary Search", IF($O214="AVATAR", "True Pattern", IF($O214="CapGen", "Search Like Pattern", IF($O214="Cardumen", "True Semantic", IF($O214="DynaMoth", "True Semantic", IF($O214="FixMiner", "True Pattern", IF($O214="GenProg-A", "Evolutionary Search", IF($O214="Hercules", "Learning Pattern", IF($O214="Jaid", "True Semantic",
IF($O214="Kali-A", "True Search", IF($O214="kPAR", "True Pattern", IF($O214="Nopol", "True Semantic", IF($O214="RSRepair-A", "Evolutionary Search", IF($O214="SequenceR", "Deep Learning", IF($O214="SimFix", "Search Like Pattern", IF($O214="SketchFix", "True Pattern", IF($O214="SOFix", "True Pattern", IF($O214="ssFix", "Search Like Pattern", IF($O214="TBar", "True Pattern", ""))))))))))))))))))))</f>
        <v>Evolutionary Search</v>
      </c>
      <c r="Q214" s="13" t="str">
        <f>IF(NOT(ISERR(SEARCH("*_Buggy",$A214))), "Buggy", IF(NOT(ISERR(SEARCH("*_Fixed",$A214))), "Fixed", IF(NOT(ISERR(SEARCH("*_Repaired",$A214))), "Repaired", "")))</f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>LEFT($A215,FIND("_",$A215)-1)</f>
        <v>GenProg-A</v>
      </c>
      <c r="P215" s="13" t="str">
        <f>IF($O215="ACS", "True Search", IF($O215="Arja", "Evolutionary Search", IF($O215="AVATAR", "True Pattern", IF($O215="CapGen", "Search Like Pattern", IF($O215="Cardumen", "True Semantic", IF($O215="DynaMoth", "True Semantic", IF($O215="FixMiner", "True Pattern", IF($O215="GenProg-A", "Evolutionary Search", IF($O215="Hercules", "Learning Pattern", IF($O215="Jaid", "True Semantic",
IF($O215="Kali-A", "True Search", IF($O215="kPAR", "True Pattern", IF($O215="Nopol", "True Semantic", IF($O215="RSRepair-A", "Evolutionary Search", IF($O215="SequenceR", "Deep Learning", IF($O215="SimFix", "Search Like Pattern", IF($O215="SketchFix", "True Pattern", IF($O215="SOFix", "True Pattern", IF($O215="ssFix", "Search Like Pattern", IF($O215="TBar", "True Pattern", ""))))))))))))))))))))</f>
        <v>Evolutionary Search</v>
      </c>
      <c r="Q215" s="13" t="str">
        <f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>LEFT($A216,FIND("_",$A216)-1)</f>
        <v>GenProg-A</v>
      </c>
      <c r="P216" s="13" t="str">
        <f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>IF(NOT(ISERR(SEARCH("*_Buggy",$A216))), "Buggy", IF(NOT(ISERR(SEARCH("*_Fixed",$A216))), "Fixed", IF(NOT(ISERR(SEARCH("*_Repaired",$A216))), "Repaired", "")))</f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>LEFT($A217,FIND("_",$A217)-1)</f>
        <v>GenProg-A</v>
      </c>
      <c r="P217" s="13" t="str">
        <f>IF($O217="ACS", "True Search", IF($O217="Arja", "Evolutionary Search", IF($O217="AVATAR", "True Pattern", IF($O217="CapGen", "Search Like Pattern", IF($O217="Cardumen", "True Semantic", IF($O217="DynaMoth", "True Semantic", IF($O217="FixMiner", "True Pattern", IF($O217="GenProg-A", "Evolutionary Search", IF($O217="Hercules", "Learning Pattern", IF($O217="Jaid", "True Semantic",
IF($O217="Kali-A", "True Search", IF($O217="kPAR", "True Pattern", IF($O217="Nopol", "True Semantic", IF($O217="RSRepair-A", "Evolutionary Search", IF($O217="SequenceR", "Deep Learning", IF($O217="SimFix", "Search Like Pattern", IF($O217="SketchFix", "True Pattern", IF($O217="SOFix", "True Pattern", IF($O217="ssFix", "Search Like Pattern", IF($O217="TBar", "True Pattern", ""))))))))))))))))))))</f>
        <v>Evolutionary Search</v>
      </c>
      <c r="Q217" s="13" t="str">
        <f>IF(NOT(ISERR(SEARCH("*_Buggy",$A217))), "Buggy", IF(NOT(ISERR(SEARCH("*_Fixed",$A217))), "Fixed", IF(NOT(ISERR(SEARCH("*_Repaired",$A217))), "Repaired", "")))</f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>LEFT($A218,FIND("_",$A218)-1)</f>
        <v>GenProg-A</v>
      </c>
      <c r="P218" s="13" t="str">
        <f>IF($O218="ACS", "True Search", IF($O218="Arja", "Evolutionary Search", IF($O218="AVATAR", "True Pattern", IF($O218="CapGen", "Search Like Pattern", IF($O218="Cardumen", "True Semantic", IF($O218="DynaMoth", "True Semantic", IF($O218="FixMiner", "True Pattern", IF($O218="GenProg-A", "Evolutionary Search", IF($O218="Hercules", "Learning Pattern", IF($O218="Jaid", "True Semantic",
IF($O218="Kali-A", "True Search", IF($O218="kPAR", "True Pattern", IF($O218="Nopol", "True Semantic", IF($O218="RSRepair-A", "Evolutionary Search", IF($O218="SequenceR", "Deep Learning", IF($O218="SimFix", "Search Like Pattern", IF($O218="SketchFix", "True Pattern", IF($O218="SOFix", "True Pattern", IF($O218="ssFix", "Search Like Pattern", IF($O218="TBar", "True Pattern", ""))))))))))))))))))))</f>
        <v>Evolutionary Search</v>
      </c>
      <c r="Q218" s="13" t="str">
        <f>IF(NOT(ISERR(SEARCH("*_Buggy",$A218))), "Buggy", IF(NOT(ISERR(SEARCH("*_Fixed",$A218))), "Fixed", IF(NOT(ISERR(SEARCH("*_Repaired",$A218))), "Repaired", "")))</f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>LEFT($A219,FIND("_",$A219)-1)</f>
        <v>GenProg-A</v>
      </c>
      <c r="P219" s="13" t="str">
        <f>IF($O219="ACS", "True Search", IF($O219="Arja", "Evolutionary Search", IF($O219="AVATAR", "True Pattern", IF($O219="CapGen", "Search Like Pattern", IF($O219="Cardumen", "True Semantic", IF($O219="DynaMoth", "True Semantic", IF($O219="FixMiner", "True Pattern", IF($O219="GenProg-A", "Evolutionary Search", IF($O219="Hercules", "Learning Pattern", IF($O219="Jaid", "True Semantic",
IF($O219="Kali-A", "True Search", IF($O219="kPAR", "True Pattern", IF($O219="Nopol", "True Semantic", IF($O219="RSRepair-A", "Evolutionary Search", IF($O219="SequenceR", "Deep Learning", IF($O219="SimFix", "Search Like Pattern", IF($O219="SketchFix", "True Pattern", IF($O219="SOFix", "True Pattern", IF($O219="ssFix", "Search Like Pattern", IF($O219="TBar", "True Pattern", ""))))))))))))))))))))</f>
        <v>Evolutionary Search</v>
      </c>
      <c r="Q219" s="13" t="str">
        <f>IF(NOT(ISERR(SEARCH("*_Buggy",$A219))), "Buggy", IF(NOT(ISERR(SEARCH("*_Fixed",$A219))), "Fixed", IF(NOT(ISERR(SEARCH("*_Repaired",$A219))), "Repaired", "")))</f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>LEFT($A220,FIND("_",$A220)-1)</f>
        <v>GenProg-A</v>
      </c>
      <c r="P220" s="13" t="str">
        <f>IF($O220="ACS", "True Search", IF($O220="Arja", "Evolutionary Search", IF($O220="AVATAR", "True Pattern", IF($O220="CapGen", "Search Like Pattern", IF($O220="Cardumen", "True Semantic", IF($O220="DynaMoth", "True Semantic", IF($O220="FixMiner", "True Pattern", IF($O220="GenProg-A", "Evolutionary Search", IF($O220="Hercules", "Learning Pattern", IF($O220="Jaid", "True Semantic",
IF($O220="Kali-A", "True Search", IF($O220="kPAR", "True Pattern", IF($O220="Nopol", "True Semantic", IF($O220="RSRepair-A", "Evolutionary Search", IF($O220="SequenceR", "Deep Learning", IF($O220="SimFix", "Search Like Pattern", IF($O220="SketchFix", "True Pattern", IF($O220="SOFix", "True Pattern", IF($O220="ssFix", "Search Like Pattern", IF($O220="TBar", "True Pattern", ""))))))))))))))))))))</f>
        <v>Evolutionary Search</v>
      </c>
      <c r="Q220" s="13" t="str">
        <f>IF(NOT(ISERR(SEARCH("*_Buggy",$A220))), "Buggy", IF(NOT(ISERR(SEARCH("*_Fixed",$A220))), "Fixed", IF(NOT(ISERR(SEARCH("*_Repaired",$A220))), "Repaired", "")))</f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>LEFT($A221,FIND("_",$A221)-1)</f>
        <v>GenProg-A</v>
      </c>
      <c r="P221" s="13" t="str">
        <f>IF($O221="ACS", "True Search", IF($O221="Arja", "Evolutionary Search", IF($O221="AVATAR", "True Pattern", IF($O221="CapGen", "Search Like Pattern", IF($O221="Cardumen", "True Semantic", IF($O221="DynaMoth", "True Semantic", IF($O221="FixMiner", "True Pattern", IF($O221="GenProg-A", "Evolutionary Search", IF($O221="Hercules", "Learning Pattern", IF($O221="Jaid", "True Semantic",
IF($O221="Kali-A", "True Search", IF($O221="kPAR", "True Pattern", IF($O221="Nopol", "True Semantic", IF($O221="RSRepair-A", "Evolutionary Search", IF($O221="SequenceR", "Deep Learning", IF($O221="SimFix", "Search Like Pattern", IF($O221="SketchFix", "True Pattern", IF($O221="SOFix", "True Pattern", IF($O221="ssFix", "Search Like Pattern", IF($O221="TBar", "True Pattern", ""))))))))))))))))))))</f>
        <v>Evolutionary Search</v>
      </c>
      <c r="Q221" s="13" t="str">
        <f>IF(NOT(ISERR(SEARCH("*_Buggy",$A221))), "Buggy", IF(NOT(ISERR(SEARCH("*_Fixed",$A221))), "Fixed", IF(NOT(ISERR(SEARCH("*_Repaired",$A221))), "Repaired", "")))</f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>LEFT($A222,FIND("_",$A222)-1)</f>
        <v>GenProg-A</v>
      </c>
      <c r="P222" s="13" t="str">
        <f>IF($O222="ACS", "True Search", IF($O222="Arja", "Evolutionary Search", IF($O222="AVATAR", "True Pattern", IF($O222="CapGen", "Search Like Pattern", IF($O222="Cardumen", "True Semantic", IF($O222="DynaMoth", "True Semantic", IF($O222="FixMiner", "True Pattern", IF($O222="GenProg-A", "Evolutionary Search", IF($O222="Hercules", "Learning Pattern", IF($O222="Jaid", "True Semantic",
IF($O222="Kali-A", "True Search", IF($O222="kPAR", "True Pattern", IF($O222="Nopol", "True Semantic", IF($O222="RSRepair-A", "Evolutionary Search", IF($O222="SequenceR", "Deep Learning", IF($O222="SimFix", "Search Like Pattern", IF($O222="SketchFix", "True Pattern", IF($O222="SOFix", "True Pattern", IF($O222="ssFix", "Search Like Pattern", IF($O222="TBar", "True Pattern", ""))))))))))))))))))))</f>
        <v>Evolutionary Search</v>
      </c>
      <c r="Q222" s="13" t="str">
        <f>IF(NOT(ISERR(SEARCH("*_Buggy",$A222))), "Buggy", IF(NOT(ISERR(SEARCH("*_Fixed",$A222))), "Fixed", IF(NOT(ISERR(SEARCH("*_Repaired",$A222))), "Repaired", "")))</f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>LEFT($A223,FIND("_",$A223)-1)</f>
        <v>GenProg-A</v>
      </c>
      <c r="P223" s="13" t="str">
        <f>IF($O223="ACS", "True Search", IF($O223="Arja", "Evolutionary Search", IF($O223="AVATAR", "True Pattern", IF($O223="CapGen", "Search Like Pattern", IF($O223="Cardumen", "True Semantic", IF($O223="DynaMoth", "True Semantic", IF($O223="FixMiner", "True Pattern", IF($O223="GenProg-A", "Evolutionary Search", IF($O223="Hercules", "Learning Pattern", IF($O223="Jaid", "True Semantic",
IF($O223="Kali-A", "True Search", IF($O223="kPAR", "True Pattern", IF($O223="Nopol", "True Semantic", IF($O223="RSRepair-A", "Evolutionary Search", IF($O223="SequenceR", "Deep Learning", IF($O223="SimFix", "Search Like Pattern", IF($O223="SketchFix", "True Pattern", IF($O223="SOFix", "True Pattern", IF($O223="ssFix", "Search Like Pattern", IF($O223="TBar", "True Pattern", ""))))))))))))))))))))</f>
        <v>Evolutionary Search</v>
      </c>
      <c r="Q223" s="13" t="str">
        <f>IF(NOT(ISERR(SEARCH("*_Buggy",$A223))), "Buggy", IF(NOT(ISERR(SEARCH("*_Fixed",$A223))), "Fixed", IF(NOT(ISERR(SEARCH("*_Repaired",$A223))), "Repaired", "")))</f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>LEFT($A224,FIND("_",$A224)-1)</f>
        <v>GenProg-A</v>
      </c>
      <c r="P224" s="13" t="str">
        <f>IF($O224="ACS", "True Search", IF($O224="Arja", "Evolutionary Search", IF($O224="AVATAR", "True Pattern", IF($O224="CapGen", "Search Like Pattern", IF($O224="Cardumen", "True Semantic", IF($O224="DynaMoth", "True Semantic", IF($O224="FixMiner", "True Pattern", IF($O224="GenProg-A", "Evolutionary Search", IF($O224="Hercules", "Learning Pattern", IF($O224="Jaid", "True Semantic",
IF($O224="Kali-A", "True Search", IF($O224="kPAR", "True Pattern", IF($O224="Nopol", "True Semantic", IF($O224="RSRepair-A", "Evolutionary Search", IF($O224="SequenceR", "Deep Learning", IF($O224="SimFix", "Search Like Pattern", IF($O224="SketchFix", "True Pattern", IF($O224="SOFix", "True Pattern", IF($O224="ssFix", "Search Like Pattern", IF($O224="TBar", "True Pattern", ""))))))))))))))))))))</f>
        <v>Evolutionary Search</v>
      </c>
      <c r="Q224" s="13" t="str">
        <f>IF(NOT(ISERR(SEARCH("*_Buggy",$A224))), "Buggy", IF(NOT(ISERR(SEARCH("*_Fixed",$A224))), "Fixed", IF(NOT(ISERR(SEARCH("*_Repaired",$A224))), "Repaired", "")))</f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>LEFT($A225,FIND("_",$A225)-1)</f>
        <v>GenProg-A</v>
      </c>
      <c r="P225" s="13" t="str">
        <f>IF($O225="ACS", "True Search", IF($O225="Arja", "Evolutionary Search", IF($O225="AVATAR", "True Pattern", IF($O225="CapGen", "Search Like Pattern", IF($O225="Cardumen", "True Semantic", IF($O225="DynaMoth", "True Semantic", IF($O225="FixMiner", "True Pattern", IF($O225="GenProg-A", "Evolutionary Search", IF($O225="Hercules", "Learning Pattern", IF($O225="Jaid", "True Semantic",
IF($O225="Kali-A", "True Search", IF($O225="kPAR", "True Pattern", IF($O225="Nopol", "True Semantic", IF($O225="RSRepair-A", "Evolutionary Search", IF($O225="SequenceR", "Deep Learning", IF($O225="SimFix", "Search Like Pattern", IF($O225="SketchFix", "True Pattern", IF($O225="SOFix", "True Pattern", IF($O225="ssFix", "Search Like Pattern", IF($O225="TBar", "True Pattern", ""))))))))))))))))))))</f>
        <v>Evolutionary Search</v>
      </c>
      <c r="Q225" s="13" t="str">
        <f>IF(NOT(ISERR(SEARCH("*_Buggy",$A225))), "Buggy", IF(NOT(ISERR(SEARCH("*_Fixed",$A225))), "Fixed", IF(NOT(ISERR(SEARCH("*_Repaired",$A225))), "Repaired", "")))</f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>LEFT($A226,FIND("_",$A226)-1)</f>
        <v>GenProg-A</v>
      </c>
      <c r="P226" s="13" t="str">
        <f>IF($O226="ACS", "True Search", IF($O226="Arja", "Evolutionary Search", IF($O226="AVATAR", "True Pattern", IF($O226="CapGen", "Search Like Pattern", IF($O226="Cardumen", "True Semantic", IF($O226="DynaMoth", "True Semantic", IF($O226="FixMiner", "True Pattern", IF($O226="GenProg-A", "Evolutionary Search", IF($O226="Hercules", "Learning Pattern", IF($O226="Jaid", "True Semantic",
IF($O226="Kali-A", "True Search", IF($O226="kPAR", "True Pattern", IF($O226="Nopol", "True Semantic", IF($O226="RSRepair-A", "Evolutionary Search", IF($O226="SequenceR", "Deep Learning", IF($O226="SimFix", "Search Like Pattern", IF($O226="SketchFix", "True Pattern", IF($O226="SOFix", "True Pattern", IF($O226="ssFix", "Search Like Pattern", IF($O226="TBar", "True Pattern", ""))))))))))))))))))))</f>
        <v>Evolutionary Search</v>
      </c>
      <c r="Q226" s="13" t="str">
        <f>IF(NOT(ISERR(SEARCH("*_Buggy",$A226))), "Buggy", IF(NOT(ISERR(SEARCH("*_Fixed",$A226))), "Fixed", IF(NOT(ISERR(SEARCH("*_Repaired",$A226))), "Repaired", "")))</f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>LEFT($A227,FIND("_",$A227)-1)</f>
        <v>GenProg-A</v>
      </c>
      <c r="P227" s="13" t="str">
        <f>IF($O227="ACS", "True Search", IF($O227="Arja", "Evolutionary Search", IF($O227="AVATAR", "True Pattern", IF($O227="CapGen", "Search Like Pattern", IF($O227="Cardumen", "True Semantic", IF($O227="DynaMoth", "True Semantic", IF($O227="FixMiner", "True Pattern", IF($O227="GenProg-A", "Evolutionary Search", IF($O227="Hercules", "Learning Pattern", IF($O227="Jaid", "True Semantic",
IF($O227="Kali-A", "True Search", IF($O227="kPAR", "True Pattern", IF($O227="Nopol", "True Semantic", IF($O227="RSRepair-A", "Evolutionary Search", IF($O227="SequenceR", "Deep Learning", IF($O227="SimFix", "Search Like Pattern", IF($O227="SketchFix", "True Pattern", IF($O227="SOFix", "True Pattern", IF($O227="ssFix", "Search Like Pattern", IF($O227="TBar", "True Pattern", ""))))))))))))))))))))</f>
        <v>Evolutionary Search</v>
      </c>
      <c r="Q227" s="13" t="str">
        <f>IF(NOT(ISERR(SEARCH("*_Buggy",$A227))), "Buggy", IF(NOT(ISERR(SEARCH("*_Fixed",$A227))), "Fixed", IF(NOT(ISERR(SEARCH("*_Repaired",$A227))), "Repaired", "")))</f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>LEFT($A228,FIND("_",$A228)-1)</f>
        <v>GenProg-A</v>
      </c>
      <c r="P228" s="13" t="str">
        <f>IF($O228="ACS", "True Search", IF($O228="Arja", "Evolutionary Search", IF($O228="AVATAR", "True Pattern", IF($O228="CapGen", "Search Like Pattern", IF($O228="Cardumen", "True Semantic", IF($O228="DynaMoth", "True Semantic", IF($O228="FixMiner", "True Pattern", IF($O228="GenProg-A", "Evolutionary Search", IF($O228="Hercules", "Learning Pattern", IF($O228="Jaid", "True Semantic",
IF($O228="Kali-A", "True Search", IF($O228="kPAR", "True Pattern", IF($O228="Nopol", "True Semantic", IF($O228="RSRepair-A", "Evolutionary Search", IF($O228="SequenceR", "Deep Learning", IF($O228="SimFix", "Search Like Pattern", IF($O228="SketchFix", "True Pattern", IF($O228="SOFix", "True Pattern", IF($O228="ssFix", "Search Like Pattern", IF($O228="TBar", "True Pattern", ""))))))))))))))))))))</f>
        <v>Evolutionary Search</v>
      </c>
      <c r="Q228" s="13" t="str">
        <f>IF(NOT(ISERR(SEARCH("*_Buggy",$A228))), "Buggy", IF(NOT(ISERR(SEARCH("*_Fixed",$A228))), "Fixed", IF(NOT(ISERR(SEARCH("*_Repaired",$A228))), "Repaired", "")))</f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>LEFT($A229,FIND("_",$A229)-1)</f>
        <v>GenProg-A</v>
      </c>
      <c r="P229" s="13" t="str">
        <f>IF($O229="ACS", "True Search", IF($O229="Arja", "Evolutionary Search", IF($O229="AVATAR", "True Pattern", IF($O229="CapGen", "Search Like Pattern", IF($O229="Cardumen", "True Semantic", IF($O229="DynaMoth", "True Semantic", IF($O229="FixMiner", "True Pattern", IF($O229="GenProg-A", "Evolutionary Search", IF($O229="Hercules", "Learning Pattern", IF($O229="Jaid", "True Semantic",
IF($O229="Kali-A", "True Search", IF($O229="kPAR", "True Pattern", IF($O229="Nopol", "True Semantic", IF($O229="RSRepair-A", "Evolutionary Search", IF($O229="SequenceR", "Deep Learning", IF($O229="SimFix", "Search Like Pattern", IF($O229="SketchFix", "True Pattern", IF($O229="SOFix", "True Pattern", IF($O229="ssFix", "Search Like Pattern", IF($O229="TBar", "True Pattern", ""))))))))))))))))))))</f>
        <v>Evolutionary Search</v>
      </c>
      <c r="Q229" s="13" t="str">
        <f>IF(NOT(ISERR(SEARCH("*_Buggy",$A229))), "Buggy", IF(NOT(ISERR(SEARCH("*_Fixed",$A229))), "Fixed", IF(NOT(ISERR(SEARCH("*_Repaired",$A229))), "Repaired", "")))</f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>LEFT($A230,FIND("_",$A230)-1)</f>
        <v>GenProg-A</v>
      </c>
      <c r="P230" s="13" t="str">
        <f>IF($O230="ACS", "True Search", IF($O230="Arja", "Evolutionary Search", IF($O230="AVATAR", "True Pattern", IF($O230="CapGen", "Search Like Pattern", IF($O230="Cardumen", "True Semantic", IF($O230="DynaMoth", "True Semantic", IF($O230="FixMiner", "True Pattern", IF($O230="GenProg-A", "Evolutionary Search", IF($O230="Hercules", "Learning Pattern", IF($O230="Jaid", "True Semantic",
IF($O230="Kali-A", "True Search", IF($O230="kPAR", "True Pattern", IF($O230="Nopol", "True Semantic", IF($O230="RSRepair-A", "Evolutionary Search", IF($O230="SequenceR", "Deep Learning", IF($O230="SimFix", "Search Like Pattern", IF($O230="SketchFix", "True Pattern", IF($O230="SOFix", "True Pattern", IF($O230="ssFix", "Search Like Pattern", IF($O230="TBar", "True Pattern", ""))))))))))))))))))))</f>
        <v>Evolutionary Search</v>
      </c>
      <c r="Q230" s="13" t="str">
        <f>IF(NOT(ISERR(SEARCH("*_Buggy",$A230))), "Buggy", IF(NOT(ISERR(SEARCH("*_Fixed",$A230))), "Fixed", IF(NOT(ISERR(SEARCH("*_Repaired",$A230))), "Repaired", "")))</f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>LEFT($A231,FIND("_",$A231)-1)</f>
        <v>GenProg-A</v>
      </c>
      <c r="P231" s="13" t="str">
        <f>IF($O231="ACS", "True Search", IF($O231="Arja", "Evolutionary Search", IF($O231="AVATAR", "True Pattern", IF($O231="CapGen", "Search Like Pattern", IF($O231="Cardumen", "True Semantic", IF($O231="DynaMoth", "True Semantic", IF($O231="FixMiner", "True Pattern", IF($O231="GenProg-A", "Evolutionary Search", IF($O231="Hercules", "Learning Pattern", IF($O231="Jaid", "True Semantic",
IF($O231="Kali-A", "True Search", IF($O231="kPAR", "True Pattern", IF($O231="Nopol", "True Semantic", IF($O231="RSRepair-A", "Evolutionary Search", IF($O231="SequenceR", "Deep Learning", IF($O231="SimFix", "Search Like Pattern", IF($O231="SketchFix", "True Pattern", IF($O231="SOFix", "True Pattern", IF($O231="ssFix", "Search Like Pattern", IF($O231="TBar", "True Pattern", ""))))))))))))))))))))</f>
        <v>Evolutionary Search</v>
      </c>
      <c r="Q231" s="13" t="str">
        <f>IF(NOT(ISERR(SEARCH("*_Buggy",$A231))), "Buggy", IF(NOT(ISERR(SEARCH("*_Fixed",$A231))), "Fixed", IF(NOT(ISERR(SEARCH("*_Repaired",$A231))), "Repaired", "")))</f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>LEFT($A232,FIND("_",$A232)-1)</f>
        <v>GenProg-A</v>
      </c>
      <c r="P232" s="13" t="str">
        <f>IF($O232="ACS", "True Search", IF($O232="Arja", "Evolutionary Search", IF($O232="AVATAR", "True Pattern", IF($O232="CapGen", "Search Like Pattern", IF($O232="Cardumen", "True Semantic", IF($O232="DynaMoth", "True Semantic", IF($O232="FixMiner", "True Pattern", IF($O232="GenProg-A", "Evolutionary Search", IF($O232="Hercules", "Learning Pattern", IF($O232="Jaid", "True Semantic",
IF($O232="Kali-A", "True Search", IF($O232="kPAR", "True Pattern", IF($O232="Nopol", "True Semantic", IF($O232="RSRepair-A", "Evolutionary Search", IF($O232="SequenceR", "Deep Learning", IF($O232="SimFix", "Search Like Pattern", IF($O232="SketchFix", "True Pattern", IF($O232="SOFix", "True Pattern", IF($O232="ssFix", "Search Like Pattern", IF($O232="TBar", "True Pattern", ""))))))))))))))))))))</f>
        <v>Evolutionary Search</v>
      </c>
      <c r="Q232" s="13" t="str">
        <f>IF(NOT(ISERR(SEARCH("*_Buggy",$A232))), "Buggy", IF(NOT(ISERR(SEARCH("*_Fixed",$A232))), "Fixed", IF(NOT(ISERR(SEARCH("*_Repaired",$A232))), "Repaired", "")))</f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>LEFT($A233,FIND("_",$A233)-1)</f>
        <v>GenProg-A</v>
      </c>
      <c r="P233" s="13" t="str">
        <f>IF($O233="ACS", "True Search", IF($O233="Arja", "Evolutionary Search", IF($O233="AVATAR", "True Pattern", IF($O233="CapGen", "Search Like Pattern", IF($O233="Cardumen", "True Semantic", IF($O233="DynaMoth", "True Semantic", IF($O233="FixMiner", "True Pattern", IF($O233="GenProg-A", "Evolutionary Search", IF($O233="Hercules", "Learning Pattern", IF($O233="Jaid", "True Semantic",
IF($O233="Kali-A", "True Search", IF($O233="kPAR", "True Pattern", IF($O233="Nopol", "True Semantic", IF($O233="RSRepair-A", "Evolutionary Search", IF($O233="SequenceR", "Deep Learning", IF($O233="SimFix", "Search Like Pattern", IF($O233="SketchFix", "True Pattern", IF($O233="SOFix", "True Pattern", IF($O233="ssFix", "Search Like Pattern", IF($O233="TBar", "True Pattern", ""))))))))))))))))))))</f>
        <v>Evolutionary Search</v>
      </c>
      <c r="Q233" s="13" t="str">
        <f>IF(NOT(ISERR(SEARCH("*_Buggy",$A233))), "Buggy", IF(NOT(ISERR(SEARCH("*_Fixed",$A233))), "Fixed", IF(NOT(ISERR(SEARCH("*_Repaired",$A233))), "Repaired", "")))</f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>LEFT($A234,FIND("_",$A234)-1)</f>
        <v>GenProg-A</v>
      </c>
      <c r="P234" s="13" t="str">
        <f>IF($O234="ACS", "True Search", IF($O234="Arja", "Evolutionary Search", IF($O234="AVATAR", "True Pattern", IF($O234="CapGen", "Search Like Pattern", IF($O234="Cardumen", "True Semantic", IF($O234="DynaMoth", "True Semantic", IF($O234="FixMiner", "True Pattern", IF($O234="GenProg-A", "Evolutionary Search", IF($O234="Hercules", "Learning Pattern", IF($O234="Jaid", "True Semantic",
IF($O234="Kali-A", "True Search", IF($O234="kPAR", "True Pattern", IF($O234="Nopol", "True Semantic", IF($O234="RSRepair-A", "Evolutionary Search", IF($O234="SequenceR", "Deep Learning", IF($O234="SimFix", "Search Like Pattern", IF($O234="SketchFix", "True Pattern", IF($O234="SOFix", "True Pattern", IF($O234="ssFix", "Search Like Pattern", IF($O234="TBar", "True Pattern", ""))))))))))))))))))))</f>
        <v>Evolutionary Search</v>
      </c>
      <c r="Q234" s="13" t="str">
        <f>IF(NOT(ISERR(SEARCH("*_Buggy",$A234))), "Buggy", IF(NOT(ISERR(SEARCH("*_Fixed",$A234))), "Fixed", IF(NOT(ISERR(SEARCH("*_Repaired",$A234))), "Repaired", "")))</f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>LEFT($A235,FIND("_",$A235)-1)</f>
        <v>GenProg-A</v>
      </c>
      <c r="P235" s="13" t="str">
        <f>IF($O235="ACS", "True Search", IF($O235="Arja", "Evolutionary Search", IF($O235="AVATAR", "True Pattern", IF($O235="CapGen", "Search Like Pattern", IF($O235="Cardumen", "True Semantic", IF($O235="DynaMoth", "True Semantic", IF($O235="FixMiner", "True Pattern", IF($O235="GenProg-A", "Evolutionary Search", IF($O235="Hercules", "Learning Pattern", IF($O235="Jaid", "True Semantic",
IF($O235="Kali-A", "True Search", IF($O235="kPAR", "True Pattern", IF($O235="Nopol", "True Semantic", IF($O235="RSRepair-A", "Evolutionary Search", IF($O235="SequenceR", "Deep Learning", IF($O235="SimFix", "Search Like Pattern", IF($O235="SketchFix", "True Pattern", IF($O235="SOFix", "True Pattern", IF($O235="ssFix", "Search Like Pattern", IF($O235="TBar", "True Pattern", ""))))))))))))))))))))</f>
        <v>Evolutionary Search</v>
      </c>
      <c r="Q235" s="13" t="str">
        <f>IF(NOT(ISERR(SEARCH("*_Buggy",$A235))), "Buggy", IF(NOT(ISERR(SEARCH("*_Fixed",$A235))), "Fixed", IF(NOT(ISERR(SEARCH("*_Repaired",$A235))), "Repaired", "")))</f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>LEFT($A236,FIND("_",$A236)-1)</f>
        <v>GenProg-A</v>
      </c>
      <c r="P236" s="13" t="str">
        <f>IF($O236="ACS", "True Search", IF($O236="Arja", "Evolutionary Search", IF($O236="AVATAR", "True Pattern", IF($O236="CapGen", "Search Like Pattern", IF($O236="Cardumen", "True Semantic", IF($O236="DynaMoth", "True Semantic", IF($O236="FixMiner", "True Pattern", IF($O236="GenProg-A", "Evolutionary Search", IF($O236="Hercules", "Learning Pattern", IF($O236="Jaid", "True Semantic",
IF($O236="Kali-A", "True Search", IF($O236="kPAR", "True Pattern", IF($O236="Nopol", "True Semantic", IF($O236="RSRepair-A", "Evolutionary Search", IF($O236="SequenceR", "Deep Learning", IF($O236="SimFix", "Search Like Pattern", IF($O236="SketchFix", "True Pattern", IF($O236="SOFix", "True Pattern", IF($O236="ssFix", "Search Like Pattern", IF($O236="TBar", "True Pattern", ""))))))))))))))))))))</f>
        <v>Evolutionary Search</v>
      </c>
      <c r="Q236" s="13" t="str">
        <f>IF(NOT(ISERR(SEARCH("*_Buggy",$A236))), "Buggy", IF(NOT(ISERR(SEARCH("*_Fixed",$A236))), "Fixed", IF(NOT(ISERR(SEARCH("*_Repaired",$A236))), "Repaired", "")))</f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>LEFT($A237,FIND("_",$A237)-1)</f>
        <v>GenProg-A</v>
      </c>
      <c r="P237" s="13" t="str">
        <f>IF($O237="ACS", "True Search", IF($O237="Arja", "Evolutionary Search", IF($O237="AVATAR", "True Pattern", IF($O237="CapGen", "Search Like Pattern", IF($O237="Cardumen", "True Semantic", IF($O237="DynaMoth", "True Semantic", IF($O237="FixMiner", "True Pattern", IF($O237="GenProg-A", "Evolutionary Search", IF($O237="Hercules", "Learning Pattern", IF($O237="Jaid", "True Semantic",
IF($O237="Kali-A", "True Search", IF($O237="kPAR", "True Pattern", IF($O237="Nopol", "True Semantic", IF($O237="RSRepair-A", "Evolutionary Search", IF($O237="SequenceR", "Deep Learning", IF($O237="SimFix", "Search Like Pattern", IF($O237="SketchFix", "True Pattern", IF($O237="SOFix", "True Pattern", IF($O237="ssFix", "Search Like Pattern", IF($O237="TBar", "True Pattern", ""))))))))))))))))))))</f>
        <v>Evolutionary Search</v>
      </c>
      <c r="Q237" s="13" t="str">
        <f>IF(NOT(ISERR(SEARCH("*_Buggy",$A237))), "Buggy", IF(NOT(ISERR(SEARCH("*_Fixed",$A237))), "Fixed", IF(NOT(ISERR(SEARCH("*_Repaired",$A237))), "Repaired", "")))</f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>LEFT($A238,FIND("_",$A238)-1)</f>
        <v>GenProg-A</v>
      </c>
      <c r="P238" s="13" t="str">
        <f>IF($O238="ACS", "True Search", IF($O238="Arja", "Evolutionary Search", IF($O238="AVATAR", "True Pattern", IF($O238="CapGen", "Search Like Pattern", IF($O238="Cardumen", "True Semantic", IF($O238="DynaMoth", "True Semantic", IF($O238="FixMiner", "True Pattern", IF($O238="GenProg-A", "Evolutionary Search", IF($O238="Hercules", "Learning Pattern", IF($O238="Jaid", "True Semantic",
IF($O238="Kali-A", "True Search", IF($O238="kPAR", "True Pattern", IF($O238="Nopol", "True Semantic", IF($O238="RSRepair-A", "Evolutionary Search", IF($O238="SequenceR", "Deep Learning", IF($O238="SimFix", "Search Like Pattern", IF($O238="SketchFix", "True Pattern", IF($O238="SOFix", "True Pattern", IF($O238="ssFix", "Search Like Pattern", IF($O238="TBar", "True Pattern", ""))))))))))))))))))))</f>
        <v>Evolutionary Search</v>
      </c>
      <c r="Q238" s="13" t="str">
        <f>IF(NOT(ISERR(SEARCH("*_Buggy",$A238))), "Buggy", IF(NOT(ISERR(SEARCH("*_Fixed",$A238))), "Fixed", IF(NOT(ISERR(SEARCH("*_Repaired",$A238))), "Repaired", "")))</f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>LEFT($A239,FIND("_",$A239)-1)</f>
        <v>GenProg-A</v>
      </c>
      <c r="P239" s="13" t="str">
        <f>IF($O239="ACS", "True Search", IF($O239="Arja", "Evolutionary Search", IF($O239="AVATAR", "True Pattern", IF($O239="CapGen", "Search Like Pattern", IF($O239="Cardumen", "True Semantic", IF($O239="DynaMoth", "True Semantic", IF($O239="FixMiner", "True Pattern", IF($O239="GenProg-A", "Evolutionary Search", IF($O239="Hercules", "Learning Pattern", IF($O239="Jaid", "True Semantic",
IF($O239="Kali-A", "True Search", IF($O239="kPAR", "True Pattern", IF($O239="Nopol", "True Semantic", IF($O239="RSRepair-A", "Evolutionary Search", IF($O239="SequenceR", "Deep Learning", IF($O239="SimFix", "Search Like Pattern", IF($O239="SketchFix", "True Pattern", IF($O239="SOFix", "True Pattern", IF($O239="ssFix", "Search Like Pattern", IF($O239="TBar", "True Pattern", ""))))))))))))))))))))</f>
        <v>Evolutionary Search</v>
      </c>
      <c r="Q239" s="13" t="str">
        <f>IF(NOT(ISERR(SEARCH("*_Buggy",$A239))), "Buggy", IF(NOT(ISERR(SEARCH("*_Fixed",$A239))), "Fixed", IF(NOT(ISERR(SEARCH("*_Repaired",$A239))), "Repaired", "")))</f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>LEFT($A240,FIND("_",$A240)-1)</f>
        <v>GenProg-A</v>
      </c>
      <c r="P240" s="13" t="str">
        <f>IF($O240="ACS", "True Search", IF($O240="Arja", "Evolutionary Search", IF($O240="AVATAR", "True Pattern", IF($O240="CapGen", "Search Like Pattern", IF($O240="Cardumen", "True Semantic", IF($O240="DynaMoth", "True Semantic", IF($O240="FixMiner", "True Pattern", IF($O240="GenProg-A", "Evolutionary Search", IF($O240="Hercules", "Learning Pattern", IF($O240="Jaid", "True Semantic",
IF($O240="Kali-A", "True Search", IF($O240="kPAR", "True Pattern", IF($O240="Nopol", "True Semantic", IF($O240="RSRepair-A", "Evolutionary Search", IF($O240="SequenceR", "Deep Learning", IF($O240="SimFix", "Search Like Pattern", IF($O240="SketchFix", "True Pattern", IF($O240="SOFix", "True Pattern", IF($O240="ssFix", "Search Like Pattern", IF($O240="TBar", "True Pattern", ""))))))))))))))))))))</f>
        <v>Evolutionary Search</v>
      </c>
      <c r="Q240" s="13" t="str">
        <f>IF(NOT(ISERR(SEARCH("*_Buggy",$A240))), "Buggy", IF(NOT(ISERR(SEARCH("*_Fixed",$A240))), "Fixed", IF(NOT(ISERR(SEARCH("*_Repaired",$A240))), "Repaired", "")))</f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>LEFT($A241,FIND("_",$A241)-1)</f>
        <v>GenProg-A</v>
      </c>
      <c r="P241" s="13" t="str">
        <f>IF($O241="ACS", "True Search", IF($O241="Arja", "Evolutionary Search", IF($O241="AVATAR", "True Pattern", IF($O241="CapGen", "Search Like Pattern", IF($O241="Cardumen", "True Semantic", IF($O241="DynaMoth", "True Semantic", IF($O241="FixMiner", "True Pattern", IF($O241="GenProg-A", "Evolutionary Search", IF($O241="Hercules", "Learning Pattern", IF($O241="Jaid", "True Semantic",
IF($O241="Kali-A", "True Search", IF($O241="kPAR", "True Pattern", IF($O241="Nopol", "True Semantic", IF($O241="RSRepair-A", "Evolutionary Search", IF($O241="SequenceR", "Deep Learning", IF($O241="SimFix", "Search Like Pattern", IF($O241="SketchFix", "True Pattern", IF($O241="SOFix", "True Pattern", IF($O241="ssFix", "Search Like Pattern", IF($O241="TBar", "True Pattern", ""))))))))))))))))))))</f>
        <v>Evolutionary Search</v>
      </c>
      <c r="Q241" s="13" t="str">
        <f>IF(NOT(ISERR(SEARCH("*_Buggy",$A241))), "Buggy", IF(NOT(ISERR(SEARCH("*_Fixed",$A241))), "Fixed", IF(NOT(ISERR(SEARCH("*_Repaired",$A241))), "Repaired", "")))</f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>LEFT($A242,FIND("_",$A242)-1)</f>
        <v>Kali-A</v>
      </c>
      <c r="P242" s="13" t="str">
        <f>IF($O242="ACS", "True Search", IF($O242="Arja", "Evolutionary Search", IF($O242="AVATAR", "True Pattern", IF($O242="CapGen", "Search Like Pattern", IF($O242="Cardumen", "True Semantic", IF($O242="DynaMoth", "True Semantic", IF($O242="FixMiner", "True Pattern", IF($O242="GenProg-A", "Evolutionary Search", IF($O242="Hercules", "Learning Pattern", IF($O242="Jaid", "True Semantic",
IF($O242="Kali-A", "True Search", IF($O242="kPAR", "True Pattern", IF($O242="Nopol", "True Semantic", IF($O242="RSRepair-A", "Evolutionary Search", IF($O242="SequenceR", "Deep Learning", IF($O242="SimFix", "Search Like Pattern", IF($O242="SketchFix", "True Pattern", IF($O242="SOFix", "True Pattern", IF($O242="ssFix", "Search Like Pattern", IF($O242="TBar", "True Pattern", ""))))))))))))))))))))</f>
        <v>True Search</v>
      </c>
      <c r="Q242" s="13" t="str">
        <f>IF(NOT(ISERR(SEARCH("*_Buggy",$A242))), "Buggy", IF(NOT(ISERR(SEARCH("*_Fixed",$A242))), "Fixed", IF(NOT(ISERR(SEARCH("*_Repaired",$A242))), "Repaired", "")))</f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>LEFT($A243,FIND("_",$A243)-1)</f>
        <v>Kali-A</v>
      </c>
      <c r="P243" s="13" t="str">
        <f>IF($O243="ACS", "True Search", IF($O243="Arja", "Evolutionary Search", IF($O243="AVATAR", "True Pattern", IF($O243="CapGen", "Search Like Pattern", IF($O243="Cardumen", "True Semantic", IF($O243="DynaMoth", "True Semantic", IF($O243="FixMiner", "True Pattern", IF($O243="GenProg-A", "Evolutionary Search", IF($O243="Hercules", "Learning Pattern", IF($O243="Jaid", "True Semantic",
IF($O243="Kali-A", "True Search", IF($O243="kPAR", "True Pattern", IF($O243="Nopol", "True Semantic", IF($O243="RSRepair-A", "Evolutionary Search", IF($O243="SequenceR", "Deep Learning", IF($O243="SimFix", "Search Like Pattern", IF($O243="SketchFix", "True Pattern", IF($O243="SOFix", "True Pattern", IF($O243="ssFix", "Search Like Pattern", IF($O243="TBar", "True Pattern", ""))))))))))))))))))))</f>
        <v>True Search</v>
      </c>
      <c r="Q243" s="13" t="str">
        <f>IF(NOT(ISERR(SEARCH("*_Buggy",$A243))), "Buggy", IF(NOT(ISERR(SEARCH("*_Fixed",$A243))), "Fixed", IF(NOT(ISERR(SEARCH("*_Repaired",$A243))), "Repaired", "")))</f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>LEFT($A244,FIND("_",$A244)-1)</f>
        <v>Kali-A</v>
      </c>
      <c r="P244" s="13" t="str">
        <f>IF($O244="ACS", "True Search", IF($O244="Arja", "Evolutionary Search", IF($O244="AVATAR", "True Pattern", IF($O244="CapGen", "Search Like Pattern", IF($O244="Cardumen", "True Semantic", IF($O244="DynaMoth", "True Semantic", IF($O244="FixMiner", "True Pattern", IF($O244="GenProg-A", "Evolutionary Search", IF($O244="Hercules", "Learning Pattern", IF($O244="Jaid", "True Semantic",
IF($O244="Kali-A", "True Search", IF($O244="kPAR", "True Pattern", IF($O244="Nopol", "True Semantic", IF($O244="RSRepair-A", "Evolutionary Search", IF($O244="SequenceR", "Deep Learning", IF($O244="SimFix", "Search Like Pattern", IF($O244="SketchFix", "True Pattern", IF($O244="SOFix", "True Pattern", IF($O244="ssFix", "Search Like Pattern", IF($O244="TBar", "True Pattern", ""))))))))))))))))))))</f>
        <v>True Search</v>
      </c>
      <c r="Q244" s="13" t="str">
        <f>IF(NOT(ISERR(SEARCH("*_Buggy",$A244))), "Buggy", IF(NOT(ISERR(SEARCH("*_Fixed",$A244))), "Fixed", IF(NOT(ISERR(SEARCH("*_Repaired",$A244))), "Repaired", "")))</f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>LEFT($A245,FIND("_",$A245)-1)</f>
        <v>Kali-A</v>
      </c>
      <c r="P245" s="13" t="str">
        <f>IF($O245="ACS", "True Search", IF($O245="Arja", "Evolutionary Search", IF($O245="AVATAR", "True Pattern", IF($O245="CapGen", "Search Like Pattern", IF($O245="Cardumen", "True Semantic", IF($O245="DynaMoth", "True Semantic", IF($O245="FixMiner", "True Pattern", IF($O245="GenProg-A", "Evolutionary Search", IF($O245="Hercules", "Learning Pattern", IF($O245="Jaid", "True Semantic",
IF($O245="Kali-A", "True Search", IF($O245="kPAR", "True Pattern", IF($O245="Nopol", "True Semantic", IF($O245="RSRepair-A", "Evolutionary Search", IF($O245="SequenceR", "Deep Learning", IF($O245="SimFix", "Search Like Pattern", IF($O245="SketchFix", "True Pattern", IF($O245="SOFix", "True Pattern", IF($O245="ssFix", "Search Like Pattern", IF($O245="TBar", "True Pattern", ""))))))))))))))))))))</f>
        <v>True Search</v>
      </c>
      <c r="Q245" s="13" t="str">
        <f>IF(NOT(ISERR(SEARCH("*_Buggy",$A245))), "Buggy", IF(NOT(ISERR(SEARCH("*_Fixed",$A245))), "Fixed", IF(NOT(ISERR(SEARCH("*_Repaired",$A245))), "Repaired", "")))</f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>LEFT($A246,FIND("_",$A246)-1)</f>
        <v>Kali-A</v>
      </c>
      <c r="P246" s="13" t="str">
        <f>IF($O246="ACS", "True Search", IF($O246="Arja", "Evolutionary Search", IF($O246="AVATAR", "True Pattern", IF($O246="CapGen", "Search Like Pattern", IF($O246="Cardumen", "True Semantic", IF($O246="DynaMoth", "True Semantic", IF($O246="FixMiner", "True Pattern", IF($O246="GenProg-A", "Evolutionary Search", IF($O246="Hercules", "Learning Pattern", IF($O246="Jaid", "True Semantic",
IF($O246="Kali-A", "True Search", IF($O246="kPAR", "True Pattern", IF($O246="Nopol", "True Semantic", IF($O246="RSRepair-A", "Evolutionary Search", IF($O246="SequenceR", "Deep Learning", IF($O246="SimFix", "Search Like Pattern", IF($O246="SketchFix", "True Pattern", IF($O246="SOFix", "True Pattern", IF($O246="ssFix", "Search Like Pattern", IF($O246="TBar", "True Pattern", ""))))))))))))))))))))</f>
        <v>True Search</v>
      </c>
      <c r="Q246" s="13" t="str">
        <f>IF(NOT(ISERR(SEARCH("*_Buggy",$A246))), "Buggy", IF(NOT(ISERR(SEARCH("*_Fixed",$A246))), "Fixed", IF(NOT(ISERR(SEARCH("*_Repaired",$A246))), "Repaired", "")))</f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>LEFT($A247,FIND("_",$A247)-1)</f>
        <v>Kali-A</v>
      </c>
      <c r="P247" s="13" t="str">
        <f>IF($O247="ACS", "True Search", IF($O247="Arja", "Evolutionary Search", IF($O247="AVATAR", "True Pattern", IF($O247="CapGen", "Search Like Pattern", IF($O247="Cardumen", "True Semantic", IF($O247="DynaMoth", "True Semantic", IF($O247="FixMiner", "True Pattern", IF($O247="GenProg-A", "Evolutionary Search", IF($O247="Hercules", "Learning Pattern", IF($O247="Jaid", "True Semantic",
IF($O247="Kali-A", "True Search", IF($O247="kPAR", "True Pattern", IF($O247="Nopol", "True Semantic", IF($O247="RSRepair-A", "Evolutionary Search", IF($O247="SequenceR", "Deep Learning", IF($O247="SimFix", "Search Like Pattern", IF($O247="SketchFix", "True Pattern", IF($O247="SOFix", "True Pattern", IF($O247="ssFix", "Search Like Pattern", IF($O247="TBar", "True Pattern", ""))))))))))))))))))))</f>
        <v>True Search</v>
      </c>
      <c r="Q247" s="13" t="str">
        <f>IF(NOT(ISERR(SEARCH("*_Buggy",$A247))), "Buggy", IF(NOT(ISERR(SEARCH("*_Fixed",$A247))), "Fixed", IF(NOT(ISERR(SEARCH("*_Repaired",$A247))), "Repaired", "")))</f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>LEFT($A248,FIND("_",$A248)-1)</f>
        <v>Kali-A</v>
      </c>
      <c r="P248" s="13" t="str">
        <f>IF($O248="ACS", "True Search", IF($O248="Arja", "Evolutionary Search", IF($O248="AVATAR", "True Pattern", IF($O248="CapGen", "Search Like Pattern", IF($O248="Cardumen", "True Semantic", IF($O248="DynaMoth", "True Semantic", IF($O248="FixMiner", "True Pattern", IF($O248="GenProg-A", "Evolutionary Search", IF($O248="Hercules", "Learning Pattern", IF($O248="Jaid", "True Semantic",
IF($O248="Kali-A", "True Search", IF($O248="kPAR", "True Pattern", IF($O248="Nopol", "True Semantic", IF($O248="RSRepair-A", "Evolutionary Search", IF($O248="SequenceR", "Deep Learning", IF($O248="SimFix", "Search Like Pattern", IF($O248="SketchFix", "True Pattern", IF($O248="SOFix", "True Pattern", IF($O248="ssFix", "Search Like Pattern", IF($O248="TBar", "True Pattern", ""))))))))))))))))))))</f>
        <v>True Search</v>
      </c>
      <c r="Q248" s="13" t="str">
        <f>IF(NOT(ISERR(SEARCH("*_Buggy",$A248))), "Buggy", IF(NOT(ISERR(SEARCH("*_Fixed",$A248))), "Fixed", IF(NOT(ISERR(SEARCH("*_Repaired",$A248))), "Repaired", "")))</f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>LEFT($A249,FIND("_",$A249)-1)</f>
        <v>Kali-A</v>
      </c>
      <c r="P249" s="13" t="str">
        <f>IF($O249="ACS", "True Search", IF($O249="Arja", "Evolutionary Search", IF($O249="AVATAR", "True Pattern", IF($O249="CapGen", "Search Like Pattern", IF($O249="Cardumen", "True Semantic", IF($O249="DynaMoth", "True Semantic", IF($O249="FixMiner", "True Pattern", IF($O249="GenProg-A", "Evolutionary Search", IF($O249="Hercules", "Learning Pattern", IF($O249="Jaid", "True Semantic",
IF($O249="Kali-A", "True Search", IF($O249="kPAR", "True Pattern", IF($O249="Nopol", "True Semantic", IF($O249="RSRepair-A", "Evolutionary Search", IF($O249="SequenceR", "Deep Learning", IF($O249="SimFix", "Search Like Pattern", IF($O249="SketchFix", "True Pattern", IF($O249="SOFix", "True Pattern", IF($O249="ssFix", "Search Like Pattern", IF($O249="TBar", "True Pattern", ""))))))))))))))))))))</f>
        <v>True Search</v>
      </c>
      <c r="Q249" s="13" t="str">
        <f>IF(NOT(ISERR(SEARCH("*_Buggy",$A249))), "Buggy", IF(NOT(ISERR(SEARCH("*_Fixed",$A249))), "Fixed", IF(NOT(ISERR(SEARCH("*_Repaired",$A249))), "Repaired", "")))</f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>LEFT($A250,FIND("_",$A250)-1)</f>
        <v>Kali-A</v>
      </c>
      <c r="P250" s="13" t="str">
        <f>IF($O250="ACS", "True Search", IF($O250="Arja", "Evolutionary Search", IF($O250="AVATAR", "True Pattern", IF($O250="CapGen", "Search Like Pattern", IF($O250="Cardumen", "True Semantic", IF($O250="DynaMoth", "True Semantic", IF($O250="FixMiner", "True Pattern", IF($O250="GenProg-A", "Evolutionary Search", IF($O250="Hercules", "Learning Pattern", IF($O250="Jaid", "True Semantic",
IF($O250="Kali-A", "True Search", IF($O250="kPAR", "True Pattern", IF($O250="Nopol", "True Semantic", IF($O250="RSRepair-A", "Evolutionary Search", IF($O250="SequenceR", "Deep Learning", IF($O250="SimFix", "Search Like Pattern", IF($O250="SketchFix", "True Pattern", IF($O250="SOFix", "True Pattern", IF($O250="ssFix", "Search Like Pattern", IF($O250="TBar", "True Pattern", ""))))))))))))))))))))</f>
        <v>True Search</v>
      </c>
      <c r="Q250" s="13" t="str">
        <f>IF(NOT(ISERR(SEARCH("*_Buggy",$A250))), "Buggy", IF(NOT(ISERR(SEARCH("*_Fixed",$A250))), "Fixed", IF(NOT(ISERR(SEARCH("*_Repaired",$A250))), "Repaired", "")))</f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>LEFT($A251,FIND("_",$A251)-1)</f>
        <v>Kali-A</v>
      </c>
      <c r="P251" s="13" t="str">
        <f>IF($O251="ACS", "True Search", IF($O251="Arja", "Evolutionary Search", IF($O251="AVATAR", "True Pattern", IF($O251="CapGen", "Search Like Pattern", IF($O251="Cardumen", "True Semantic", IF($O251="DynaMoth", "True Semantic", IF($O251="FixMiner", "True Pattern", IF($O251="GenProg-A", "Evolutionary Search", IF($O251="Hercules", "Learning Pattern", IF($O251="Jaid", "True Semantic",
IF($O251="Kali-A", "True Search", IF($O251="kPAR", "True Pattern", IF($O251="Nopol", "True Semantic", IF($O251="RSRepair-A", "Evolutionary Search", IF($O251="SequenceR", "Deep Learning", IF($O251="SimFix", "Search Like Pattern", IF($O251="SketchFix", "True Pattern", IF($O251="SOFix", "True Pattern", IF($O251="ssFix", "Search Like Pattern", IF($O251="TBar", "True Pattern", ""))))))))))))))))))))</f>
        <v>True Search</v>
      </c>
      <c r="Q251" s="13" t="str">
        <f>IF(NOT(ISERR(SEARCH("*_Buggy",$A251))), "Buggy", IF(NOT(ISERR(SEARCH("*_Fixed",$A251))), "Fixed", IF(NOT(ISERR(SEARCH("*_Repaired",$A251))), "Repaired", "")))</f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>LEFT($A252,FIND("_",$A252)-1)</f>
        <v>Kali-A</v>
      </c>
      <c r="P252" s="13" t="str">
        <f>IF($O252="ACS", "True Search", IF($O252="Arja", "Evolutionary Search", IF($O252="AVATAR", "True Pattern", IF($O252="CapGen", "Search Like Pattern", IF($O252="Cardumen", "True Semantic", IF($O252="DynaMoth", "True Semantic", IF($O252="FixMiner", "True Pattern", IF($O252="GenProg-A", "Evolutionary Search", IF($O252="Hercules", "Learning Pattern", IF($O252="Jaid", "True Semantic",
IF($O252="Kali-A", "True Search", IF($O252="kPAR", "True Pattern", IF($O252="Nopol", "True Semantic", IF($O252="RSRepair-A", "Evolutionary Search", IF($O252="SequenceR", "Deep Learning", IF($O252="SimFix", "Search Like Pattern", IF($O252="SketchFix", "True Pattern", IF($O252="SOFix", "True Pattern", IF($O252="ssFix", "Search Like Pattern", IF($O252="TBar", "True Pattern", ""))))))))))))))))))))</f>
        <v>True Search</v>
      </c>
      <c r="Q252" s="13" t="str">
        <f>IF(NOT(ISERR(SEARCH("*_Buggy",$A252))), "Buggy", IF(NOT(ISERR(SEARCH("*_Fixed",$A252))), "Fixed", IF(NOT(ISERR(SEARCH("*_Repaired",$A252))), "Repaired", "")))</f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>LEFT($A253,FIND("_",$A253)-1)</f>
        <v>Kali-A</v>
      </c>
      <c r="P253" s="13" t="str">
        <f>IF($O253="ACS", "True Search", IF($O253="Arja", "Evolutionary Search", IF($O253="AVATAR", "True Pattern", IF($O253="CapGen", "Search Like Pattern", IF($O253="Cardumen", "True Semantic", IF($O253="DynaMoth", "True Semantic", IF($O253="FixMiner", "True Pattern", IF($O253="GenProg-A", "Evolutionary Search", IF($O253="Hercules", "Learning Pattern", IF($O253="Jaid", "True Semantic",
IF($O253="Kali-A", "True Search", IF($O253="kPAR", "True Pattern", IF($O253="Nopol", "True Semantic", IF($O253="RSRepair-A", "Evolutionary Search", IF($O253="SequenceR", "Deep Learning", IF($O253="SimFix", "Search Like Pattern", IF($O253="SketchFix", "True Pattern", IF($O253="SOFix", "True Pattern", IF($O253="ssFix", "Search Like Pattern", IF($O253="TBar", "True Pattern", ""))))))))))))))))))))</f>
        <v>True Search</v>
      </c>
      <c r="Q253" s="13" t="str">
        <f>IF(NOT(ISERR(SEARCH("*_Buggy",$A253))), "Buggy", IF(NOT(ISERR(SEARCH("*_Fixed",$A253))), "Fixed", IF(NOT(ISERR(SEARCH("*_Repaired",$A253))), "Repaired", "")))</f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>LEFT($A254,FIND("_",$A254)-1)</f>
        <v>Kali-A</v>
      </c>
      <c r="P254" s="13" t="str">
        <f>IF($O254="ACS", "True Search", IF($O254="Arja", "Evolutionary Search", IF($O254="AVATAR", "True Pattern", IF($O254="CapGen", "Search Like Pattern", IF($O254="Cardumen", "True Semantic", IF($O254="DynaMoth", "True Semantic", IF($O254="FixMiner", "True Pattern", IF($O254="GenProg-A", "Evolutionary Search", IF($O254="Hercules", "Learning Pattern", IF($O254="Jaid", "True Semantic",
IF($O254="Kali-A", "True Search", IF($O254="kPAR", "True Pattern", IF($O254="Nopol", "True Semantic", IF($O254="RSRepair-A", "Evolutionary Search", IF($O254="SequenceR", "Deep Learning", IF($O254="SimFix", "Search Like Pattern", IF($O254="SketchFix", "True Pattern", IF($O254="SOFix", "True Pattern", IF($O254="ssFix", "Search Like Pattern", IF($O254="TBar", "True Pattern", ""))))))))))))))))))))</f>
        <v>True Search</v>
      </c>
      <c r="Q254" s="13" t="str">
        <f>IF(NOT(ISERR(SEARCH("*_Buggy",$A254))), "Buggy", IF(NOT(ISERR(SEARCH("*_Fixed",$A254))), "Fixed", IF(NOT(ISERR(SEARCH("*_Repaired",$A254))), "Repaired", "")))</f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>LEFT($A255,FIND("_",$A255)-1)</f>
        <v>Kali-A</v>
      </c>
      <c r="P255" s="13" t="str">
        <f>IF($O255="ACS", "True Search", IF($O255="Arja", "Evolutionary Search", IF($O255="AVATAR", "True Pattern", IF($O255="CapGen", "Search Like Pattern", IF($O255="Cardumen", "True Semantic", IF($O255="DynaMoth", "True Semantic", IF($O255="FixMiner", "True Pattern", IF($O255="GenProg-A", "Evolutionary Search", IF($O255="Hercules", "Learning Pattern", IF($O255="Jaid", "True Semantic",
IF($O255="Kali-A", "True Search", IF($O255="kPAR", "True Pattern", IF($O255="Nopol", "True Semantic", IF($O255="RSRepair-A", "Evolutionary Search", IF($O255="SequenceR", "Deep Learning", IF($O255="SimFix", "Search Like Pattern", IF($O255="SketchFix", "True Pattern", IF($O255="SOFix", "True Pattern", IF($O255="ssFix", "Search Like Pattern", IF($O255="TBar", "True Pattern", ""))))))))))))))))))))</f>
        <v>True Search</v>
      </c>
      <c r="Q255" s="13" t="str">
        <f>IF(NOT(ISERR(SEARCH("*_Buggy",$A255))), "Buggy", IF(NOT(ISERR(SEARCH("*_Fixed",$A255))), "Fixed", IF(NOT(ISERR(SEARCH("*_Repaired",$A255))), "Repaired", "")))</f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>LEFT($A256,FIND("_",$A256)-1)</f>
        <v>Kali-A</v>
      </c>
      <c r="P256" s="13" t="str">
        <f>IF($O256="ACS", "True Search", IF($O256="Arja", "Evolutionary Search", IF($O256="AVATAR", "True Pattern", IF($O256="CapGen", "Search Like Pattern", IF($O256="Cardumen", "True Semantic", IF($O256="DynaMoth", "True Semantic", IF($O256="FixMiner", "True Pattern", IF($O256="GenProg-A", "Evolutionary Search", IF($O256="Hercules", "Learning Pattern", IF($O256="Jaid", "True Semantic",
IF($O256="Kali-A", "True Search", IF($O256="kPAR", "True Pattern", IF($O256="Nopol", "True Semantic", IF($O256="RSRepair-A", "Evolutionary Search", IF($O256="SequenceR", "Deep Learning", IF($O256="SimFix", "Search Like Pattern", IF($O256="SketchFix", "True Pattern", IF($O256="SOFix", "True Pattern", IF($O256="ssFix", "Search Like Pattern", IF($O256="TBar", "True Pattern", ""))))))))))))))))))))</f>
        <v>True Search</v>
      </c>
      <c r="Q256" s="13" t="str">
        <f>IF(NOT(ISERR(SEARCH("*_Buggy",$A256))), "Buggy", IF(NOT(ISERR(SEARCH("*_Fixed",$A256))), "Fixed", IF(NOT(ISERR(SEARCH("*_Repaired",$A256))), "Repaired", "")))</f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>LEFT($A257,FIND("_",$A257)-1)</f>
        <v>Kali-A</v>
      </c>
      <c r="P257" s="13" t="str">
        <f>IF($O257="ACS", "True Search", IF($O257="Arja", "Evolutionary Search", IF($O257="AVATAR", "True Pattern", IF($O257="CapGen", "Search Like Pattern", IF($O257="Cardumen", "True Semantic", IF($O257="DynaMoth", "True Semantic", IF($O257="FixMiner", "True Pattern", IF($O257="GenProg-A", "Evolutionary Search", IF($O257="Hercules", "Learning Pattern", IF($O257="Jaid", "True Semantic",
IF($O257="Kali-A", "True Search", IF($O257="kPAR", "True Pattern", IF($O257="Nopol", "True Semantic", IF($O257="RSRepair-A", "Evolutionary Search", IF($O257="SequenceR", "Deep Learning", IF($O257="SimFix", "Search Like Pattern", IF($O257="SketchFix", "True Pattern", IF($O257="SOFix", "True Pattern", IF($O257="ssFix", "Search Like Pattern", IF($O257="TBar", "True Pattern", ""))))))))))))))))))))</f>
        <v>True Search</v>
      </c>
      <c r="Q257" s="13" t="str">
        <f>IF(NOT(ISERR(SEARCH("*_Buggy",$A257))), "Buggy", IF(NOT(ISERR(SEARCH("*_Fixed",$A257))), "Fixed", IF(NOT(ISERR(SEARCH("*_Repaired",$A257))), "Repaired", "")))</f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>LEFT($A258,FIND("_",$A258)-1)</f>
        <v>Kali-A</v>
      </c>
      <c r="P258" s="13" t="str">
        <f>IF($O258="ACS", "True Search", IF($O258="Arja", "Evolutionary Search", IF($O258="AVATAR", "True Pattern", IF($O258="CapGen", "Search Like Pattern", IF($O258="Cardumen", "True Semantic", IF($O258="DynaMoth", "True Semantic", IF($O258="FixMiner", "True Pattern", IF($O258="GenProg-A", "Evolutionary Search", IF($O258="Hercules", "Learning Pattern", IF($O258="Jaid", "True Semantic",
IF($O258="Kali-A", "True Search", IF($O258="kPAR", "True Pattern", IF($O258="Nopol", "True Semantic", IF($O258="RSRepair-A", "Evolutionary Search", IF($O258="SequenceR", "Deep Learning", IF($O258="SimFix", "Search Like Pattern", IF($O258="SketchFix", "True Pattern", IF($O258="SOFix", "True Pattern", IF($O258="ssFix", "Search Like Pattern", IF($O258="TBar", "True Pattern", ""))))))))))))))))))))</f>
        <v>True Search</v>
      </c>
      <c r="Q258" s="13" t="str">
        <f>IF(NOT(ISERR(SEARCH("*_Buggy",$A258))), "Buggy", IF(NOT(ISERR(SEARCH("*_Fixed",$A258))), "Fixed", IF(NOT(ISERR(SEARCH("*_Repaired",$A258))), "Repaired", "")))</f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>LEFT($A259,FIND("_",$A259)-1)</f>
        <v>Kali-A</v>
      </c>
      <c r="P259" s="13" t="str">
        <f>IF($O259="ACS", "True Search", IF($O259="Arja", "Evolutionary Search", IF($O259="AVATAR", "True Pattern", IF($O259="CapGen", "Search Like Pattern", IF($O259="Cardumen", "True Semantic", IF($O259="DynaMoth", "True Semantic", IF($O259="FixMiner", "True Pattern", IF($O259="GenProg-A", "Evolutionary Search", IF($O259="Hercules", "Learning Pattern", IF($O259="Jaid", "True Semantic",
IF($O259="Kali-A", "True Search", IF($O259="kPAR", "True Pattern", IF($O259="Nopol", "True Semantic", IF($O259="RSRepair-A", "Evolutionary Search", IF($O259="SequenceR", "Deep Learning", IF($O259="SimFix", "Search Like Pattern", IF($O259="SketchFix", "True Pattern", IF($O259="SOFix", "True Pattern", IF($O259="ssFix", "Search Like Pattern", IF($O259="TBar", "True Pattern", ""))))))))))))))))))))</f>
        <v>True Search</v>
      </c>
      <c r="Q259" s="13" t="str">
        <f>IF(NOT(ISERR(SEARCH("*_Buggy",$A259))), "Buggy", IF(NOT(ISERR(SEARCH("*_Fixed",$A259))), "Fixed", IF(NOT(ISERR(SEARCH("*_Repaired",$A259))), "Repaired", "")))</f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>LEFT($A260,FIND("_",$A260)-1)</f>
        <v>Kali-A</v>
      </c>
      <c r="P260" s="13" t="str">
        <f>IF($O260="ACS", "True Search", IF($O260="Arja", "Evolutionary Search", IF($O260="AVATAR", "True Pattern", IF($O260="CapGen", "Search Like Pattern", IF($O260="Cardumen", "True Semantic", IF($O260="DynaMoth", "True Semantic", IF($O260="FixMiner", "True Pattern", IF($O260="GenProg-A", "Evolutionary Search", IF($O260="Hercules", "Learning Pattern", IF($O260="Jaid", "True Semantic",
IF($O260="Kali-A", "True Search", IF($O260="kPAR", "True Pattern", IF($O260="Nopol", "True Semantic", IF($O260="RSRepair-A", "Evolutionary Search", IF($O260="SequenceR", "Deep Learning", IF($O260="SimFix", "Search Like Pattern", IF($O260="SketchFix", "True Pattern", IF($O260="SOFix", "True Pattern", IF($O260="ssFix", "Search Like Pattern", IF($O260="TBar", "True Pattern", ""))))))))))))))))))))</f>
        <v>True Search</v>
      </c>
      <c r="Q260" s="13" t="str">
        <f>IF(NOT(ISERR(SEARCH("*_Buggy",$A260))), "Buggy", IF(NOT(ISERR(SEARCH("*_Fixed",$A260))), "Fixed", IF(NOT(ISERR(SEARCH("*_Repaired",$A260))), "Repaired", "")))</f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>LEFT($A261,FIND("_",$A261)-1)</f>
        <v>Kali-A</v>
      </c>
      <c r="P261" s="13" t="str">
        <f>IF($O261="ACS", "True Search", IF($O261="Arja", "Evolutionary Search", IF($O261="AVATAR", "True Pattern", IF($O261="CapGen", "Search Like Pattern", IF($O261="Cardumen", "True Semantic", IF($O261="DynaMoth", "True Semantic", IF($O261="FixMiner", "True Pattern", IF($O261="GenProg-A", "Evolutionary Search", IF($O261="Hercules", "Learning Pattern", IF($O261="Jaid", "True Semantic",
IF($O261="Kali-A", "True Search", IF($O261="kPAR", "True Pattern", IF($O261="Nopol", "True Semantic", IF($O261="RSRepair-A", "Evolutionary Search", IF($O261="SequenceR", "Deep Learning", IF($O261="SimFix", "Search Like Pattern", IF($O261="SketchFix", "True Pattern", IF($O261="SOFix", "True Pattern", IF($O261="ssFix", "Search Like Pattern", IF($O261="TBar", "True Pattern", ""))))))))))))))))))))</f>
        <v>True Search</v>
      </c>
      <c r="Q261" s="13" t="str">
        <f>IF(NOT(ISERR(SEARCH("*_Buggy",$A261))), "Buggy", IF(NOT(ISERR(SEARCH("*_Fixed",$A261))), "Fixed", IF(NOT(ISERR(SEARCH("*_Repaired",$A261))), "Repaired", "")))</f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>LEFT($A262,FIND("_",$A262)-1)</f>
        <v>Kali-A</v>
      </c>
      <c r="P262" s="13" t="str">
        <f>IF($O262="ACS", "True Search", IF($O262="Arja", "Evolutionary Search", IF($O262="AVATAR", "True Pattern", IF($O262="CapGen", "Search Like Pattern", IF($O262="Cardumen", "True Semantic", IF($O262="DynaMoth", "True Semantic", IF($O262="FixMiner", "True Pattern", IF($O262="GenProg-A", "Evolutionary Search", IF($O262="Hercules", "Learning Pattern", IF($O262="Jaid", "True Semantic",
IF($O262="Kali-A", "True Search", IF($O262="kPAR", "True Pattern", IF($O262="Nopol", "True Semantic", IF($O262="RSRepair-A", "Evolutionary Search", IF($O262="SequenceR", "Deep Learning", IF($O262="SimFix", "Search Like Pattern", IF($O262="SketchFix", "True Pattern", IF($O262="SOFix", "True Pattern", IF($O262="ssFix", "Search Like Pattern", IF($O262="TBar", "True Pattern", ""))))))))))))))))))))</f>
        <v>True Search</v>
      </c>
      <c r="Q262" s="13" t="str">
        <f>IF(NOT(ISERR(SEARCH("*_Buggy",$A262))), "Buggy", IF(NOT(ISERR(SEARCH("*_Fixed",$A262))), "Fixed", IF(NOT(ISERR(SEARCH("*_Repaired",$A262))), "Repaired", "")))</f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>LEFT($A263,FIND("_",$A263)-1)</f>
        <v>Kali-A</v>
      </c>
      <c r="P263" s="13" t="str">
        <f>IF($O263="ACS", "True Search", IF($O263="Arja", "Evolutionary Search", IF($O263="AVATAR", "True Pattern", IF($O263="CapGen", "Search Like Pattern", IF($O263="Cardumen", "True Semantic", IF($O263="DynaMoth", "True Semantic", IF($O263="FixMiner", "True Pattern", IF($O263="GenProg-A", "Evolutionary Search", IF($O263="Hercules", "Learning Pattern", IF($O263="Jaid", "True Semantic",
IF($O263="Kali-A", "True Search", IF($O263="kPAR", "True Pattern", IF($O263="Nopol", "True Semantic", IF($O263="RSRepair-A", "Evolutionary Search", IF($O263="SequenceR", "Deep Learning", IF($O263="SimFix", "Search Like Pattern", IF($O263="SketchFix", "True Pattern", IF($O263="SOFix", "True Pattern", IF($O263="ssFix", "Search Like Pattern", IF($O263="TBar", "True Pattern", ""))))))))))))))))))))</f>
        <v>True Search</v>
      </c>
      <c r="Q263" s="13" t="str">
        <f>IF(NOT(ISERR(SEARCH("*_Buggy",$A263))), "Buggy", IF(NOT(ISERR(SEARCH("*_Fixed",$A263))), "Fixed", IF(NOT(ISERR(SEARCH("*_Repaired",$A263))), "Repaired", "")))</f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>LEFT($A264,FIND("_",$A264)-1)</f>
        <v>Kali-A</v>
      </c>
      <c r="P264" s="13" t="str">
        <f>IF($O264="ACS", "True Search", IF($O264="Arja", "Evolutionary Search", IF($O264="AVATAR", "True Pattern", IF($O264="CapGen", "Search Like Pattern", IF($O264="Cardumen", "True Semantic", IF($O264="DynaMoth", "True Semantic", IF($O264="FixMiner", "True Pattern", IF($O264="GenProg-A", "Evolutionary Search", IF($O264="Hercules", "Learning Pattern", IF($O264="Jaid", "True Semantic",
IF($O264="Kali-A", "True Search", IF($O264="kPAR", "True Pattern", IF($O264="Nopol", "True Semantic", IF($O264="RSRepair-A", "Evolutionary Search", IF($O264="SequenceR", "Deep Learning", IF($O264="SimFix", "Search Like Pattern", IF($O264="SketchFix", "True Pattern", IF($O264="SOFix", "True Pattern", IF($O264="ssFix", "Search Like Pattern", IF($O264="TBar", "True Pattern", ""))))))))))))))))))))</f>
        <v>True Search</v>
      </c>
      <c r="Q264" s="13" t="str">
        <f>IF(NOT(ISERR(SEARCH("*_Buggy",$A264))), "Buggy", IF(NOT(ISERR(SEARCH("*_Fixed",$A264))), "Fixed", IF(NOT(ISERR(SEARCH("*_Repaired",$A264))), "Repaired", "")))</f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>LEFT($A265,FIND("_",$A265)-1)</f>
        <v>Kali-A</v>
      </c>
      <c r="P265" s="13" t="str">
        <f>IF($O265="ACS", "True Search", IF($O265="Arja", "Evolutionary Search", IF($O265="AVATAR", "True Pattern", IF($O265="CapGen", "Search Like Pattern", IF($O265="Cardumen", "True Semantic", IF($O265="DynaMoth", "True Semantic", IF($O265="FixMiner", "True Pattern", IF($O265="GenProg-A", "Evolutionary Search", IF($O265="Hercules", "Learning Pattern", IF($O265="Jaid", "True Semantic",
IF($O265="Kali-A", "True Search", IF($O265="kPAR", "True Pattern", IF($O265="Nopol", "True Semantic", IF($O265="RSRepair-A", "Evolutionary Search", IF($O265="SequenceR", "Deep Learning", IF($O265="SimFix", "Search Like Pattern", IF($O265="SketchFix", "True Pattern", IF($O265="SOFix", "True Pattern", IF($O265="ssFix", "Search Like Pattern", IF($O265="TBar", "True Pattern", ""))))))))))))))))))))</f>
        <v>True Search</v>
      </c>
      <c r="Q265" s="13" t="str">
        <f>IF(NOT(ISERR(SEARCH("*_Buggy",$A265))), "Buggy", IF(NOT(ISERR(SEARCH("*_Fixed",$A265))), "Fixed", IF(NOT(ISERR(SEARCH("*_Repaired",$A265))), "Repaired", "")))</f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>LEFT($A266,FIND("_",$A266)-1)</f>
        <v>Kali-A</v>
      </c>
      <c r="P266" s="13" t="str">
        <f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>IF(NOT(ISERR(SEARCH("*_Buggy",$A266))), "Buggy", IF(NOT(ISERR(SEARCH("*_Fixed",$A266))), "Fixed", IF(NOT(ISERR(SEARCH("*_Repaired",$A266))), "Repaired", "")))</f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>LEFT($A267,FIND("_",$A267)-1)</f>
        <v>Kali-A</v>
      </c>
      <c r="P267" s="13" t="str">
        <f>IF($O267="ACS", "True Search", IF($O267="Arja", "Evolutionary Search", IF($O267="AVATAR", "True Pattern", IF($O267="CapGen", "Search Like Pattern", IF($O267="Cardumen", "True Semantic", IF($O267="DynaMoth", "True Semantic", IF($O267="FixMiner", "True Pattern", IF($O267="GenProg-A", "Evolutionary Search", IF($O267="Hercules", "Learning Pattern", IF($O267="Jaid", "True Semantic",
IF($O267="Kali-A", "True Search", IF($O267="kPAR", "True Pattern", IF($O267="Nopol", "True Semantic", IF($O267="RSRepair-A", "Evolutionary Search", IF($O267="SequenceR", "Deep Learning", IF($O267="SimFix", "Search Like Pattern", IF($O267="SketchFix", "True Pattern", IF($O267="SOFix", "True Pattern", IF($O267="ssFix", "Search Like Pattern", IF($O267="TBar", "True Pattern", ""))))))))))))))))))))</f>
        <v>True Search</v>
      </c>
      <c r="Q267" s="13" t="str">
        <f>IF(NOT(ISERR(SEARCH("*_Buggy",$A267))), "Buggy", IF(NOT(ISERR(SEARCH("*_Fixed",$A267))), "Fixed", IF(NOT(ISERR(SEARCH("*_Repaired",$A267))), "Repaired", "")))</f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>LEFT($A268,FIND("_",$A268)-1)</f>
        <v>Kali-A</v>
      </c>
      <c r="P268" s="13" t="str">
        <f>IF($O268="ACS", "True Search", IF($O268="Arja", "Evolutionary Search", IF($O268="AVATAR", "True Pattern", IF($O268="CapGen", "Search Like Pattern", IF($O268="Cardumen", "True Semantic", IF($O268="DynaMoth", "True Semantic", IF($O268="FixMiner", "True Pattern", IF($O268="GenProg-A", "Evolutionary Search", IF($O268="Hercules", "Learning Pattern", IF($O268="Jaid", "True Semantic",
IF($O268="Kali-A", "True Search", IF($O268="kPAR", "True Pattern", IF($O268="Nopol", "True Semantic", IF($O268="RSRepair-A", "Evolutionary Search", IF($O268="SequenceR", "Deep Learning", IF($O268="SimFix", "Search Like Pattern", IF($O268="SketchFix", "True Pattern", IF($O268="SOFix", "True Pattern", IF($O268="ssFix", "Search Like Pattern", IF($O268="TBar", "True Pattern", ""))))))))))))))))))))</f>
        <v>True Search</v>
      </c>
      <c r="Q268" s="13" t="str">
        <f>IF(NOT(ISERR(SEARCH("*_Buggy",$A268))), "Buggy", IF(NOT(ISERR(SEARCH("*_Fixed",$A268))), "Fixed", IF(NOT(ISERR(SEARCH("*_Repaired",$A268))), "Repaired", "")))</f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>LEFT($A269,FIND("_",$A269)-1)</f>
        <v>Kali-A</v>
      </c>
      <c r="P269" s="13" t="str">
        <f>IF($O269="ACS", "True Search", IF($O269="Arja", "Evolutionary Search", IF($O269="AVATAR", "True Pattern", IF($O269="CapGen", "Search Like Pattern", IF($O269="Cardumen", "True Semantic", IF($O269="DynaMoth", "True Semantic", IF($O269="FixMiner", "True Pattern", IF($O269="GenProg-A", "Evolutionary Search", IF($O269="Hercules", "Learning Pattern", IF($O269="Jaid", "True Semantic",
IF($O269="Kali-A", "True Search", IF($O269="kPAR", "True Pattern", IF($O269="Nopol", "True Semantic", IF($O269="RSRepair-A", "Evolutionary Search", IF($O269="SequenceR", "Deep Learning", IF($O269="SimFix", "Search Like Pattern", IF($O269="SketchFix", "True Pattern", IF($O269="SOFix", "True Pattern", IF($O269="ssFix", "Search Like Pattern", IF($O269="TBar", "True Pattern", ""))))))))))))))))))))</f>
        <v>True Search</v>
      </c>
      <c r="Q269" s="13" t="str">
        <f>IF(NOT(ISERR(SEARCH("*_Buggy",$A269))), "Buggy", IF(NOT(ISERR(SEARCH("*_Fixed",$A269))), "Fixed", IF(NOT(ISERR(SEARCH("*_Repaired",$A269))), "Repaired", "")))</f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>LEFT($A270,FIND("_",$A270)-1)</f>
        <v>Kali-A</v>
      </c>
      <c r="P270" s="13" t="str">
        <f>IF($O270="ACS", "True Search", IF($O270="Arja", "Evolutionary Search", IF($O270="AVATAR", "True Pattern", IF($O270="CapGen", "Search Like Pattern", IF($O270="Cardumen", "True Semantic", IF($O270="DynaMoth", "True Semantic", IF($O270="FixMiner", "True Pattern", IF($O270="GenProg-A", "Evolutionary Search", IF($O270="Hercules", "Learning Pattern", IF($O270="Jaid", "True Semantic",
IF($O270="Kali-A", "True Search", IF($O270="kPAR", "True Pattern", IF($O270="Nopol", "True Semantic", IF($O270="RSRepair-A", "Evolutionary Search", IF($O270="SequenceR", "Deep Learning", IF($O270="SimFix", "Search Like Pattern", IF($O270="SketchFix", "True Pattern", IF($O270="SOFix", "True Pattern", IF($O270="ssFix", "Search Like Pattern", IF($O270="TBar", "True Pattern", ""))))))))))))))))))))</f>
        <v>True Search</v>
      </c>
      <c r="Q270" s="13" t="str">
        <f>IF(NOT(ISERR(SEARCH("*_Buggy",$A270))), "Buggy", IF(NOT(ISERR(SEARCH("*_Fixed",$A270))), "Fixed", IF(NOT(ISERR(SEARCH("*_Repaired",$A270))), "Repaired", "")))</f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>LEFT($A271,FIND("_",$A271)-1)</f>
        <v>Kali-A</v>
      </c>
      <c r="P271" s="13" t="str">
        <f>IF($O271="ACS", "True Search", IF($O271="Arja", "Evolutionary Search", IF($O271="AVATAR", "True Pattern", IF($O271="CapGen", "Search Like Pattern", IF($O271="Cardumen", "True Semantic", IF($O271="DynaMoth", "True Semantic", IF($O271="FixMiner", "True Pattern", IF($O271="GenProg-A", "Evolutionary Search", IF($O271="Hercules", "Learning Pattern", IF($O271="Jaid", "True Semantic",
IF($O271="Kali-A", "True Search", IF($O271="kPAR", "True Pattern", IF($O271="Nopol", "True Semantic", IF($O271="RSRepair-A", "Evolutionary Search", IF($O271="SequenceR", "Deep Learning", IF($O271="SimFix", "Search Like Pattern", IF($O271="SketchFix", "True Pattern", IF($O271="SOFix", "True Pattern", IF($O271="ssFix", "Search Like Pattern", IF($O271="TBar", "True Pattern", ""))))))))))))))))))))</f>
        <v>True Search</v>
      </c>
      <c r="Q271" s="13" t="str">
        <f>IF(NOT(ISERR(SEARCH("*_Buggy",$A271))), "Buggy", IF(NOT(ISERR(SEARCH("*_Fixed",$A271))), "Fixed", IF(NOT(ISERR(SEARCH("*_Repaired",$A271))), "Repaired", "")))</f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>LEFT($A272,FIND("_",$A272)-1)</f>
        <v>Kali-A</v>
      </c>
      <c r="P272" s="13" t="str">
        <f>IF($O272="ACS", "True Search", IF($O272="Arja", "Evolutionary Search", IF($O272="AVATAR", "True Pattern", IF($O272="CapGen", "Search Like Pattern", IF($O272="Cardumen", "True Semantic", IF($O272="DynaMoth", "True Semantic", IF($O272="FixMiner", "True Pattern", IF($O272="GenProg-A", "Evolutionary Search", IF($O272="Hercules", "Learning Pattern", IF($O272="Jaid", "True Semantic",
IF($O272="Kali-A", "True Search", IF($O272="kPAR", "True Pattern", IF($O272="Nopol", "True Semantic", IF($O272="RSRepair-A", "Evolutionary Search", IF($O272="SequenceR", "Deep Learning", IF($O272="SimFix", "Search Like Pattern", IF($O272="SketchFix", "True Pattern", IF($O272="SOFix", "True Pattern", IF($O272="ssFix", "Search Like Pattern", IF($O272="TBar", "True Pattern", ""))))))))))))))))))))</f>
        <v>True Search</v>
      </c>
      <c r="Q272" s="13" t="str">
        <f>IF(NOT(ISERR(SEARCH("*_Buggy",$A272))), "Buggy", IF(NOT(ISERR(SEARCH("*_Fixed",$A272))), "Fixed", IF(NOT(ISERR(SEARCH("*_Repaired",$A272))), "Repaired", "")))</f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>LEFT($A273,FIND("_",$A273)-1)</f>
        <v>Kali-A</v>
      </c>
      <c r="P273" s="13" t="str">
        <f>IF($O273="ACS", "True Search", IF($O273="Arja", "Evolutionary Search", IF($O273="AVATAR", "True Pattern", IF($O273="CapGen", "Search Like Pattern", IF($O273="Cardumen", "True Semantic", IF($O273="DynaMoth", "True Semantic", IF($O273="FixMiner", "True Pattern", IF($O273="GenProg-A", "Evolutionary Search", IF($O273="Hercules", "Learning Pattern", IF($O273="Jaid", "True Semantic",
IF($O273="Kali-A", "True Search", IF($O273="kPAR", "True Pattern", IF($O273="Nopol", "True Semantic", IF($O273="RSRepair-A", "Evolutionary Search", IF($O273="SequenceR", "Deep Learning", IF($O273="SimFix", "Search Like Pattern", IF($O273="SketchFix", "True Pattern", IF($O273="SOFix", "True Pattern", IF($O273="ssFix", "Search Like Pattern", IF($O273="TBar", "True Pattern", ""))))))))))))))))))))</f>
        <v>True Search</v>
      </c>
      <c r="Q273" s="13" t="str">
        <f>IF(NOT(ISERR(SEARCH("*_Buggy",$A273))), "Buggy", IF(NOT(ISERR(SEARCH("*_Fixed",$A273))), "Fixed", IF(NOT(ISERR(SEARCH("*_Repaired",$A273))), "Repaired", "")))</f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>LEFT($A274,FIND("_",$A274)-1)</f>
        <v>Kali-A</v>
      </c>
      <c r="P274" s="13" t="str">
        <f>IF($O274="ACS", "True Search", IF($O274="Arja", "Evolutionary Search", IF($O274="AVATAR", "True Pattern", IF($O274="CapGen", "Search Like Pattern", IF($O274="Cardumen", "True Semantic", IF($O274="DynaMoth", "True Semantic", IF($O274="FixMiner", "True Pattern", IF($O274="GenProg-A", "Evolutionary Search", IF($O274="Hercules", "Learning Pattern", IF($O274="Jaid", "True Semantic",
IF($O274="Kali-A", "True Search", IF($O274="kPAR", "True Pattern", IF($O274="Nopol", "True Semantic", IF($O274="RSRepair-A", "Evolutionary Search", IF($O274="SequenceR", "Deep Learning", IF($O274="SimFix", "Search Like Pattern", IF($O274="SketchFix", "True Pattern", IF($O274="SOFix", "True Pattern", IF($O274="ssFix", "Search Like Pattern", IF($O274="TBar", "True Pattern", ""))))))))))))))))))))</f>
        <v>True Search</v>
      </c>
      <c r="Q274" s="13" t="str">
        <f>IF(NOT(ISERR(SEARCH("*_Buggy",$A274))), "Buggy", IF(NOT(ISERR(SEARCH("*_Fixed",$A274))), "Fixed", IF(NOT(ISERR(SEARCH("*_Repaired",$A274))), "Repaired", "")))</f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>LEFT($A275,FIND("_",$A275)-1)</f>
        <v>Kali-A</v>
      </c>
      <c r="P275" s="13" t="str">
        <f>IF($O275="ACS", "True Search", IF($O275="Arja", "Evolutionary Search", IF($O275="AVATAR", "True Pattern", IF($O275="CapGen", "Search Like Pattern", IF($O275="Cardumen", "True Semantic", IF($O275="DynaMoth", "True Semantic", IF($O275="FixMiner", "True Pattern", IF($O275="GenProg-A", "Evolutionary Search", IF($O275="Hercules", "Learning Pattern", IF($O275="Jaid", "True Semantic",
IF($O275="Kali-A", "True Search", IF($O275="kPAR", "True Pattern", IF($O275="Nopol", "True Semantic", IF($O275="RSRepair-A", "Evolutionary Search", IF($O275="SequenceR", "Deep Learning", IF($O275="SimFix", "Search Like Pattern", IF($O275="SketchFix", "True Pattern", IF($O275="SOFix", "True Pattern", IF($O275="ssFix", "Search Like Pattern", IF($O275="TBar", "True Pattern", ""))))))))))))))))))))</f>
        <v>True Search</v>
      </c>
      <c r="Q275" s="13" t="str">
        <f>IF(NOT(ISERR(SEARCH("*_Buggy",$A275))), "Buggy", IF(NOT(ISERR(SEARCH("*_Fixed",$A275))), "Fixed", IF(NOT(ISERR(SEARCH("*_Repaired",$A275))), "Repaired", "")))</f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>LEFT($A276,FIND("_",$A276)-1)</f>
        <v>Kali-A</v>
      </c>
      <c r="P276" s="13" t="str">
        <f>IF($O276="ACS", "True Search", IF($O276="Arja", "Evolutionary Search", IF($O276="AVATAR", "True Pattern", IF($O276="CapGen", "Search Like Pattern", IF($O276="Cardumen", "True Semantic", IF($O276="DynaMoth", "True Semantic", IF($O276="FixMiner", "True Pattern", IF($O276="GenProg-A", "Evolutionary Search", IF($O276="Hercules", "Learning Pattern", IF($O276="Jaid", "True Semantic",
IF($O276="Kali-A", "True Search", IF($O276="kPAR", "True Pattern", IF($O276="Nopol", "True Semantic", IF($O276="RSRepair-A", "Evolutionary Search", IF($O276="SequenceR", "Deep Learning", IF($O276="SimFix", "Search Like Pattern", IF($O276="SketchFix", "True Pattern", IF($O276="SOFix", "True Pattern", IF($O276="ssFix", "Search Like Pattern", IF($O276="TBar", "True Pattern", ""))))))))))))))))))))</f>
        <v>True Search</v>
      </c>
      <c r="Q276" s="13" t="str">
        <f>IF(NOT(ISERR(SEARCH("*_Buggy",$A276))), "Buggy", IF(NOT(ISERR(SEARCH("*_Fixed",$A276))), "Fixed", IF(NOT(ISERR(SEARCH("*_Repaired",$A276))), "Repaired", "")))</f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>LEFT($A277,FIND("_",$A277)-1)</f>
        <v>kPAR</v>
      </c>
      <c r="P277" s="13" t="str">
        <f>IF($O277="ACS", "True Search", IF($O277="Arja", "Evolutionary Search", IF($O277="AVATAR", "True Pattern", IF($O277="CapGen", "Search Like Pattern", IF($O277="Cardumen", "True Semantic", IF($O277="DynaMoth", "True Semantic", IF($O277="FixMiner", "True Pattern", IF($O277="GenProg-A", "Evolutionary Search", IF($O277="Hercules", "Learning Pattern", IF($O277="Jaid", "True Semantic",
IF($O277="Kali-A", "True Search", IF($O277="kPAR", "True Pattern", IF($O277="Nopol", "True Semantic", IF($O277="RSRepair-A", "Evolutionary Search", IF($O277="SequenceR", "Deep Learning", IF($O277="SimFix", "Search Like Pattern", IF($O277="SketchFix", "True Pattern", IF($O277="SOFix", "True Pattern", IF($O277="ssFix", "Search Like Pattern", IF($O277="TBar", "True Pattern", ""))))))))))))))))))))</f>
        <v>True Pattern</v>
      </c>
      <c r="Q277" s="13" t="str">
        <f>IF(NOT(ISERR(SEARCH("*_Buggy",$A277))), "Buggy", IF(NOT(ISERR(SEARCH("*_Fixed",$A277))), "Fixed", IF(NOT(ISERR(SEARCH("*_Repaired",$A277))), "Repaired", "")))</f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>LEFT($A278,FIND("_",$A278)-1)</f>
        <v>kPAR</v>
      </c>
      <c r="P278" s="13" t="str">
        <f>IF($O278="ACS", "True Search", IF($O278="Arja", "Evolutionary Search", IF($O278="AVATAR", "True Pattern", IF($O278="CapGen", "Search Like Pattern", IF($O278="Cardumen", "True Semantic", IF($O278="DynaMoth", "True Semantic", IF($O278="FixMiner", "True Pattern", IF($O278="GenProg-A", "Evolutionary Search", IF($O278="Hercules", "Learning Pattern", IF($O278="Jaid", "True Semantic",
IF($O278="Kali-A", "True Search", IF($O278="kPAR", "True Pattern", IF($O278="Nopol", "True Semantic", IF($O278="RSRepair-A", "Evolutionary Search", IF($O278="SequenceR", "Deep Learning", IF($O278="SimFix", "Search Like Pattern", IF($O278="SketchFix", "True Pattern", IF($O278="SOFix", "True Pattern", IF($O278="ssFix", "Search Like Pattern", IF($O278="TBar", "True Pattern", ""))))))))))))))))))))</f>
        <v>True Pattern</v>
      </c>
      <c r="Q278" s="13" t="str">
        <f>IF(NOT(ISERR(SEARCH("*_Buggy",$A278))), "Buggy", IF(NOT(ISERR(SEARCH("*_Fixed",$A278))), "Fixed", IF(NOT(ISERR(SEARCH("*_Repaired",$A278))), "Repaired", "")))</f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>LEFT($A279,FIND("_",$A279)-1)</f>
        <v>kPAR</v>
      </c>
      <c r="P279" s="13" t="str">
        <f>IF($O279="ACS", "True Search", IF($O279="Arja", "Evolutionary Search", IF($O279="AVATAR", "True Pattern", IF($O279="CapGen", "Search Like Pattern", IF($O279="Cardumen", "True Semantic", IF($O279="DynaMoth", "True Semantic", IF($O279="FixMiner", "True Pattern", IF($O279="GenProg-A", "Evolutionary Search", IF($O279="Hercules", "Learning Pattern", IF($O279="Jaid", "True Semantic",
IF($O279="Kali-A", "True Search", IF($O279="kPAR", "True Pattern", IF($O279="Nopol", "True Semantic", IF($O279="RSRepair-A", "Evolutionary Search", IF($O279="SequenceR", "Deep Learning", IF($O279="SimFix", "Search Like Pattern", IF($O279="SketchFix", "True Pattern", IF($O279="SOFix", "True Pattern", IF($O279="ssFix", "Search Like Pattern", IF($O279="TBar", "True Pattern", ""))))))))))))))))))))</f>
        <v>True Pattern</v>
      </c>
      <c r="Q279" s="13" t="str">
        <f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>LEFT($A280,FIND("_",$A280)-1)</f>
        <v>kPAR</v>
      </c>
      <c r="P280" s="13" t="str">
        <f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>IF(NOT(ISERR(SEARCH("*_Buggy",$A280))), "Buggy", IF(NOT(ISERR(SEARCH("*_Fixed",$A280))), "Fixed", IF(NOT(ISERR(SEARCH("*_Repaired",$A280))), "Repaired", "")))</f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>LEFT($A281,FIND("_",$A281)-1)</f>
        <v>kPAR</v>
      </c>
      <c r="P281" s="13" t="str">
        <f>IF($O281="ACS", "True Search", IF($O281="Arja", "Evolutionary Search", IF($O281="AVATAR", "True Pattern", IF($O281="CapGen", "Search Like Pattern", IF($O281="Cardumen", "True Semantic", IF($O281="DynaMoth", "True Semantic", IF($O281="FixMiner", "True Pattern", IF($O281="GenProg-A", "Evolutionary Search", IF($O281="Hercules", "Learning Pattern", IF($O281="Jaid", "True Semantic",
IF($O281="Kali-A", "True Search", IF($O281="kPAR", "True Pattern", IF($O281="Nopol", "True Semantic", IF($O281="RSRepair-A", "Evolutionary Search", IF($O281="SequenceR", "Deep Learning", IF($O281="SimFix", "Search Like Pattern", IF($O281="SketchFix", "True Pattern", IF($O281="SOFix", "True Pattern", IF($O281="ssFix", "Search Like Pattern", IF($O281="TBar", "True Pattern", ""))))))))))))))))))))</f>
        <v>True Pattern</v>
      </c>
      <c r="Q281" s="13" t="str">
        <f>IF(NOT(ISERR(SEARCH("*_Buggy",$A281))), "Buggy", IF(NOT(ISERR(SEARCH("*_Fixed",$A281))), "Fixed", IF(NOT(ISERR(SEARCH("*_Repaired",$A281))), "Repaired", "")))</f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>LEFT($A282,FIND("_",$A282)-1)</f>
        <v>kPAR</v>
      </c>
      <c r="P282" s="13" t="str">
        <f>IF($O282="ACS", "True Search", IF($O282="Arja", "Evolutionary Search", IF($O282="AVATAR", "True Pattern", IF($O282="CapGen", "Search Like Pattern", IF($O282="Cardumen", "True Semantic", IF($O282="DynaMoth", "True Semantic", IF($O282="FixMiner", "True Pattern", IF($O282="GenProg-A", "Evolutionary Search", IF($O282="Hercules", "Learning Pattern", IF($O282="Jaid", "True Semantic",
IF($O282="Kali-A", "True Search", IF($O282="kPAR", "True Pattern", IF($O282="Nopol", "True Semantic", IF($O282="RSRepair-A", "Evolutionary Search", IF($O282="SequenceR", "Deep Learning", IF($O282="SimFix", "Search Like Pattern", IF($O282="SketchFix", "True Pattern", IF($O282="SOFix", "True Pattern", IF($O282="ssFix", "Search Like Pattern", IF($O282="TBar", "True Pattern", ""))))))))))))))))))))</f>
        <v>True Pattern</v>
      </c>
      <c r="Q282" s="13" t="str">
        <f>IF(NOT(ISERR(SEARCH("*_Buggy",$A282))), "Buggy", IF(NOT(ISERR(SEARCH("*_Fixed",$A282))), "Fixed", IF(NOT(ISERR(SEARCH("*_Repaired",$A282))), "Repaired", "")))</f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>LEFT($A283,FIND("_",$A283)-1)</f>
        <v>kPAR</v>
      </c>
      <c r="P283" s="13" t="str">
        <f>IF($O283="ACS", "True Search", IF($O283="Arja", "Evolutionary Search", IF($O283="AVATAR", "True Pattern", IF($O283="CapGen", "Search Like Pattern", IF($O283="Cardumen", "True Semantic", IF($O283="DynaMoth", "True Semantic", IF($O283="FixMiner", "True Pattern", IF($O283="GenProg-A", "Evolutionary Search", IF($O283="Hercules", "Learning Pattern", IF($O283="Jaid", "True Semantic",
IF($O283="Kali-A", "True Search", IF($O283="kPAR", "True Pattern", IF($O283="Nopol", "True Semantic", IF($O283="RSRepair-A", "Evolutionary Search", IF($O283="SequenceR", "Deep Learning", IF($O283="SimFix", "Search Like Pattern", IF($O283="SketchFix", "True Pattern", IF($O283="SOFix", "True Pattern", IF($O283="ssFix", "Search Like Pattern", IF($O283="TBar", "True Pattern", ""))))))))))))))))))))</f>
        <v>True Pattern</v>
      </c>
      <c r="Q283" s="13" t="str">
        <f>IF(NOT(ISERR(SEARCH("*_Buggy",$A283))), "Buggy", IF(NOT(ISERR(SEARCH("*_Fixed",$A283))), "Fixed", IF(NOT(ISERR(SEARCH("*_Repaired",$A283))), "Repaired", "")))</f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>LEFT($A284,FIND("_",$A284)-1)</f>
        <v>kPAR</v>
      </c>
      <c r="P284" s="13" t="str">
        <f>IF($O284="ACS", "True Search", IF($O284="Arja", "Evolutionary Search", IF($O284="AVATAR", "True Pattern", IF($O284="CapGen", "Search Like Pattern", IF($O284="Cardumen", "True Semantic", IF($O284="DynaMoth", "True Semantic", IF($O284="FixMiner", "True Pattern", IF($O284="GenProg-A", "Evolutionary Search", IF($O284="Hercules", "Learning Pattern", IF($O284="Jaid", "True Semantic",
IF($O284="Kali-A", "True Search", IF($O284="kPAR", "True Pattern", IF($O284="Nopol", "True Semantic", IF($O284="RSRepair-A", "Evolutionary Search", IF($O284="SequenceR", "Deep Learning", IF($O284="SimFix", "Search Like Pattern", IF($O284="SketchFix", "True Pattern", IF($O284="SOFix", "True Pattern", IF($O284="ssFix", "Search Like Pattern", IF($O284="TBar", "True Pattern", ""))))))))))))))))))))</f>
        <v>True Pattern</v>
      </c>
      <c r="Q284" s="13" t="str">
        <f>IF(NOT(ISERR(SEARCH("*_Buggy",$A284))), "Buggy", IF(NOT(ISERR(SEARCH("*_Fixed",$A284))), "Fixed", IF(NOT(ISERR(SEARCH("*_Repaired",$A284))), "Repaired", "")))</f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>LEFT($A285,FIND("_",$A285)-1)</f>
        <v>kPAR</v>
      </c>
      <c r="P285" s="13" t="str">
        <f>IF($O285="ACS", "True Search", IF($O285="Arja", "Evolutionary Search", IF($O285="AVATAR", "True Pattern", IF($O285="CapGen", "Search Like Pattern", IF($O285="Cardumen", "True Semantic", IF($O285="DynaMoth", "True Semantic", IF($O285="FixMiner", "True Pattern", IF($O285="GenProg-A", "Evolutionary Search", IF($O285="Hercules", "Learning Pattern", IF($O285="Jaid", "True Semantic",
IF($O285="Kali-A", "True Search", IF($O285="kPAR", "True Pattern", IF($O285="Nopol", "True Semantic", IF($O285="RSRepair-A", "Evolutionary Search", IF($O285="SequenceR", "Deep Learning", IF($O285="SimFix", "Search Like Pattern", IF($O285="SketchFix", "True Pattern", IF($O285="SOFix", "True Pattern", IF($O285="ssFix", "Search Like Pattern", IF($O285="TBar", "True Pattern", ""))))))))))))))))))))</f>
        <v>True Pattern</v>
      </c>
      <c r="Q285" s="13" t="str">
        <f>IF(NOT(ISERR(SEARCH("*_Buggy",$A285))), "Buggy", IF(NOT(ISERR(SEARCH("*_Fixed",$A285))), "Fixed", IF(NOT(ISERR(SEARCH("*_Repaired",$A285))), "Repaired", "")))</f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>LEFT($A286,FIND("_",$A286)-1)</f>
        <v>kPAR</v>
      </c>
      <c r="P286" s="13" t="str">
        <f>IF($O286="ACS", "True Search", IF($O286="Arja", "Evolutionary Search", IF($O286="AVATAR", "True Pattern", IF($O286="CapGen", "Search Like Pattern", IF($O286="Cardumen", "True Semantic", IF($O286="DynaMoth", "True Semantic", IF($O286="FixMiner", "True Pattern", IF($O286="GenProg-A", "Evolutionary Search", IF($O286="Hercules", "Learning Pattern", IF($O286="Jaid", "True Semantic",
IF($O286="Kali-A", "True Search", IF($O286="kPAR", "True Pattern", IF($O286="Nopol", "True Semantic", IF($O286="RSRepair-A", "Evolutionary Search", IF($O286="SequenceR", "Deep Learning", IF($O286="SimFix", "Search Like Pattern", IF($O286="SketchFix", "True Pattern", IF($O286="SOFix", "True Pattern", IF($O286="ssFix", "Search Like Pattern", IF($O286="TBar", "True Pattern", ""))))))))))))))))))))</f>
        <v>True Pattern</v>
      </c>
      <c r="Q286" s="13" t="str">
        <f>IF(NOT(ISERR(SEARCH("*_Buggy",$A286))), "Buggy", IF(NOT(ISERR(SEARCH("*_Fixed",$A286))), "Fixed", IF(NOT(ISERR(SEARCH("*_Repaired",$A286))), "Repaired", "")))</f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>LEFT($A287,FIND("_",$A287)-1)</f>
        <v>kPAR</v>
      </c>
      <c r="P287" s="13" t="str">
        <f>IF($O287="ACS", "True Search", IF($O287="Arja", "Evolutionary Search", IF($O287="AVATAR", "True Pattern", IF($O287="CapGen", "Search Like Pattern", IF($O287="Cardumen", "True Semantic", IF($O287="DynaMoth", "True Semantic", IF($O287="FixMiner", "True Pattern", IF($O287="GenProg-A", "Evolutionary Search", IF($O287="Hercules", "Learning Pattern", IF($O287="Jaid", "True Semantic",
IF($O287="Kali-A", "True Search", IF($O287="kPAR", "True Pattern", IF($O287="Nopol", "True Semantic", IF($O287="RSRepair-A", "Evolutionary Search", IF($O287="SequenceR", "Deep Learning", IF($O287="SimFix", "Search Like Pattern", IF($O287="SketchFix", "True Pattern", IF($O287="SOFix", "True Pattern", IF($O287="ssFix", "Search Like Pattern", IF($O287="TBar", "True Pattern", ""))))))))))))))))))))</f>
        <v>True Pattern</v>
      </c>
      <c r="Q287" s="13" t="str">
        <f>IF(NOT(ISERR(SEARCH("*_Buggy",$A287))), "Buggy", IF(NOT(ISERR(SEARCH("*_Fixed",$A287))), "Fixed", IF(NOT(ISERR(SEARCH("*_Repaired",$A287))), "Repaired", "")))</f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>LEFT($A288,FIND("_",$A288)-1)</f>
        <v>kPAR</v>
      </c>
      <c r="P288" s="13" t="str">
        <f>IF($O288="ACS", "True Search", IF($O288="Arja", "Evolutionary Search", IF($O288="AVATAR", "True Pattern", IF($O288="CapGen", "Search Like Pattern", IF($O288="Cardumen", "True Semantic", IF($O288="DynaMoth", "True Semantic", IF($O288="FixMiner", "True Pattern", IF($O288="GenProg-A", "Evolutionary Search", IF($O288="Hercules", "Learning Pattern", IF($O288="Jaid", "True Semantic",
IF($O288="Kali-A", "True Search", IF($O288="kPAR", "True Pattern", IF($O288="Nopol", "True Semantic", IF($O288="RSRepair-A", "Evolutionary Search", IF($O288="SequenceR", "Deep Learning", IF($O288="SimFix", "Search Like Pattern", IF($O288="SketchFix", "True Pattern", IF($O288="SOFix", "True Pattern", IF($O288="ssFix", "Search Like Pattern", IF($O288="TBar", "True Pattern", ""))))))))))))))))))))</f>
        <v>True Pattern</v>
      </c>
      <c r="Q288" s="13" t="str">
        <f>IF(NOT(ISERR(SEARCH("*_Buggy",$A288))), "Buggy", IF(NOT(ISERR(SEARCH("*_Fixed",$A288))), "Fixed", IF(NOT(ISERR(SEARCH("*_Repaired",$A288))), "Repaired", "")))</f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>LEFT($A289,FIND("_",$A289)-1)</f>
        <v>kPAR</v>
      </c>
      <c r="P289" s="13" t="str">
        <f>IF($O289="ACS", "True Search", IF($O289="Arja", "Evolutionary Search", IF($O289="AVATAR", "True Pattern", IF($O289="CapGen", "Search Like Pattern", IF($O289="Cardumen", "True Semantic", IF($O289="DynaMoth", "True Semantic", IF($O289="FixMiner", "True Pattern", IF($O289="GenProg-A", "Evolutionary Search", IF($O289="Hercules", "Learning Pattern", IF($O289="Jaid", "True Semantic",
IF($O289="Kali-A", "True Search", IF($O289="kPAR", "True Pattern", IF($O289="Nopol", "True Semantic", IF($O289="RSRepair-A", "Evolutionary Search", IF($O289="SequenceR", "Deep Learning", IF($O289="SimFix", "Search Like Pattern", IF($O289="SketchFix", "True Pattern", IF($O289="SOFix", "True Pattern", IF($O289="ssFix", "Search Like Pattern", IF($O289="TBar", "True Pattern", ""))))))))))))))))))))</f>
        <v>True Pattern</v>
      </c>
      <c r="Q289" s="13" t="str">
        <f>IF(NOT(ISERR(SEARCH("*_Buggy",$A289))), "Buggy", IF(NOT(ISERR(SEARCH("*_Fixed",$A289))), "Fixed", IF(NOT(ISERR(SEARCH("*_Repaired",$A289))), "Repaired", "")))</f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>LEFT($A290,FIND("_",$A290)-1)</f>
        <v>kPAR</v>
      </c>
      <c r="P290" s="13" t="str">
        <f>IF($O290="ACS", "True Search", IF($O290="Arja", "Evolutionary Search", IF($O290="AVATAR", "True Pattern", IF($O290="CapGen", "Search Like Pattern", IF($O290="Cardumen", "True Semantic", IF($O290="DynaMoth", "True Semantic", IF($O290="FixMiner", "True Pattern", IF($O290="GenProg-A", "Evolutionary Search", IF($O290="Hercules", "Learning Pattern", IF($O290="Jaid", "True Semantic",
IF($O290="Kali-A", "True Search", IF($O290="kPAR", "True Pattern", IF($O290="Nopol", "True Semantic", IF($O290="RSRepair-A", "Evolutionary Search", IF($O290="SequenceR", "Deep Learning", IF($O290="SimFix", "Search Like Pattern", IF($O290="SketchFix", "True Pattern", IF($O290="SOFix", "True Pattern", IF($O290="ssFix", "Search Like Pattern", IF($O290="TBar", "True Pattern", ""))))))))))))))))))))</f>
        <v>True Pattern</v>
      </c>
      <c r="Q290" s="13" t="str">
        <f>IF(NOT(ISERR(SEARCH("*_Buggy",$A290))), "Buggy", IF(NOT(ISERR(SEARCH("*_Fixed",$A290))), "Fixed", IF(NOT(ISERR(SEARCH("*_Repaired",$A290))), "Repaired", "")))</f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>LEFT($A291,FIND("_",$A291)-1)</f>
        <v>kPAR</v>
      </c>
      <c r="P291" s="13" t="str">
        <f>IF($O291="ACS", "True Search", IF($O291="Arja", "Evolutionary Search", IF($O291="AVATAR", "True Pattern", IF($O291="CapGen", "Search Like Pattern", IF($O291="Cardumen", "True Semantic", IF($O291="DynaMoth", "True Semantic", IF($O291="FixMiner", "True Pattern", IF($O291="GenProg-A", "Evolutionary Search", IF($O291="Hercules", "Learning Pattern", IF($O291="Jaid", "True Semantic",
IF($O291="Kali-A", "True Search", IF($O291="kPAR", "True Pattern", IF($O291="Nopol", "True Semantic", IF($O291="RSRepair-A", "Evolutionary Search", IF($O291="SequenceR", "Deep Learning", IF($O291="SimFix", "Search Like Pattern", IF($O291="SketchFix", "True Pattern", IF($O291="SOFix", "True Pattern", IF($O291="ssFix", "Search Like Pattern", IF($O291="TBar", "True Pattern", ""))))))))))))))))))))</f>
        <v>True Pattern</v>
      </c>
      <c r="Q291" s="13" t="str">
        <f>IF(NOT(ISERR(SEARCH("*_Buggy",$A291))), "Buggy", IF(NOT(ISERR(SEARCH("*_Fixed",$A291))), "Fixed", IF(NOT(ISERR(SEARCH("*_Repaired",$A291))), "Repaired", "")))</f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>LEFT($A292,FIND("_",$A292)-1)</f>
        <v>kPAR</v>
      </c>
      <c r="P292" s="13" t="str">
        <f>IF($O292="ACS", "True Search", IF($O292="Arja", "Evolutionary Search", IF($O292="AVATAR", "True Pattern", IF($O292="CapGen", "Search Like Pattern", IF($O292="Cardumen", "True Semantic", IF($O292="DynaMoth", "True Semantic", IF($O292="FixMiner", "True Pattern", IF($O292="GenProg-A", "Evolutionary Search", IF($O292="Hercules", "Learning Pattern", IF($O292="Jaid", "True Semantic",
IF($O292="Kali-A", "True Search", IF($O292="kPAR", "True Pattern", IF($O292="Nopol", "True Semantic", IF($O292="RSRepair-A", "Evolutionary Search", IF($O292="SequenceR", "Deep Learning", IF($O292="SimFix", "Search Like Pattern", IF($O292="SketchFix", "True Pattern", IF($O292="SOFix", "True Pattern", IF($O292="ssFix", "Search Like Pattern", IF($O292="TBar", "True Pattern", ""))))))))))))))))))))</f>
        <v>True Pattern</v>
      </c>
      <c r="Q292" s="13" t="str">
        <f>IF(NOT(ISERR(SEARCH("*_Buggy",$A292))), "Buggy", IF(NOT(ISERR(SEARCH("*_Fixed",$A292))), "Fixed", IF(NOT(ISERR(SEARCH("*_Repaired",$A292))), "Repaired", "")))</f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>LEFT($A293,FIND("_",$A293)-1)</f>
        <v>kPAR</v>
      </c>
      <c r="P293" s="13" t="str">
        <f>IF($O293="ACS", "True Search", IF($O293="Arja", "Evolutionary Search", IF($O293="AVATAR", "True Pattern", IF($O293="CapGen", "Search Like Pattern", IF($O293="Cardumen", "True Semantic", IF($O293="DynaMoth", "True Semantic", IF($O293="FixMiner", "True Pattern", IF($O293="GenProg-A", "Evolutionary Search", IF($O293="Hercules", "Learning Pattern", IF($O293="Jaid", "True Semantic",
IF($O293="Kali-A", "True Search", IF($O293="kPAR", "True Pattern", IF($O293="Nopol", "True Semantic", IF($O293="RSRepair-A", "Evolutionary Search", IF($O293="SequenceR", "Deep Learning", IF($O293="SimFix", "Search Like Pattern", IF($O293="SketchFix", "True Pattern", IF($O293="SOFix", "True Pattern", IF($O293="ssFix", "Search Like Pattern", IF($O293="TBar", "True Pattern", ""))))))))))))))))))))</f>
        <v>True Pattern</v>
      </c>
      <c r="Q293" s="13" t="str">
        <f>IF(NOT(ISERR(SEARCH("*_Buggy",$A293))), "Buggy", IF(NOT(ISERR(SEARCH("*_Fixed",$A293))), "Fixed", IF(NOT(ISERR(SEARCH("*_Repaired",$A293))), "Repaired", "")))</f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>LEFT($A294,FIND("_",$A294)-1)</f>
        <v>kPAR</v>
      </c>
      <c r="P294" s="13" t="str">
        <f>IF($O294="ACS", "True Search", IF($O294="Arja", "Evolutionary Search", IF($O294="AVATAR", "True Pattern", IF($O294="CapGen", "Search Like Pattern", IF($O294="Cardumen", "True Semantic", IF($O294="DynaMoth", "True Semantic", IF($O294="FixMiner", "True Pattern", IF($O294="GenProg-A", "Evolutionary Search", IF($O294="Hercules", "Learning Pattern", IF($O294="Jaid", "True Semantic",
IF($O294="Kali-A", "True Search", IF($O294="kPAR", "True Pattern", IF($O294="Nopol", "True Semantic", IF($O294="RSRepair-A", "Evolutionary Search", IF($O294="SequenceR", "Deep Learning", IF($O294="SimFix", "Search Like Pattern", IF($O294="SketchFix", "True Pattern", IF($O294="SOFix", "True Pattern", IF($O294="ssFix", "Search Like Pattern", IF($O294="TBar", "True Pattern", ""))))))))))))))))))))</f>
        <v>True Pattern</v>
      </c>
      <c r="Q294" s="13" t="str">
        <f>IF(NOT(ISERR(SEARCH("*_Buggy",$A294))), "Buggy", IF(NOT(ISERR(SEARCH("*_Fixed",$A294))), "Fixed", IF(NOT(ISERR(SEARCH("*_Repaired",$A294))), "Repaired", "")))</f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>LEFT($A295,FIND("_",$A295)-1)</f>
        <v>kPAR</v>
      </c>
      <c r="P295" s="13" t="str">
        <f>IF($O295="ACS", "True Search", IF($O295="Arja", "Evolutionary Search", IF($O295="AVATAR", "True Pattern", IF($O295="CapGen", "Search Like Pattern", IF($O295="Cardumen", "True Semantic", IF($O295="DynaMoth", "True Semantic", IF($O295="FixMiner", "True Pattern", IF($O295="GenProg-A", "Evolutionary Search", IF($O295="Hercules", "Learning Pattern", IF($O295="Jaid", "True Semantic",
IF($O295="Kali-A", "True Search", IF($O295="kPAR", "True Pattern", IF($O295="Nopol", "True Semantic", IF($O295="RSRepair-A", "Evolutionary Search", IF($O295="SequenceR", "Deep Learning", IF($O295="SimFix", "Search Like Pattern", IF($O295="SketchFix", "True Pattern", IF($O295="SOFix", "True Pattern", IF($O295="ssFix", "Search Like Pattern", IF($O295="TBar", "True Pattern", ""))))))))))))))))))))</f>
        <v>True Pattern</v>
      </c>
      <c r="Q295" s="13" t="str">
        <f>IF(NOT(ISERR(SEARCH("*_Buggy",$A295))), "Buggy", IF(NOT(ISERR(SEARCH("*_Fixed",$A295))), "Fixed", IF(NOT(ISERR(SEARCH("*_Repaired",$A295))), "Repaired", "")))</f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>LEFT($A296,FIND("_",$A296)-1)</f>
        <v>kPAR</v>
      </c>
      <c r="P296" s="13" t="str">
        <f>IF($O296="ACS", "True Search", IF($O296="Arja", "Evolutionary Search", IF($O296="AVATAR", "True Pattern", IF($O296="CapGen", "Search Like Pattern", IF($O296="Cardumen", "True Semantic", IF($O296="DynaMoth", "True Semantic", IF($O296="FixMiner", "True Pattern", IF($O296="GenProg-A", "Evolutionary Search", IF($O296="Hercules", "Learning Pattern", IF($O296="Jaid", "True Semantic",
IF($O296="Kali-A", "True Search", IF($O296="kPAR", "True Pattern", IF($O296="Nopol", "True Semantic", IF($O296="RSRepair-A", "Evolutionary Search", IF($O296="SequenceR", "Deep Learning", IF($O296="SimFix", "Search Like Pattern", IF($O296="SketchFix", "True Pattern", IF($O296="SOFix", "True Pattern", IF($O296="ssFix", "Search Like Pattern", IF($O296="TBar", "True Pattern", ""))))))))))))))))))))</f>
        <v>True Pattern</v>
      </c>
      <c r="Q296" s="13" t="str">
        <f>IF(NOT(ISERR(SEARCH("*_Buggy",$A296))), "Buggy", IF(NOT(ISERR(SEARCH("*_Fixed",$A296))), "Fixed", IF(NOT(ISERR(SEARCH("*_Repaired",$A296))), "Repaired", "")))</f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>LEFT($A297,FIND("_",$A297)-1)</f>
        <v>kPAR</v>
      </c>
      <c r="P297" s="13" t="str">
        <f>IF($O297="ACS", "True Search", IF($O297="Arja", "Evolutionary Search", IF($O297="AVATAR", "True Pattern", IF($O297="CapGen", "Search Like Pattern", IF($O297="Cardumen", "True Semantic", IF($O297="DynaMoth", "True Semantic", IF($O297="FixMiner", "True Pattern", IF($O297="GenProg-A", "Evolutionary Search", IF($O297="Hercules", "Learning Pattern", IF($O297="Jaid", "True Semantic",
IF($O297="Kali-A", "True Search", IF($O297="kPAR", "True Pattern", IF($O297="Nopol", "True Semantic", IF($O297="RSRepair-A", "Evolutionary Search", IF($O297="SequenceR", "Deep Learning", IF($O297="SimFix", "Search Like Pattern", IF($O297="SketchFix", "True Pattern", IF($O297="SOFix", "True Pattern", IF($O297="ssFix", "Search Like Pattern", IF($O297="TBar", "True Pattern", ""))))))))))))))))))))</f>
        <v>True Pattern</v>
      </c>
      <c r="Q297" s="13" t="str">
        <f>IF(NOT(ISERR(SEARCH("*_Buggy",$A297))), "Buggy", IF(NOT(ISERR(SEARCH("*_Fixed",$A297))), "Fixed", IF(NOT(ISERR(SEARCH("*_Repaired",$A297))), "Repaired", "")))</f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>LEFT($A298,FIND("_",$A298)-1)</f>
        <v>kPAR</v>
      </c>
      <c r="P298" s="13" t="str">
        <f>IF($O298="ACS", "True Search", IF($O298="Arja", "Evolutionary Search", IF($O298="AVATAR", "True Pattern", IF($O298="CapGen", "Search Like Pattern", IF($O298="Cardumen", "True Semantic", IF($O298="DynaMoth", "True Semantic", IF($O298="FixMiner", "True Pattern", IF($O298="GenProg-A", "Evolutionary Search", IF($O298="Hercules", "Learning Pattern", IF($O298="Jaid", "True Semantic",
IF($O298="Kali-A", "True Search", IF($O298="kPAR", "True Pattern", IF($O298="Nopol", "True Semantic", IF($O298="RSRepair-A", "Evolutionary Search", IF($O298="SequenceR", "Deep Learning", IF($O298="SimFix", "Search Like Pattern", IF($O298="SketchFix", "True Pattern", IF($O298="SOFix", "True Pattern", IF($O298="ssFix", "Search Like Pattern", IF($O298="TBar", "True Pattern", ""))))))))))))))))))))</f>
        <v>True Pattern</v>
      </c>
      <c r="Q298" s="13" t="str">
        <f>IF(NOT(ISERR(SEARCH("*_Buggy",$A298))), "Buggy", IF(NOT(ISERR(SEARCH("*_Fixed",$A298))), "Fixed", IF(NOT(ISERR(SEARCH("*_Repaired",$A298))), "Repaired", "")))</f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>LEFT($A299,FIND("_",$A299)-1)</f>
        <v>kPAR</v>
      </c>
      <c r="P299" s="13" t="str">
        <f>IF($O299="ACS", "True Search", IF($O299="Arja", "Evolutionary Search", IF($O299="AVATAR", "True Pattern", IF($O299="CapGen", "Search Like Pattern", IF($O299="Cardumen", "True Semantic", IF($O299="DynaMoth", "True Semantic", IF($O299="FixMiner", "True Pattern", IF($O299="GenProg-A", "Evolutionary Search", IF($O299="Hercules", "Learning Pattern", IF($O299="Jaid", "True Semantic",
IF($O299="Kali-A", "True Search", IF($O299="kPAR", "True Pattern", IF($O299="Nopol", "True Semantic", IF($O299="RSRepair-A", "Evolutionary Search", IF($O299="SequenceR", "Deep Learning", IF($O299="SimFix", "Search Like Pattern", IF($O299="SketchFix", "True Pattern", IF($O299="SOFix", "True Pattern", IF($O299="ssFix", "Search Like Pattern", IF($O299="TBar", "True Pattern", ""))))))))))))))))))))</f>
        <v>True Pattern</v>
      </c>
      <c r="Q299" s="13" t="str">
        <f>IF(NOT(ISERR(SEARCH("*_Buggy",$A299))), "Buggy", IF(NOT(ISERR(SEARCH("*_Fixed",$A299))), "Fixed", IF(NOT(ISERR(SEARCH("*_Repaired",$A299))), "Repaired", "")))</f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>LEFT($A300,FIND("_",$A300)-1)</f>
        <v>kPAR</v>
      </c>
      <c r="P300" s="13" t="str">
        <f>IF($O300="ACS", "True Search", IF($O300="Arja", "Evolutionary Search", IF($O300="AVATAR", "True Pattern", IF($O300="CapGen", "Search Like Pattern", IF($O300="Cardumen", "True Semantic", IF($O300="DynaMoth", "True Semantic", IF($O300="FixMiner", "True Pattern", IF($O300="GenProg-A", "Evolutionary Search", IF($O300="Hercules", "Learning Pattern", IF($O300="Jaid", "True Semantic",
IF($O300="Kali-A", "True Search", IF($O300="kPAR", "True Pattern", IF($O300="Nopol", "True Semantic", IF($O300="RSRepair-A", "Evolutionary Search", IF($O300="SequenceR", "Deep Learning", IF($O300="SimFix", "Search Like Pattern", IF($O300="SketchFix", "True Pattern", IF($O300="SOFix", "True Pattern", IF($O300="ssFix", "Search Like Pattern", IF($O300="TBar", "True Pattern", ""))))))))))))))))))))</f>
        <v>True Pattern</v>
      </c>
      <c r="Q300" s="13" t="str">
        <f>IF(NOT(ISERR(SEARCH("*_Buggy",$A300))), "Buggy", IF(NOT(ISERR(SEARCH("*_Fixed",$A300))), "Fixed", IF(NOT(ISERR(SEARCH("*_Repaired",$A300))), "Repaired", "")))</f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>LEFT($A301,FIND("_",$A301)-1)</f>
        <v>kPAR</v>
      </c>
      <c r="P301" s="13" t="str">
        <f>IF($O301="ACS", "True Search", IF($O301="Arja", "Evolutionary Search", IF($O301="AVATAR", "True Pattern", IF($O301="CapGen", "Search Like Pattern", IF($O301="Cardumen", "True Semantic", IF($O301="DynaMoth", "True Semantic", IF($O301="FixMiner", "True Pattern", IF($O301="GenProg-A", "Evolutionary Search", IF($O301="Hercules", "Learning Pattern", IF($O301="Jaid", "True Semantic",
IF($O301="Kali-A", "True Search", IF($O301="kPAR", "True Pattern", IF($O301="Nopol", "True Semantic", IF($O301="RSRepair-A", "Evolutionary Search", IF($O301="SequenceR", "Deep Learning", IF($O301="SimFix", "Search Like Pattern", IF($O301="SketchFix", "True Pattern", IF($O301="SOFix", "True Pattern", IF($O301="ssFix", "Search Like Pattern", IF($O301="TBar", "True Pattern", ""))))))))))))))))))))</f>
        <v>True Pattern</v>
      </c>
      <c r="Q301" s="13" t="str">
        <f>IF(NOT(ISERR(SEARCH("*_Buggy",$A301))), "Buggy", IF(NOT(ISERR(SEARCH("*_Fixed",$A301))), "Fixed", IF(NOT(ISERR(SEARCH("*_Repaired",$A301))), "Repaired", "")))</f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>LEFT($A302,FIND("_",$A302)-1)</f>
        <v>kPAR</v>
      </c>
      <c r="P302" s="13" t="str">
        <f>IF($O302="ACS", "True Search", IF($O302="Arja", "Evolutionary Search", IF($O302="AVATAR", "True Pattern", IF($O302="CapGen", "Search Like Pattern", IF($O302="Cardumen", "True Semantic", IF($O302="DynaMoth", "True Semantic", IF($O302="FixMiner", "True Pattern", IF($O302="GenProg-A", "Evolutionary Search", IF($O302="Hercules", "Learning Pattern", IF($O302="Jaid", "True Semantic",
IF($O302="Kali-A", "True Search", IF($O302="kPAR", "True Pattern", IF($O302="Nopol", "True Semantic", IF($O302="RSRepair-A", "Evolutionary Search", IF($O302="SequenceR", "Deep Learning", IF($O302="SimFix", "Search Like Pattern", IF($O302="SketchFix", "True Pattern", IF($O302="SOFix", "True Pattern", IF($O302="ssFix", "Search Like Pattern", IF($O302="TBar", "True Pattern", ""))))))))))))))))))))</f>
        <v>True Pattern</v>
      </c>
      <c r="Q302" s="13" t="str">
        <f>IF(NOT(ISERR(SEARCH("*_Buggy",$A302))), "Buggy", IF(NOT(ISERR(SEARCH("*_Fixed",$A302))), "Fixed", IF(NOT(ISERR(SEARCH("*_Repaired",$A302))), "Repaired", "")))</f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>LEFT($A303,FIND("_",$A303)-1)</f>
        <v>kPAR</v>
      </c>
      <c r="P303" s="13" t="str">
        <f>IF($O303="ACS", "True Search", IF($O303="Arja", "Evolutionary Search", IF($O303="AVATAR", "True Pattern", IF($O303="CapGen", "Search Like Pattern", IF($O303="Cardumen", "True Semantic", IF($O303="DynaMoth", "True Semantic", IF($O303="FixMiner", "True Pattern", IF($O303="GenProg-A", "Evolutionary Search", IF($O303="Hercules", "Learning Pattern", IF($O303="Jaid", "True Semantic",
IF($O303="Kali-A", "True Search", IF($O303="kPAR", "True Pattern", IF($O303="Nopol", "True Semantic", IF($O303="RSRepair-A", "Evolutionary Search", IF($O303="SequenceR", "Deep Learning", IF($O303="SimFix", "Search Like Pattern", IF($O303="SketchFix", "True Pattern", IF($O303="SOFix", "True Pattern", IF($O303="ssFix", "Search Like Pattern", IF($O303="TBar", "True Pattern", ""))))))))))))))))))))</f>
        <v>True Pattern</v>
      </c>
      <c r="Q303" s="13" t="str">
        <f>IF(NOT(ISERR(SEARCH("*_Buggy",$A303))), "Buggy", IF(NOT(ISERR(SEARCH("*_Fixed",$A303))), "Fixed", IF(NOT(ISERR(SEARCH("*_Repaired",$A303))), "Repaired", "")))</f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>LEFT($A304,FIND("_",$A304)-1)</f>
        <v>kPAR</v>
      </c>
      <c r="P304" s="13" t="str">
        <f>IF($O304="ACS", "True Search", IF($O304="Arja", "Evolutionary Search", IF($O304="AVATAR", "True Pattern", IF($O304="CapGen", "Search Like Pattern", IF($O304="Cardumen", "True Semantic", IF($O304="DynaMoth", "True Semantic", IF($O304="FixMiner", "True Pattern", IF($O304="GenProg-A", "Evolutionary Search", IF($O304="Hercules", "Learning Pattern", IF($O304="Jaid", "True Semantic",
IF($O304="Kali-A", "True Search", IF($O304="kPAR", "True Pattern", IF($O304="Nopol", "True Semantic", IF($O304="RSRepair-A", "Evolutionary Search", IF($O304="SequenceR", "Deep Learning", IF($O304="SimFix", "Search Like Pattern", IF($O304="SketchFix", "True Pattern", IF($O304="SOFix", "True Pattern", IF($O304="ssFix", "Search Like Pattern", IF($O304="TBar", "True Pattern", ""))))))))))))))))))))</f>
        <v>True Pattern</v>
      </c>
      <c r="Q304" s="13" t="str">
        <f>IF(NOT(ISERR(SEARCH("*_Buggy",$A304))), "Buggy", IF(NOT(ISERR(SEARCH("*_Fixed",$A304))), "Fixed", IF(NOT(ISERR(SEARCH("*_Repaired",$A304))), "Repaired", "")))</f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>LEFT($A305,FIND("_",$A305)-1)</f>
        <v>kPAR</v>
      </c>
      <c r="P305" s="13" t="str">
        <f>IF($O305="ACS", "True Search", IF($O305="Arja", "Evolutionary Search", IF($O305="AVATAR", "True Pattern", IF($O305="CapGen", "Search Like Pattern", IF($O305="Cardumen", "True Semantic", IF($O305="DynaMoth", "True Semantic", IF($O305="FixMiner", "True Pattern", IF($O305="GenProg-A", "Evolutionary Search", IF($O305="Hercules", "Learning Pattern", IF($O305="Jaid", "True Semantic",
IF($O305="Kali-A", "True Search", IF($O305="kPAR", "True Pattern", IF($O305="Nopol", "True Semantic", IF($O305="RSRepair-A", "Evolutionary Search", IF($O305="SequenceR", "Deep Learning", IF($O305="SimFix", "Search Like Pattern", IF($O305="SketchFix", "True Pattern", IF($O305="SOFix", "True Pattern", IF($O305="ssFix", "Search Like Pattern", IF($O305="TBar", "True Pattern", ""))))))))))))))))))))</f>
        <v>True Pattern</v>
      </c>
      <c r="Q305" s="13" t="str">
        <f>IF(NOT(ISERR(SEARCH("*_Buggy",$A305))), "Buggy", IF(NOT(ISERR(SEARCH("*_Fixed",$A305))), "Fixed", IF(NOT(ISERR(SEARCH("*_Repaired",$A305))), "Repaired", "")))</f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>LEFT($A306,FIND("_",$A306)-1)</f>
        <v>kPAR</v>
      </c>
      <c r="P306" s="13" t="str">
        <f>IF($O306="ACS", "True Search", IF($O306="Arja", "Evolutionary Search", IF($O306="AVATAR", "True Pattern", IF($O306="CapGen", "Search Like Pattern", IF($O306="Cardumen", "True Semantic", IF($O306="DynaMoth", "True Semantic", IF($O306="FixMiner", "True Pattern", IF($O306="GenProg-A", "Evolutionary Search", IF($O306="Hercules", "Learning Pattern", IF($O306="Jaid", "True Semantic",
IF($O306="Kali-A", "True Search", IF($O306="kPAR", "True Pattern", IF($O306="Nopol", "True Semantic", IF($O306="RSRepair-A", "Evolutionary Search", IF($O306="SequenceR", "Deep Learning", IF($O306="SimFix", "Search Like Pattern", IF($O306="SketchFix", "True Pattern", IF($O306="SOFix", "True Pattern", IF($O306="ssFix", "Search Like Pattern", IF($O306="TBar", "True Pattern", ""))))))))))))))))))))</f>
        <v>True Pattern</v>
      </c>
      <c r="Q306" s="13" t="str">
        <f>IF(NOT(ISERR(SEARCH("*_Buggy",$A306))), "Buggy", IF(NOT(ISERR(SEARCH("*_Fixed",$A306))), "Fixed", IF(NOT(ISERR(SEARCH("*_Repaired",$A306))), "Repaired", "")))</f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>LEFT($A307,FIND("_",$A307)-1)</f>
        <v>kPAR</v>
      </c>
      <c r="P307" s="13" t="str">
        <f>IF($O307="ACS", "True Search", IF($O307="Arja", "Evolutionary Search", IF($O307="AVATAR", "True Pattern", IF($O307="CapGen", "Search Like Pattern", IF($O307="Cardumen", "True Semantic", IF($O307="DynaMoth", "True Semantic", IF($O307="FixMiner", "True Pattern", IF($O307="GenProg-A", "Evolutionary Search", IF($O307="Hercules", "Learning Pattern", IF($O307="Jaid", "True Semantic",
IF($O307="Kali-A", "True Search", IF($O307="kPAR", "True Pattern", IF($O307="Nopol", "True Semantic", IF($O307="RSRepair-A", "Evolutionary Search", IF($O307="SequenceR", "Deep Learning", IF($O307="SimFix", "Search Like Pattern", IF($O307="SketchFix", "True Pattern", IF($O307="SOFix", "True Pattern", IF($O307="ssFix", "Search Like Pattern", IF($O307="TBar", "True Pattern", ""))))))))))))))))))))</f>
        <v>True Pattern</v>
      </c>
      <c r="Q307" s="13" t="str">
        <f>IF(NOT(ISERR(SEARCH("*_Buggy",$A307))), "Buggy", IF(NOT(ISERR(SEARCH("*_Fixed",$A307))), "Fixed", IF(NOT(ISERR(SEARCH("*_Repaired",$A307))), "Repaired", "")))</f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>LEFT($A308,FIND("_",$A308)-1)</f>
        <v>kPAR</v>
      </c>
      <c r="P308" s="13" t="str">
        <f>IF($O308="ACS", "True Search", IF($O308="Arja", "Evolutionary Search", IF($O308="AVATAR", "True Pattern", IF($O308="CapGen", "Search Like Pattern", IF($O308="Cardumen", "True Semantic", IF($O308="DynaMoth", "True Semantic", IF($O308="FixMiner", "True Pattern", IF($O308="GenProg-A", "Evolutionary Search", IF($O308="Hercules", "Learning Pattern", IF($O308="Jaid", "True Semantic",
IF($O308="Kali-A", "True Search", IF($O308="kPAR", "True Pattern", IF($O308="Nopol", "True Semantic", IF($O308="RSRepair-A", "Evolutionary Search", IF($O308="SequenceR", "Deep Learning", IF($O308="SimFix", "Search Like Pattern", IF($O308="SketchFix", "True Pattern", IF($O308="SOFix", "True Pattern", IF($O308="ssFix", "Search Like Pattern", IF($O308="TBar", "True Pattern", ""))))))))))))))))))))</f>
        <v>True Pattern</v>
      </c>
      <c r="Q308" s="13" t="str">
        <f>IF(NOT(ISERR(SEARCH("*_Buggy",$A308))), "Buggy", IF(NOT(ISERR(SEARCH("*_Fixed",$A308))), "Fixed", IF(NOT(ISERR(SEARCH("*_Repaired",$A308))), "Repaired", "")))</f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>LEFT($A309,FIND("_",$A309)-1)</f>
        <v>kPAR</v>
      </c>
      <c r="P309" s="13" t="str">
        <f>IF($O309="ACS", "True Search", IF($O309="Arja", "Evolutionary Search", IF($O309="AVATAR", "True Pattern", IF($O309="CapGen", "Search Like Pattern", IF($O309="Cardumen", "True Semantic", IF($O309="DynaMoth", "True Semantic", IF($O309="FixMiner", "True Pattern", IF($O309="GenProg-A", "Evolutionary Search", IF($O309="Hercules", "Learning Pattern", IF($O309="Jaid", "True Semantic",
IF($O309="Kali-A", "True Search", IF($O309="kPAR", "True Pattern", IF($O309="Nopol", "True Semantic", IF($O309="RSRepair-A", "Evolutionary Search", IF($O309="SequenceR", "Deep Learning", IF($O309="SimFix", "Search Like Pattern", IF($O309="SketchFix", "True Pattern", IF($O309="SOFix", "True Pattern", IF($O309="ssFix", "Search Like Pattern", IF($O309="TBar", "True Pattern", ""))))))))))))))))))))</f>
        <v>True Pattern</v>
      </c>
      <c r="Q309" s="13" t="str">
        <f>IF(NOT(ISERR(SEARCH("*_Buggy",$A309))), "Buggy", IF(NOT(ISERR(SEARCH("*_Fixed",$A309))), "Fixed", IF(NOT(ISERR(SEARCH("*_Repaired",$A309))), "Repaired", "")))</f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>LEFT($A310,FIND("_",$A310)-1)</f>
        <v>kPAR</v>
      </c>
      <c r="P310" s="13" t="str">
        <f>IF($O310="ACS", "True Search", IF($O310="Arja", "Evolutionary Search", IF($O310="AVATAR", "True Pattern", IF($O310="CapGen", "Search Like Pattern", IF($O310="Cardumen", "True Semantic", IF($O310="DynaMoth", "True Semantic", IF($O310="FixMiner", "True Pattern", IF($O310="GenProg-A", "Evolutionary Search", IF($O310="Hercules", "Learning Pattern", IF($O310="Jaid", "True Semantic",
IF($O310="Kali-A", "True Search", IF($O310="kPAR", "True Pattern", IF($O310="Nopol", "True Semantic", IF($O310="RSRepair-A", "Evolutionary Search", IF($O310="SequenceR", "Deep Learning", IF($O310="SimFix", "Search Like Pattern", IF($O310="SketchFix", "True Pattern", IF($O310="SOFix", "True Pattern", IF($O310="ssFix", "Search Like Pattern", IF($O310="TBar", "True Pattern", ""))))))))))))))))))))</f>
        <v>True Pattern</v>
      </c>
      <c r="Q310" s="13" t="str">
        <f>IF(NOT(ISERR(SEARCH("*_Buggy",$A310))), "Buggy", IF(NOT(ISERR(SEARCH("*_Fixed",$A310))), "Fixed", IF(NOT(ISERR(SEARCH("*_Repaired",$A310))), "Repaired", "")))</f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>LEFT($A311,FIND("_",$A311)-1)</f>
        <v>kPAR</v>
      </c>
      <c r="P311" s="13" t="str">
        <f>IF($O311="ACS", "True Search", IF($O311="Arja", "Evolutionary Search", IF($O311="AVATAR", "True Pattern", IF($O311="CapGen", "Search Like Pattern", IF($O311="Cardumen", "True Semantic", IF($O311="DynaMoth", "True Semantic", IF($O311="FixMiner", "True Pattern", IF($O311="GenProg-A", "Evolutionary Search", IF($O311="Hercules", "Learning Pattern", IF($O311="Jaid", "True Semantic",
IF($O311="Kali-A", "True Search", IF($O311="kPAR", "True Pattern", IF($O311="Nopol", "True Semantic", IF($O311="RSRepair-A", "Evolutionary Search", IF($O311="SequenceR", "Deep Learning", IF($O311="SimFix", "Search Like Pattern", IF($O311="SketchFix", "True Pattern", IF($O311="SOFix", "True Pattern", IF($O311="ssFix", "Search Like Pattern", IF($O311="TBar", "True Pattern", ""))))))))))))))))))))</f>
        <v>True Pattern</v>
      </c>
      <c r="Q311" s="13" t="str">
        <f>IF(NOT(ISERR(SEARCH("*_Buggy",$A311))), "Buggy", IF(NOT(ISERR(SEARCH("*_Fixed",$A311))), "Fixed", IF(NOT(ISERR(SEARCH("*_Repaired",$A311))), "Repaired", "")))</f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>LEFT($A312,FIND("_",$A312)-1)</f>
        <v>kPAR</v>
      </c>
      <c r="P312" s="13" t="str">
        <f>IF($O312="ACS", "True Search", IF($O312="Arja", "Evolutionary Search", IF($O312="AVATAR", "True Pattern", IF($O312="CapGen", "Search Like Pattern", IF($O312="Cardumen", "True Semantic", IF($O312="DynaMoth", "True Semantic", IF($O312="FixMiner", "True Pattern", IF($O312="GenProg-A", "Evolutionary Search", IF($O312="Hercules", "Learning Pattern", IF($O312="Jaid", "True Semantic",
IF($O312="Kali-A", "True Search", IF($O312="kPAR", "True Pattern", IF($O312="Nopol", "True Semantic", IF($O312="RSRepair-A", "Evolutionary Search", IF($O312="SequenceR", "Deep Learning", IF($O312="SimFix", "Search Like Pattern", IF($O312="SketchFix", "True Pattern", IF($O312="SOFix", "True Pattern", IF($O312="ssFix", "Search Like Pattern", IF($O312="TBar", "True Pattern", ""))))))))))))))))))))</f>
        <v>True Pattern</v>
      </c>
      <c r="Q312" s="13" t="str">
        <f>IF(NOT(ISERR(SEARCH("*_Buggy",$A312))), "Buggy", IF(NOT(ISERR(SEARCH("*_Fixed",$A312))), "Fixed", IF(NOT(ISERR(SEARCH("*_Repaired",$A312))), "Repaired", "")))</f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>LEFT($A313,FIND("_",$A313)-1)</f>
        <v>kPAR</v>
      </c>
      <c r="P313" s="13" t="str">
        <f>IF($O313="ACS", "True Search", IF($O313="Arja", "Evolutionary Search", IF($O313="AVATAR", "True Pattern", IF($O313="CapGen", "Search Like Pattern", IF($O313="Cardumen", "True Semantic", IF($O313="DynaMoth", "True Semantic", IF($O313="FixMiner", "True Pattern", IF($O313="GenProg-A", "Evolutionary Search", IF($O313="Hercules", "Learning Pattern", IF($O313="Jaid", "True Semantic",
IF($O313="Kali-A", "True Search", IF($O313="kPAR", "True Pattern", IF($O313="Nopol", "True Semantic", IF($O313="RSRepair-A", "Evolutionary Search", IF($O313="SequenceR", "Deep Learning", IF($O313="SimFix", "Search Like Pattern", IF($O313="SketchFix", "True Pattern", IF($O313="SOFix", "True Pattern", IF($O313="ssFix", "Search Like Pattern", IF($O313="TBar", "True Pattern", ""))))))))))))))))))))</f>
        <v>True Pattern</v>
      </c>
      <c r="Q313" s="13" t="str">
        <f>IF(NOT(ISERR(SEARCH("*_Buggy",$A313))), "Buggy", IF(NOT(ISERR(SEARCH("*_Fixed",$A313))), "Fixed", IF(NOT(ISERR(SEARCH("*_Repaired",$A313))), "Repaired", "")))</f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>LEFT($A314,FIND("_",$A314)-1)</f>
        <v>kPAR</v>
      </c>
      <c r="P314" s="13" t="str">
        <f>IF($O314="ACS", "True Search", IF($O314="Arja", "Evolutionary Search", IF($O314="AVATAR", "True Pattern", IF($O314="CapGen", "Search Like Pattern", IF($O314="Cardumen", "True Semantic", IF($O314="DynaMoth", "True Semantic", IF($O314="FixMiner", "True Pattern", IF($O314="GenProg-A", "Evolutionary Search", IF($O314="Hercules", "Learning Pattern", IF($O314="Jaid", "True Semantic",
IF($O314="Kali-A", "True Search", IF($O314="kPAR", "True Pattern", IF($O314="Nopol", "True Semantic", IF($O314="RSRepair-A", "Evolutionary Search", IF($O314="SequenceR", "Deep Learning", IF($O314="SimFix", "Search Like Pattern", IF($O314="SketchFix", "True Pattern", IF($O314="SOFix", "True Pattern", IF($O314="ssFix", "Search Like Pattern", IF($O314="TBar", "True Pattern", ""))))))))))))))))))))</f>
        <v>True Pattern</v>
      </c>
      <c r="Q314" s="13" t="str">
        <f>IF(NOT(ISERR(SEARCH("*_Buggy",$A314))), "Buggy", IF(NOT(ISERR(SEARCH("*_Fixed",$A314))), "Fixed", IF(NOT(ISERR(SEARCH("*_Repaired",$A314))), "Repaired", "")))</f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>LEFT($A315,FIND("_",$A315)-1)</f>
        <v>kPAR</v>
      </c>
      <c r="P315" s="13" t="str">
        <f>IF($O315="ACS", "True Search", IF($O315="Arja", "Evolutionary Search", IF($O315="AVATAR", "True Pattern", IF($O315="CapGen", "Search Like Pattern", IF($O315="Cardumen", "True Semantic", IF($O315="DynaMoth", "True Semantic", IF($O315="FixMiner", "True Pattern", IF($O315="GenProg-A", "Evolutionary Search", IF($O315="Hercules", "Learning Pattern", IF($O315="Jaid", "True Semantic",
IF($O315="Kali-A", "True Search", IF($O315="kPAR", "True Pattern", IF($O315="Nopol", "True Semantic", IF($O315="RSRepair-A", "Evolutionary Search", IF($O315="SequenceR", "Deep Learning", IF($O315="SimFix", "Search Like Pattern", IF($O315="SketchFix", "True Pattern", IF($O315="SOFix", "True Pattern", IF($O315="ssFix", "Search Like Pattern", IF($O315="TBar", "True Pattern", ""))))))))))))))))))))</f>
        <v>True Pattern</v>
      </c>
      <c r="Q315" s="13" t="str">
        <f>IF(NOT(ISERR(SEARCH("*_Buggy",$A315))), "Buggy", IF(NOT(ISERR(SEARCH("*_Fixed",$A315))), "Fixed", IF(NOT(ISERR(SEARCH("*_Repaired",$A315))), "Repaired", "")))</f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>LEFT($A316,FIND("_",$A316)-1)</f>
        <v>kPAR</v>
      </c>
      <c r="P316" s="13" t="str">
        <f>IF($O316="ACS", "True Search", IF($O316="Arja", "Evolutionary Search", IF($O316="AVATAR", "True Pattern", IF($O316="CapGen", "Search Like Pattern", IF($O316="Cardumen", "True Semantic", IF($O316="DynaMoth", "True Semantic", IF($O316="FixMiner", "True Pattern", IF($O316="GenProg-A", "Evolutionary Search", IF($O316="Hercules", "Learning Pattern", IF($O316="Jaid", "True Semantic",
IF($O316="Kali-A", "True Search", IF($O316="kPAR", "True Pattern", IF($O316="Nopol", "True Semantic", IF($O316="RSRepair-A", "Evolutionary Search", IF($O316="SequenceR", "Deep Learning", IF($O316="SimFix", "Search Like Pattern", IF($O316="SketchFix", "True Pattern", IF($O316="SOFix", "True Pattern", IF($O316="ssFix", "Search Like Pattern", IF($O316="TBar", "True Pattern", ""))))))))))))))))))))</f>
        <v>True Pattern</v>
      </c>
      <c r="Q316" s="13" t="str">
        <f>IF(NOT(ISERR(SEARCH("*_Buggy",$A316))), "Buggy", IF(NOT(ISERR(SEARCH("*_Fixed",$A316))), "Fixed", IF(NOT(ISERR(SEARCH("*_Repaired",$A316))), "Repaired", "")))</f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>LEFT($A317,FIND("_",$A317)-1)</f>
        <v>kPAR</v>
      </c>
      <c r="P317" s="13" t="str">
        <f>IF($O317="ACS", "True Search", IF($O317="Arja", "Evolutionary Search", IF($O317="AVATAR", "True Pattern", IF($O317="CapGen", "Search Like Pattern", IF($O317="Cardumen", "True Semantic", IF($O317="DynaMoth", "True Semantic", IF($O317="FixMiner", "True Pattern", IF($O317="GenProg-A", "Evolutionary Search", IF($O317="Hercules", "Learning Pattern", IF($O317="Jaid", "True Semantic",
IF($O317="Kali-A", "True Search", IF($O317="kPAR", "True Pattern", IF($O317="Nopol", "True Semantic", IF($O317="RSRepair-A", "Evolutionary Search", IF($O317="SequenceR", "Deep Learning", IF($O317="SimFix", "Search Like Pattern", IF($O317="SketchFix", "True Pattern", IF($O317="SOFix", "True Pattern", IF($O317="ssFix", "Search Like Pattern", IF($O317="TBar", "True Pattern", ""))))))))))))))))))))</f>
        <v>True Pattern</v>
      </c>
      <c r="Q317" s="13" t="str">
        <f>IF(NOT(ISERR(SEARCH("*_Buggy",$A317))), "Buggy", IF(NOT(ISERR(SEARCH("*_Fixed",$A317))), "Fixed", IF(NOT(ISERR(SEARCH("*_Repaired",$A317))), "Repaired", "")))</f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>LEFT($A318,FIND("_",$A318)-1)</f>
        <v>kPAR</v>
      </c>
      <c r="P318" s="13" t="str">
        <f>IF($O318="ACS", "True Search", IF($O318="Arja", "Evolutionary Search", IF($O318="AVATAR", "True Pattern", IF($O318="CapGen", "Search Like Pattern", IF($O318="Cardumen", "True Semantic", IF($O318="DynaMoth", "True Semantic", IF($O318="FixMiner", "True Pattern", IF($O318="GenProg-A", "Evolutionary Search", IF($O318="Hercules", "Learning Pattern", IF($O318="Jaid", "True Semantic",
IF($O318="Kali-A", "True Search", IF($O318="kPAR", "True Pattern", IF($O318="Nopol", "True Semantic", IF($O318="RSRepair-A", "Evolutionary Search", IF($O318="SequenceR", "Deep Learning", IF($O318="SimFix", "Search Like Pattern", IF($O318="SketchFix", "True Pattern", IF($O318="SOFix", "True Pattern", IF($O318="ssFix", "Search Like Pattern", IF($O318="TBar", "True Pattern", ""))))))))))))))))))))</f>
        <v>True Pattern</v>
      </c>
      <c r="Q318" s="13" t="str">
        <f>IF(NOT(ISERR(SEARCH("*_Buggy",$A318))), "Buggy", IF(NOT(ISERR(SEARCH("*_Fixed",$A318))), "Fixed", IF(NOT(ISERR(SEARCH("*_Repaired",$A318))), "Repaired", "")))</f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>LEFT($A319,FIND("_",$A319)-1)</f>
        <v>kPAR</v>
      </c>
      <c r="P319" s="13" t="str">
        <f>IF($O319="ACS", "True Search", IF($O319="Arja", "Evolutionary Search", IF($O319="AVATAR", "True Pattern", IF($O319="CapGen", "Search Like Pattern", IF($O319="Cardumen", "True Semantic", IF($O319="DynaMoth", "True Semantic", IF($O319="FixMiner", "True Pattern", IF($O319="GenProg-A", "Evolutionary Search", IF($O319="Hercules", "Learning Pattern", IF($O319="Jaid", "True Semantic",
IF($O319="Kali-A", "True Search", IF($O319="kPAR", "True Pattern", IF($O319="Nopol", "True Semantic", IF($O319="RSRepair-A", "Evolutionary Search", IF($O319="SequenceR", "Deep Learning", IF($O319="SimFix", "Search Like Pattern", IF($O319="SketchFix", "True Pattern", IF($O319="SOFix", "True Pattern", IF($O319="ssFix", "Search Like Pattern", IF($O319="TBar", "True Pattern", ""))))))))))))))))))))</f>
        <v>True Pattern</v>
      </c>
      <c r="Q319" s="13" t="str">
        <f>IF(NOT(ISERR(SEARCH("*_Buggy",$A319))), "Buggy", IF(NOT(ISERR(SEARCH("*_Fixed",$A319))), "Fixed", IF(NOT(ISERR(SEARCH("*_Repaired",$A319))), "Repaired", "")))</f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>LEFT($A320,FIND("_",$A320)-1)</f>
        <v>kPAR</v>
      </c>
      <c r="P320" s="13" t="str">
        <f>IF($O320="ACS", "True Search", IF($O320="Arja", "Evolutionary Search", IF($O320="AVATAR", "True Pattern", IF($O320="CapGen", "Search Like Pattern", IF($O320="Cardumen", "True Semantic", IF($O320="DynaMoth", "True Semantic", IF($O320="FixMiner", "True Pattern", IF($O320="GenProg-A", "Evolutionary Search", IF($O320="Hercules", "Learning Pattern", IF($O320="Jaid", "True Semantic",
IF($O320="Kali-A", "True Search", IF($O320="kPAR", "True Pattern", IF($O320="Nopol", "True Semantic", IF($O320="RSRepair-A", "Evolutionary Search", IF($O320="SequenceR", "Deep Learning", IF($O320="SimFix", "Search Like Pattern", IF($O320="SketchFix", "True Pattern", IF($O320="SOFix", "True Pattern", IF($O320="ssFix", "Search Like Pattern", IF($O320="TBar", "True Pattern", ""))))))))))))))))))))</f>
        <v>True Pattern</v>
      </c>
      <c r="Q320" s="13" t="str">
        <f>IF(NOT(ISERR(SEARCH("*_Buggy",$A320))), "Buggy", IF(NOT(ISERR(SEARCH("*_Fixed",$A320))), "Fixed", IF(NOT(ISERR(SEARCH("*_Repaired",$A320))), "Repaired", "")))</f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>LEFT($A321,FIND("_",$A321)-1)</f>
        <v>kPAR</v>
      </c>
      <c r="P321" s="13" t="str">
        <f>IF($O321="ACS", "True Search", IF($O321="Arja", "Evolutionary Search", IF($O321="AVATAR", "True Pattern", IF($O321="CapGen", "Search Like Pattern", IF($O321="Cardumen", "True Semantic", IF($O321="DynaMoth", "True Semantic", IF($O321="FixMiner", "True Pattern", IF($O321="GenProg-A", "Evolutionary Search", IF($O321="Hercules", "Learning Pattern", IF($O321="Jaid", "True Semantic",
IF($O321="Kali-A", "True Search", IF($O321="kPAR", "True Pattern", IF($O321="Nopol", "True Semantic", IF($O321="RSRepair-A", "Evolutionary Search", IF($O321="SequenceR", "Deep Learning", IF($O321="SimFix", "Search Like Pattern", IF($O321="SketchFix", "True Pattern", IF($O321="SOFix", "True Pattern", IF($O321="ssFix", "Search Like Pattern", IF($O321="TBar", "True Pattern", ""))))))))))))))))))))</f>
        <v>True Pattern</v>
      </c>
      <c r="Q321" s="13" t="str">
        <f>IF(NOT(ISERR(SEARCH("*_Buggy",$A321))), "Buggy", IF(NOT(ISERR(SEARCH("*_Fixed",$A321))), "Fixed", IF(NOT(ISERR(SEARCH("*_Repaired",$A321))), "Repaired", "")))</f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>LEFT($A322,FIND("_",$A322)-1)</f>
        <v>kPAR</v>
      </c>
      <c r="P322" s="13" t="str">
        <f>IF($O322="ACS", "True Search", IF($O322="Arja", "Evolutionary Search", IF($O322="AVATAR", "True Pattern", IF($O322="CapGen", "Search Like Pattern", IF($O322="Cardumen", "True Semantic", IF($O322="DynaMoth", "True Semantic", IF($O322="FixMiner", "True Pattern", IF($O322="GenProg-A", "Evolutionary Search", IF($O322="Hercules", "Learning Pattern", IF($O322="Jaid", "True Semantic",
IF($O322="Kali-A", "True Search", IF($O322="kPAR", "True Pattern", IF($O322="Nopol", "True Semantic", IF($O322="RSRepair-A", "Evolutionary Search", IF($O322="SequenceR", "Deep Learning", IF($O322="SimFix", "Search Like Pattern", IF($O322="SketchFix", "True Pattern", IF($O322="SOFix", "True Pattern", IF($O322="ssFix", "Search Like Pattern", IF($O322="TBar", "True Pattern", ""))))))))))))))))))))</f>
        <v>True Pattern</v>
      </c>
      <c r="Q322" s="13" t="str">
        <f>IF(NOT(ISERR(SEARCH("*_Buggy",$A322))), "Buggy", IF(NOT(ISERR(SEARCH("*_Fixed",$A322))), "Fixed", IF(NOT(ISERR(SEARCH("*_Repaired",$A322))), "Repaired", "")))</f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>LEFT($A323,FIND("_",$A323)-1)</f>
        <v>kPAR</v>
      </c>
      <c r="P323" s="13" t="str">
        <f>IF($O323="ACS", "True Search", IF($O323="Arja", "Evolutionary Search", IF($O323="AVATAR", "True Pattern", IF($O323="CapGen", "Search Like Pattern", IF($O323="Cardumen", "True Semantic", IF($O323="DynaMoth", "True Semantic", IF($O323="FixMiner", "True Pattern", IF($O323="GenProg-A", "Evolutionary Search", IF($O323="Hercules", "Learning Pattern", IF($O323="Jaid", "True Semantic",
IF($O323="Kali-A", "True Search", IF($O323="kPAR", "True Pattern", IF($O323="Nopol", "True Semantic", IF($O323="RSRepair-A", "Evolutionary Search", IF($O323="SequenceR", "Deep Learning", IF($O323="SimFix", "Search Like Pattern", IF($O323="SketchFix", "True Pattern", IF($O323="SOFix", "True Pattern", IF($O323="ssFix", "Search Like Pattern", IF($O323="TBar", "True Pattern", ""))))))))))))))))))))</f>
        <v>True Pattern</v>
      </c>
      <c r="Q323" s="13" t="str">
        <f>IF(NOT(ISERR(SEARCH("*_Buggy",$A323))), "Buggy", IF(NOT(ISERR(SEARCH("*_Fixed",$A323))), "Fixed", IF(NOT(ISERR(SEARCH("*_Repaired",$A323))), "Repaired", "")))</f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>LEFT($A324,FIND("_",$A324)-1)</f>
        <v>kPAR</v>
      </c>
      <c r="P324" s="13" t="str">
        <f>IF($O324="ACS", "True Search", IF($O324="Arja", "Evolutionary Search", IF($O324="AVATAR", "True Pattern", IF($O324="CapGen", "Search Like Pattern", IF($O324="Cardumen", "True Semantic", IF($O324="DynaMoth", "True Semantic", IF($O324="FixMiner", "True Pattern", IF($O324="GenProg-A", "Evolutionary Search", IF($O324="Hercules", "Learning Pattern", IF($O324="Jaid", "True Semantic",
IF($O324="Kali-A", "True Search", IF($O324="kPAR", "True Pattern", IF($O324="Nopol", "True Semantic", IF($O324="RSRepair-A", "Evolutionary Search", IF($O324="SequenceR", "Deep Learning", IF($O324="SimFix", "Search Like Pattern", IF($O324="SketchFix", "True Pattern", IF($O324="SOFix", "True Pattern", IF($O324="ssFix", "Search Like Pattern", IF($O324="TBar", "True Pattern", ""))))))))))))))))))))</f>
        <v>True Pattern</v>
      </c>
      <c r="Q324" s="13" t="str">
        <f>IF(NOT(ISERR(SEARCH("*_Buggy",$A324))), "Buggy", IF(NOT(ISERR(SEARCH("*_Fixed",$A324))), "Fixed", IF(NOT(ISERR(SEARCH("*_Repaired",$A324))), "Repaired", "")))</f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>LEFT($A325,FIND("_",$A325)-1)</f>
        <v>kPAR</v>
      </c>
      <c r="P325" s="13" t="str">
        <f>IF($O325="ACS", "True Search", IF($O325="Arja", "Evolutionary Search", IF($O325="AVATAR", "True Pattern", IF($O325="CapGen", "Search Like Pattern", IF($O325="Cardumen", "True Semantic", IF($O325="DynaMoth", "True Semantic", IF($O325="FixMiner", "True Pattern", IF($O325="GenProg-A", "Evolutionary Search", IF($O325="Hercules", "Learning Pattern", IF($O325="Jaid", "True Semantic",
IF($O325="Kali-A", "True Search", IF($O325="kPAR", "True Pattern", IF($O325="Nopol", "True Semantic", IF($O325="RSRepair-A", "Evolutionary Search", IF($O325="SequenceR", "Deep Learning", IF($O325="SimFix", "Search Like Pattern", IF($O325="SketchFix", "True Pattern", IF($O325="SOFix", "True Pattern", IF($O325="ssFix", "Search Like Pattern", IF($O325="TBar", "True Pattern", ""))))))))))))))))))))</f>
        <v>True Pattern</v>
      </c>
      <c r="Q325" s="13" t="str">
        <f>IF(NOT(ISERR(SEARCH("*_Buggy",$A325))), "Buggy", IF(NOT(ISERR(SEARCH("*_Fixed",$A325))), "Fixed", IF(NOT(ISERR(SEARCH("*_Repaired",$A325))), "Repaired", "")))</f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>LEFT($A326,FIND("_",$A326)-1)</f>
        <v>kPAR</v>
      </c>
      <c r="P326" s="13" t="str">
        <f>IF($O326="ACS", "True Search", IF($O326="Arja", "Evolutionary Search", IF($O326="AVATAR", "True Pattern", IF($O326="CapGen", "Search Like Pattern", IF($O326="Cardumen", "True Semantic", IF($O326="DynaMoth", "True Semantic", IF($O326="FixMiner", "True Pattern", IF($O326="GenProg-A", "Evolutionary Search", IF($O326="Hercules", "Learning Pattern", IF($O326="Jaid", "True Semantic",
IF($O326="Kali-A", "True Search", IF($O326="kPAR", "True Pattern", IF($O326="Nopol", "True Semantic", IF($O326="RSRepair-A", "Evolutionary Search", IF($O326="SequenceR", "Deep Learning", IF($O326="SimFix", "Search Like Pattern", IF($O326="SketchFix", "True Pattern", IF($O326="SOFix", "True Pattern", IF($O326="ssFix", "Search Like Pattern", IF($O326="TBar", "True Pattern", ""))))))))))))))))))))</f>
        <v>True Pattern</v>
      </c>
      <c r="Q326" s="13" t="str">
        <f>IF(NOT(ISERR(SEARCH("*_Buggy",$A326))), "Buggy", IF(NOT(ISERR(SEARCH("*_Fixed",$A326))), "Fixed", IF(NOT(ISERR(SEARCH("*_Repaired",$A326))), "Repaired", "")))</f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>LEFT($A327,FIND("_",$A327)-1)</f>
        <v>kPAR</v>
      </c>
      <c r="P327" s="13" t="str">
        <f>IF($O327="ACS", "True Search", IF($O327="Arja", "Evolutionary Search", IF($O327="AVATAR", "True Pattern", IF($O327="CapGen", "Search Like Pattern", IF($O327="Cardumen", "True Semantic", IF($O327="DynaMoth", "True Semantic", IF($O327="FixMiner", "True Pattern", IF($O327="GenProg-A", "Evolutionary Search", IF($O327="Hercules", "Learning Pattern", IF($O327="Jaid", "True Semantic",
IF($O327="Kali-A", "True Search", IF($O327="kPAR", "True Pattern", IF($O327="Nopol", "True Semantic", IF($O327="RSRepair-A", "Evolutionary Search", IF($O327="SequenceR", "Deep Learning", IF($O327="SimFix", "Search Like Pattern", IF($O327="SketchFix", "True Pattern", IF($O327="SOFix", "True Pattern", IF($O327="ssFix", "Search Like Pattern", IF($O327="TBar", "True Pattern", ""))))))))))))))))))))</f>
        <v>True Pattern</v>
      </c>
      <c r="Q327" s="13" t="str">
        <f>IF(NOT(ISERR(SEARCH("*_Buggy",$A327))), "Buggy", IF(NOT(ISERR(SEARCH("*_Fixed",$A327))), "Fixed", IF(NOT(ISERR(SEARCH("*_Repaired",$A327))), "Repaired", "")))</f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>LEFT($A328,FIND("_",$A328)-1)</f>
        <v>kPAR</v>
      </c>
      <c r="P328" s="13" t="str">
        <f>IF($O328="ACS", "True Search", IF($O328="Arja", "Evolutionary Search", IF($O328="AVATAR", "True Pattern", IF($O328="CapGen", "Search Like Pattern", IF($O328="Cardumen", "True Semantic", IF($O328="DynaMoth", "True Semantic", IF($O328="FixMiner", "True Pattern", IF($O328="GenProg-A", "Evolutionary Search", IF($O328="Hercules", "Learning Pattern", IF($O328="Jaid", "True Semantic",
IF($O328="Kali-A", "True Search", IF($O328="kPAR", "True Pattern", IF($O328="Nopol", "True Semantic", IF($O328="RSRepair-A", "Evolutionary Search", IF($O328="SequenceR", "Deep Learning", IF($O328="SimFix", "Search Like Pattern", IF($O328="SketchFix", "True Pattern", IF($O328="SOFix", "True Pattern", IF($O328="ssFix", "Search Like Pattern", IF($O328="TBar", "True Pattern", ""))))))))))))))))))))</f>
        <v>True Pattern</v>
      </c>
      <c r="Q328" s="13" t="str">
        <f>IF(NOT(ISERR(SEARCH("*_Buggy",$A328))), "Buggy", IF(NOT(ISERR(SEARCH("*_Fixed",$A328))), "Fixed", IF(NOT(ISERR(SEARCH("*_Repaired",$A328))), "Repaired", "")))</f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>LEFT($A329,FIND("_",$A329)-1)</f>
        <v>kPAR</v>
      </c>
      <c r="P329" s="13" t="str">
        <f>IF($O329="ACS", "True Search", IF($O329="Arja", "Evolutionary Search", IF($O329="AVATAR", "True Pattern", IF($O329="CapGen", "Search Like Pattern", IF($O329="Cardumen", "True Semantic", IF($O329="DynaMoth", "True Semantic", IF($O329="FixMiner", "True Pattern", IF($O329="GenProg-A", "Evolutionary Search", IF($O329="Hercules", "Learning Pattern", IF($O329="Jaid", "True Semantic",
IF($O329="Kali-A", "True Search", IF($O329="kPAR", "True Pattern", IF($O329="Nopol", "True Semantic", IF($O329="RSRepair-A", "Evolutionary Search", IF($O329="SequenceR", "Deep Learning", IF($O329="SimFix", "Search Like Pattern", IF($O329="SketchFix", "True Pattern", IF($O329="SOFix", "True Pattern", IF($O329="ssFix", "Search Like Pattern", IF($O329="TBar", "True Pattern", ""))))))))))))))))))))</f>
        <v>True Pattern</v>
      </c>
      <c r="Q329" s="13" t="str">
        <f>IF(NOT(ISERR(SEARCH("*_Buggy",$A329))), "Buggy", IF(NOT(ISERR(SEARCH("*_Fixed",$A329))), "Fixed", IF(NOT(ISERR(SEARCH("*_Repaired",$A329))), "Repaired", "")))</f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>LEFT($A330,FIND("_",$A330)-1)</f>
        <v>kPAR</v>
      </c>
      <c r="P330" s="13" t="str">
        <f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>IF(NOT(ISERR(SEARCH("*_Buggy",$A330))), "Buggy", IF(NOT(ISERR(SEARCH("*_Fixed",$A330))), "Fixed", IF(NOT(ISERR(SEARCH("*_Repaired",$A330))), "Repaired", "")))</f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>LEFT($A331,FIND("_",$A331)-1)</f>
        <v>kPAR</v>
      </c>
      <c r="P331" s="13" t="str">
        <f>IF($O331="ACS", "True Search", IF($O331="Arja", "Evolutionary Search", IF($O331="AVATAR", "True Pattern", IF($O331="CapGen", "Search Like Pattern", IF($O331="Cardumen", "True Semantic", IF($O331="DynaMoth", "True Semantic", IF($O331="FixMiner", "True Pattern", IF($O331="GenProg-A", "Evolutionary Search", IF($O331="Hercules", "Learning Pattern", IF($O331="Jaid", "True Semantic",
IF($O331="Kali-A", "True Search", IF($O331="kPAR", "True Pattern", IF($O331="Nopol", "True Semantic", IF($O331="RSRepair-A", "Evolutionary Search", IF($O331="SequenceR", "Deep Learning", IF($O331="SimFix", "Search Like Pattern", IF($O331="SketchFix", "True Pattern", IF($O331="SOFix", "True Pattern", IF($O331="ssFix", "Search Like Pattern", IF($O331="TBar", "True Pattern", ""))))))))))))))))))))</f>
        <v>True Pattern</v>
      </c>
      <c r="Q331" s="13" t="str">
        <f>IF(NOT(ISERR(SEARCH("*_Buggy",$A331))), "Buggy", IF(NOT(ISERR(SEARCH("*_Fixed",$A331))), "Fixed", IF(NOT(ISERR(SEARCH("*_Repaired",$A331))), "Repaired", "")))</f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>LEFT($A332,FIND("_",$A332)-1)</f>
        <v>kPAR</v>
      </c>
      <c r="P332" s="13" t="str">
        <f>IF($O332="ACS", "True Search", IF($O332="Arja", "Evolutionary Search", IF($O332="AVATAR", "True Pattern", IF($O332="CapGen", "Search Like Pattern", IF($O332="Cardumen", "True Semantic", IF($O332="DynaMoth", "True Semantic", IF($O332="FixMiner", "True Pattern", IF($O332="GenProg-A", "Evolutionary Search", IF($O332="Hercules", "Learning Pattern", IF($O332="Jaid", "True Semantic",
IF($O332="Kali-A", "True Search", IF($O332="kPAR", "True Pattern", IF($O332="Nopol", "True Semantic", IF($O332="RSRepair-A", "Evolutionary Search", IF($O332="SequenceR", "Deep Learning", IF($O332="SimFix", "Search Like Pattern", IF($O332="SketchFix", "True Pattern", IF($O332="SOFix", "True Pattern", IF($O332="ssFix", "Search Like Pattern", IF($O332="TBar", "True Pattern", ""))))))))))))))))))))</f>
        <v>True Pattern</v>
      </c>
      <c r="Q332" s="13" t="str">
        <f>IF(NOT(ISERR(SEARCH("*_Buggy",$A332))), "Buggy", IF(NOT(ISERR(SEARCH("*_Fixed",$A332))), "Fixed", IF(NOT(ISERR(SEARCH("*_Repaired",$A332))), "Repaired", "")))</f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>LEFT($A333,FIND("_",$A333)-1)</f>
        <v>kPAR</v>
      </c>
      <c r="P333" s="13" t="str">
        <f>IF($O333="ACS", "True Search", IF($O333="Arja", "Evolutionary Search", IF($O333="AVATAR", "True Pattern", IF($O333="CapGen", "Search Like Pattern", IF($O333="Cardumen", "True Semantic", IF($O333="DynaMoth", "True Semantic", IF($O333="FixMiner", "True Pattern", IF($O333="GenProg-A", "Evolutionary Search", IF($O333="Hercules", "Learning Pattern", IF($O333="Jaid", "True Semantic",
IF($O333="Kali-A", "True Search", IF($O333="kPAR", "True Pattern", IF($O333="Nopol", "True Semantic", IF($O333="RSRepair-A", "Evolutionary Search", IF($O333="SequenceR", "Deep Learning", IF($O333="SimFix", "Search Like Pattern", IF($O333="SketchFix", "True Pattern", IF($O333="SOFix", "True Pattern", IF($O333="ssFix", "Search Like Pattern", IF($O333="TBar", "True Pattern", ""))))))))))))))))))))</f>
        <v>True Pattern</v>
      </c>
      <c r="Q333" s="13" t="str">
        <f>IF(NOT(ISERR(SEARCH("*_Buggy",$A333))), "Buggy", IF(NOT(ISERR(SEARCH("*_Fixed",$A333))), "Fixed", IF(NOT(ISERR(SEARCH("*_Repaired",$A333))), "Repaired", "")))</f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>LEFT($A334,FIND("_",$A334)-1)</f>
        <v>kPAR</v>
      </c>
      <c r="P334" s="13" t="str">
        <f>IF($O334="ACS", "True Search", IF($O334="Arja", "Evolutionary Search", IF($O334="AVATAR", "True Pattern", IF($O334="CapGen", "Search Like Pattern", IF($O334="Cardumen", "True Semantic", IF($O334="DynaMoth", "True Semantic", IF($O334="FixMiner", "True Pattern", IF($O334="GenProg-A", "Evolutionary Search", IF($O334="Hercules", "Learning Pattern", IF($O334="Jaid", "True Semantic",
IF($O334="Kali-A", "True Search", IF($O334="kPAR", "True Pattern", IF($O334="Nopol", "True Semantic", IF($O334="RSRepair-A", "Evolutionary Search", IF($O334="SequenceR", "Deep Learning", IF($O334="SimFix", "Search Like Pattern", IF($O334="SketchFix", "True Pattern", IF($O334="SOFix", "True Pattern", IF($O334="ssFix", "Search Like Pattern", IF($O334="TBar", "True Pattern", ""))))))))))))))))))))</f>
        <v>True Pattern</v>
      </c>
      <c r="Q334" s="13" t="str">
        <f>IF(NOT(ISERR(SEARCH("*_Buggy",$A334))), "Buggy", IF(NOT(ISERR(SEARCH("*_Fixed",$A334))), "Fixed", IF(NOT(ISERR(SEARCH("*_Repaired",$A334))), "Repaired", "")))</f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>LEFT($A335,FIND("_",$A335)-1)</f>
        <v>kPAR</v>
      </c>
      <c r="P335" s="13" t="str">
        <f>IF($O335="ACS", "True Search", IF($O335="Arja", "Evolutionary Search", IF($O335="AVATAR", "True Pattern", IF($O335="CapGen", "Search Like Pattern", IF($O335="Cardumen", "True Semantic", IF($O335="DynaMoth", "True Semantic", IF($O335="FixMiner", "True Pattern", IF($O335="GenProg-A", "Evolutionary Search", IF($O335="Hercules", "Learning Pattern", IF($O335="Jaid", "True Semantic",
IF($O335="Kali-A", "True Search", IF($O335="kPAR", "True Pattern", IF($O335="Nopol", "True Semantic", IF($O335="RSRepair-A", "Evolutionary Search", IF($O335="SequenceR", "Deep Learning", IF($O335="SimFix", "Search Like Pattern", IF($O335="SketchFix", "True Pattern", IF($O335="SOFix", "True Pattern", IF($O335="ssFix", "Search Like Pattern", IF($O335="TBar", "True Pattern", ""))))))))))))))))))))</f>
        <v>True Pattern</v>
      </c>
      <c r="Q335" s="13" t="str">
        <f>IF(NOT(ISERR(SEARCH("*_Buggy",$A335))), "Buggy", IF(NOT(ISERR(SEARCH("*_Fixed",$A335))), "Fixed", IF(NOT(ISERR(SEARCH("*_Repaired",$A335))), "Repaired", "")))</f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>LEFT($A336,FIND("_",$A336)-1)</f>
        <v>kPAR</v>
      </c>
      <c r="P336" s="13" t="str">
        <f>IF($O336="ACS", "True Search", IF($O336="Arja", "Evolutionary Search", IF($O336="AVATAR", "True Pattern", IF($O336="CapGen", "Search Like Pattern", IF($O336="Cardumen", "True Semantic", IF($O336="DynaMoth", "True Semantic", IF($O336="FixMiner", "True Pattern", IF($O336="GenProg-A", "Evolutionary Search", IF($O336="Hercules", "Learning Pattern", IF($O336="Jaid", "True Semantic",
IF($O336="Kali-A", "True Search", IF($O336="kPAR", "True Pattern", IF($O336="Nopol", "True Semantic", IF($O336="RSRepair-A", "Evolutionary Search", IF($O336="SequenceR", "Deep Learning", IF($O336="SimFix", "Search Like Pattern", IF($O336="SketchFix", "True Pattern", IF($O336="SOFix", "True Pattern", IF($O336="ssFix", "Search Like Pattern", IF($O336="TBar", "True Pattern", ""))))))))))))))))))))</f>
        <v>True Pattern</v>
      </c>
      <c r="Q336" s="13" t="str">
        <f>IF(NOT(ISERR(SEARCH("*_Buggy",$A336))), "Buggy", IF(NOT(ISERR(SEARCH("*_Fixed",$A336))), "Fixed", IF(NOT(ISERR(SEARCH("*_Repaired",$A336))), "Repaired", "")))</f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>LEFT($A337,FIND("_",$A337)-1)</f>
        <v>kPAR</v>
      </c>
      <c r="P337" s="13" t="str">
        <f>IF($O337="ACS", "True Search", IF($O337="Arja", "Evolutionary Search", IF($O337="AVATAR", "True Pattern", IF($O337="CapGen", "Search Like Pattern", IF($O337="Cardumen", "True Semantic", IF($O337="DynaMoth", "True Semantic", IF($O337="FixMiner", "True Pattern", IF($O337="GenProg-A", "Evolutionary Search", IF($O337="Hercules", "Learning Pattern", IF($O337="Jaid", "True Semantic",
IF($O337="Kali-A", "True Search", IF($O337="kPAR", "True Pattern", IF($O337="Nopol", "True Semantic", IF($O337="RSRepair-A", "Evolutionary Search", IF($O337="SequenceR", "Deep Learning", IF($O337="SimFix", "Search Like Pattern", IF($O337="SketchFix", "True Pattern", IF($O337="SOFix", "True Pattern", IF($O337="ssFix", "Search Like Pattern", IF($O337="TBar", "True Pattern", ""))))))))))))))))))))</f>
        <v>True Pattern</v>
      </c>
      <c r="Q337" s="13" t="str">
        <f>IF(NOT(ISERR(SEARCH("*_Buggy",$A337))), "Buggy", IF(NOT(ISERR(SEARCH("*_Fixed",$A337))), "Fixed", IF(NOT(ISERR(SEARCH("*_Repaired",$A337))), "Repaired", "")))</f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>LEFT($A338,FIND("_",$A338)-1)</f>
        <v>kPAR</v>
      </c>
      <c r="P338" s="13" t="str">
        <f>IF($O338="ACS", "True Search", IF($O338="Arja", "Evolutionary Search", IF($O338="AVATAR", "True Pattern", IF($O338="CapGen", "Search Like Pattern", IF($O338="Cardumen", "True Semantic", IF($O338="DynaMoth", "True Semantic", IF($O338="FixMiner", "True Pattern", IF($O338="GenProg-A", "Evolutionary Search", IF($O338="Hercules", "Learning Pattern", IF($O338="Jaid", "True Semantic",
IF($O338="Kali-A", "True Search", IF($O338="kPAR", "True Pattern", IF($O338="Nopol", "True Semantic", IF($O338="RSRepair-A", "Evolutionary Search", IF($O338="SequenceR", "Deep Learning", IF($O338="SimFix", "Search Like Pattern", IF($O338="SketchFix", "True Pattern", IF($O338="SOFix", "True Pattern", IF($O338="ssFix", "Search Like Pattern", IF($O338="TBar", "True Pattern", ""))))))))))))))))))))</f>
        <v>True Pattern</v>
      </c>
      <c r="Q338" s="13" t="str">
        <f>IF(NOT(ISERR(SEARCH("*_Buggy",$A338))), "Buggy", IF(NOT(ISERR(SEARCH("*_Fixed",$A338))), "Fixed", IF(NOT(ISERR(SEARCH("*_Repaired",$A338))), "Repaired", "")))</f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>LEFT($A339,FIND("_",$A339)-1)</f>
        <v>kPAR</v>
      </c>
      <c r="P339" s="13" t="str">
        <f>IF($O339="ACS", "True Search", IF($O339="Arja", "Evolutionary Search", IF($O339="AVATAR", "True Pattern", IF($O339="CapGen", "Search Like Pattern", IF($O339="Cardumen", "True Semantic", IF($O339="DynaMoth", "True Semantic", IF($O339="FixMiner", "True Pattern", IF($O339="GenProg-A", "Evolutionary Search", IF($O339="Hercules", "Learning Pattern", IF($O339="Jaid", "True Semantic",
IF($O339="Kali-A", "True Search", IF($O339="kPAR", "True Pattern", IF($O339="Nopol", "True Semantic", IF($O339="RSRepair-A", "Evolutionary Search", IF($O339="SequenceR", "Deep Learning", IF($O339="SimFix", "Search Like Pattern", IF($O339="SketchFix", "True Pattern", IF($O339="SOFix", "True Pattern", IF($O339="ssFix", "Search Like Pattern", IF($O339="TBar", "True Pattern", ""))))))))))))))))))))</f>
        <v>True Pattern</v>
      </c>
      <c r="Q339" s="13" t="str">
        <f>IF(NOT(ISERR(SEARCH("*_Buggy",$A339))), "Buggy", IF(NOT(ISERR(SEARCH("*_Fixed",$A339))), "Fixed", IF(NOT(ISERR(SEARCH("*_Repaired",$A339))), "Repaired", "")))</f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>LEFT($A340,FIND("_",$A340)-1)</f>
        <v>kPAR</v>
      </c>
      <c r="P340" s="13" t="str">
        <f>IF($O340="ACS", "True Search", IF($O340="Arja", "Evolutionary Search", IF($O340="AVATAR", "True Pattern", IF($O340="CapGen", "Search Like Pattern", IF($O340="Cardumen", "True Semantic", IF($O340="DynaMoth", "True Semantic", IF($O340="FixMiner", "True Pattern", IF($O340="GenProg-A", "Evolutionary Search", IF($O340="Hercules", "Learning Pattern", IF($O340="Jaid", "True Semantic",
IF($O340="Kali-A", "True Search", IF($O340="kPAR", "True Pattern", IF($O340="Nopol", "True Semantic", IF($O340="RSRepair-A", "Evolutionary Search", IF($O340="SequenceR", "Deep Learning", IF($O340="SimFix", "Search Like Pattern", IF($O340="SketchFix", "True Pattern", IF($O340="SOFix", "True Pattern", IF($O340="ssFix", "Search Like Pattern", IF($O340="TBar", "True Pattern", ""))))))))))))))))))))</f>
        <v>True Pattern</v>
      </c>
      <c r="Q340" s="13" t="str">
        <f>IF(NOT(ISERR(SEARCH("*_Buggy",$A340))), "Buggy", IF(NOT(ISERR(SEARCH("*_Fixed",$A340))), "Fixed", IF(NOT(ISERR(SEARCH("*_Repaired",$A340))), "Repaired", "")))</f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>LEFT($A341,FIND("_",$A341)-1)</f>
        <v>kPAR</v>
      </c>
      <c r="P341" s="13" t="str">
        <f>IF($O341="ACS", "True Search", IF($O341="Arja", "Evolutionary Search", IF($O341="AVATAR", "True Pattern", IF($O341="CapGen", "Search Like Pattern", IF($O341="Cardumen", "True Semantic", IF($O341="DynaMoth", "True Semantic", IF($O341="FixMiner", "True Pattern", IF($O341="GenProg-A", "Evolutionary Search", IF($O341="Hercules", "Learning Pattern", IF($O341="Jaid", "True Semantic",
IF($O341="Kali-A", "True Search", IF($O341="kPAR", "True Pattern", IF($O341="Nopol", "True Semantic", IF($O341="RSRepair-A", "Evolutionary Search", IF($O341="SequenceR", "Deep Learning", IF($O341="SimFix", "Search Like Pattern", IF($O341="SketchFix", "True Pattern", IF($O341="SOFix", "True Pattern", IF($O341="ssFix", "Search Like Pattern", IF($O341="TBar", "True Pattern", ""))))))))))))))))))))</f>
        <v>True Pattern</v>
      </c>
      <c r="Q341" s="13" t="str">
        <f>IF(NOT(ISERR(SEARCH("*_Buggy",$A341))), "Buggy", IF(NOT(ISERR(SEARCH("*_Fixed",$A341))), "Fixed", IF(NOT(ISERR(SEARCH("*_Repaired",$A341))), "Repaired", "")))</f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>LEFT($A342,FIND("_",$A342)-1)</f>
        <v>Nopol</v>
      </c>
      <c r="P342" s="13" t="str">
        <f>IF($O342="ACS", "True Search", IF($O342="Arja", "Evolutionary Search", IF($O342="AVATAR", "True Pattern", IF($O342="CapGen", "Search Like Pattern", IF($O342="Cardumen", "True Semantic", IF($O342="DynaMoth", "True Semantic", IF($O342="FixMiner", "True Pattern", IF($O342="GenProg-A", "Evolutionary Search", IF($O342="Hercules", "Learning Pattern", IF($O342="Jaid", "True Semantic",
IF($O342="Kali-A", "True Search", IF($O342="kPAR", "True Pattern", IF($O342="Nopol", "True Semantic", IF($O342="RSRepair-A", "Evolutionary Search", IF($O342="SequenceR", "Deep Learning", IF($O342="SimFix", "Search Like Pattern", IF($O342="SketchFix", "True Pattern", IF($O342="SOFix", "True Pattern", IF($O342="ssFix", "Search Like Pattern", IF($O342="TBar", "True Pattern", ""))))))))))))))))))))</f>
        <v>True Semantic</v>
      </c>
      <c r="Q342" s="13" t="str">
        <f>IF(NOT(ISERR(SEARCH("*_Buggy",$A342))), "Buggy", IF(NOT(ISERR(SEARCH("*_Fixed",$A342))), "Fixed", IF(NOT(ISERR(SEARCH("*_Repaired",$A342))), "Repaired", "")))</f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>LEFT($A343,FIND("_",$A343)-1)</f>
        <v>Nopol</v>
      </c>
      <c r="P343" s="13" t="str">
        <f>IF($O343="ACS", "True Search", IF($O343="Arja", "Evolutionary Search", IF($O343="AVATAR", "True Pattern", IF($O343="CapGen", "Search Like Pattern", IF($O343="Cardumen", "True Semantic", IF($O343="DynaMoth", "True Semantic", IF($O343="FixMiner", "True Pattern", IF($O343="GenProg-A", "Evolutionary Search", IF($O343="Hercules", "Learning Pattern", IF($O343="Jaid", "True Semantic",
IF($O343="Kali-A", "True Search", IF($O343="kPAR", "True Pattern", IF($O343="Nopol", "True Semantic", IF($O343="RSRepair-A", "Evolutionary Search", IF($O343="SequenceR", "Deep Learning", IF($O343="SimFix", "Search Like Pattern", IF($O343="SketchFix", "True Pattern", IF($O343="SOFix", "True Pattern", IF($O343="ssFix", "Search Like Pattern", IF($O343="TBar", "True Pattern", ""))))))))))))))))))))</f>
        <v>True Semantic</v>
      </c>
      <c r="Q343" s="13" t="str">
        <f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>LEFT($A344,FIND("_",$A344)-1)</f>
        <v>Nopol</v>
      </c>
      <c r="P344" s="13" t="str">
        <f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>IF(NOT(ISERR(SEARCH("*_Buggy",$A344))), "Buggy", IF(NOT(ISERR(SEARCH("*_Fixed",$A344))), "Fixed", IF(NOT(ISERR(SEARCH("*_Repaired",$A344))), "Repaired", "")))</f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>LEFT($A345,FIND("_",$A345)-1)</f>
        <v>Nopol</v>
      </c>
      <c r="P345" s="13" t="str">
        <f>IF($O345="ACS", "True Search", IF($O345="Arja", "Evolutionary Search", IF($O345="AVATAR", "True Pattern", IF($O345="CapGen", "Search Like Pattern", IF($O345="Cardumen", "True Semantic", IF($O345="DynaMoth", "True Semantic", IF($O345="FixMiner", "True Pattern", IF($O345="GenProg-A", "Evolutionary Search", IF($O345="Hercules", "Learning Pattern", IF($O345="Jaid", "True Semantic",
IF($O345="Kali-A", "True Search", IF($O345="kPAR", "True Pattern", IF($O345="Nopol", "True Semantic", IF($O345="RSRepair-A", "Evolutionary Search", IF($O345="SequenceR", "Deep Learning", IF($O345="SimFix", "Search Like Pattern", IF($O345="SketchFix", "True Pattern", IF($O345="SOFix", "True Pattern", IF($O345="ssFix", "Search Like Pattern", IF($O345="TBar", "True Pattern", ""))))))))))))))))))))</f>
        <v>True Semantic</v>
      </c>
      <c r="Q345" s="13" t="str">
        <f>IF(NOT(ISERR(SEARCH("*_Buggy",$A345))), "Buggy", IF(NOT(ISERR(SEARCH("*_Fixed",$A345))), "Fixed", IF(NOT(ISERR(SEARCH("*_Repaired",$A345))), "Repaired", "")))</f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>LEFT($A346,FIND("_",$A346)-1)</f>
        <v>Nopol</v>
      </c>
      <c r="P346" s="13" t="str">
        <f>IF($O346="ACS", "True Search", IF($O346="Arja", "Evolutionary Search", IF($O346="AVATAR", "True Pattern", IF($O346="CapGen", "Search Like Pattern", IF($O346="Cardumen", "True Semantic", IF($O346="DynaMoth", "True Semantic", IF($O346="FixMiner", "True Pattern", IF($O346="GenProg-A", "Evolutionary Search", IF($O346="Hercules", "Learning Pattern", IF($O346="Jaid", "True Semantic",
IF($O346="Kali-A", "True Search", IF($O346="kPAR", "True Pattern", IF($O346="Nopol", "True Semantic", IF($O346="RSRepair-A", "Evolutionary Search", IF($O346="SequenceR", "Deep Learning", IF($O346="SimFix", "Search Like Pattern", IF($O346="SketchFix", "True Pattern", IF($O346="SOFix", "True Pattern", IF($O346="ssFix", "Search Like Pattern", IF($O346="TBar", "True Pattern", ""))))))))))))))))))))</f>
        <v>True Semantic</v>
      </c>
      <c r="Q346" s="13" t="str">
        <f>IF(NOT(ISERR(SEARCH("*_Buggy",$A346))), "Buggy", IF(NOT(ISERR(SEARCH("*_Fixed",$A346))), "Fixed", IF(NOT(ISERR(SEARCH("*_Repaired",$A346))), "Repaired", "")))</f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>LEFT($A347,FIND("_",$A347)-1)</f>
        <v>Nopol</v>
      </c>
      <c r="P347" s="13" t="str">
        <f>IF($O347="ACS", "True Search", IF($O347="Arja", "Evolutionary Search", IF($O347="AVATAR", "True Pattern", IF($O347="CapGen", "Search Like Pattern", IF($O347="Cardumen", "True Semantic", IF($O347="DynaMoth", "True Semantic", IF($O347="FixMiner", "True Pattern", IF($O347="GenProg-A", "Evolutionary Search", IF($O347="Hercules", "Learning Pattern", IF($O347="Jaid", "True Semantic",
IF($O347="Kali-A", "True Search", IF($O347="kPAR", "True Pattern", IF($O347="Nopol", "True Semantic", IF($O347="RSRepair-A", "Evolutionary Search", IF($O347="SequenceR", "Deep Learning", IF($O347="SimFix", "Search Like Pattern", IF($O347="SketchFix", "True Pattern", IF($O347="SOFix", "True Pattern", IF($O347="ssFix", "Search Like Pattern", IF($O347="TBar", "True Pattern", ""))))))))))))))))))))</f>
        <v>True Semantic</v>
      </c>
      <c r="Q347" s="13" t="str">
        <f>IF(NOT(ISERR(SEARCH("*_Buggy",$A347))), "Buggy", IF(NOT(ISERR(SEARCH("*_Fixed",$A347))), "Fixed", IF(NOT(ISERR(SEARCH("*_Repaired",$A347))), "Repaired", "")))</f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>LEFT($A348,FIND("_",$A348)-1)</f>
        <v>Nopol</v>
      </c>
      <c r="P348" s="13" t="str">
        <f>IF($O348="ACS", "True Search", IF($O348="Arja", "Evolutionary Search", IF($O348="AVATAR", "True Pattern", IF($O348="CapGen", "Search Like Pattern", IF($O348="Cardumen", "True Semantic", IF($O348="DynaMoth", "True Semantic", IF($O348="FixMiner", "True Pattern", IF($O348="GenProg-A", "Evolutionary Search", IF($O348="Hercules", "Learning Pattern", IF($O348="Jaid", "True Semantic",
IF($O348="Kali-A", "True Search", IF($O348="kPAR", "True Pattern", IF($O348="Nopol", "True Semantic", IF($O348="RSRepair-A", "Evolutionary Search", IF($O348="SequenceR", "Deep Learning", IF($O348="SimFix", "Search Like Pattern", IF($O348="SketchFix", "True Pattern", IF($O348="SOFix", "True Pattern", IF($O348="ssFix", "Search Like Pattern", IF($O348="TBar", "True Pattern", ""))))))))))))))))))))</f>
        <v>True Semantic</v>
      </c>
      <c r="Q348" s="13" t="str">
        <f>IF(NOT(ISERR(SEARCH("*_Buggy",$A348))), "Buggy", IF(NOT(ISERR(SEARCH("*_Fixed",$A348))), "Fixed", IF(NOT(ISERR(SEARCH("*_Repaired",$A348))), "Repaired", "")))</f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>LEFT($A349,FIND("_",$A349)-1)</f>
        <v>Nopol</v>
      </c>
      <c r="P349" s="13" t="str">
        <f>IF($O349="ACS", "True Search", IF($O349="Arja", "Evolutionary Search", IF($O349="AVATAR", "True Pattern", IF($O349="CapGen", "Search Like Pattern", IF($O349="Cardumen", "True Semantic", IF($O349="DynaMoth", "True Semantic", IF($O349="FixMiner", "True Pattern", IF($O349="GenProg-A", "Evolutionary Search", IF($O349="Hercules", "Learning Pattern", IF($O349="Jaid", "True Semantic",
IF($O349="Kali-A", "True Search", IF($O349="kPAR", "True Pattern", IF($O349="Nopol", "True Semantic", IF($O349="RSRepair-A", "Evolutionary Search", IF($O349="SequenceR", "Deep Learning", IF($O349="SimFix", "Search Like Pattern", IF($O349="SketchFix", "True Pattern", IF($O349="SOFix", "True Pattern", IF($O349="ssFix", "Search Like Pattern", IF($O349="TBar", "True Pattern", ""))))))))))))))))))))</f>
        <v>True Semantic</v>
      </c>
      <c r="Q349" s="13" t="str">
        <f>IF(NOT(ISERR(SEARCH("*_Buggy",$A349))), "Buggy", IF(NOT(ISERR(SEARCH("*_Fixed",$A349))), "Fixed", IF(NOT(ISERR(SEARCH("*_Repaired",$A349))), "Repaired", "")))</f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>LEFT($A350,FIND("_",$A350)-1)</f>
        <v>Nopol</v>
      </c>
      <c r="P350" s="13" t="str">
        <f>IF($O350="ACS", "True Search", IF($O350="Arja", "Evolutionary Search", IF($O350="AVATAR", "True Pattern", IF($O350="CapGen", "Search Like Pattern", IF($O350="Cardumen", "True Semantic", IF($O350="DynaMoth", "True Semantic", IF($O350="FixMiner", "True Pattern", IF($O350="GenProg-A", "Evolutionary Search", IF($O350="Hercules", "Learning Pattern", IF($O350="Jaid", "True Semantic",
IF($O350="Kali-A", "True Search", IF($O350="kPAR", "True Pattern", IF($O350="Nopol", "True Semantic", IF($O350="RSRepair-A", "Evolutionary Search", IF($O350="SequenceR", "Deep Learning", IF($O350="SimFix", "Search Like Pattern", IF($O350="SketchFix", "True Pattern", IF($O350="SOFix", "True Pattern", IF($O350="ssFix", "Search Like Pattern", IF($O350="TBar", "True Pattern", ""))))))))))))))))))))</f>
        <v>True Semantic</v>
      </c>
      <c r="Q350" s="13" t="str">
        <f>IF(NOT(ISERR(SEARCH("*_Buggy",$A350))), "Buggy", IF(NOT(ISERR(SEARCH("*_Fixed",$A350))), "Fixed", IF(NOT(ISERR(SEARCH("*_Repaired",$A350))), "Repaired", "")))</f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>LEFT($A351,FIND("_",$A351)-1)</f>
        <v>Nopol</v>
      </c>
      <c r="P351" s="13" t="str">
        <f>IF($O351="ACS", "True Search", IF($O351="Arja", "Evolutionary Search", IF($O351="AVATAR", "True Pattern", IF($O351="CapGen", "Search Like Pattern", IF($O351="Cardumen", "True Semantic", IF($O351="DynaMoth", "True Semantic", IF($O351="FixMiner", "True Pattern", IF($O351="GenProg-A", "Evolutionary Search", IF($O351="Hercules", "Learning Pattern", IF($O351="Jaid", "True Semantic",
IF($O351="Kali-A", "True Search", IF($O351="kPAR", "True Pattern", IF($O351="Nopol", "True Semantic", IF($O351="RSRepair-A", "Evolutionary Search", IF($O351="SequenceR", "Deep Learning", IF($O351="SimFix", "Search Like Pattern", IF($O351="SketchFix", "True Pattern", IF($O351="SOFix", "True Pattern", IF($O351="ssFix", "Search Like Pattern", IF($O351="TBar", "True Pattern", ""))))))))))))))))))))</f>
        <v>True Semantic</v>
      </c>
      <c r="Q351" s="13" t="str">
        <f>IF(NOT(ISERR(SEARCH("*_Buggy",$A351))), "Buggy", IF(NOT(ISERR(SEARCH("*_Fixed",$A351))), "Fixed", IF(NOT(ISERR(SEARCH("*_Repaired",$A351))), "Repaired", "")))</f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>LEFT($A352,FIND("_",$A352)-1)</f>
        <v>Nopol</v>
      </c>
      <c r="P352" s="13" t="str">
        <f>IF($O352="ACS", "True Search", IF($O352="Arja", "Evolutionary Search", IF($O352="AVATAR", "True Pattern", IF($O352="CapGen", "Search Like Pattern", IF($O352="Cardumen", "True Semantic", IF($O352="DynaMoth", "True Semantic", IF($O352="FixMiner", "True Pattern", IF($O352="GenProg-A", "Evolutionary Search", IF($O352="Hercules", "Learning Pattern", IF($O352="Jaid", "True Semantic",
IF($O352="Kali-A", "True Search", IF($O352="kPAR", "True Pattern", IF($O352="Nopol", "True Semantic", IF($O352="RSRepair-A", "Evolutionary Search", IF($O352="SequenceR", "Deep Learning", IF($O352="SimFix", "Search Like Pattern", IF($O352="SketchFix", "True Pattern", IF($O352="SOFix", "True Pattern", IF($O352="ssFix", "Search Like Pattern", IF($O352="TBar", "True Pattern", ""))))))))))))))))))))</f>
        <v>True Semantic</v>
      </c>
      <c r="Q352" s="13" t="str">
        <f>IF(NOT(ISERR(SEARCH("*_Buggy",$A352))), "Buggy", IF(NOT(ISERR(SEARCH("*_Fixed",$A352))), "Fixed", IF(NOT(ISERR(SEARCH("*_Repaired",$A352))), "Repaired", "")))</f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>LEFT($A353,FIND("_",$A353)-1)</f>
        <v>Nopol</v>
      </c>
      <c r="P353" s="13" t="str">
        <f>IF($O353="ACS", "True Search", IF($O353="Arja", "Evolutionary Search", IF($O353="AVATAR", "True Pattern", IF($O353="CapGen", "Search Like Pattern", IF($O353="Cardumen", "True Semantic", IF($O353="DynaMoth", "True Semantic", IF($O353="FixMiner", "True Pattern", IF($O353="GenProg-A", "Evolutionary Search", IF($O353="Hercules", "Learning Pattern", IF($O353="Jaid", "True Semantic",
IF($O353="Kali-A", "True Search", IF($O353="kPAR", "True Pattern", IF($O353="Nopol", "True Semantic", IF($O353="RSRepair-A", "Evolutionary Search", IF($O353="SequenceR", "Deep Learning", IF($O353="SimFix", "Search Like Pattern", IF($O353="SketchFix", "True Pattern", IF($O353="SOFix", "True Pattern", IF($O353="ssFix", "Search Like Pattern", IF($O353="TBar", "True Pattern", ""))))))))))))))))))))</f>
        <v>True Semantic</v>
      </c>
      <c r="Q353" s="13" t="str">
        <f>IF(NOT(ISERR(SEARCH("*_Buggy",$A353))), "Buggy", IF(NOT(ISERR(SEARCH("*_Fixed",$A353))), "Fixed", IF(NOT(ISERR(SEARCH("*_Repaired",$A353))), "Repaired", "")))</f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>LEFT($A354,FIND("_",$A354)-1)</f>
        <v>Nopol</v>
      </c>
      <c r="P354" s="13" t="str">
        <f>IF($O354="ACS", "True Search", IF($O354="Arja", "Evolutionary Search", IF($O354="AVATAR", "True Pattern", IF($O354="CapGen", "Search Like Pattern", IF($O354="Cardumen", "True Semantic", IF($O354="DynaMoth", "True Semantic", IF($O354="FixMiner", "True Pattern", IF($O354="GenProg-A", "Evolutionary Search", IF($O354="Hercules", "Learning Pattern", IF($O354="Jaid", "True Semantic",
IF($O354="Kali-A", "True Search", IF($O354="kPAR", "True Pattern", IF($O354="Nopol", "True Semantic", IF($O354="RSRepair-A", "Evolutionary Search", IF($O354="SequenceR", "Deep Learning", IF($O354="SimFix", "Search Like Pattern", IF($O354="SketchFix", "True Pattern", IF($O354="SOFix", "True Pattern", IF($O354="ssFix", "Search Like Pattern", IF($O354="TBar", "True Pattern", ""))))))))))))))))))))</f>
        <v>True Semantic</v>
      </c>
      <c r="Q354" s="13" t="str">
        <f>IF(NOT(ISERR(SEARCH("*_Buggy",$A354))), "Buggy", IF(NOT(ISERR(SEARCH("*_Fixed",$A354))), "Fixed", IF(NOT(ISERR(SEARCH("*_Repaired",$A354))), "Repaired", "")))</f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>LEFT($A355,FIND("_",$A355)-1)</f>
        <v>Nopol</v>
      </c>
      <c r="P355" s="13" t="str">
        <f>IF($O355="ACS", "True Search", IF($O355="Arja", "Evolutionary Search", IF($O355="AVATAR", "True Pattern", IF($O355="CapGen", "Search Like Pattern", IF($O355="Cardumen", "True Semantic", IF($O355="DynaMoth", "True Semantic", IF($O355="FixMiner", "True Pattern", IF($O355="GenProg-A", "Evolutionary Search", IF($O355="Hercules", "Learning Pattern", IF($O355="Jaid", "True Semantic",
IF($O355="Kali-A", "True Search", IF($O355="kPAR", "True Pattern", IF($O355="Nopol", "True Semantic", IF($O355="RSRepair-A", "Evolutionary Search", IF($O355="SequenceR", "Deep Learning", IF($O355="SimFix", "Search Like Pattern", IF($O355="SketchFix", "True Pattern", IF($O355="SOFix", "True Pattern", IF($O355="ssFix", "Search Like Pattern", IF($O355="TBar", "True Pattern", ""))))))))))))))))))))</f>
        <v>True Semantic</v>
      </c>
      <c r="Q355" s="13" t="str">
        <f>IF(NOT(ISERR(SEARCH("*_Buggy",$A355))), "Buggy", IF(NOT(ISERR(SEARCH("*_Fixed",$A355))), "Fixed", IF(NOT(ISERR(SEARCH("*_Repaired",$A355))), "Repaired", "")))</f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>LEFT($A356,FIND("_",$A356)-1)</f>
        <v>Nopol</v>
      </c>
      <c r="P356" s="13" t="str">
        <f>IF($O356="ACS", "True Search", IF($O356="Arja", "Evolutionary Search", IF($O356="AVATAR", "True Pattern", IF($O356="CapGen", "Search Like Pattern", IF($O356="Cardumen", "True Semantic", IF($O356="DynaMoth", "True Semantic", IF($O356="FixMiner", "True Pattern", IF($O356="GenProg-A", "Evolutionary Search", IF($O356="Hercules", "Learning Pattern", IF($O356="Jaid", "True Semantic",
IF($O356="Kali-A", "True Search", IF($O356="kPAR", "True Pattern", IF($O356="Nopol", "True Semantic", IF($O356="RSRepair-A", "Evolutionary Search", IF($O356="SequenceR", "Deep Learning", IF($O356="SimFix", "Search Like Pattern", IF($O356="SketchFix", "True Pattern", IF($O356="SOFix", "True Pattern", IF($O356="ssFix", "Search Like Pattern", IF($O356="TBar", "True Pattern", ""))))))))))))))))))))</f>
        <v>True Semantic</v>
      </c>
      <c r="Q356" s="13" t="str">
        <f>IF(NOT(ISERR(SEARCH("*_Buggy",$A356))), "Buggy", IF(NOT(ISERR(SEARCH("*_Fixed",$A356))), "Fixed", IF(NOT(ISERR(SEARCH("*_Repaired",$A356))), "Repaired", "")))</f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>LEFT($A357,FIND("_",$A357)-1)</f>
        <v>Nopol</v>
      </c>
      <c r="P357" s="13" t="str">
        <f>IF($O357="ACS", "True Search", IF($O357="Arja", "Evolutionary Search", IF($O357="AVATAR", "True Pattern", IF($O357="CapGen", "Search Like Pattern", IF($O357="Cardumen", "True Semantic", IF($O357="DynaMoth", "True Semantic", IF($O357="FixMiner", "True Pattern", IF($O357="GenProg-A", "Evolutionary Search", IF($O357="Hercules", "Learning Pattern", IF($O357="Jaid", "True Semantic",
IF($O357="Kali-A", "True Search", IF($O357="kPAR", "True Pattern", IF($O357="Nopol", "True Semantic", IF($O357="RSRepair-A", "Evolutionary Search", IF($O357="SequenceR", "Deep Learning", IF($O357="SimFix", "Search Like Pattern", IF($O357="SketchFix", "True Pattern", IF($O357="SOFix", "True Pattern", IF($O357="ssFix", "Search Like Pattern", IF($O357="TBar", "True Pattern", ""))))))))))))))))))))</f>
        <v>True Semantic</v>
      </c>
      <c r="Q357" s="13" t="str">
        <f>IF(NOT(ISERR(SEARCH("*_Buggy",$A357))), "Buggy", IF(NOT(ISERR(SEARCH("*_Fixed",$A357))), "Fixed", IF(NOT(ISERR(SEARCH("*_Repaired",$A357))), "Repaired", "")))</f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>LEFT($A358,FIND("_",$A358)-1)</f>
        <v>Nopol</v>
      </c>
      <c r="P358" s="13" t="str">
        <f>IF($O358="ACS", "True Search", IF($O358="Arja", "Evolutionary Search", IF($O358="AVATAR", "True Pattern", IF($O358="CapGen", "Search Like Pattern", IF($O358="Cardumen", "True Semantic", IF($O358="DynaMoth", "True Semantic", IF($O358="FixMiner", "True Pattern", IF($O358="GenProg-A", "Evolutionary Search", IF($O358="Hercules", "Learning Pattern", IF($O358="Jaid", "True Semantic",
IF($O358="Kali-A", "True Search", IF($O358="kPAR", "True Pattern", IF($O358="Nopol", "True Semantic", IF($O358="RSRepair-A", "Evolutionary Search", IF($O358="SequenceR", "Deep Learning", IF($O358="SimFix", "Search Like Pattern", IF($O358="SketchFix", "True Pattern", IF($O358="SOFix", "True Pattern", IF($O358="ssFix", "Search Like Pattern", IF($O358="TBar", "True Pattern", ""))))))))))))))))))))</f>
        <v>True Semantic</v>
      </c>
      <c r="Q358" s="13" t="str">
        <f>IF(NOT(ISERR(SEARCH("*_Buggy",$A358))), "Buggy", IF(NOT(ISERR(SEARCH("*_Fixed",$A358))), "Fixed", IF(NOT(ISERR(SEARCH("*_Repaired",$A358))), "Repaired", "")))</f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>LEFT($A359,FIND("_",$A359)-1)</f>
        <v>Nopol</v>
      </c>
      <c r="P359" s="13" t="str">
        <f>IF($O359="ACS", "True Search", IF($O359="Arja", "Evolutionary Search", IF($O359="AVATAR", "True Pattern", IF($O359="CapGen", "Search Like Pattern", IF($O359="Cardumen", "True Semantic", IF($O359="DynaMoth", "True Semantic", IF($O359="FixMiner", "True Pattern", IF($O359="GenProg-A", "Evolutionary Search", IF($O359="Hercules", "Learning Pattern", IF($O359="Jaid", "True Semantic",
IF($O359="Kali-A", "True Search", IF($O359="kPAR", "True Pattern", IF($O359="Nopol", "True Semantic", IF($O359="RSRepair-A", "Evolutionary Search", IF($O359="SequenceR", "Deep Learning", IF($O359="SimFix", "Search Like Pattern", IF($O359="SketchFix", "True Pattern", IF($O359="SOFix", "True Pattern", IF($O359="ssFix", "Search Like Pattern", IF($O359="TBar", "True Pattern", ""))))))))))))))))))))</f>
        <v>True Semantic</v>
      </c>
      <c r="Q359" s="13" t="str">
        <f>IF(NOT(ISERR(SEARCH("*_Buggy",$A359))), "Buggy", IF(NOT(ISERR(SEARCH("*_Fixed",$A359))), "Fixed", IF(NOT(ISERR(SEARCH("*_Repaired",$A359))), "Repaired", "")))</f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>LEFT($A360,FIND("_",$A360)-1)</f>
        <v>Nopol</v>
      </c>
      <c r="P360" s="13" t="str">
        <f>IF($O360="ACS", "True Search", IF($O360="Arja", "Evolutionary Search", IF($O360="AVATAR", "True Pattern", IF($O360="CapGen", "Search Like Pattern", IF($O360="Cardumen", "True Semantic", IF($O360="DynaMoth", "True Semantic", IF($O360="FixMiner", "True Pattern", IF($O360="GenProg-A", "Evolutionary Search", IF($O360="Hercules", "Learning Pattern", IF($O360="Jaid", "True Semantic",
IF($O360="Kali-A", "True Search", IF($O360="kPAR", "True Pattern", IF($O360="Nopol", "True Semantic", IF($O360="RSRepair-A", "Evolutionary Search", IF($O360="SequenceR", "Deep Learning", IF($O360="SimFix", "Search Like Pattern", IF($O360="SketchFix", "True Pattern", IF($O360="SOFix", "True Pattern", IF($O360="ssFix", "Search Like Pattern", IF($O360="TBar", "True Pattern", ""))))))))))))))))))))</f>
        <v>True Semantic</v>
      </c>
      <c r="Q360" s="13" t="str">
        <f>IF(NOT(ISERR(SEARCH("*_Buggy",$A360))), "Buggy", IF(NOT(ISERR(SEARCH("*_Fixed",$A360))), "Fixed", IF(NOT(ISERR(SEARCH("*_Repaired",$A360))), "Repaired", "")))</f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>LEFT($A361,FIND("_",$A361)-1)</f>
        <v>Nopol</v>
      </c>
      <c r="P361" s="13" t="str">
        <f>IF($O361="ACS", "True Search", IF($O361="Arja", "Evolutionary Search", IF($O361="AVATAR", "True Pattern", IF($O361="CapGen", "Search Like Pattern", IF($O361="Cardumen", "True Semantic", IF($O361="DynaMoth", "True Semantic", IF($O361="FixMiner", "True Pattern", IF($O361="GenProg-A", "Evolutionary Search", IF($O361="Hercules", "Learning Pattern", IF($O361="Jaid", "True Semantic",
IF($O361="Kali-A", "True Search", IF($O361="kPAR", "True Pattern", IF($O361="Nopol", "True Semantic", IF($O361="RSRepair-A", "Evolutionary Search", IF($O361="SequenceR", "Deep Learning", IF($O361="SimFix", "Search Like Pattern", IF($O361="SketchFix", "True Pattern", IF($O361="SOFix", "True Pattern", IF($O361="ssFix", "Search Like Pattern", IF($O361="TBar", "True Pattern", ""))))))))))))))))))))</f>
        <v>True Semantic</v>
      </c>
      <c r="Q361" s="13" t="str">
        <f>IF(NOT(ISERR(SEARCH("*_Buggy",$A361))), "Buggy", IF(NOT(ISERR(SEARCH("*_Fixed",$A361))), "Fixed", IF(NOT(ISERR(SEARCH("*_Repaired",$A361))), "Repaired", "")))</f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>LEFT($A362,FIND("_",$A362)-1)</f>
        <v>Nopol</v>
      </c>
      <c r="P362" s="13" t="str">
        <f>IF($O362="ACS", "True Search", IF($O362="Arja", "Evolutionary Search", IF($O362="AVATAR", "True Pattern", IF($O362="CapGen", "Search Like Pattern", IF($O362="Cardumen", "True Semantic", IF($O362="DynaMoth", "True Semantic", IF($O362="FixMiner", "True Pattern", IF($O362="GenProg-A", "Evolutionary Search", IF($O362="Hercules", "Learning Pattern", IF($O362="Jaid", "True Semantic",
IF($O362="Kali-A", "True Search", IF($O362="kPAR", "True Pattern", IF($O362="Nopol", "True Semantic", IF($O362="RSRepair-A", "Evolutionary Search", IF($O362="SequenceR", "Deep Learning", IF($O362="SimFix", "Search Like Pattern", IF($O362="SketchFix", "True Pattern", IF($O362="SOFix", "True Pattern", IF($O362="ssFix", "Search Like Pattern", IF($O362="TBar", "True Pattern", ""))))))))))))))))))))</f>
        <v>True Semantic</v>
      </c>
      <c r="Q362" s="13" t="str">
        <f>IF(NOT(ISERR(SEARCH("*_Buggy",$A362))), "Buggy", IF(NOT(ISERR(SEARCH("*_Fixed",$A362))), "Fixed", IF(NOT(ISERR(SEARCH("*_Repaired",$A362))), "Repaired", "")))</f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>LEFT($A363,FIND("_",$A363)-1)</f>
        <v>Nopol</v>
      </c>
      <c r="P363" s="13" t="str">
        <f>IF($O363="ACS", "True Search", IF($O363="Arja", "Evolutionary Search", IF($O363="AVATAR", "True Pattern", IF($O363="CapGen", "Search Like Pattern", IF($O363="Cardumen", "True Semantic", IF($O363="DynaMoth", "True Semantic", IF($O363="FixMiner", "True Pattern", IF($O363="GenProg-A", "Evolutionary Search", IF($O363="Hercules", "Learning Pattern", IF($O363="Jaid", "True Semantic",
IF($O363="Kali-A", "True Search", IF($O363="kPAR", "True Pattern", IF($O363="Nopol", "True Semantic", IF($O363="RSRepair-A", "Evolutionary Search", IF($O363="SequenceR", "Deep Learning", IF($O363="SimFix", "Search Like Pattern", IF($O363="SketchFix", "True Pattern", IF($O363="SOFix", "True Pattern", IF($O363="ssFix", "Search Like Pattern", IF($O363="TBar", "True Pattern", ""))))))))))))))))))))</f>
        <v>True Semantic</v>
      </c>
      <c r="Q363" s="13" t="str">
        <f>IF(NOT(ISERR(SEARCH("*_Buggy",$A363))), "Buggy", IF(NOT(ISERR(SEARCH("*_Fixed",$A363))), "Fixed", IF(NOT(ISERR(SEARCH("*_Repaired",$A363))), "Repaired", "")))</f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>LEFT($A364,FIND("_",$A364)-1)</f>
        <v>Nopol</v>
      </c>
      <c r="P364" s="13" t="str">
        <f>IF($O364="ACS", "True Search", IF($O364="Arja", "Evolutionary Search", IF($O364="AVATAR", "True Pattern", IF($O364="CapGen", "Search Like Pattern", IF($O364="Cardumen", "True Semantic", IF($O364="DynaMoth", "True Semantic", IF($O364="FixMiner", "True Pattern", IF($O364="GenProg-A", "Evolutionary Search", IF($O364="Hercules", "Learning Pattern", IF($O364="Jaid", "True Semantic",
IF($O364="Kali-A", "True Search", IF($O364="kPAR", "True Pattern", IF($O364="Nopol", "True Semantic", IF($O364="RSRepair-A", "Evolutionary Search", IF($O364="SequenceR", "Deep Learning", IF($O364="SimFix", "Search Like Pattern", IF($O364="SketchFix", "True Pattern", IF($O364="SOFix", "True Pattern", IF($O364="ssFix", "Search Like Pattern", IF($O364="TBar", "True Pattern", ""))))))))))))))))))))</f>
        <v>True Semantic</v>
      </c>
      <c r="Q364" s="13" t="str">
        <f>IF(NOT(ISERR(SEARCH("*_Buggy",$A364))), "Buggy", IF(NOT(ISERR(SEARCH("*_Fixed",$A364))), "Fixed", IF(NOT(ISERR(SEARCH("*_Repaired",$A364))), "Repaired", "")))</f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>LEFT($A365,FIND("_",$A365)-1)</f>
        <v>Nopol</v>
      </c>
      <c r="P365" s="13" t="str">
        <f>IF($O365="ACS", "True Search", IF($O365="Arja", "Evolutionary Search", IF($O365="AVATAR", "True Pattern", IF($O365="CapGen", "Search Like Pattern", IF($O365="Cardumen", "True Semantic", IF($O365="DynaMoth", "True Semantic", IF($O365="FixMiner", "True Pattern", IF($O365="GenProg-A", "Evolutionary Search", IF($O365="Hercules", "Learning Pattern", IF($O365="Jaid", "True Semantic",
IF($O365="Kali-A", "True Search", IF($O365="kPAR", "True Pattern", IF($O365="Nopol", "True Semantic", IF($O365="RSRepair-A", "Evolutionary Search", IF($O365="SequenceR", "Deep Learning", IF($O365="SimFix", "Search Like Pattern", IF($O365="SketchFix", "True Pattern", IF($O365="SOFix", "True Pattern", IF($O365="ssFix", "Search Like Pattern", IF($O365="TBar", "True Pattern", ""))))))))))))))))))))</f>
        <v>True Semantic</v>
      </c>
      <c r="Q365" s="13" t="str">
        <f>IF(NOT(ISERR(SEARCH("*_Buggy",$A365))), "Buggy", IF(NOT(ISERR(SEARCH("*_Fixed",$A365))), "Fixed", IF(NOT(ISERR(SEARCH("*_Repaired",$A365))), "Repaired", "")))</f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>LEFT($A366,FIND("_",$A366)-1)</f>
        <v>Nopol</v>
      </c>
      <c r="P366" s="13" t="str">
        <f>IF($O366="ACS", "True Search", IF($O366="Arja", "Evolutionary Search", IF($O366="AVATAR", "True Pattern", IF($O366="CapGen", "Search Like Pattern", IF($O366="Cardumen", "True Semantic", IF($O366="DynaMoth", "True Semantic", IF($O366="FixMiner", "True Pattern", IF($O366="GenProg-A", "Evolutionary Search", IF($O366="Hercules", "Learning Pattern", IF($O366="Jaid", "True Semantic",
IF($O366="Kali-A", "True Search", IF($O366="kPAR", "True Pattern", IF($O366="Nopol", "True Semantic", IF($O366="RSRepair-A", "Evolutionary Search", IF($O366="SequenceR", "Deep Learning", IF($O366="SimFix", "Search Like Pattern", IF($O366="SketchFix", "True Pattern", IF($O366="SOFix", "True Pattern", IF($O366="ssFix", "Search Like Pattern", IF($O366="TBar", "True Pattern", ""))))))))))))))))))))</f>
        <v>True Semantic</v>
      </c>
      <c r="Q366" s="13" t="str">
        <f>IF(NOT(ISERR(SEARCH("*_Buggy",$A366))), "Buggy", IF(NOT(ISERR(SEARCH("*_Fixed",$A366))), "Fixed", IF(NOT(ISERR(SEARCH("*_Repaired",$A366))), "Repaired", "")))</f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>LEFT($A367,FIND("_",$A367)-1)</f>
        <v>Nopol</v>
      </c>
      <c r="P367" s="13" t="str">
        <f>IF($O367="ACS", "True Search", IF($O367="Arja", "Evolutionary Search", IF($O367="AVATAR", "True Pattern", IF($O367="CapGen", "Search Like Pattern", IF($O367="Cardumen", "True Semantic", IF($O367="DynaMoth", "True Semantic", IF($O367="FixMiner", "True Pattern", IF($O367="GenProg-A", "Evolutionary Search", IF($O367="Hercules", "Learning Pattern", IF($O367="Jaid", "True Semantic",
IF($O367="Kali-A", "True Search", IF($O367="kPAR", "True Pattern", IF($O367="Nopol", "True Semantic", IF($O367="RSRepair-A", "Evolutionary Search", IF($O367="SequenceR", "Deep Learning", IF($O367="SimFix", "Search Like Pattern", IF($O367="SketchFix", "True Pattern", IF($O367="SOFix", "True Pattern", IF($O367="ssFix", "Search Like Pattern", IF($O367="TBar", "True Pattern", ""))))))))))))))))))))</f>
        <v>True Semantic</v>
      </c>
      <c r="Q367" s="13" t="str">
        <f>IF(NOT(ISERR(SEARCH("*_Buggy",$A367))), "Buggy", IF(NOT(ISERR(SEARCH("*_Fixed",$A367))), "Fixed", IF(NOT(ISERR(SEARCH("*_Repaired",$A367))), "Repaired", "")))</f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>LEFT($A368,FIND("_",$A368)-1)</f>
        <v>Nopol</v>
      </c>
      <c r="P368" s="13" t="str">
        <f>IF($O368="ACS", "True Search", IF($O368="Arja", "Evolutionary Search", IF($O368="AVATAR", "True Pattern", IF($O368="CapGen", "Search Like Pattern", IF($O368="Cardumen", "True Semantic", IF($O368="DynaMoth", "True Semantic", IF($O368="FixMiner", "True Pattern", IF($O368="GenProg-A", "Evolutionary Search", IF($O368="Hercules", "Learning Pattern", IF($O368="Jaid", "True Semantic",
IF($O368="Kali-A", "True Search", IF($O368="kPAR", "True Pattern", IF($O368="Nopol", "True Semantic", IF($O368="RSRepair-A", "Evolutionary Search", IF($O368="SequenceR", "Deep Learning", IF($O368="SimFix", "Search Like Pattern", IF($O368="SketchFix", "True Pattern", IF($O368="SOFix", "True Pattern", IF($O368="ssFix", "Search Like Pattern", IF($O368="TBar", "True Pattern", ""))))))))))))))))))))</f>
        <v>True Semantic</v>
      </c>
      <c r="Q368" s="13" t="str">
        <f>IF(NOT(ISERR(SEARCH("*_Buggy",$A368))), "Buggy", IF(NOT(ISERR(SEARCH("*_Fixed",$A368))), "Fixed", IF(NOT(ISERR(SEARCH("*_Repaired",$A368))), "Repaired", "")))</f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>LEFT($A369,FIND("_",$A369)-1)</f>
        <v>RSRepair-A</v>
      </c>
      <c r="P369" s="13" t="str">
        <f>IF($O369="ACS", "True Search", IF($O369="Arja", "Evolutionary Search", IF($O369="AVATAR", "True Pattern", IF($O369="CapGen", "Search Like Pattern", IF($O369="Cardumen", "True Semantic", IF($O369="DynaMoth", "True Semantic", IF($O369="FixMiner", "True Pattern", IF($O369="GenProg-A", "Evolutionary Search", IF($O369="Hercules", "Learning Pattern", IF($O369="Jaid", "True Semantic",
IF($O369="Kali-A", "True Search", IF($O369="kPAR", "True Pattern", IF($O369="Nopol", "True Semantic", IF($O369="RSRepair-A", "Evolutionary Search", IF($O369="SequenceR", "Deep Learning", IF($O369="SimFix", "Search Like Pattern", IF($O369="SketchFix", "True Pattern", IF($O369="SOFix", "True Pattern", IF($O369="ssFix", "Search Like Pattern", IF($O369="TBar", "True Pattern", ""))))))))))))))))))))</f>
        <v>Evolutionary Search</v>
      </c>
      <c r="Q369" s="13" t="str">
        <f>IF(NOT(ISERR(SEARCH("*_Buggy",$A369))), "Buggy", IF(NOT(ISERR(SEARCH("*_Fixed",$A369))), "Fixed", IF(NOT(ISERR(SEARCH("*_Repaired",$A369))), "Repaired", "")))</f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>LEFT($A370,FIND("_",$A370)-1)</f>
        <v>RSRepair-A</v>
      </c>
      <c r="P370" s="13" t="str">
        <f>IF($O370="ACS", "True Search", IF($O370="Arja", "Evolutionary Search", IF($O370="AVATAR", "True Pattern", IF($O370="CapGen", "Search Like Pattern", IF($O370="Cardumen", "True Semantic", IF($O370="DynaMoth", "True Semantic", IF($O370="FixMiner", "True Pattern", IF($O370="GenProg-A", "Evolutionary Search", IF($O370="Hercules", "Learning Pattern", IF($O370="Jaid", "True Semantic",
IF($O370="Kali-A", "True Search", IF($O370="kPAR", "True Pattern", IF($O370="Nopol", "True Semantic", IF($O370="RSRepair-A", "Evolutionary Search", IF($O370="SequenceR", "Deep Learning", IF($O370="SimFix", "Search Like Pattern", IF($O370="SketchFix", "True Pattern", IF($O370="SOFix", "True Pattern", IF($O370="ssFix", "Search Like Pattern", IF($O370="TBar", "True Pattern", ""))))))))))))))))))))</f>
        <v>Evolutionary Search</v>
      </c>
      <c r="Q370" s="13" t="str">
        <f>IF(NOT(ISERR(SEARCH("*_Buggy",$A370))), "Buggy", IF(NOT(ISERR(SEARCH("*_Fixed",$A370))), "Fixed", IF(NOT(ISERR(SEARCH("*_Repaired",$A370))), "Repaired", "")))</f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>LEFT($A371,FIND("_",$A371)-1)</f>
        <v>RSRepair-A</v>
      </c>
      <c r="P371" s="13" t="str">
        <f>IF($O371="ACS", "True Search", IF($O371="Arja", "Evolutionary Search", IF($O371="AVATAR", "True Pattern", IF($O371="CapGen", "Search Like Pattern", IF($O371="Cardumen", "True Semantic", IF($O371="DynaMoth", "True Semantic", IF($O371="FixMiner", "True Pattern", IF($O371="GenProg-A", "Evolutionary Search", IF($O371="Hercules", "Learning Pattern", IF($O371="Jaid", "True Semantic",
IF($O371="Kali-A", "True Search", IF($O371="kPAR", "True Pattern", IF($O371="Nopol", "True Semantic", IF($O371="RSRepair-A", "Evolutionary Search", IF($O371="SequenceR", "Deep Learning", IF($O371="SimFix", "Search Like Pattern", IF($O371="SketchFix", "True Pattern", IF($O371="SOFix", "True Pattern", IF($O371="ssFix", "Search Like Pattern", IF($O371="TBar", "True Pattern", ""))))))))))))))))))))</f>
        <v>Evolutionary Search</v>
      </c>
      <c r="Q371" s="13" t="str">
        <f>IF(NOT(ISERR(SEARCH("*_Buggy",$A371))), "Buggy", IF(NOT(ISERR(SEARCH("*_Fixed",$A371))), "Fixed", IF(NOT(ISERR(SEARCH("*_Repaired",$A371))), "Repaired", "")))</f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>LEFT($A372,FIND("_",$A372)-1)</f>
        <v>RSRepair-A</v>
      </c>
      <c r="P372" s="13" t="str">
        <f>IF($O372="ACS", "True Search", IF($O372="Arja", "Evolutionary Search", IF($O372="AVATAR", "True Pattern", IF($O372="CapGen", "Search Like Pattern", IF($O372="Cardumen", "True Semantic", IF($O372="DynaMoth", "True Semantic", IF($O372="FixMiner", "True Pattern", IF($O372="GenProg-A", "Evolutionary Search", IF($O372="Hercules", "Learning Pattern", IF($O372="Jaid", "True Semantic",
IF($O372="Kali-A", "True Search", IF($O372="kPAR", "True Pattern", IF($O372="Nopol", "True Semantic", IF($O372="RSRepair-A", "Evolutionary Search", IF($O372="SequenceR", "Deep Learning", IF($O372="SimFix", "Search Like Pattern", IF($O372="SketchFix", "True Pattern", IF($O372="SOFix", "True Pattern", IF($O372="ssFix", "Search Like Pattern", IF($O372="TBar", "True Pattern", ""))))))))))))))))))))</f>
        <v>Evolutionary Search</v>
      </c>
      <c r="Q372" s="13" t="str">
        <f>IF(NOT(ISERR(SEARCH("*_Buggy",$A372))), "Buggy", IF(NOT(ISERR(SEARCH("*_Fixed",$A372))), "Fixed", IF(NOT(ISERR(SEARCH("*_Repaired",$A372))), "Repaired", "")))</f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>LEFT($A373,FIND("_",$A373)-1)</f>
        <v>RSRepair-A</v>
      </c>
      <c r="P373" s="13" t="str">
        <f>IF($O373="ACS", "True Search", IF($O373="Arja", "Evolutionary Search", IF($O373="AVATAR", "True Pattern", IF($O373="CapGen", "Search Like Pattern", IF($O373="Cardumen", "True Semantic", IF($O373="DynaMoth", "True Semantic", IF($O373="FixMiner", "True Pattern", IF($O373="GenProg-A", "Evolutionary Search", IF($O373="Hercules", "Learning Pattern", IF($O373="Jaid", "True Semantic",
IF($O373="Kali-A", "True Search", IF($O373="kPAR", "True Pattern", IF($O373="Nopol", "True Semantic", IF($O373="RSRepair-A", "Evolutionary Search", IF($O373="SequenceR", "Deep Learning", IF($O373="SimFix", "Search Like Pattern", IF($O373="SketchFix", "True Pattern", IF($O373="SOFix", "True Pattern", IF($O373="ssFix", "Search Like Pattern", IF($O373="TBar", "True Pattern", ""))))))))))))))))))))</f>
        <v>Evolutionary Search</v>
      </c>
      <c r="Q373" s="13" t="str">
        <f>IF(NOT(ISERR(SEARCH("*_Buggy",$A373))), "Buggy", IF(NOT(ISERR(SEARCH("*_Fixed",$A373))), "Fixed", IF(NOT(ISERR(SEARCH("*_Repaired",$A373))), "Repaired", "")))</f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>LEFT($A374,FIND("_",$A374)-1)</f>
        <v>RSRepair-A</v>
      </c>
      <c r="P374" s="13" t="str">
        <f>IF($O374="ACS", "True Search", IF($O374="Arja", "Evolutionary Search", IF($O374="AVATAR", "True Pattern", IF($O374="CapGen", "Search Like Pattern", IF($O374="Cardumen", "True Semantic", IF($O374="DynaMoth", "True Semantic", IF($O374="FixMiner", "True Pattern", IF($O374="GenProg-A", "Evolutionary Search", IF($O374="Hercules", "Learning Pattern", IF($O374="Jaid", "True Semantic",
IF($O374="Kali-A", "True Search", IF($O374="kPAR", "True Pattern", IF($O374="Nopol", "True Semantic", IF($O374="RSRepair-A", "Evolutionary Search", IF($O374="SequenceR", "Deep Learning", IF($O374="SimFix", "Search Like Pattern", IF($O374="SketchFix", "True Pattern", IF($O374="SOFix", "True Pattern", IF($O374="ssFix", "Search Like Pattern", IF($O374="TBar", "True Pattern", ""))))))))))))))))))))</f>
        <v>Evolutionary Search</v>
      </c>
      <c r="Q374" s="13" t="str">
        <f>IF(NOT(ISERR(SEARCH("*_Buggy",$A374))), "Buggy", IF(NOT(ISERR(SEARCH("*_Fixed",$A374))), "Fixed", IF(NOT(ISERR(SEARCH("*_Repaired",$A374))), "Repaired", "")))</f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>LEFT($A375,FIND("_",$A375)-1)</f>
        <v>RSRepair-A</v>
      </c>
      <c r="P375" s="13" t="str">
        <f>IF($O375="ACS", "True Search", IF($O375="Arja", "Evolutionary Search", IF($O375="AVATAR", "True Pattern", IF($O375="CapGen", "Search Like Pattern", IF($O375="Cardumen", "True Semantic", IF($O375="DynaMoth", "True Semantic", IF($O375="FixMiner", "True Pattern", IF($O375="GenProg-A", "Evolutionary Search", IF($O375="Hercules", "Learning Pattern", IF($O375="Jaid", "True Semantic",
IF($O375="Kali-A", "True Search", IF($O375="kPAR", "True Pattern", IF($O375="Nopol", "True Semantic", IF($O375="RSRepair-A", "Evolutionary Search", IF($O375="SequenceR", "Deep Learning", IF($O375="SimFix", "Search Like Pattern", IF($O375="SketchFix", "True Pattern", IF($O375="SOFix", "True Pattern", IF($O375="ssFix", "Search Like Pattern", IF($O375="TBar", "True Pattern", ""))))))))))))))))))))</f>
        <v>Evolutionary Search</v>
      </c>
      <c r="Q375" s="13" t="str">
        <f>IF(NOT(ISERR(SEARCH("*_Buggy",$A375))), "Buggy", IF(NOT(ISERR(SEARCH("*_Fixed",$A375))), "Fixed", IF(NOT(ISERR(SEARCH("*_Repaired",$A375))), "Repaired", "")))</f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>LEFT($A376,FIND("_",$A376)-1)</f>
        <v>RSRepair-A</v>
      </c>
      <c r="P376" s="13" t="str">
        <f>IF($O376="ACS", "True Search", IF($O376="Arja", "Evolutionary Search", IF($O376="AVATAR", "True Pattern", IF($O376="CapGen", "Search Like Pattern", IF($O376="Cardumen", "True Semantic", IF($O376="DynaMoth", "True Semantic", IF($O376="FixMiner", "True Pattern", IF($O376="GenProg-A", "Evolutionary Search", IF($O376="Hercules", "Learning Pattern", IF($O376="Jaid", "True Semantic",
IF($O376="Kali-A", "True Search", IF($O376="kPAR", "True Pattern", IF($O376="Nopol", "True Semantic", IF($O376="RSRepair-A", "Evolutionary Search", IF($O376="SequenceR", "Deep Learning", IF($O376="SimFix", "Search Like Pattern", IF($O376="SketchFix", "True Pattern", IF($O376="SOFix", "True Pattern", IF($O376="ssFix", "Search Like Pattern", IF($O376="TBar", "True Pattern", ""))))))))))))))))))))</f>
        <v>Evolutionary Search</v>
      </c>
      <c r="Q376" s="13" t="str">
        <f>IF(NOT(ISERR(SEARCH("*_Buggy",$A376))), "Buggy", IF(NOT(ISERR(SEARCH("*_Fixed",$A376))), "Fixed", IF(NOT(ISERR(SEARCH("*_Repaired",$A376))), "Repaired", "")))</f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>LEFT($A377,FIND("_",$A377)-1)</f>
        <v>RSRepair-A</v>
      </c>
      <c r="P377" s="13" t="str">
        <f>IF($O377="ACS", "True Search", IF($O377="Arja", "Evolutionary Search", IF($O377="AVATAR", "True Pattern", IF($O377="CapGen", "Search Like Pattern", IF($O377="Cardumen", "True Semantic", IF($O377="DynaMoth", "True Semantic", IF($O377="FixMiner", "True Pattern", IF($O377="GenProg-A", "Evolutionary Search", IF($O377="Hercules", "Learning Pattern", IF($O377="Jaid", "True Semantic",
IF($O377="Kali-A", "True Search", IF($O377="kPAR", "True Pattern", IF($O377="Nopol", "True Semantic", IF($O377="RSRepair-A", "Evolutionary Search", IF($O377="SequenceR", "Deep Learning", IF($O377="SimFix", "Search Like Pattern", IF($O377="SketchFix", "True Pattern", IF($O377="SOFix", "True Pattern", IF($O377="ssFix", "Search Like Pattern", IF($O377="TBar", "True Pattern", ""))))))))))))))))))))</f>
        <v>Evolutionary Search</v>
      </c>
      <c r="Q377" s="13" t="str">
        <f>IF(NOT(ISERR(SEARCH("*_Buggy",$A377))), "Buggy", IF(NOT(ISERR(SEARCH("*_Fixed",$A377))), "Fixed", IF(NOT(ISERR(SEARCH("*_Repaired",$A377))), "Repaired", "")))</f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>LEFT($A378,FIND("_",$A378)-1)</f>
        <v>RSRepair-A</v>
      </c>
      <c r="P378" s="13" t="str">
        <f>IF($O378="ACS", "True Search", IF($O378="Arja", "Evolutionary Search", IF($O378="AVATAR", "True Pattern", IF($O378="CapGen", "Search Like Pattern", IF($O378="Cardumen", "True Semantic", IF($O378="DynaMoth", "True Semantic", IF($O378="FixMiner", "True Pattern", IF($O378="GenProg-A", "Evolutionary Search", IF($O378="Hercules", "Learning Pattern", IF($O378="Jaid", "True Semantic",
IF($O378="Kali-A", "True Search", IF($O378="kPAR", "True Pattern", IF($O378="Nopol", "True Semantic", IF($O378="RSRepair-A", "Evolutionary Search", IF($O378="SequenceR", "Deep Learning", IF($O378="SimFix", "Search Like Pattern", IF($O378="SketchFix", "True Pattern", IF($O378="SOFix", "True Pattern", IF($O378="ssFix", "Search Like Pattern", IF($O378="TBar", "True Pattern", ""))))))))))))))))))))</f>
        <v>Evolutionary Search</v>
      </c>
      <c r="Q378" s="13" t="str">
        <f>IF(NOT(ISERR(SEARCH("*_Buggy",$A378))), "Buggy", IF(NOT(ISERR(SEARCH("*_Fixed",$A378))), "Fixed", IF(NOT(ISERR(SEARCH("*_Repaired",$A378))), "Repaired", "")))</f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>LEFT($A379,FIND("_",$A379)-1)</f>
        <v>RSRepair-A</v>
      </c>
      <c r="P379" s="13" t="str">
        <f>IF($O379="ACS", "True Search", IF($O379="Arja", "Evolutionary Search", IF($O379="AVATAR", "True Pattern", IF($O379="CapGen", "Search Like Pattern", IF($O379="Cardumen", "True Semantic", IF($O379="DynaMoth", "True Semantic", IF($O379="FixMiner", "True Pattern", IF($O379="GenProg-A", "Evolutionary Search", IF($O379="Hercules", "Learning Pattern", IF($O379="Jaid", "True Semantic",
IF($O379="Kali-A", "True Search", IF($O379="kPAR", "True Pattern", IF($O379="Nopol", "True Semantic", IF($O379="RSRepair-A", "Evolutionary Search", IF($O379="SequenceR", "Deep Learning", IF($O379="SimFix", "Search Like Pattern", IF($O379="SketchFix", "True Pattern", IF($O379="SOFix", "True Pattern", IF($O379="ssFix", "Search Like Pattern", IF($O379="TBar", "True Pattern", ""))))))))))))))))))))</f>
        <v>Evolutionary Search</v>
      </c>
      <c r="Q379" s="13" t="str">
        <f>IF(NOT(ISERR(SEARCH("*_Buggy",$A379))), "Buggy", IF(NOT(ISERR(SEARCH("*_Fixed",$A379))), "Fixed", IF(NOT(ISERR(SEARCH("*_Repaired",$A379))), "Repaired", "")))</f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>LEFT($A380,FIND("_",$A380)-1)</f>
        <v>RSRepair-A</v>
      </c>
      <c r="P380" s="13" t="str">
        <f>IF($O380="ACS", "True Search", IF($O380="Arja", "Evolutionary Search", IF($O380="AVATAR", "True Pattern", IF($O380="CapGen", "Search Like Pattern", IF($O380="Cardumen", "True Semantic", IF($O380="DynaMoth", "True Semantic", IF($O380="FixMiner", "True Pattern", IF($O380="GenProg-A", "Evolutionary Search", IF($O380="Hercules", "Learning Pattern", IF($O380="Jaid", "True Semantic",
IF($O380="Kali-A", "True Search", IF($O380="kPAR", "True Pattern", IF($O380="Nopol", "True Semantic", IF($O380="RSRepair-A", "Evolutionary Search", IF($O380="SequenceR", "Deep Learning", IF($O380="SimFix", "Search Like Pattern", IF($O380="SketchFix", "True Pattern", IF($O380="SOFix", "True Pattern", IF($O380="ssFix", "Search Like Pattern", IF($O380="TBar", "True Pattern", ""))))))))))))))))))))</f>
        <v>Evolutionary Search</v>
      </c>
      <c r="Q380" s="13" t="str">
        <f>IF(NOT(ISERR(SEARCH("*_Buggy",$A380))), "Buggy", IF(NOT(ISERR(SEARCH("*_Fixed",$A380))), "Fixed", IF(NOT(ISERR(SEARCH("*_Repaired",$A380))), "Repaired", "")))</f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>LEFT($A381,FIND("_",$A381)-1)</f>
        <v>RSRepair-A</v>
      </c>
      <c r="P381" s="13" t="str">
        <f>IF($O381="ACS", "True Search", IF($O381="Arja", "Evolutionary Search", IF($O381="AVATAR", "True Pattern", IF($O381="CapGen", "Search Like Pattern", IF($O381="Cardumen", "True Semantic", IF($O381="DynaMoth", "True Semantic", IF($O381="FixMiner", "True Pattern", IF($O381="GenProg-A", "Evolutionary Search", IF($O381="Hercules", "Learning Pattern", IF($O381="Jaid", "True Semantic",
IF($O381="Kali-A", "True Search", IF($O381="kPAR", "True Pattern", IF($O381="Nopol", "True Semantic", IF($O381="RSRepair-A", "Evolutionary Search", IF($O381="SequenceR", "Deep Learning", IF($O381="SimFix", "Search Like Pattern", IF($O381="SketchFix", "True Pattern", IF($O381="SOFix", "True Pattern", IF($O381="ssFix", "Search Like Pattern", IF($O381="TBar", "True Pattern", ""))))))))))))))))))))</f>
        <v>Evolutionary Search</v>
      </c>
      <c r="Q381" s="13" t="str">
        <f>IF(NOT(ISERR(SEARCH("*_Buggy",$A381))), "Buggy", IF(NOT(ISERR(SEARCH("*_Fixed",$A381))), "Fixed", IF(NOT(ISERR(SEARCH("*_Repaired",$A381))), "Repaired", "")))</f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>LEFT($A382,FIND("_",$A382)-1)</f>
        <v>RSRepair-A</v>
      </c>
      <c r="P382" s="13" t="str">
        <f>IF($O382="ACS", "True Search", IF($O382="Arja", "Evolutionary Search", IF($O382="AVATAR", "True Pattern", IF($O382="CapGen", "Search Like Pattern", IF($O382="Cardumen", "True Semantic", IF($O382="DynaMoth", "True Semantic", IF($O382="FixMiner", "True Pattern", IF($O382="GenProg-A", "Evolutionary Search", IF($O382="Hercules", "Learning Pattern", IF($O382="Jaid", "True Semantic",
IF($O382="Kali-A", "True Search", IF($O382="kPAR", "True Pattern", IF($O382="Nopol", "True Semantic", IF($O382="RSRepair-A", "Evolutionary Search", IF($O382="SequenceR", "Deep Learning", IF($O382="SimFix", "Search Like Pattern", IF($O382="SketchFix", "True Pattern", IF($O382="SOFix", "True Pattern", IF($O382="ssFix", "Search Like Pattern", IF($O382="TBar", "True Pattern", ""))))))))))))))))))))</f>
        <v>Evolutionary Search</v>
      </c>
      <c r="Q382" s="13" t="str">
        <f>IF(NOT(ISERR(SEARCH("*_Buggy",$A382))), "Buggy", IF(NOT(ISERR(SEARCH("*_Fixed",$A382))), "Fixed", IF(NOT(ISERR(SEARCH("*_Repaired",$A382))), "Repaired", "")))</f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>LEFT($A383,FIND("_",$A383)-1)</f>
        <v>RSRepair-A</v>
      </c>
      <c r="P383" s="13" t="str">
        <f>IF($O383="ACS", "True Search", IF($O383="Arja", "Evolutionary Search", IF($O383="AVATAR", "True Pattern", IF($O383="CapGen", "Search Like Pattern", IF($O383="Cardumen", "True Semantic", IF($O383="DynaMoth", "True Semantic", IF($O383="FixMiner", "True Pattern", IF($O383="GenProg-A", "Evolutionary Search", IF($O383="Hercules", "Learning Pattern", IF($O383="Jaid", "True Semantic",
IF($O383="Kali-A", "True Search", IF($O383="kPAR", "True Pattern", IF($O383="Nopol", "True Semantic", IF($O383="RSRepair-A", "Evolutionary Search", IF($O383="SequenceR", "Deep Learning", IF($O383="SimFix", "Search Like Pattern", IF($O383="SketchFix", "True Pattern", IF($O383="SOFix", "True Pattern", IF($O383="ssFix", "Search Like Pattern", IF($O383="TBar", "True Pattern", ""))))))))))))))))))))</f>
        <v>Evolutionary Search</v>
      </c>
      <c r="Q383" s="13" t="str">
        <f>IF(NOT(ISERR(SEARCH("*_Buggy",$A383))), "Buggy", IF(NOT(ISERR(SEARCH("*_Fixed",$A383))), "Fixed", IF(NOT(ISERR(SEARCH("*_Repaired",$A383))), "Repaired", "")))</f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>LEFT($A384,FIND("_",$A384)-1)</f>
        <v>RSRepair-A</v>
      </c>
      <c r="P384" s="13" t="str">
        <f>IF($O384="ACS", "True Search", IF($O384="Arja", "Evolutionary Search", IF($O384="AVATAR", "True Pattern", IF($O384="CapGen", "Search Like Pattern", IF($O384="Cardumen", "True Semantic", IF($O384="DynaMoth", "True Semantic", IF($O384="FixMiner", "True Pattern", IF($O384="GenProg-A", "Evolutionary Search", IF($O384="Hercules", "Learning Pattern", IF($O384="Jaid", "True Semantic",
IF($O384="Kali-A", "True Search", IF($O384="kPAR", "True Pattern", IF($O384="Nopol", "True Semantic", IF($O384="RSRepair-A", "Evolutionary Search", IF($O384="SequenceR", "Deep Learning", IF($O384="SimFix", "Search Like Pattern", IF($O384="SketchFix", "True Pattern", IF($O384="SOFix", "True Pattern", IF($O384="ssFix", "Search Like Pattern", IF($O384="TBar", "True Pattern", ""))))))))))))))))))))</f>
        <v>Evolutionary Search</v>
      </c>
      <c r="Q384" s="13" t="str">
        <f>IF(NOT(ISERR(SEARCH("*_Buggy",$A384))), "Buggy", IF(NOT(ISERR(SEARCH("*_Fixed",$A384))), "Fixed", IF(NOT(ISERR(SEARCH("*_Repaired",$A384))), "Repaired", "")))</f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>LEFT($A385,FIND("_",$A385)-1)</f>
        <v>RSRepair-A</v>
      </c>
      <c r="P385" s="13" t="str">
        <f>IF($O385="ACS", "True Search", IF($O385="Arja", "Evolutionary Search", IF($O385="AVATAR", "True Pattern", IF($O385="CapGen", "Search Like Pattern", IF($O385="Cardumen", "True Semantic", IF($O385="DynaMoth", "True Semantic", IF($O385="FixMiner", "True Pattern", IF($O385="GenProg-A", "Evolutionary Search", IF($O385="Hercules", "Learning Pattern", IF($O385="Jaid", "True Semantic",
IF($O385="Kali-A", "True Search", IF($O385="kPAR", "True Pattern", IF($O385="Nopol", "True Semantic", IF($O385="RSRepair-A", "Evolutionary Search", IF($O385="SequenceR", "Deep Learning", IF($O385="SimFix", "Search Like Pattern", IF($O385="SketchFix", "True Pattern", IF($O385="SOFix", "True Pattern", IF($O385="ssFix", "Search Like Pattern", IF($O385="TBar", "True Pattern", ""))))))))))))))))))))</f>
        <v>Evolutionary Search</v>
      </c>
      <c r="Q385" s="13" t="str">
        <f>IF(NOT(ISERR(SEARCH("*_Buggy",$A385))), "Buggy", IF(NOT(ISERR(SEARCH("*_Fixed",$A385))), "Fixed", IF(NOT(ISERR(SEARCH("*_Repaired",$A385))), "Repaired", "")))</f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>LEFT($A386,FIND("_",$A386)-1)</f>
        <v>RSRepair-A</v>
      </c>
      <c r="P386" s="13" t="str">
        <f>IF($O386="ACS", "True Search", IF($O386="Arja", "Evolutionary Search", IF($O386="AVATAR", "True Pattern", IF($O386="CapGen", "Search Like Pattern", IF($O386="Cardumen", "True Semantic", IF($O386="DynaMoth", "True Semantic", IF($O386="FixMiner", "True Pattern", IF($O386="GenProg-A", "Evolutionary Search", IF($O386="Hercules", "Learning Pattern", IF($O386="Jaid", "True Semantic",
IF($O386="Kali-A", "True Search", IF($O386="kPAR", "True Pattern", IF($O386="Nopol", "True Semantic", IF($O386="RSRepair-A", "Evolutionary Search", IF($O386="SequenceR", "Deep Learning", IF($O386="SimFix", "Search Like Pattern", IF($O386="SketchFix", "True Pattern", IF($O386="SOFix", "True Pattern", IF($O386="ssFix", "Search Like Pattern", IF($O386="TBar", "True Pattern", ""))))))))))))))))))))</f>
        <v>Evolutionary Search</v>
      </c>
      <c r="Q386" s="13" t="str">
        <f>IF(NOT(ISERR(SEARCH("*_Buggy",$A386))), "Buggy", IF(NOT(ISERR(SEARCH("*_Fixed",$A386))), "Fixed", IF(NOT(ISERR(SEARCH("*_Repaired",$A386))), "Repaired", "")))</f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>LEFT($A387,FIND("_",$A387)-1)</f>
        <v>RSRepair-A</v>
      </c>
      <c r="P387" s="13" t="str">
        <f>IF($O387="ACS", "True Search", IF($O387="Arja", "Evolutionary Search", IF($O387="AVATAR", "True Pattern", IF($O387="CapGen", "Search Like Pattern", IF($O387="Cardumen", "True Semantic", IF($O387="DynaMoth", "True Semantic", IF($O387="FixMiner", "True Pattern", IF($O387="GenProg-A", "Evolutionary Search", IF($O387="Hercules", "Learning Pattern", IF($O387="Jaid", "True Semantic",
IF($O387="Kali-A", "True Search", IF($O387="kPAR", "True Pattern", IF($O387="Nopol", "True Semantic", IF($O387="RSRepair-A", "Evolutionary Search", IF($O387="SequenceR", "Deep Learning", IF($O387="SimFix", "Search Like Pattern", IF($O387="SketchFix", "True Pattern", IF($O387="SOFix", "True Pattern", IF($O387="ssFix", "Search Like Pattern", IF($O387="TBar", "True Pattern", ""))))))))))))))))))))</f>
        <v>Evolutionary Search</v>
      </c>
      <c r="Q387" s="13" t="str">
        <f>IF(NOT(ISERR(SEARCH("*_Buggy",$A387))), "Buggy", IF(NOT(ISERR(SEARCH("*_Fixed",$A387))), "Fixed", IF(NOT(ISERR(SEARCH("*_Repaired",$A387))), "Repaired", "")))</f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>LEFT($A388,FIND("_",$A388)-1)</f>
        <v>RSRepair-A</v>
      </c>
      <c r="P388" s="13" t="str">
        <f>IF($O388="ACS", "True Search", IF($O388="Arja", "Evolutionary Search", IF($O388="AVATAR", "True Pattern", IF($O388="CapGen", "Search Like Pattern", IF($O388="Cardumen", "True Semantic", IF($O388="DynaMoth", "True Semantic", IF($O388="FixMiner", "True Pattern", IF($O388="GenProg-A", "Evolutionary Search", IF($O388="Hercules", "Learning Pattern", IF($O388="Jaid", "True Semantic",
IF($O388="Kali-A", "True Search", IF($O388="kPAR", "True Pattern", IF($O388="Nopol", "True Semantic", IF($O388="RSRepair-A", "Evolutionary Search", IF($O388="SequenceR", "Deep Learning", IF($O388="SimFix", "Search Like Pattern", IF($O388="SketchFix", "True Pattern", IF($O388="SOFix", "True Pattern", IF($O388="ssFix", "Search Like Pattern", IF($O388="TBar", "True Pattern", ""))))))))))))))))))))</f>
        <v>Evolutionary Search</v>
      </c>
      <c r="Q388" s="13" t="str">
        <f>IF(NOT(ISERR(SEARCH("*_Buggy",$A388))), "Buggy", IF(NOT(ISERR(SEARCH("*_Fixed",$A388))), "Fixed", IF(NOT(ISERR(SEARCH("*_Repaired",$A388))), "Repaired", "")))</f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>LEFT($A389,FIND("_",$A389)-1)</f>
        <v>RSRepair-A</v>
      </c>
      <c r="P389" s="13" t="str">
        <f>IF($O389="ACS", "True Search", IF($O389="Arja", "Evolutionary Search", IF($O389="AVATAR", "True Pattern", IF($O389="CapGen", "Search Like Pattern", IF($O389="Cardumen", "True Semantic", IF($O389="DynaMoth", "True Semantic", IF($O389="FixMiner", "True Pattern", IF($O389="GenProg-A", "Evolutionary Search", IF($O389="Hercules", "Learning Pattern", IF($O389="Jaid", "True Semantic",
IF($O389="Kali-A", "True Search", IF($O389="kPAR", "True Pattern", IF($O389="Nopol", "True Semantic", IF($O389="RSRepair-A", "Evolutionary Search", IF($O389="SequenceR", "Deep Learning", IF($O389="SimFix", "Search Like Pattern", IF($O389="SketchFix", "True Pattern", IF($O389="SOFix", "True Pattern", IF($O389="ssFix", "Search Like Pattern", IF($O389="TBar", "True Pattern", ""))))))))))))))))))))</f>
        <v>Evolutionary Search</v>
      </c>
      <c r="Q389" s="13" t="str">
        <f>IF(NOT(ISERR(SEARCH("*_Buggy",$A389))), "Buggy", IF(NOT(ISERR(SEARCH("*_Fixed",$A389))), "Fixed", IF(NOT(ISERR(SEARCH("*_Repaired",$A389))), "Repaired", "")))</f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>LEFT($A390,FIND("_",$A390)-1)</f>
        <v>RSRepair-A</v>
      </c>
      <c r="P390" s="13" t="str">
        <f>IF($O390="ACS", "True Search", IF($O390="Arja", "Evolutionary Search", IF($O390="AVATAR", "True Pattern", IF($O390="CapGen", "Search Like Pattern", IF($O390="Cardumen", "True Semantic", IF($O390="DynaMoth", "True Semantic", IF($O390="FixMiner", "True Pattern", IF($O390="GenProg-A", "Evolutionary Search", IF($O390="Hercules", "Learning Pattern", IF($O390="Jaid", "True Semantic",
IF($O390="Kali-A", "True Search", IF($O390="kPAR", "True Pattern", IF($O390="Nopol", "True Semantic", IF($O390="RSRepair-A", "Evolutionary Search", IF($O390="SequenceR", "Deep Learning", IF($O390="SimFix", "Search Like Pattern", IF($O390="SketchFix", "True Pattern", IF($O390="SOFix", "True Pattern", IF($O390="ssFix", "Search Like Pattern", IF($O390="TBar", "True Pattern", ""))))))))))))))))))))</f>
        <v>Evolutionary Search</v>
      </c>
      <c r="Q390" s="13" t="str">
        <f>IF(NOT(ISERR(SEARCH("*_Buggy",$A390))), "Buggy", IF(NOT(ISERR(SEARCH("*_Fixed",$A390))), "Fixed", IF(NOT(ISERR(SEARCH("*_Repaired",$A390))), "Repaired", "")))</f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>LEFT($A391,FIND("_",$A391)-1)</f>
        <v>RSRepair-A</v>
      </c>
      <c r="P391" s="13" t="str">
        <f>IF($O391="ACS", "True Search", IF($O391="Arja", "Evolutionary Search", IF($O391="AVATAR", "True Pattern", IF($O391="CapGen", "Search Like Pattern", IF($O391="Cardumen", "True Semantic", IF($O391="DynaMoth", "True Semantic", IF($O391="FixMiner", "True Pattern", IF($O391="GenProg-A", "Evolutionary Search", IF($O391="Hercules", "Learning Pattern", IF($O391="Jaid", "True Semantic",
IF($O391="Kali-A", "True Search", IF($O391="kPAR", "True Pattern", IF($O391="Nopol", "True Semantic", IF($O391="RSRepair-A", "Evolutionary Search", IF($O391="SequenceR", "Deep Learning", IF($O391="SimFix", "Search Like Pattern", IF($O391="SketchFix", "True Pattern", IF($O391="SOFix", "True Pattern", IF($O391="ssFix", "Search Like Pattern", IF($O391="TBar", "True Pattern", ""))))))))))))))))))))</f>
        <v>Evolutionary Search</v>
      </c>
      <c r="Q391" s="13" t="str">
        <f>IF(NOT(ISERR(SEARCH("*_Buggy",$A391))), "Buggy", IF(NOT(ISERR(SEARCH("*_Fixed",$A391))), "Fixed", IF(NOT(ISERR(SEARCH("*_Repaired",$A391))), "Repaired", "")))</f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>LEFT($A392,FIND("_",$A392)-1)</f>
        <v>RSRepair-A</v>
      </c>
      <c r="P392" s="13" t="str">
        <f>IF($O392="ACS", "True Search", IF($O392="Arja", "Evolutionary Search", IF($O392="AVATAR", "True Pattern", IF($O392="CapGen", "Search Like Pattern", IF($O392="Cardumen", "True Semantic", IF($O392="DynaMoth", "True Semantic", IF($O392="FixMiner", "True Pattern", IF($O392="GenProg-A", "Evolutionary Search", IF($O392="Hercules", "Learning Pattern", IF($O392="Jaid", "True Semantic",
IF($O392="Kali-A", "True Search", IF($O392="kPAR", "True Pattern", IF($O392="Nopol", "True Semantic", IF($O392="RSRepair-A", "Evolutionary Search", IF($O392="SequenceR", "Deep Learning", IF($O392="SimFix", "Search Like Pattern", IF($O392="SketchFix", "True Pattern", IF($O392="SOFix", "True Pattern", IF($O392="ssFix", "Search Like Pattern", IF($O392="TBar", "True Pattern", ""))))))))))))))))))))</f>
        <v>Evolutionary Search</v>
      </c>
      <c r="Q392" s="13" t="str">
        <f>IF(NOT(ISERR(SEARCH("*_Buggy",$A392))), "Buggy", IF(NOT(ISERR(SEARCH("*_Fixed",$A392))), "Fixed", IF(NOT(ISERR(SEARCH("*_Repaired",$A392))), "Repaired", "")))</f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>LEFT($A393,FIND("_",$A393)-1)</f>
        <v>RSRepair-A</v>
      </c>
      <c r="P393" s="13" t="str">
        <f>IF($O393="ACS", "True Search", IF($O393="Arja", "Evolutionary Search", IF($O393="AVATAR", "True Pattern", IF($O393="CapGen", "Search Like Pattern", IF($O393="Cardumen", "True Semantic", IF($O393="DynaMoth", "True Semantic", IF($O393="FixMiner", "True Pattern", IF($O393="GenProg-A", "Evolutionary Search", IF($O393="Hercules", "Learning Pattern", IF($O393="Jaid", "True Semantic",
IF($O393="Kali-A", "True Search", IF($O393="kPAR", "True Pattern", IF($O393="Nopol", "True Semantic", IF($O393="RSRepair-A", "Evolutionary Search", IF($O393="SequenceR", "Deep Learning", IF($O393="SimFix", "Search Like Pattern", IF($O393="SketchFix", "True Pattern", IF($O393="SOFix", "True Pattern", IF($O393="ssFix", "Search Like Pattern", IF($O393="TBar", "True Pattern", ""))))))))))))))))))))</f>
        <v>Evolutionary Search</v>
      </c>
      <c r="Q393" s="13" t="str">
        <f>IF(NOT(ISERR(SEARCH("*_Buggy",$A393))), "Buggy", IF(NOT(ISERR(SEARCH("*_Fixed",$A393))), "Fixed", IF(NOT(ISERR(SEARCH("*_Repaired",$A393))), "Repaired", "")))</f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>LEFT($A394,FIND("_",$A394)-1)</f>
        <v>RSRepair-A</v>
      </c>
      <c r="P394" s="13" t="str">
        <f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>IF(NOT(ISERR(SEARCH("*_Buggy",$A394))), "Buggy", IF(NOT(ISERR(SEARCH("*_Fixed",$A394))), "Fixed", IF(NOT(ISERR(SEARCH("*_Repaired",$A394))), "Repaired", "")))</f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>LEFT($A395,FIND("_",$A395)-1)</f>
        <v>RSRepair-A</v>
      </c>
      <c r="P395" s="13" t="str">
        <f>IF($O395="ACS", "True Search", IF($O395="Arja", "Evolutionary Search", IF($O395="AVATAR", "True Pattern", IF($O395="CapGen", "Search Like Pattern", IF($O395="Cardumen", "True Semantic", IF($O395="DynaMoth", "True Semantic", IF($O395="FixMiner", "True Pattern", IF($O395="GenProg-A", "Evolutionary Search", IF($O395="Hercules", "Learning Pattern", IF($O395="Jaid", "True Semantic",
IF($O395="Kali-A", "True Search", IF($O395="kPAR", "True Pattern", IF($O395="Nopol", "True Semantic", IF($O395="RSRepair-A", "Evolutionary Search", IF($O395="SequenceR", "Deep Learning", IF($O395="SimFix", "Search Like Pattern", IF($O395="SketchFix", "True Pattern", IF($O395="SOFix", "True Pattern", IF($O395="ssFix", "Search Like Pattern", IF($O395="TBar", "True Pattern", ""))))))))))))))))))))</f>
        <v>Evolutionary Search</v>
      </c>
      <c r="Q395" s="13" t="str">
        <f>IF(NOT(ISERR(SEARCH("*_Buggy",$A395))), "Buggy", IF(NOT(ISERR(SEARCH("*_Fixed",$A395))), "Fixed", IF(NOT(ISERR(SEARCH("*_Repaired",$A395))), "Repaired", "")))</f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>LEFT($A396,FIND("_",$A396)-1)</f>
        <v>RSRepair-A</v>
      </c>
      <c r="P396" s="13" t="str">
        <f>IF($O396="ACS", "True Search", IF($O396="Arja", "Evolutionary Search", IF($O396="AVATAR", "True Pattern", IF($O396="CapGen", "Search Like Pattern", IF($O396="Cardumen", "True Semantic", IF($O396="DynaMoth", "True Semantic", IF($O396="FixMiner", "True Pattern", IF($O396="GenProg-A", "Evolutionary Search", IF($O396="Hercules", "Learning Pattern", IF($O396="Jaid", "True Semantic",
IF($O396="Kali-A", "True Search", IF($O396="kPAR", "True Pattern", IF($O396="Nopol", "True Semantic", IF($O396="RSRepair-A", "Evolutionary Search", IF($O396="SequenceR", "Deep Learning", IF($O396="SimFix", "Search Like Pattern", IF($O396="SketchFix", "True Pattern", IF($O396="SOFix", "True Pattern", IF($O396="ssFix", "Search Like Pattern", IF($O396="TBar", "True Pattern", ""))))))))))))))))))))</f>
        <v>Evolutionary Search</v>
      </c>
      <c r="Q396" s="13" t="str">
        <f>IF(NOT(ISERR(SEARCH("*_Buggy",$A396))), "Buggy", IF(NOT(ISERR(SEARCH("*_Fixed",$A396))), "Fixed", IF(NOT(ISERR(SEARCH("*_Repaired",$A396))), "Repaired", "")))</f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>LEFT($A397,FIND("_",$A397)-1)</f>
        <v>RSRepair-A</v>
      </c>
      <c r="P397" s="13" t="str">
        <f>IF($O397="ACS", "True Search", IF($O397="Arja", "Evolutionary Search", IF($O397="AVATAR", "True Pattern", IF($O397="CapGen", "Search Like Pattern", IF($O397="Cardumen", "True Semantic", IF($O397="DynaMoth", "True Semantic", IF($O397="FixMiner", "True Pattern", IF($O397="GenProg-A", "Evolutionary Search", IF($O397="Hercules", "Learning Pattern", IF($O397="Jaid", "True Semantic",
IF($O397="Kali-A", "True Search", IF($O397="kPAR", "True Pattern", IF($O397="Nopol", "True Semantic", IF($O397="RSRepair-A", "Evolutionary Search", IF($O397="SequenceR", "Deep Learning", IF($O397="SimFix", "Search Like Pattern", IF($O397="SketchFix", "True Pattern", IF($O397="SOFix", "True Pattern", IF($O397="ssFix", "Search Like Pattern", IF($O397="TBar", "True Pattern", ""))))))))))))))))))))</f>
        <v>Evolutionary Search</v>
      </c>
      <c r="Q397" s="13" t="str">
        <f>IF(NOT(ISERR(SEARCH("*_Buggy",$A397))), "Buggy", IF(NOT(ISERR(SEARCH("*_Fixed",$A397))), "Fixed", IF(NOT(ISERR(SEARCH("*_Repaired",$A397))), "Repaired", "")))</f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>LEFT($A398,FIND("_",$A398)-1)</f>
        <v>RSRepair-A</v>
      </c>
      <c r="P398" s="13" t="str">
        <f>IF($O398="ACS", "True Search", IF($O398="Arja", "Evolutionary Search", IF($O398="AVATAR", "True Pattern", IF($O398="CapGen", "Search Like Pattern", IF($O398="Cardumen", "True Semantic", IF($O398="DynaMoth", "True Semantic", IF($O398="FixMiner", "True Pattern", IF($O398="GenProg-A", "Evolutionary Search", IF($O398="Hercules", "Learning Pattern", IF($O398="Jaid", "True Semantic",
IF($O398="Kali-A", "True Search", IF($O398="kPAR", "True Pattern", IF($O398="Nopol", "True Semantic", IF($O398="RSRepair-A", "Evolutionary Search", IF($O398="SequenceR", "Deep Learning", IF($O398="SimFix", "Search Like Pattern", IF($O398="SketchFix", "True Pattern", IF($O398="SOFix", "True Pattern", IF($O398="ssFix", "Search Like Pattern", IF($O398="TBar", "True Pattern", ""))))))))))))))))))))</f>
        <v>Evolutionary Search</v>
      </c>
      <c r="Q398" s="13" t="str">
        <f>IF(NOT(ISERR(SEARCH("*_Buggy",$A398))), "Buggy", IF(NOT(ISERR(SEARCH("*_Fixed",$A398))), "Fixed", IF(NOT(ISERR(SEARCH("*_Repaired",$A398))), "Repaired", "")))</f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>LEFT($A399,FIND("_",$A399)-1)</f>
        <v>RSRepair-A</v>
      </c>
      <c r="P399" s="13" t="str">
        <f>IF($O399="ACS", "True Search", IF($O399="Arja", "Evolutionary Search", IF($O399="AVATAR", "True Pattern", IF($O399="CapGen", "Search Like Pattern", IF($O399="Cardumen", "True Semantic", IF($O399="DynaMoth", "True Semantic", IF($O399="FixMiner", "True Pattern", IF($O399="GenProg-A", "Evolutionary Search", IF($O399="Hercules", "Learning Pattern", IF($O399="Jaid", "True Semantic",
IF($O399="Kali-A", "True Search", IF($O399="kPAR", "True Pattern", IF($O399="Nopol", "True Semantic", IF($O399="RSRepair-A", "Evolutionary Search", IF($O399="SequenceR", "Deep Learning", IF($O399="SimFix", "Search Like Pattern", IF($O399="SketchFix", "True Pattern", IF($O399="SOFix", "True Pattern", IF($O399="ssFix", "Search Like Pattern", IF($O399="TBar", "True Pattern", ""))))))))))))))))))))</f>
        <v>Evolutionary Search</v>
      </c>
      <c r="Q399" s="13" t="str">
        <f>IF(NOT(ISERR(SEARCH("*_Buggy",$A399))), "Buggy", IF(NOT(ISERR(SEARCH("*_Fixed",$A399))), "Fixed", IF(NOT(ISERR(SEARCH("*_Repaired",$A399))), "Repaired", "")))</f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>LEFT($A400,FIND("_",$A400)-1)</f>
        <v>RSRepair-A</v>
      </c>
      <c r="P400" s="13" t="str">
        <f>IF($O400="ACS", "True Search", IF($O400="Arja", "Evolutionary Search", IF($O400="AVATAR", "True Pattern", IF($O400="CapGen", "Search Like Pattern", IF($O400="Cardumen", "True Semantic", IF($O400="DynaMoth", "True Semantic", IF($O400="FixMiner", "True Pattern", IF($O400="GenProg-A", "Evolutionary Search", IF($O400="Hercules", "Learning Pattern", IF($O400="Jaid", "True Semantic",
IF($O400="Kali-A", "True Search", IF($O400="kPAR", "True Pattern", IF($O400="Nopol", "True Semantic", IF($O400="RSRepair-A", "Evolutionary Search", IF($O400="SequenceR", "Deep Learning", IF($O400="SimFix", "Search Like Pattern", IF($O400="SketchFix", "True Pattern", IF($O400="SOFix", "True Pattern", IF($O400="ssFix", "Search Like Pattern", IF($O400="TBar", "True Pattern", ""))))))))))))))))))))</f>
        <v>Evolutionary Search</v>
      </c>
      <c r="Q400" s="13" t="str">
        <f>IF(NOT(ISERR(SEARCH("*_Buggy",$A400))), "Buggy", IF(NOT(ISERR(SEARCH("*_Fixed",$A400))), "Fixed", IF(NOT(ISERR(SEARCH("*_Repaired",$A400))), "Repaired", "")))</f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>LEFT($A401,FIND("_",$A401)-1)</f>
        <v>RSRepair-A</v>
      </c>
      <c r="P401" s="13" t="str">
        <f>IF($O401="ACS", "True Search", IF($O401="Arja", "Evolutionary Search", IF($O401="AVATAR", "True Pattern", IF($O401="CapGen", "Search Like Pattern", IF($O401="Cardumen", "True Semantic", IF($O401="DynaMoth", "True Semantic", IF($O401="FixMiner", "True Pattern", IF($O401="GenProg-A", "Evolutionary Search", IF($O401="Hercules", "Learning Pattern", IF($O401="Jaid", "True Semantic",
IF($O401="Kali-A", "True Search", IF($O401="kPAR", "True Pattern", IF($O401="Nopol", "True Semantic", IF($O401="RSRepair-A", "Evolutionary Search", IF($O401="SequenceR", "Deep Learning", IF($O401="SimFix", "Search Like Pattern", IF($O401="SketchFix", "True Pattern", IF($O401="SOFix", "True Pattern", IF($O401="ssFix", "Search Like Pattern", IF($O401="TBar", "True Pattern", ""))))))))))))))))))))</f>
        <v>Evolutionary Search</v>
      </c>
      <c r="Q401" s="13" t="str">
        <f>IF(NOT(ISERR(SEARCH("*_Buggy",$A401))), "Buggy", IF(NOT(ISERR(SEARCH("*_Fixed",$A401))), "Fixed", IF(NOT(ISERR(SEARCH("*_Repaired",$A401))), "Repaired", "")))</f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>LEFT($A402,FIND("_",$A402)-1)</f>
        <v>RSRepair-A</v>
      </c>
      <c r="P402" s="13" t="str">
        <f>IF($O402="ACS", "True Search", IF($O402="Arja", "Evolutionary Search", IF($O402="AVATAR", "True Pattern", IF($O402="CapGen", "Search Like Pattern", IF($O402="Cardumen", "True Semantic", IF($O402="DynaMoth", "True Semantic", IF($O402="FixMiner", "True Pattern", IF($O402="GenProg-A", "Evolutionary Search", IF($O402="Hercules", "Learning Pattern", IF($O402="Jaid", "True Semantic",
IF($O402="Kali-A", "True Search", IF($O402="kPAR", "True Pattern", IF($O402="Nopol", "True Semantic", IF($O402="RSRepair-A", "Evolutionary Search", IF($O402="SequenceR", "Deep Learning", IF($O402="SimFix", "Search Like Pattern", IF($O402="SketchFix", "True Pattern", IF($O402="SOFix", "True Pattern", IF($O402="ssFix", "Search Like Pattern", IF($O402="TBar", "True Pattern", ""))))))))))))))))))))</f>
        <v>Evolutionary Search</v>
      </c>
      <c r="Q402" s="13" t="str">
        <f>IF(NOT(ISERR(SEARCH("*_Buggy",$A402))), "Buggy", IF(NOT(ISERR(SEARCH("*_Fixed",$A402))), "Fixed", IF(NOT(ISERR(SEARCH("*_Repaired",$A402))), "Repaired", "")))</f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>LEFT($A403,FIND("_",$A403)-1)</f>
        <v>RSRepair-A</v>
      </c>
      <c r="P403" s="13" t="str">
        <f>IF($O403="ACS", "True Search", IF($O403="Arja", "Evolutionary Search", IF($O403="AVATAR", "True Pattern", IF($O403="CapGen", "Search Like Pattern", IF($O403="Cardumen", "True Semantic", IF($O403="DynaMoth", "True Semantic", IF($O403="FixMiner", "True Pattern", IF($O403="GenProg-A", "Evolutionary Search", IF($O403="Hercules", "Learning Pattern", IF($O403="Jaid", "True Semantic",
IF($O403="Kali-A", "True Search", IF($O403="kPAR", "True Pattern", IF($O403="Nopol", "True Semantic", IF($O403="RSRepair-A", "Evolutionary Search", IF($O403="SequenceR", "Deep Learning", IF($O403="SimFix", "Search Like Pattern", IF($O403="SketchFix", "True Pattern", IF($O403="SOFix", "True Pattern", IF($O403="ssFix", "Search Like Pattern", IF($O403="TBar", "True Pattern", ""))))))))))))))))))))</f>
        <v>Evolutionary Search</v>
      </c>
      <c r="Q403" s="13" t="str">
        <f>IF(NOT(ISERR(SEARCH("*_Buggy",$A403))), "Buggy", IF(NOT(ISERR(SEARCH("*_Fixed",$A403))), "Fixed", IF(NOT(ISERR(SEARCH("*_Repaired",$A403))), "Repaired", "")))</f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>LEFT($A404,FIND("_",$A404)-1)</f>
        <v>RSRepair-A</v>
      </c>
      <c r="P404" s="13" t="str">
        <f>IF($O404="ACS", "True Search", IF($O404="Arja", "Evolutionary Search", IF($O404="AVATAR", "True Pattern", IF($O404="CapGen", "Search Like Pattern", IF($O404="Cardumen", "True Semantic", IF($O404="DynaMoth", "True Semantic", IF($O404="FixMiner", "True Pattern", IF($O404="GenProg-A", "Evolutionary Search", IF($O404="Hercules", "Learning Pattern", IF($O404="Jaid", "True Semantic",
IF($O404="Kali-A", "True Search", IF($O404="kPAR", "True Pattern", IF($O404="Nopol", "True Semantic", IF($O404="RSRepair-A", "Evolutionary Search", IF($O404="SequenceR", "Deep Learning", IF($O404="SimFix", "Search Like Pattern", IF($O404="SketchFix", "True Pattern", IF($O404="SOFix", "True Pattern", IF($O404="ssFix", "Search Like Pattern", IF($O404="TBar", "True Pattern", ""))))))))))))))))))))</f>
        <v>Evolutionary Search</v>
      </c>
      <c r="Q404" s="13" t="str">
        <f>IF(NOT(ISERR(SEARCH("*_Buggy",$A404))), "Buggy", IF(NOT(ISERR(SEARCH("*_Fixed",$A404))), "Fixed", IF(NOT(ISERR(SEARCH("*_Repaired",$A404))), "Repaired", "")))</f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>LEFT($A405,FIND("_",$A405)-1)</f>
        <v>RSRepair-A</v>
      </c>
      <c r="P405" s="13" t="str">
        <f>IF($O405="ACS", "True Search", IF($O405="Arja", "Evolutionary Search", IF($O405="AVATAR", "True Pattern", IF($O405="CapGen", "Search Like Pattern", IF($O405="Cardumen", "True Semantic", IF($O405="DynaMoth", "True Semantic", IF($O405="FixMiner", "True Pattern", IF($O405="GenProg-A", "Evolutionary Search", IF($O405="Hercules", "Learning Pattern", IF($O405="Jaid", "True Semantic",
IF($O405="Kali-A", "True Search", IF($O405="kPAR", "True Pattern", IF($O405="Nopol", "True Semantic", IF($O405="RSRepair-A", "Evolutionary Search", IF($O405="SequenceR", "Deep Learning", IF($O405="SimFix", "Search Like Pattern", IF($O405="SketchFix", "True Pattern", IF($O405="SOFix", "True Pattern", IF($O405="ssFix", "Search Like Pattern", IF($O405="TBar", "True Pattern", ""))))))))))))))))))))</f>
        <v>Evolutionary Search</v>
      </c>
      <c r="Q405" s="13" t="str">
        <f>IF(NOT(ISERR(SEARCH("*_Buggy",$A405))), "Buggy", IF(NOT(ISERR(SEARCH("*_Fixed",$A405))), "Fixed", IF(NOT(ISERR(SEARCH("*_Repaired",$A405))), "Repaired", "")))</f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>LEFT($A406,FIND("_",$A406)-1)</f>
        <v>RSRepair-A</v>
      </c>
      <c r="P406" s="13" t="str">
        <f>IF($O406="ACS", "True Search", IF($O406="Arja", "Evolutionary Search", IF($O406="AVATAR", "True Pattern", IF($O406="CapGen", "Search Like Pattern", IF($O406="Cardumen", "True Semantic", IF($O406="DynaMoth", "True Semantic", IF($O406="FixMiner", "True Pattern", IF($O406="GenProg-A", "Evolutionary Search", IF($O406="Hercules", "Learning Pattern", IF($O406="Jaid", "True Semantic",
IF($O406="Kali-A", "True Search", IF($O406="kPAR", "True Pattern", IF($O406="Nopol", "True Semantic", IF($O406="RSRepair-A", "Evolutionary Search", IF($O406="SequenceR", "Deep Learning", IF($O406="SimFix", "Search Like Pattern", IF($O406="SketchFix", "True Pattern", IF($O406="SOFix", "True Pattern", IF($O406="ssFix", "Search Like Pattern", IF($O406="TBar", "True Pattern", ""))))))))))))))))))))</f>
        <v>Evolutionary Search</v>
      </c>
      <c r="Q406" s="13" t="str">
        <f>IF(NOT(ISERR(SEARCH("*_Buggy",$A406))), "Buggy", IF(NOT(ISERR(SEARCH("*_Fixed",$A406))), "Fixed", IF(NOT(ISERR(SEARCH("*_Repaired",$A406))), "Repaired", "")))</f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>LEFT($A407,FIND("_",$A407)-1)</f>
        <v>RSRepair-A</v>
      </c>
      <c r="P407" s="13" t="str">
        <f>IF($O407="ACS", "True Search", IF($O407="Arja", "Evolutionary Search", IF($O407="AVATAR", "True Pattern", IF($O407="CapGen", "Search Like Pattern", IF($O407="Cardumen", "True Semantic", IF($O407="DynaMoth", "True Semantic", IF($O407="FixMiner", "True Pattern", IF($O407="GenProg-A", "Evolutionary Search", IF($O407="Hercules", "Learning Pattern", IF($O407="Jaid", "True Semantic",
IF($O407="Kali-A", "True Search", IF($O407="kPAR", "True Pattern", IF($O407="Nopol", "True Semantic", IF($O407="RSRepair-A", "Evolutionary Search", IF($O407="SequenceR", "Deep Learning", IF($O407="SimFix", "Search Like Pattern", IF($O407="SketchFix", "True Pattern", IF($O407="SOFix", "True Pattern", IF($O407="ssFix", "Search Like Pattern", IF($O407="TBar", "True Pattern", ""))))))))))))))))))))</f>
        <v>Evolutionary Search</v>
      </c>
      <c r="Q407" s="13" t="str">
        <f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>LEFT($A408,FIND("_",$A408)-1)</f>
        <v>RSRepair-A</v>
      </c>
      <c r="P408" s="13" t="str">
        <f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>IF(NOT(ISERR(SEARCH("*_Buggy",$A408))), "Buggy", IF(NOT(ISERR(SEARCH("*_Fixed",$A408))), "Fixed", IF(NOT(ISERR(SEARCH("*_Repaired",$A408))), "Repaired", "")))</f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>LEFT($A409,FIND("_",$A409)-1)</f>
        <v>RSRepair-A</v>
      </c>
      <c r="P409" s="13" t="str">
        <f>IF($O409="ACS", "True Search", IF($O409="Arja", "Evolutionary Search", IF($O409="AVATAR", "True Pattern", IF($O409="CapGen", "Search Like Pattern", IF($O409="Cardumen", "True Semantic", IF($O409="DynaMoth", "True Semantic", IF($O409="FixMiner", "True Pattern", IF($O409="GenProg-A", "Evolutionary Search", IF($O409="Hercules", "Learning Pattern", IF($O409="Jaid", "True Semantic",
IF($O409="Kali-A", "True Search", IF($O409="kPAR", "True Pattern", IF($O409="Nopol", "True Semantic", IF($O409="RSRepair-A", "Evolutionary Search", IF($O409="SequenceR", "Deep Learning", IF($O409="SimFix", "Search Like Pattern", IF($O409="SketchFix", "True Pattern", IF($O409="SOFix", "True Pattern", IF($O409="ssFix", "Search Like Pattern", IF($O409="TBar", "True Pattern", ""))))))))))))))))))))</f>
        <v>Evolutionary Search</v>
      </c>
      <c r="Q409" s="13" t="str">
        <f>IF(NOT(ISERR(SEARCH("*_Buggy",$A409))), "Buggy", IF(NOT(ISERR(SEARCH("*_Fixed",$A409))), "Fixed", IF(NOT(ISERR(SEARCH("*_Repaired",$A409))), "Repaired", "")))</f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>LEFT($A410,FIND("_",$A410)-1)</f>
        <v>SimFix</v>
      </c>
      <c r="P410" s="13" t="str">
        <f>IF($O410="ACS", "True Search", IF($O410="Arja", "Evolutionary Search", IF($O410="AVATAR", "True Pattern", IF($O410="CapGen", "Search Like Pattern", IF($O410="Cardumen", "True Semantic", IF($O410="DynaMoth", "True Semantic", IF($O410="FixMiner", "True Pattern", IF($O410="GenProg-A", "Evolutionary Search", IF($O410="Hercules", "Learning Pattern", IF($O410="Jaid", "True Semantic",
IF($O410="Kali-A", "True Search", IF($O410="kPAR", "True Pattern", IF($O410="Nopol", "True Semantic", IF($O410="RSRepair-A", "Evolutionary Search", IF($O410="SequenceR", "Deep Learning", IF($O410="SimFix", "Search Like Pattern", IF($O410="SketchFix", "True Pattern", IF($O410="SOFix", "True Pattern", IF($O410="ssFix", "Search Like Pattern", IF($O410="TBar", "True Pattern", ""))))))))))))))))))))</f>
        <v>Search Like Pattern</v>
      </c>
      <c r="Q410" s="13" t="str">
        <f>IF(NOT(ISERR(SEARCH("*_Buggy",$A410))), "Buggy", IF(NOT(ISERR(SEARCH("*_Fixed",$A410))), "Fixed", IF(NOT(ISERR(SEARCH("*_Repaired",$A410))), "Repaired", "")))</f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>LEFT($A411,FIND("_",$A411)-1)</f>
        <v>SimFix</v>
      </c>
      <c r="P411" s="13" t="str">
        <f>IF($O411="ACS", "True Search", IF($O411="Arja", "Evolutionary Search", IF($O411="AVATAR", "True Pattern", IF($O411="CapGen", "Search Like Pattern", IF($O411="Cardumen", "True Semantic", IF($O411="DynaMoth", "True Semantic", IF($O411="FixMiner", "True Pattern", IF($O411="GenProg-A", "Evolutionary Search", IF($O411="Hercules", "Learning Pattern", IF($O411="Jaid", "True Semantic",
IF($O411="Kali-A", "True Search", IF($O411="kPAR", "True Pattern", IF($O411="Nopol", "True Semantic", IF($O411="RSRepair-A", "Evolutionary Search", IF($O411="SequenceR", "Deep Learning", IF($O411="SimFix", "Search Like Pattern", IF($O411="SketchFix", "True Pattern", IF($O411="SOFix", "True Pattern", IF($O411="ssFix", "Search Like Pattern", IF($O411="TBar", "True Pattern", ""))))))))))))))))))))</f>
        <v>Search Like Pattern</v>
      </c>
      <c r="Q411" s="13" t="str">
        <f>IF(NOT(ISERR(SEARCH("*_Buggy",$A411))), "Buggy", IF(NOT(ISERR(SEARCH("*_Fixed",$A411))), "Fixed", IF(NOT(ISERR(SEARCH("*_Repaired",$A411))), "Repaired", "")))</f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>LEFT($A412,FIND("_",$A412)-1)</f>
        <v>SimFix</v>
      </c>
      <c r="P412" s="13" t="str">
        <f>IF($O412="ACS", "True Search", IF($O412="Arja", "Evolutionary Search", IF($O412="AVATAR", "True Pattern", IF($O412="CapGen", "Search Like Pattern", IF($O412="Cardumen", "True Semantic", IF($O412="DynaMoth", "True Semantic", IF($O412="FixMiner", "True Pattern", IF($O412="GenProg-A", "Evolutionary Search", IF($O412="Hercules", "Learning Pattern", IF($O412="Jaid", "True Semantic",
IF($O412="Kali-A", "True Search", IF($O412="kPAR", "True Pattern", IF($O412="Nopol", "True Semantic", IF($O412="RSRepair-A", "Evolutionary Search", IF($O412="SequenceR", "Deep Learning", IF($O412="SimFix", "Search Like Pattern", IF($O412="SketchFix", "True Pattern", IF($O412="SOFix", "True Pattern", IF($O412="ssFix", "Search Like Pattern", IF($O412="TBar", "True Pattern", ""))))))))))))))))))))</f>
        <v>Search Like Pattern</v>
      </c>
      <c r="Q412" s="13" t="str">
        <f>IF(NOT(ISERR(SEARCH("*_Buggy",$A412))), "Buggy", IF(NOT(ISERR(SEARCH("*_Fixed",$A412))), "Fixed", IF(NOT(ISERR(SEARCH("*_Repaired",$A412))), "Repaired", "")))</f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>LEFT($A413,FIND("_",$A413)-1)</f>
        <v>SimFix</v>
      </c>
      <c r="P413" s="13" t="str">
        <f>IF($O413="ACS", "True Search", IF($O413="Arja", "Evolutionary Search", IF($O413="AVATAR", "True Pattern", IF($O413="CapGen", "Search Like Pattern", IF($O413="Cardumen", "True Semantic", IF($O413="DynaMoth", "True Semantic", IF($O413="FixMiner", "True Pattern", IF($O413="GenProg-A", "Evolutionary Search", IF($O413="Hercules", "Learning Pattern", IF($O413="Jaid", "True Semantic",
IF($O413="Kali-A", "True Search", IF($O413="kPAR", "True Pattern", IF($O413="Nopol", "True Semantic", IF($O413="RSRepair-A", "Evolutionary Search", IF($O413="SequenceR", "Deep Learning", IF($O413="SimFix", "Search Like Pattern", IF($O413="SketchFix", "True Pattern", IF($O413="SOFix", "True Pattern", IF($O413="ssFix", "Search Like Pattern", IF($O413="TBar", "True Pattern", ""))))))))))))))))))))</f>
        <v>Search Like Pattern</v>
      </c>
      <c r="Q413" s="13" t="str">
        <f>IF(NOT(ISERR(SEARCH("*_Buggy",$A413))), "Buggy", IF(NOT(ISERR(SEARCH("*_Fixed",$A413))), "Fixed", IF(NOT(ISERR(SEARCH("*_Repaired",$A413))), "Repaired", "")))</f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>LEFT($A414,FIND("_",$A414)-1)</f>
        <v>SimFix</v>
      </c>
      <c r="P414" s="13" t="str">
        <f>IF($O414="ACS", "True Search", IF($O414="Arja", "Evolutionary Search", IF($O414="AVATAR", "True Pattern", IF($O414="CapGen", "Search Like Pattern", IF($O414="Cardumen", "True Semantic", IF($O414="DynaMoth", "True Semantic", IF($O414="FixMiner", "True Pattern", IF($O414="GenProg-A", "Evolutionary Search", IF($O414="Hercules", "Learning Pattern", IF($O414="Jaid", "True Semantic",
IF($O414="Kali-A", "True Search", IF($O414="kPAR", "True Pattern", IF($O414="Nopol", "True Semantic", IF($O414="RSRepair-A", "Evolutionary Search", IF($O414="SequenceR", "Deep Learning", IF($O414="SimFix", "Search Like Pattern", IF($O414="SketchFix", "True Pattern", IF($O414="SOFix", "True Pattern", IF($O414="ssFix", "Search Like Pattern", IF($O414="TBar", "True Pattern", ""))))))))))))))))))))</f>
        <v>Search Like Pattern</v>
      </c>
      <c r="Q414" s="13" t="str">
        <f>IF(NOT(ISERR(SEARCH("*_Buggy",$A414))), "Buggy", IF(NOT(ISERR(SEARCH("*_Fixed",$A414))), "Fixed", IF(NOT(ISERR(SEARCH("*_Repaired",$A414))), "Repaired", "")))</f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>LEFT($A415,FIND("_",$A415)-1)</f>
        <v>SimFix</v>
      </c>
      <c r="P415" s="13" t="str">
        <f>IF($O415="ACS", "True Search", IF($O415="Arja", "Evolutionary Search", IF($O415="AVATAR", "True Pattern", IF($O415="CapGen", "Search Like Pattern", IF($O415="Cardumen", "True Semantic", IF($O415="DynaMoth", "True Semantic", IF($O415="FixMiner", "True Pattern", IF($O415="GenProg-A", "Evolutionary Search", IF($O415="Hercules", "Learning Pattern", IF($O415="Jaid", "True Semantic",
IF($O415="Kali-A", "True Search", IF($O415="kPAR", "True Pattern", IF($O415="Nopol", "True Semantic", IF($O415="RSRepair-A", "Evolutionary Search", IF($O415="SequenceR", "Deep Learning", IF($O415="SimFix", "Search Like Pattern", IF($O415="SketchFix", "True Pattern", IF($O415="SOFix", "True Pattern", IF($O415="ssFix", "Search Like Pattern", IF($O415="TBar", "True Pattern", ""))))))))))))))))))))</f>
        <v>Search Like Pattern</v>
      </c>
      <c r="Q415" s="13" t="str">
        <f>IF(NOT(ISERR(SEARCH("*_Buggy",$A415))), "Buggy", IF(NOT(ISERR(SEARCH("*_Fixed",$A415))), "Fixed", IF(NOT(ISERR(SEARCH("*_Repaired",$A415))), "Repaired", "")))</f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>LEFT($A416,FIND("_",$A416)-1)</f>
        <v>SimFix</v>
      </c>
      <c r="P416" s="13" t="str">
        <f>IF($O416="ACS", "True Search", IF($O416="Arja", "Evolutionary Search", IF($O416="AVATAR", "True Pattern", IF($O416="CapGen", "Search Like Pattern", IF($O416="Cardumen", "True Semantic", IF($O416="DynaMoth", "True Semantic", IF($O416="FixMiner", "True Pattern", IF($O416="GenProg-A", "Evolutionary Search", IF($O416="Hercules", "Learning Pattern", IF($O416="Jaid", "True Semantic",
IF($O416="Kali-A", "True Search", IF($O416="kPAR", "True Pattern", IF($O416="Nopol", "True Semantic", IF($O416="RSRepair-A", "Evolutionary Search", IF($O416="SequenceR", "Deep Learning", IF($O416="SimFix", "Search Like Pattern", IF($O416="SketchFix", "True Pattern", IF($O416="SOFix", "True Pattern", IF($O416="ssFix", "Search Like Pattern", IF($O416="TBar", "True Pattern", ""))))))))))))))))))))</f>
        <v>Search Like Pattern</v>
      </c>
      <c r="Q416" s="13" t="str">
        <f>IF(NOT(ISERR(SEARCH("*_Buggy",$A416))), "Buggy", IF(NOT(ISERR(SEARCH("*_Fixed",$A416))), "Fixed", IF(NOT(ISERR(SEARCH("*_Repaired",$A416))), "Repaired", "")))</f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>LEFT($A417,FIND("_",$A417)-1)</f>
        <v>SimFix</v>
      </c>
      <c r="P417" s="13" t="str">
        <f>IF($O417="ACS", "True Search", IF($O417="Arja", "Evolutionary Search", IF($O417="AVATAR", "True Pattern", IF($O417="CapGen", "Search Like Pattern", IF($O417="Cardumen", "True Semantic", IF($O417="DynaMoth", "True Semantic", IF($O417="FixMiner", "True Pattern", IF($O417="GenProg-A", "Evolutionary Search", IF($O417="Hercules", "Learning Pattern", IF($O417="Jaid", "True Semantic",
IF($O417="Kali-A", "True Search", IF($O417="kPAR", "True Pattern", IF($O417="Nopol", "True Semantic", IF($O417="RSRepair-A", "Evolutionary Search", IF($O417="SequenceR", "Deep Learning", IF($O417="SimFix", "Search Like Pattern", IF($O417="SketchFix", "True Pattern", IF($O417="SOFix", "True Pattern", IF($O417="ssFix", "Search Like Pattern", IF($O417="TBar", "True Pattern", ""))))))))))))))))))))</f>
        <v>Search Like Pattern</v>
      </c>
      <c r="Q417" s="13" t="str">
        <f>IF(NOT(ISERR(SEARCH("*_Buggy",$A417))), "Buggy", IF(NOT(ISERR(SEARCH("*_Fixed",$A417))), "Fixed", IF(NOT(ISERR(SEARCH("*_Repaired",$A417))), "Repaired", "")))</f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>LEFT($A418,FIND("_",$A418)-1)</f>
        <v>SimFix</v>
      </c>
      <c r="P418" s="13" t="str">
        <f>IF($O418="ACS", "True Search", IF($O418="Arja", "Evolutionary Search", IF($O418="AVATAR", "True Pattern", IF($O418="CapGen", "Search Like Pattern", IF($O418="Cardumen", "True Semantic", IF($O418="DynaMoth", "True Semantic", IF($O418="FixMiner", "True Pattern", IF($O418="GenProg-A", "Evolutionary Search", IF($O418="Hercules", "Learning Pattern", IF($O418="Jaid", "True Semantic",
IF($O418="Kali-A", "True Search", IF($O418="kPAR", "True Pattern", IF($O418="Nopol", "True Semantic", IF($O418="RSRepair-A", "Evolutionary Search", IF($O418="SequenceR", "Deep Learning", IF($O418="SimFix", "Search Like Pattern", IF($O418="SketchFix", "True Pattern", IF($O418="SOFix", "True Pattern", IF($O418="ssFix", "Search Like Pattern", IF($O418="TBar", "True Pattern", ""))))))))))))))))))))</f>
        <v>Search Like Pattern</v>
      </c>
      <c r="Q418" s="13" t="str">
        <f>IF(NOT(ISERR(SEARCH("*_Buggy",$A418))), "Buggy", IF(NOT(ISERR(SEARCH("*_Fixed",$A418))), "Fixed", IF(NOT(ISERR(SEARCH("*_Repaired",$A418))), "Repaired", "")))</f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>LEFT($A419,FIND("_",$A419)-1)</f>
        <v>SimFix</v>
      </c>
      <c r="P419" s="13" t="str">
        <f>IF($O419="ACS", "True Search", IF($O419="Arja", "Evolutionary Search", IF($O419="AVATAR", "True Pattern", IF($O419="CapGen", "Search Like Pattern", IF($O419="Cardumen", "True Semantic", IF($O419="DynaMoth", "True Semantic", IF($O419="FixMiner", "True Pattern", IF($O419="GenProg-A", "Evolutionary Search", IF($O419="Hercules", "Learning Pattern", IF($O419="Jaid", "True Semantic",
IF($O419="Kali-A", "True Search", IF($O419="kPAR", "True Pattern", IF($O419="Nopol", "True Semantic", IF($O419="RSRepair-A", "Evolutionary Search", IF($O419="SequenceR", "Deep Learning", IF($O419="SimFix", "Search Like Pattern", IF($O419="SketchFix", "True Pattern", IF($O419="SOFix", "True Pattern", IF($O419="ssFix", "Search Like Pattern", IF($O419="TBar", "True Pattern", ""))))))))))))))))))))</f>
        <v>Search Like Pattern</v>
      </c>
      <c r="Q419" s="13" t="str">
        <f>IF(NOT(ISERR(SEARCH("*_Buggy",$A419))), "Buggy", IF(NOT(ISERR(SEARCH("*_Fixed",$A419))), "Fixed", IF(NOT(ISERR(SEARCH("*_Repaired",$A419))), "Repaired", "")))</f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>LEFT($A420,FIND("_",$A420)-1)</f>
        <v>SimFix</v>
      </c>
      <c r="P420" s="13" t="str">
        <f>IF($O420="ACS", "True Search", IF($O420="Arja", "Evolutionary Search", IF($O420="AVATAR", "True Pattern", IF($O420="CapGen", "Search Like Pattern", IF($O420="Cardumen", "True Semantic", IF($O420="DynaMoth", "True Semantic", IF($O420="FixMiner", "True Pattern", IF($O420="GenProg-A", "Evolutionary Search", IF($O420="Hercules", "Learning Pattern", IF($O420="Jaid", "True Semantic",
IF($O420="Kali-A", "True Search", IF($O420="kPAR", "True Pattern", IF($O420="Nopol", "True Semantic", IF($O420="RSRepair-A", "Evolutionary Search", IF($O420="SequenceR", "Deep Learning", IF($O420="SimFix", "Search Like Pattern", IF($O420="SketchFix", "True Pattern", IF($O420="SOFix", "True Pattern", IF($O420="ssFix", "Search Like Pattern", IF($O420="TBar", "True Pattern", ""))))))))))))))))))))</f>
        <v>Search Like Pattern</v>
      </c>
      <c r="Q420" s="13" t="str">
        <f>IF(NOT(ISERR(SEARCH("*_Buggy",$A420))), "Buggy", IF(NOT(ISERR(SEARCH("*_Fixed",$A420))), "Fixed", IF(NOT(ISERR(SEARCH("*_Repaired",$A420))), "Repaired", "")))</f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>LEFT($A421,FIND("_",$A421)-1)</f>
        <v>SimFix</v>
      </c>
      <c r="P421" s="13" t="str">
        <f>IF($O421="ACS", "True Search", IF($O421="Arja", "Evolutionary Search", IF($O421="AVATAR", "True Pattern", IF($O421="CapGen", "Search Like Pattern", IF($O421="Cardumen", "True Semantic", IF($O421="DynaMoth", "True Semantic", IF($O421="FixMiner", "True Pattern", IF($O421="GenProg-A", "Evolutionary Search", IF($O421="Hercules", "Learning Pattern", IF($O421="Jaid", "True Semantic",
IF($O421="Kali-A", "True Search", IF($O421="kPAR", "True Pattern", IF($O421="Nopol", "True Semantic", IF($O421="RSRepair-A", "Evolutionary Search", IF($O421="SequenceR", "Deep Learning", IF($O421="SimFix", "Search Like Pattern", IF($O421="SketchFix", "True Pattern", IF($O421="SOFix", "True Pattern", IF($O421="ssFix", "Search Like Pattern", IF($O421="TBar", "True Pattern", ""))))))))))))))))))))</f>
        <v>Search Like Pattern</v>
      </c>
      <c r="Q421" s="13" t="str">
        <f>IF(NOT(ISERR(SEARCH("*_Buggy",$A421))), "Buggy", IF(NOT(ISERR(SEARCH("*_Fixed",$A421))), "Fixed", IF(NOT(ISERR(SEARCH("*_Repaired",$A421))), "Repaired", "")))</f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>LEFT($A422,FIND("_",$A422)-1)</f>
        <v>SimFix</v>
      </c>
      <c r="P422" s="13" t="str">
        <f>IF($O422="ACS", "True Search", IF($O422="Arja", "Evolutionary Search", IF($O422="AVATAR", "True Pattern", IF($O422="CapGen", "Search Like Pattern", IF($O422="Cardumen", "True Semantic", IF($O422="DynaMoth", "True Semantic", IF($O422="FixMiner", "True Pattern", IF($O422="GenProg-A", "Evolutionary Search", IF($O422="Hercules", "Learning Pattern", IF($O422="Jaid", "True Semantic",
IF($O422="Kali-A", "True Search", IF($O422="kPAR", "True Pattern", IF($O422="Nopol", "True Semantic", IF($O422="RSRepair-A", "Evolutionary Search", IF($O422="SequenceR", "Deep Learning", IF($O422="SimFix", "Search Like Pattern", IF($O422="SketchFix", "True Pattern", IF($O422="SOFix", "True Pattern", IF($O422="ssFix", "Search Like Pattern", IF($O422="TBar", "True Pattern", ""))))))))))))))))))))</f>
        <v>Search Like Pattern</v>
      </c>
      <c r="Q422" s="13" t="str">
        <f>IF(NOT(ISERR(SEARCH("*_Buggy",$A422))), "Buggy", IF(NOT(ISERR(SEARCH("*_Fixed",$A422))), "Fixed", IF(NOT(ISERR(SEARCH("*_Repaired",$A422))), "Repaired", "")))</f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>LEFT($A423,FIND("_",$A423)-1)</f>
        <v>SimFix</v>
      </c>
      <c r="P423" s="13" t="str">
        <f>IF($O423="ACS", "True Search", IF($O423="Arja", "Evolutionary Search", IF($O423="AVATAR", "True Pattern", IF($O423="CapGen", "Search Like Pattern", IF($O423="Cardumen", "True Semantic", IF($O423="DynaMoth", "True Semantic", IF($O423="FixMiner", "True Pattern", IF($O423="GenProg-A", "Evolutionary Search", IF($O423="Hercules", "Learning Pattern", IF($O423="Jaid", "True Semantic",
IF($O423="Kali-A", "True Search", IF($O423="kPAR", "True Pattern", IF($O423="Nopol", "True Semantic", IF($O423="RSRepair-A", "Evolutionary Search", IF($O423="SequenceR", "Deep Learning", IF($O423="SimFix", "Search Like Pattern", IF($O423="SketchFix", "True Pattern", IF($O423="SOFix", "True Pattern", IF($O423="ssFix", "Search Like Pattern", IF($O423="TBar", "True Pattern", ""))))))))))))))))))))</f>
        <v>Search Like Pattern</v>
      </c>
      <c r="Q423" s="13" t="str">
        <f>IF(NOT(ISERR(SEARCH("*_Buggy",$A423))), "Buggy", IF(NOT(ISERR(SEARCH("*_Fixed",$A423))), "Fixed", IF(NOT(ISERR(SEARCH("*_Repaired",$A423))), "Repaired", "")))</f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>LEFT($A424,FIND("_",$A424)-1)</f>
        <v>SimFix</v>
      </c>
      <c r="P424" s="13" t="str">
        <f>IF($O424="ACS", "True Search", IF($O424="Arja", "Evolutionary Search", IF($O424="AVATAR", "True Pattern", IF($O424="CapGen", "Search Like Pattern", IF($O424="Cardumen", "True Semantic", IF($O424="DynaMoth", "True Semantic", IF($O424="FixMiner", "True Pattern", IF($O424="GenProg-A", "Evolutionary Search", IF($O424="Hercules", "Learning Pattern", IF($O424="Jaid", "True Semantic",
IF($O424="Kali-A", "True Search", IF($O424="kPAR", "True Pattern", IF($O424="Nopol", "True Semantic", IF($O424="RSRepair-A", "Evolutionary Search", IF($O424="SequenceR", "Deep Learning", IF($O424="SimFix", "Search Like Pattern", IF($O424="SketchFix", "True Pattern", IF($O424="SOFix", "True Pattern", IF($O424="ssFix", "Search Like Pattern", IF($O424="TBar", "True Pattern", ""))))))))))))))))))))</f>
        <v>Search Like Pattern</v>
      </c>
      <c r="Q424" s="13" t="str">
        <f>IF(NOT(ISERR(SEARCH("*_Buggy",$A424))), "Buggy", IF(NOT(ISERR(SEARCH("*_Fixed",$A424))), "Fixed", IF(NOT(ISERR(SEARCH("*_Repaired",$A424))), "Repaired", "")))</f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>LEFT($A425,FIND("_",$A425)-1)</f>
        <v>SimFix</v>
      </c>
      <c r="P425" s="13" t="str">
        <f>IF($O425="ACS", "True Search", IF($O425="Arja", "Evolutionary Search", IF($O425="AVATAR", "True Pattern", IF($O425="CapGen", "Search Like Pattern", IF($O425="Cardumen", "True Semantic", IF($O425="DynaMoth", "True Semantic", IF($O425="FixMiner", "True Pattern", IF($O425="GenProg-A", "Evolutionary Search", IF($O425="Hercules", "Learning Pattern", IF($O425="Jaid", "True Semantic",
IF($O425="Kali-A", "True Search", IF($O425="kPAR", "True Pattern", IF($O425="Nopol", "True Semantic", IF($O425="RSRepair-A", "Evolutionary Search", IF($O425="SequenceR", "Deep Learning", IF($O425="SimFix", "Search Like Pattern", IF($O425="SketchFix", "True Pattern", IF($O425="SOFix", "True Pattern", IF($O425="ssFix", "Search Like Pattern", IF($O425="TBar", "True Pattern", ""))))))))))))))))))))</f>
        <v>Search Like Pattern</v>
      </c>
      <c r="Q425" s="13" t="str">
        <f>IF(NOT(ISERR(SEARCH("*_Buggy",$A425))), "Buggy", IF(NOT(ISERR(SEARCH("*_Fixed",$A425))), "Fixed", IF(NOT(ISERR(SEARCH("*_Repaired",$A425))), "Repaired", "")))</f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>LEFT($A426,FIND("_",$A426)-1)</f>
        <v>SimFix</v>
      </c>
      <c r="P426" s="13" t="str">
        <f>IF($O426="ACS", "True Search", IF($O426="Arja", "Evolutionary Search", IF($O426="AVATAR", "True Pattern", IF($O426="CapGen", "Search Like Pattern", IF($O426="Cardumen", "True Semantic", IF($O426="DynaMoth", "True Semantic", IF($O426="FixMiner", "True Pattern", IF($O426="GenProg-A", "Evolutionary Search", IF($O426="Hercules", "Learning Pattern", IF($O426="Jaid", "True Semantic",
IF($O426="Kali-A", "True Search", IF($O426="kPAR", "True Pattern", IF($O426="Nopol", "True Semantic", IF($O426="RSRepair-A", "Evolutionary Search", IF($O426="SequenceR", "Deep Learning", IF($O426="SimFix", "Search Like Pattern", IF($O426="SketchFix", "True Pattern", IF($O426="SOFix", "True Pattern", IF($O426="ssFix", "Search Like Pattern", IF($O426="TBar", "True Pattern", ""))))))))))))))))))))</f>
        <v>Search Like Pattern</v>
      </c>
      <c r="Q426" s="13" t="str">
        <f>IF(NOT(ISERR(SEARCH("*_Buggy",$A426))), "Buggy", IF(NOT(ISERR(SEARCH("*_Fixed",$A426))), "Fixed", IF(NOT(ISERR(SEARCH("*_Repaired",$A426))), "Repaired", "")))</f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>LEFT($A427,FIND("_",$A427)-1)</f>
        <v>SimFix</v>
      </c>
      <c r="P427" s="13" t="str">
        <f>IF($O427="ACS", "True Search", IF($O427="Arja", "Evolutionary Search", IF($O427="AVATAR", "True Pattern", IF($O427="CapGen", "Search Like Pattern", IF($O427="Cardumen", "True Semantic", IF($O427="DynaMoth", "True Semantic", IF($O427="FixMiner", "True Pattern", IF($O427="GenProg-A", "Evolutionary Search", IF($O427="Hercules", "Learning Pattern", IF($O427="Jaid", "True Semantic",
IF($O427="Kali-A", "True Search", IF($O427="kPAR", "True Pattern", IF($O427="Nopol", "True Semantic", IF($O427="RSRepair-A", "Evolutionary Search", IF($O427="SequenceR", "Deep Learning", IF($O427="SimFix", "Search Like Pattern", IF($O427="SketchFix", "True Pattern", IF($O427="SOFix", "True Pattern", IF($O427="ssFix", "Search Like Pattern", IF($O427="TBar", "True Pattern", ""))))))))))))))))))))</f>
        <v>Search Like Pattern</v>
      </c>
      <c r="Q427" s="13" t="str">
        <f>IF(NOT(ISERR(SEARCH("*_Buggy",$A427))), "Buggy", IF(NOT(ISERR(SEARCH("*_Fixed",$A427))), "Fixed", IF(NOT(ISERR(SEARCH("*_Repaired",$A427))), "Repaired", "")))</f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>LEFT($A428,FIND("_",$A428)-1)</f>
        <v>SimFix</v>
      </c>
      <c r="P428" s="13" t="str">
        <f>IF($O428="ACS", "True Search", IF($O428="Arja", "Evolutionary Search", IF($O428="AVATAR", "True Pattern", IF($O428="CapGen", "Search Like Pattern", IF($O428="Cardumen", "True Semantic", IF($O428="DynaMoth", "True Semantic", IF($O428="FixMiner", "True Pattern", IF($O428="GenProg-A", "Evolutionary Search", IF($O428="Hercules", "Learning Pattern", IF($O428="Jaid", "True Semantic",
IF($O428="Kali-A", "True Search", IF($O428="kPAR", "True Pattern", IF($O428="Nopol", "True Semantic", IF($O428="RSRepair-A", "Evolutionary Search", IF($O428="SequenceR", "Deep Learning", IF($O428="SimFix", "Search Like Pattern", IF($O428="SketchFix", "True Pattern", IF($O428="SOFix", "True Pattern", IF($O428="ssFix", "Search Like Pattern", IF($O428="TBar", "True Pattern", ""))))))))))))))))))))</f>
        <v>Search Like Pattern</v>
      </c>
      <c r="Q428" s="13" t="str">
        <f>IF(NOT(ISERR(SEARCH("*_Buggy",$A428))), "Buggy", IF(NOT(ISERR(SEARCH("*_Fixed",$A428))), "Fixed", IF(NOT(ISERR(SEARCH("*_Repaired",$A428))), "Repaired", "")))</f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>LEFT($A429,FIND("_",$A429)-1)</f>
        <v>SimFix</v>
      </c>
      <c r="P429" s="13" t="str">
        <f>IF($O429="ACS", "True Search", IF($O429="Arja", "Evolutionary Search", IF($O429="AVATAR", "True Pattern", IF($O429="CapGen", "Search Like Pattern", IF($O429="Cardumen", "True Semantic", IF($O429="DynaMoth", "True Semantic", IF($O429="FixMiner", "True Pattern", IF($O429="GenProg-A", "Evolutionary Search", IF($O429="Hercules", "Learning Pattern", IF($O429="Jaid", "True Semantic",
IF($O429="Kali-A", "True Search", IF($O429="kPAR", "True Pattern", IF($O429="Nopol", "True Semantic", IF($O429="RSRepair-A", "Evolutionary Search", IF($O429="SequenceR", "Deep Learning", IF($O429="SimFix", "Search Like Pattern", IF($O429="SketchFix", "True Pattern", IF($O429="SOFix", "True Pattern", IF($O429="ssFix", "Search Like Pattern", IF($O429="TBar", "True Pattern", ""))))))))))))))))))))</f>
        <v>Search Like Pattern</v>
      </c>
      <c r="Q429" s="13" t="str">
        <f>IF(NOT(ISERR(SEARCH("*_Buggy",$A429))), "Buggy", IF(NOT(ISERR(SEARCH("*_Fixed",$A429))), "Fixed", IF(NOT(ISERR(SEARCH("*_Repaired",$A429))), "Repaired", "")))</f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>LEFT($A430,FIND("_",$A430)-1)</f>
        <v>SimFix</v>
      </c>
      <c r="P430" s="13" t="str">
        <f>IF($O430="ACS", "True Search", IF($O430="Arja", "Evolutionary Search", IF($O430="AVATAR", "True Pattern", IF($O430="CapGen", "Search Like Pattern", IF($O430="Cardumen", "True Semantic", IF($O430="DynaMoth", "True Semantic", IF($O430="FixMiner", "True Pattern", IF($O430="GenProg-A", "Evolutionary Search", IF($O430="Hercules", "Learning Pattern", IF($O430="Jaid", "True Semantic",
IF($O430="Kali-A", "True Search", IF($O430="kPAR", "True Pattern", IF($O430="Nopol", "True Semantic", IF($O430="RSRepair-A", "Evolutionary Search", IF($O430="SequenceR", "Deep Learning", IF($O430="SimFix", "Search Like Pattern", IF($O430="SketchFix", "True Pattern", IF($O430="SOFix", "True Pattern", IF($O430="ssFix", "Search Like Pattern", IF($O430="TBar", "True Pattern", ""))))))))))))))))))))</f>
        <v>Search Like Pattern</v>
      </c>
      <c r="Q430" s="13" t="str">
        <f>IF(NOT(ISERR(SEARCH("*_Buggy",$A430))), "Buggy", IF(NOT(ISERR(SEARCH("*_Fixed",$A430))), "Fixed", IF(NOT(ISERR(SEARCH("*_Repaired",$A430))), "Repaired", "")))</f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>LEFT($A431,FIND("_",$A431)-1)</f>
        <v>SimFix</v>
      </c>
      <c r="P431" s="13" t="str">
        <f>IF($O431="ACS", "True Search", IF($O431="Arja", "Evolutionary Search", IF($O431="AVATAR", "True Pattern", IF($O431="CapGen", "Search Like Pattern", IF($O431="Cardumen", "True Semantic", IF($O431="DynaMoth", "True Semantic", IF($O431="FixMiner", "True Pattern", IF($O431="GenProg-A", "Evolutionary Search", IF($O431="Hercules", "Learning Pattern", IF($O431="Jaid", "True Semantic",
IF($O431="Kali-A", "True Search", IF($O431="kPAR", "True Pattern", IF($O431="Nopol", "True Semantic", IF($O431="RSRepair-A", "Evolutionary Search", IF($O431="SequenceR", "Deep Learning", IF($O431="SimFix", "Search Like Pattern", IF($O431="SketchFix", "True Pattern", IF($O431="SOFix", "True Pattern", IF($O431="ssFix", "Search Like Pattern", IF($O431="TBar", "True Pattern", ""))))))))))))))))))))</f>
        <v>Search Like Pattern</v>
      </c>
      <c r="Q431" s="13" t="str">
        <f>IF(NOT(ISERR(SEARCH("*_Buggy",$A431))), "Buggy", IF(NOT(ISERR(SEARCH("*_Fixed",$A431))), "Fixed", IF(NOT(ISERR(SEARCH("*_Repaired",$A431))), "Repaired", "")))</f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>LEFT($A432,FIND("_",$A432)-1)</f>
        <v>SimFix</v>
      </c>
      <c r="P432" s="13" t="str">
        <f>IF($O432="ACS", "True Search", IF($O432="Arja", "Evolutionary Search", IF($O432="AVATAR", "True Pattern", IF($O432="CapGen", "Search Like Pattern", IF($O432="Cardumen", "True Semantic", IF($O432="DynaMoth", "True Semantic", IF($O432="FixMiner", "True Pattern", IF($O432="GenProg-A", "Evolutionary Search", IF($O432="Hercules", "Learning Pattern", IF($O432="Jaid", "True Semantic",
IF($O432="Kali-A", "True Search", IF($O432="kPAR", "True Pattern", IF($O432="Nopol", "True Semantic", IF($O432="RSRepair-A", "Evolutionary Search", IF($O432="SequenceR", "Deep Learning", IF($O432="SimFix", "Search Like Pattern", IF($O432="SketchFix", "True Pattern", IF($O432="SOFix", "True Pattern", IF($O432="ssFix", "Search Like Pattern", IF($O432="TBar", "True Pattern", ""))))))))))))))))))))</f>
        <v>Search Like Pattern</v>
      </c>
      <c r="Q432" s="13" t="str">
        <f>IF(NOT(ISERR(SEARCH("*_Buggy",$A432))), "Buggy", IF(NOT(ISERR(SEARCH("*_Fixed",$A432))), "Fixed", IF(NOT(ISERR(SEARCH("*_Repaired",$A432))), "Repaired", "")))</f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>LEFT($A433,FIND("_",$A433)-1)</f>
        <v>SimFix</v>
      </c>
      <c r="P433" s="13" t="str">
        <f>IF($O433="ACS", "True Search", IF($O433="Arja", "Evolutionary Search", IF($O433="AVATAR", "True Pattern", IF($O433="CapGen", "Search Like Pattern", IF($O433="Cardumen", "True Semantic", IF($O433="DynaMoth", "True Semantic", IF($O433="FixMiner", "True Pattern", IF($O433="GenProg-A", "Evolutionary Search", IF($O433="Hercules", "Learning Pattern", IF($O433="Jaid", "True Semantic",
IF($O433="Kali-A", "True Search", IF($O433="kPAR", "True Pattern", IF($O433="Nopol", "True Semantic", IF($O433="RSRepair-A", "Evolutionary Search", IF($O433="SequenceR", "Deep Learning", IF($O433="SimFix", "Search Like Pattern", IF($O433="SketchFix", "True Pattern", IF($O433="SOFix", "True Pattern", IF($O433="ssFix", "Search Like Pattern", IF($O433="TBar", "True Pattern", ""))))))))))))))))))))</f>
        <v>Search Like Pattern</v>
      </c>
      <c r="Q433" s="13" t="str">
        <f>IF(NOT(ISERR(SEARCH("*_Buggy",$A433))), "Buggy", IF(NOT(ISERR(SEARCH("*_Fixed",$A433))), "Fixed", IF(NOT(ISERR(SEARCH("*_Repaired",$A433))), "Repaired", "")))</f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>LEFT($A434,FIND("_",$A434)-1)</f>
        <v>SimFix</v>
      </c>
      <c r="P434" s="13" t="str">
        <f>IF($O434="ACS", "True Search", IF($O434="Arja", "Evolutionary Search", IF($O434="AVATAR", "True Pattern", IF($O434="CapGen", "Search Like Pattern", IF($O434="Cardumen", "True Semantic", IF($O434="DynaMoth", "True Semantic", IF($O434="FixMiner", "True Pattern", IF($O434="GenProg-A", "Evolutionary Search", IF($O434="Hercules", "Learning Pattern", IF($O434="Jaid", "True Semantic",
IF($O434="Kali-A", "True Search", IF($O434="kPAR", "True Pattern", IF($O434="Nopol", "True Semantic", IF($O434="RSRepair-A", "Evolutionary Search", IF($O434="SequenceR", "Deep Learning", IF($O434="SimFix", "Search Like Pattern", IF($O434="SketchFix", "True Pattern", IF($O434="SOFix", "True Pattern", IF($O434="ssFix", "Search Like Pattern", IF($O434="TBar", "True Pattern", ""))))))))))))))))))))</f>
        <v>Search Like Pattern</v>
      </c>
      <c r="Q434" s="13" t="str">
        <f>IF(NOT(ISERR(SEARCH("*_Buggy",$A434))), "Buggy", IF(NOT(ISERR(SEARCH("*_Fixed",$A434))), "Fixed", IF(NOT(ISERR(SEARCH("*_Repaired",$A434))), "Repaired", "")))</f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>LEFT($A435,FIND("_",$A435)-1)</f>
        <v>SimFix</v>
      </c>
      <c r="P435" s="13" t="str">
        <f>IF($O435="ACS", "True Search", IF($O435="Arja", "Evolutionary Search", IF($O435="AVATAR", "True Pattern", IF($O435="CapGen", "Search Like Pattern", IF($O435="Cardumen", "True Semantic", IF($O435="DynaMoth", "True Semantic", IF($O435="FixMiner", "True Pattern", IF($O435="GenProg-A", "Evolutionary Search", IF($O435="Hercules", "Learning Pattern", IF($O435="Jaid", "True Semantic",
IF($O435="Kali-A", "True Search", IF($O435="kPAR", "True Pattern", IF($O435="Nopol", "True Semantic", IF($O435="RSRepair-A", "Evolutionary Search", IF($O435="SequenceR", "Deep Learning", IF($O435="SimFix", "Search Like Pattern", IF($O435="SketchFix", "True Pattern", IF($O435="SOFix", "True Pattern", IF($O435="ssFix", "Search Like Pattern", IF($O435="TBar", "True Pattern", ""))))))))))))))))))))</f>
        <v>Search Like Pattern</v>
      </c>
      <c r="Q435" s="13" t="str">
        <f>IF(NOT(ISERR(SEARCH("*_Buggy",$A435))), "Buggy", IF(NOT(ISERR(SEARCH("*_Fixed",$A435))), "Fixed", IF(NOT(ISERR(SEARCH("*_Repaired",$A435))), "Repaired", "")))</f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>LEFT($A436,FIND("_",$A436)-1)</f>
        <v>SimFix</v>
      </c>
      <c r="P436" s="13" t="str">
        <f>IF($O436="ACS", "True Search", IF($O436="Arja", "Evolutionary Search", IF($O436="AVATAR", "True Pattern", IF($O436="CapGen", "Search Like Pattern", IF($O436="Cardumen", "True Semantic", IF($O436="DynaMoth", "True Semantic", IF($O436="FixMiner", "True Pattern", IF($O436="GenProg-A", "Evolutionary Search", IF($O436="Hercules", "Learning Pattern", IF($O436="Jaid", "True Semantic",
IF($O436="Kali-A", "True Search", IF($O436="kPAR", "True Pattern", IF($O436="Nopol", "True Semantic", IF($O436="RSRepair-A", "Evolutionary Search", IF($O436="SequenceR", "Deep Learning", IF($O436="SimFix", "Search Like Pattern", IF($O436="SketchFix", "True Pattern", IF($O436="SOFix", "True Pattern", IF($O436="ssFix", "Search Like Pattern", IF($O436="TBar", "True Pattern", ""))))))))))))))))))))</f>
        <v>Search Like Pattern</v>
      </c>
      <c r="Q436" s="13" t="str">
        <f>IF(NOT(ISERR(SEARCH("*_Buggy",$A436))), "Buggy", IF(NOT(ISERR(SEARCH("*_Fixed",$A436))), "Fixed", IF(NOT(ISERR(SEARCH("*_Repaired",$A436))), "Repaired", "")))</f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>LEFT($A437,FIND("_",$A437)-1)</f>
        <v>SimFix</v>
      </c>
      <c r="P437" s="13" t="str">
        <f>IF($O437="ACS", "True Search", IF($O437="Arja", "Evolutionary Search", IF($O437="AVATAR", "True Pattern", IF($O437="CapGen", "Search Like Pattern", IF($O437="Cardumen", "True Semantic", IF($O437="DynaMoth", "True Semantic", IF($O437="FixMiner", "True Pattern", IF($O437="GenProg-A", "Evolutionary Search", IF($O437="Hercules", "Learning Pattern", IF($O437="Jaid", "True Semantic",
IF($O437="Kali-A", "True Search", IF($O437="kPAR", "True Pattern", IF($O437="Nopol", "True Semantic", IF($O437="RSRepair-A", "Evolutionary Search", IF($O437="SequenceR", "Deep Learning", IF($O437="SimFix", "Search Like Pattern", IF($O437="SketchFix", "True Pattern", IF($O437="SOFix", "True Pattern", IF($O437="ssFix", "Search Like Pattern", IF($O437="TBar", "True Pattern", ""))))))))))))))))))))</f>
        <v>Search Like Pattern</v>
      </c>
      <c r="Q437" s="13" t="str">
        <f>IF(NOT(ISERR(SEARCH("*_Buggy",$A437))), "Buggy", IF(NOT(ISERR(SEARCH("*_Fixed",$A437))), "Fixed", IF(NOT(ISERR(SEARCH("*_Repaired",$A437))), "Repaired", "")))</f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>LEFT($A438,FIND("_",$A438)-1)</f>
        <v>SimFix</v>
      </c>
      <c r="P438" s="13" t="str">
        <f>IF($O438="ACS", "True Search", IF($O438="Arja", "Evolutionary Search", IF($O438="AVATAR", "True Pattern", IF($O438="CapGen", "Search Like Pattern", IF($O438="Cardumen", "True Semantic", IF($O438="DynaMoth", "True Semantic", IF($O438="FixMiner", "True Pattern", IF($O438="GenProg-A", "Evolutionary Search", IF($O438="Hercules", "Learning Pattern", IF($O438="Jaid", "True Semantic",
IF($O438="Kali-A", "True Search", IF($O438="kPAR", "True Pattern", IF($O438="Nopol", "True Semantic", IF($O438="RSRepair-A", "Evolutionary Search", IF($O438="SequenceR", "Deep Learning", IF($O438="SimFix", "Search Like Pattern", IF($O438="SketchFix", "True Pattern", IF($O438="SOFix", "True Pattern", IF($O438="ssFix", "Search Like Pattern", IF($O438="TBar", "True Pattern", ""))))))))))))))))))))</f>
        <v>Search Like Pattern</v>
      </c>
      <c r="Q438" s="13" t="str">
        <f>IF(NOT(ISERR(SEARCH("*_Buggy",$A438))), "Buggy", IF(NOT(ISERR(SEARCH("*_Fixed",$A438))), "Fixed", IF(NOT(ISERR(SEARCH("*_Repaired",$A438))), "Repaired", "")))</f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>LEFT($A439,FIND("_",$A439)-1)</f>
        <v>SimFix</v>
      </c>
      <c r="P439" s="13" t="str">
        <f>IF($O439="ACS", "True Search", IF($O439="Arja", "Evolutionary Search", IF($O439="AVATAR", "True Pattern", IF($O439="CapGen", "Search Like Pattern", IF($O439="Cardumen", "True Semantic", IF($O439="DynaMoth", "True Semantic", IF($O439="FixMiner", "True Pattern", IF($O439="GenProg-A", "Evolutionary Search", IF($O439="Hercules", "Learning Pattern", IF($O439="Jaid", "True Semantic",
IF($O439="Kali-A", "True Search", IF($O439="kPAR", "True Pattern", IF($O439="Nopol", "True Semantic", IF($O439="RSRepair-A", "Evolutionary Search", IF($O439="SequenceR", "Deep Learning", IF($O439="SimFix", "Search Like Pattern", IF($O439="SketchFix", "True Pattern", IF($O439="SOFix", "True Pattern", IF($O439="ssFix", "Search Like Pattern", IF($O439="TBar", "True Pattern", ""))))))))))))))))))))</f>
        <v>Search Like Pattern</v>
      </c>
      <c r="Q439" s="13" t="str">
        <f>IF(NOT(ISERR(SEARCH("*_Buggy",$A439))), "Buggy", IF(NOT(ISERR(SEARCH("*_Fixed",$A439))), "Fixed", IF(NOT(ISERR(SEARCH("*_Repaired",$A439))), "Repaired", "")))</f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>LEFT($A440,FIND("_",$A440)-1)</f>
        <v>SimFix</v>
      </c>
      <c r="P440" s="13" t="str">
        <f>IF($O440="ACS", "True Search", IF($O440="Arja", "Evolutionary Search", IF($O440="AVATAR", "True Pattern", IF($O440="CapGen", "Search Like Pattern", IF($O440="Cardumen", "True Semantic", IF($O440="DynaMoth", "True Semantic", IF($O440="FixMiner", "True Pattern", IF($O440="GenProg-A", "Evolutionary Search", IF($O440="Hercules", "Learning Pattern", IF($O440="Jaid", "True Semantic",
IF($O440="Kali-A", "True Search", IF($O440="kPAR", "True Pattern", IF($O440="Nopol", "True Semantic", IF($O440="RSRepair-A", "Evolutionary Search", IF($O440="SequenceR", "Deep Learning", IF($O440="SimFix", "Search Like Pattern", IF($O440="SketchFix", "True Pattern", IF($O440="SOFix", "True Pattern", IF($O440="ssFix", "Search Like Pattern", IF($O440="TBar", "True Pattern", ""))))))))))))))))))))</f>
        <v>Search Like Pattern</v>
      </c>
      <c r="Q440" s="13" t="str">
        <f>IF(NOT(ISERR(SEARCH("*_Buggy",$A440))), "Buggy", IF(NOT(ISERR(SEARCH("*_Fixed",$A440))), "Fixed", IF(NOT(ISERR(SEARCH("*_Repaired",$A440))), "Repaired", "")))</f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>LEFT($A441,FIND("_",$A441)-1)</f>
        <v>SimFix</v>
      </c>
      <c r="P441" s="13" t="str">
        <f>IF($O441="ACS", "True Search", IF($O441="Arja", "Evolutionary Search", IF($O441="AVATAR", "True Pattern", IF($O441="CapGen", "Search Like Pattern", IF($O441="Cardumen", "True Semantic", IF($O441="DynaMoth", "True Semantic", IF($O441="FixMiner", "True Pattern", IF($O441="GenProg-A", "Evolutionary Search", IF($O441="Hercules", "Learning Pattern", IF($O441="Jaid", "True Semantic",
IF($O441="Kali-A", "True Search", IF($O441="kPAR", "True Pattern", IF($O441="Nopol", "True Semantic", IF($O441="RSRepair-A", "Evolutionary Search", IF($O441="SequenceR", "Deep Learning", IF($O441="SimFix", "Search Like Pattern", IF($O441="SketchFix", "True Pattern", IF($O441="SOFix", "True Pattern", IF($O441="ssFix", "Search Like Pattern", IF($O441="TBar", "True Pattern", ""))))))))))))))))))))</f>
        <v>Search Like Pattern</v>
      </c>
      <c r="Q441" s="13" t="str">
        <f>IF(NOT(ISERR(SEARCH("*_Buggy",$A441))), "Buggy", IF(NOT(ISERR(SEARCH("*_Fixed",$A441))), "Fixed", IF(NOT(ISERR(SEARCH("*_Repaired",$A441))), "Repaired", "")))</f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>LEFT($A442,FIND("_",$A442)-1)</f>
        <v>SimFix</v>
      </c>
      <c r="P442" s="13" t="str">
        <f>IF($O442="ACS", "True Search", IF($O442="Arja", "Evolutionary Search", IF($O442="AVATAR", "True Pattern", IF($O442="CapGen", "Search Like Pattern", IF($O442="Cardumen", "True Semantic", IF($O442="DynaMoth", "True Semantic", IF($O442="FixMiner", "True Pattern", IF($O442="GenProg-A", "Evolutionary Search", IF($O442="Hercules", "Learning Pattern", IF($O442="Jaid", "True Semantic",
IF($O442="Kali-A", "True Search", IF($O442="kPAR", "True Pattern", IF($O442="Nopol", "True Semantic", IF($O442="RSRepair-A", "Evolutionary Search", IF($O442="SequenceR", "Deep Learning", IF($O442="SimFix", "Search Like Pattern", IF($O442="SketchFix", "True Pattern", IF($O442="SOFix", "True Pattern", IF($O442="ssFix", "Search Like Pattern", IF($O442="TBar", "True Pattern", ""))))))))))))))))))))</f>
        <v>Search Like Pattern</v>
      </c>
      <c r="Q442" s="13" t="str">
        <f>IF(NOT(ISERR(SEARCH("*_Buggy",$A442))), "Buggy", IF(NOT(ISERR(SEARCH("*_Fixed",$A442))), "Fixed", IF(NOT(ISERR(SEARCH("*_Repaired",$A442))), "Repaired", "")))</f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>LEFT($A443,FIND("_",$A443)-1)</f>
        <v>SimFix</v>
      </c>
      <c r="P443" s="13" t="str">
        <f>IF($O443="ACS", "True Search", IF($O443="Arja", "Evolutionary Search", IF($O443="AVATAR", "True Pattern", IF($O443="CapGen", "Search Like Pattern", IF($O443="Cardumen", "True Semantic", IF($O443="DynaMoth", "True Semantic", IF($O443="FixMiner", "True Pattern", IF($O443="GenProg-A", "Evolutionary Search", IF($O443="Hercules", "Learning Pattern", IF($O443="Jaid", "True Semantic",
IF($O443="Kali-A", "True Search", IF($O443="kPAR", "True Pattern", IF($O443="Nopol", "True Semantic", IF($O443="RSRepair-A", "Evolutionary Search", IF($O443="SequenceR", "Deep Learning", IF($O443="SimFix", "Search Like Pattern", IF($O443="SketchFix", "True Pattern", IF($O443="SOFix", "True Pattern", IF($O443="ssFix", "Search Like Pattern", IF($O443="TBar", "True Pattern", ""))))))))))))))))))))</f>
        <v>Search Like Pattern</v>
      </c>
      <c r="Q443" s="13" t="str">
        <f>IF(NOT(ISERR(SEARCH("*_Buggy",$A443))), "Buggy", IF(NOT(ISERR(SEARCH("*_Fixed",$A443))), "Fixed", IF(NOT(ISERR(SEARCH("*_Repaired",$A443))), "Repaired", "")))</f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>LEFT($A444,FIND("_",$A444)-1)</f>
        <v>SimFix</v>
      </c>
      <c r="P444" s="13" t="str">
        <f>IF($O444="ACS", "True Search", IF($O444="Arja", "Evolutionary Search", IF($O444="AVATAR", "True Pattern", IF($O444="CapGen", "Search Like Pattern", IF($O444="Cardumen", "True Semantic", IF($O444="DynaMoth", "True Semantic", IF($O444="FixMiner", "True Pattern", IF($O444="GenProg-A", "Evolutionary Search", IF($O444="Hercules", "Learning Pattern", IF($O444="Jaid", "True Semantic",
IF($O444="Kali-A", "True Search", IF($O444="kPAR", "True Pattern", IF($O444="Nopol", "True Semantic", IF($O444="RSRepair-A", "Evolutionary Search", IF($O444="SequenceR", "Deep Learning", IF($O444="SimFix", "Search Like Pattern", IF($O444="SketchFix", "True Pattern", IF($O444="SOFix", "True Pattern", IF($O444="ssFix", "Search Like Pattern", IF($O444="TBar", "True Pattern", ""))))))))))))))))))))</f>
        <v>Search Like Pattern</v>
      </c>
      <c r="Q444" s="13" t="str">
        <f>IF(NOT(ISERR(SEARCH("*_Buggy",$A444))), "Buggy", IF(NOT(ISERR(SEARCH("*_Fixed",$A444))), "Fixed", IF(NOT(ISERR(SEARCH("*_Repaired",$A444))), "Repaired", "")))</f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>LEFT($A445,FIND("_",$A445)-1)</f>
        <v>SimFix</v>
      </c>
      <c r="P445" s="13" t="str">
        <f>IF($O445="ACS", "True Search", IF($O445="Arja", "Evolutionary Search", IF($O445="AVATAR", "True Pattern", IF($O445="CapGen", "Search Like Pattern", IF($O445="Cardumen", "True Semantic", IF($O445="DynaMoth", "True Semantic", IF($O445="FixMiner", "True Pattern", IF($O445="GenProg-A", "Evolutionary Search", IF($O445="Hercules", "Learning Pattern", IF($O445="Jaid", "True Semantic",
IF($O445="Kali-A", "True Search", IF($O445="kPAR", "True Pattern", IF($O445="Nopol", "True Semantic", IF($O445="RSRepair-A", "Evolutionary Search", IF($O445="SequenceR", "Deep Learning", IF($O445="SimFix", "Search Like Pattern", IF($O445="SketchFix", "True Pattern", IF($O445="SOFix", "True Pattern", IF($O445="ssFix", "Search Like Pattern", IF($O445="TBar", "True Pattern", ""))))))))))))))))))))</f>
        <v>Search Like Pattern</v>
      </c>
      <c r="Q445" s="13" t="str">
        <f>IF(NOT(ISERR(SEARCH("*_Buggy",$A445))), "Buggy", IF(NOT(ISERR(SEARCH("*_Fixed",$A445))), "Fixed", IF(NOT(ISERR(SEARCH("*_Repaired",$A445))), "Repaired", "")))</f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>LEFT($A446,FIND("_",$A446)-1)</f>
        <v>SimFix</v>
      </c>
      <c r="P446" s="13" t="str">
        <f>IF($O446="ACS", "True Search", IF($O446="Arja", "Evolutionary Search", IF($O446="AVATAR", "True Pattern", IF($O446="CapGen", "Search Like Pattern", IF($O446="Cardumen", "True Semantic", IF($O446="DynaMoth", "True Semantic", IF($O446="FixMiner", "True Pattern", IF($O446="GenProg-A", "Evolutionary Search", IF($O446="Hercules", "Learning Pattern", IF($O446="Jaid", "True Semantic",
IF($O446="Kali-A", "True Search", IF($O446="kPAR", "True Pattern", IF($O446="Nopol", "True Semantic", IF($O446="RSRepair-A", "Evolutionary Search", IF($O446="SequenceR", "Deep Learning", IF($O446="SimFix", "Search Like Pattern", IF($O446="SketchFix", "True Pattern", IF($O446="SOFix", "True Pattern", IF($O446="ssFix", "Search Like Pattern", IF($O446="TBar", "True Pattern", ""))))))))))))))))))))</f>
        <v>Search Like Pattern</v>
      </c>
      <c r="Q446" s="13" t="str">
        <f>IF(NOT(ISERR(SEARCH("*_Buggy",$A446))), "Buggy", IF(NOT(ISERR(SEARCH("*_Fixed",$A446))), "Fixed", IF(NOT(ISERR(SEARCH("*_Repaired",$A446))), "Repaired", "")))</f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>LEFT($A447,FIND("_",$A447)-1)</f>
        <v>SimFix</v>
      </c>
      <c r="P447" s="13" t="str">
        <f>IF($O447="ACS", "True Search", IF($O447="Arja", "Evolutionary Search", IF($O447="AVATAR", "True Pattern", IF($O447="CapGen", "Search Like Pattern", IF($O447="Cardumen", "True Semantic", IF($O447="DynaMoth", "True Semantic", IF($O447="FixMiner", "True Pattern", IF($O447="GenProg-A", "Evolutionary Search", IF($O447="Hercules", "Learning Pattern", IF($O447="Jaid", "True Semantic",
IF($O447="Kali-A", "True Search", IF($O447="kPAR", "True Pattern", IF($O447="Nopol", "True Semantic", IF($O447="RSRepair-A", "Evolutionary Search", IF($O447="SequenceR", "Deep Learning", IF($O447="SimFix", "Search Like Pattern", IF($O447="SketchFix", "True Pattern", IF($O447="SOFix", "True Pattern", IF($O447="ssFix", "Search Like Pattern", IF($O447="TBar", "True Pattern", ""))))))))))))))))))))</f>
        <v>Search Like Pattern</v>
      </c>
      <c r="Q447" s="13" t="str">
        <f>IF(NOT(ISERR(SEARCH("*_Buggy",$A447))), "Buggy", IF(NOT(ISERR(SEARCH("*_Fixed",$A447))), "Fixed", IF(NOT(ISERR(SEARCH("*_Repaired",$A447))), "Repaired", "")))</f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>LEFT($A448,FIND("_",$A448)-1)</f>
        <v>SimFix</v>
      </c>
      <c r="P448" s="13" t="str">
        <f>IF($O448="ACS", "True Search", IF($O448="Arja", "Evolutionary Search", IF($O448="AVATAR", "True Pattern", IF($O448="CapGen", "Search Like Pattern", IF($O448="Cardumen", "True Semantic", IF($O448="DynaMoth", "True Semantic", IF($O448="FixMiner", "True Pattern", IF($O448="GenProg-A", "Evolutionary Search", IF($O448="Hercules", "Learning Pattern", IF($O448="Jaid", "True Semantic",
IF($O448="Kali-A", "True Search", IF($O448="kPAR", "True Pattern", IF($O448="Nopol", "True Semantic", IF($O448="RSRepair-A", "Evolutionary Search", IF($O448="SequenceR", "Deep Learning", IF($O448="SimFix", "Search Like Pattern", IF($O448="SketchFix", "True Pattern", IF($O448="SOFix", "True Pattern", IF($O448="ssFix", "Search Like Pattern", IF($O448="TBar", "True Pattern", ""))))))))))))))))))))</f>
        <v>Search Like Pattern</v>
      </c>
      <c r="Q448" s="13" t="str">
        <f>IF(NOT(ISERR(SEARCH("*_Buggy",$A448))), "Buggy", IF(NOT(ISERR(SEARCH("*_Fixed",$A448))), "Fixed", IF(NOT(ISERR(SEARCH("*_Repaired",$A448))), "Repaired", "")))</f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>LEFT($A449,FIND("_",$A449)-1)</f>
        <v>SimFix</v>
      </c>
      <c r="P449" s="13" t="str">
        <f>IF($O449="ACS", "True Search", IF($O449="Arja", "Evolutionary Search", IF($O449="AVATAR", "True Pattern", IF($O449="CapGen", "Search Like Pattern", IF($O449="Cardumen", "True Semantic", IF($O449="DynaMoth", "True Semantic", IF($O449="FixMiner", "True Pattern", IF($O449="GenProg-A", "Evolutionary Search", IF($O449="Hercules", "Learning Pattern", IF($O449="Jaid", "True Semantic",
IF($O449="Kali-A", "True Search", IF($O449="kPAR", "True Pattern", IF($O449="Nopol", "True Semantic", IF($O449="RSRepair-A", "Evolutionary Search", IF($O449="SequenceR", "Deep Learning", IF($O449="SimFix", "Search Like Pattern", IF($O449="SketchFix", "True Pattern", IF($O449="SOFix", "True Pattern", IF($O449="ssFix", "Search Like Pattern", IF($O449="TBar", "True Pattern", ""))))))))))))))))))))</f>
        <v>Search Like Pattern</v>
      </c>
      <c r="Q449" s="13" t="str">
        <f>IF(NOT(ISERR(SEARCH("*_Buggy",$A449))), "Buggy", IF(NOT(ISERR(SEARCH("*_Fixed",$A449))), "Fixed", IF(NOT(ISERR(SEARCH("*_Repaired",$A449))), "Repaired", "")))</f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>LEFT($A450,FIND("_",$A450)-1)</f>
        <v>SimFix</v>
      </c>
      <c r="P450" s="13" t="str">
        <f>IF($O450="ACS", "True Search", IF($O450="Arja", "Evolutionary Search", IF($O450="AVATAR", "True Pattern", IF($O450="CapGen", "Search Like Pattern", IF($O450="Cardumen", "True Semantic", IF($O450="DynaMoth", "True Semantic", IF($O450="FixMiner", "True Pattern", IF($O450="GenProg-A", "Evolutionary Search", IF($O450="Hercules", "Learning Pattern", IF($O450="Jaid", "True Semantic",
IF($O450="Kali-A", "True Search", IF($O450="kPAR", "True Pattern", IF($O450="Nopol", "True Semantic", IF($O450="RSRepair-A", "Evolutionary Search", IF($O450="SequenceR", "Deep Learning", IF($O450="SimFix", "Search Like Pattern", IF($O450="SketchFix", "True Pattern", IF($O450="SOFix", "True Pattern", IF($O450="ssFix", "Search Like Pattern", IF($O450="TBar", "True Pattern", ""))))))))))))))))))))</f>
        <v>Search Like Pattern</v>
      </c>
      <c r="Q450" s="13" t="str">
        <f>IF(NOT(ISERR(SEARCH("*_Buggy",$A450))), "Buggy", IF(NOT(ISERR(SEARCH("*_Fixed",$A450))), "Fixed", IF(NOT(ISERR(SEARCH("*_Repaired",$A450))), "Repaired", "")))</f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>LEFT($A451,FIND("_",$A451)-1)</f>
        <v>SimFix</v>
      </c>
      <c r="P451" s="13" t="str">
        <f>IF($O451="ACS", "True Search", IF($O451="Arja", "Evolutionary Search", IF($O451="AVATAR", "True Pattern", IF($O451="CapGen", "Search Like Pattern", IF($O451="Cardumen", "True Semantic", IF($O451="DynaMoth", "True Semantic", IF($O451="FixMiner", "True Pattern", IF($O451="GenProg-A", "Evolutionary Search", IF($O451="Hercules", "Learning Pattern", IF($O451="Jaid", "True Semantic",
IF($O451="Kali-A", "True Search", IF($O451="kPAR", "True Pattern", IF($O451="Nopol", "True Semantic", IF($O451="RSRepair-A", "Evolutionary Search", IF($O451="SequenceR", "Deep Learning", IF($O451="SimFix", "Search Like Pattern", IF($O451="SketchFix", "True Pattern", IF($O451="SOFix", "True Pattern", IF($O451="ssFix", "Search Like Pattern", IF($O451="TBar", "True Pattern", ""))))))))))))))))))))</f>
        <v>Search Like Pattern</v>
      </c>
      <c r="Q451" s="13" t="str">
        <f>IF(NOT(ISERR(SEARCH("*_Buggy",$A451))), "Buggy", IF(NOT(ISERR(SEARCH("*_Fixed",$A451))), "Fixed", IF(NOT(ISERR(SEARCH("*_Repaired",$A451))), "Repaired", "")))</f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>LEFT($A452,FIND("_",$A452)-1)</f>
        <v>SimFix</v>
      </c>
      <c r="P452" s="13" t="str">
        <f>IF($O452="ACS", "True Search", IF($O452="Arja", "Evolutionary Search", IF($O452="AVATAR", "True Pattern", IF($O452="CapGen", "Search Like Pattern", IF($O452="Cardumen", "True Semantic", IF($O452="DynaMoth", "True Semantic", IF($O452="FixMiner", "True Pattern", IF($O452="GenProg-A", "Evolutionary Search", IF($O452="Hercules", "Learning Pattern", IF($O452="Jaid", "True Semantic",
IF($O452="Kali-A", "True Search", IF($O452="kPAR", "True Pattern", IF($O452="Nopol", "True Semantic", IF($O452="RSRepair-A", "Evolutionary Search", IF($O452="SequenceR", "Deep Learning", IF($O452="SimFix", "Search Like Pattern", IF($O452="SketchFix", "True Pattern", IF($O452="SOFix", "True Pattern", IF($O452="ssFix", "Search Like Pattern", IF($O452="TBar", "True Pattern", ""))))))))))))))))))))</f>
        <v>Search Like Pattern</v>
      </c>
      <c r="Q452" s="13" t="str">
        <f>IF(NOT(ISERR(SEARCH("*_Buggy",$A452))), "Buggy", IF(NOT(ISERR(SEARCH("*_Fixed",$A452))), "Fixed", IF(NOT(ISERR(SEARCH("*_Repaired",$A452))), "Repaired", "")))</f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>LEFT($A453,FIND("_",$A453)-1)</f>
        <v>SimFix</v>
      </c>
      <c r="P453" s="13" t="str">
        <f>IF($O453="ACS", "True Search", IF($O453="Arja", "Evolutionary Search", IF($O453="AVATAR", "True Pattern", IF($O453="CapGen", "Search Like Pattern", IF($O453="Cardumen", "True Semantic", IF($O453="DynaMoth", "True Semantic", IF($O453="FixMiner", "True Pattern", IF($O453="GenProg-A", "Evolutionary Search", IF($O453="Hercules", "Learning Pattern", IF($O453="Jaid", "True Semantic",
IF($O453="Kali-A", "True Search", IF($O453="kPAR", "True Pattern", IF($O453="Nopol", "True Semantic", IF($O453="RSRepair-A", "Evolutionary Search", IF($O453="SequenceR", "Deep Learning", IF($O453="SimFix", "Search Like Pattern", IF($O453="SketchFix", "True Pattern", IF($O453="SOFix", "True Pattern", IF($O453="ssFix", "Search Like Pattern", IF($O453="TBar", "True Pattern", ""))))))))))))))))))))</f>
        <v>Search Like Pattern</v>
      </c>
      <c r="Q453" s="13" t="str">
        <f>IF(NOT(ISERR(SEARCH("*_Buggy",$A453))), "Buggy", IF(NOT(ISERR(SEARCH("*_Fixed",$A453))), "Fixed", IF(NOT(ISERR(SEARCH("*_Repaired",$A453))), "Repaired", "")))</f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>LEFT($A454,FIND("_",$A454)-1)</f>
        <v>SimFix</v>
      </c>
      <c r="P454" s="13" t="str">
        <f>IF($O454="ACS", "True Search", IF($O454="Arja", "Evolutionary Search", IF($O454="AVATAR", "True Pattern", IF($O454="CapGen", "Search Like Pattern", IF($O454="Cardumen", "True Semantic", IF($O454="DynaMoth", "True Semantic", IF($O454="FixMiner", "True Pattern", IF($O454="GenProg-A", "Evolutionary Search", IF($O454="Hercules", "Learning Pattern", IF($O454="Jaid", "True Semantic",
IF($O454="Kali-A", "True Search", IF($O454="kPAR", "True Pattern", IF($O454="Nopol", "True Semantic", IF($O454="RSRepair-A", "Evolutionary Search", IF($O454="SequenceR", "Deep Learning", IF($O454="SimFix", "Search Like Pattern", IF($O454="SketchFix", "True Pattern", IF($O454="SOFix", "True Pattern", IF($O454="ssFix", "Search Like Pattern", IF($O454="TBar", "True Pattern", ""))))))))))))))))))))</f>
        <v>Search Like Pattern</v>
      </c>
      <c r="Q454" s="13" t="str">
        <f>IF(NOT(ISERR(SEARCH("*_Buggy",$A454))), "Buggy", IF(NOT(ISERR(SEARCH("*_Fixed",$A454))), "Fixed", IF(NOT(ISERR(SEARCH("*_Repaired",$A454))), "Repaired", "")))</f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>LEFT($A455,FIND("_",$A455)-1)</f>
        <v>SimFix</v>
      </c>
      <c r="P455" s="13" t="str">
        <f>IF($O455="ACS", "True Search", IF($O455="Arja", "Evolutionary Search", IF($O455="AVATAR", "True Pattern", IF($O455="CapGen", "Search Like Pattern", IF($O455="Cardumen", "True Semantic", IF($O455="DynaMoth", "True Semantic", IF($O455="FixMiner", "True Pattern", IF($O455="GenProg-A", "Evolutionary Search", IF($O455="Hercules", "Learning Pattern", IF($O455="Jaid", "True Semantic",
IF($O455="Kali-A", "True Search", IF($O455="kPAR", "True Pattern", IF($O455="Nopol", "True Semantic", IF($O455="RSRepair-A", "Evolutionary Search", IF($O455="SequenceR", "Deep Learning", IF($O455="SimFix", "Search Like Pattern", IF($O455="SketchFix", "True Pattern", IF($O455="SOFix", "True Pattern", IF($O455="ssFix", "Search Like Pattern", IF($O455="TBar", "True Pattern", ""))))))))))))))))))))</f>
        <v>Search Like Pattern</v>
      </c>
      <c r="Q455" s="13" t="str">
        <f>IF(NOT(ISERR(SEARCH("*_Buggy",$A455))), "Buggy", IF(NOT(ISERR(SEARCH("*_Fixed",$A455))), "Fixed", IF(NOT(ISERR(SEARCH("*_Repaired",$A455))), "Repaired", "")))</f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>LEFT($A456,FIND("_",$A456)-1)</f>
        <v>SimFix</v>
      </c>
      <c r="P456" s="13" t="str">
        <f>IF($O456="ACS", "True Search", IF($O456="Arja", "Evolutionary Search", IF($O456="AVATAR", "True Pattern", IF($O456="CapGen", "Search Like Pattern", IF($O456="Cardumen", "True Semantic", IF($O456="DynaMoth", "True Semantic", IF($O456="FixMiner", "True Pattern", IF($O456="GenProg-A", "Evolutionary Search", IF($O456="Hercules", "Learning Pattern", IF($O456="Jaid", "True Semantic",
IF($O456="Kali-A", "True Search", IF($O456="kPAR", "True Pattern", IF($O456="Nopol", "True Semantic", IF($O456="RSRepair-A", "Evolutionary Search", IF($O456="SequenceR", "Deep Learning", IF($O456="SimFix", "Search Like Pattern", IF($O456="SketchFix", "True Pattern", IF($O456="SOFix", "True Pattern", IF($O456="ssFix", "Search Like Pattern", IF($O456="TBar", "True Pattern", ""))))))))))))))))))))</f>
        <v>Search Like Pattern</v>
      </c>
      <c r="Q456" s="13" t="str">
        <f>IF(NOT(ISERR(SEARCH("*_Buggy",$A456))), "Buggy", IF(NOT(ISERR(SEARCH("*_Fixed",$A456))), "Fixed", IF(NOT(ISERR(SEARCH("*_Repaired",$A456))), "Repaired", "")))</f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>LEFT($A457,FIND("_",$A457)-1)</f>
        <v>SimFix</v>
      </c>
      <c r="P457" s="13" t="str">
        <f>IF($O457="ACS", "True Search", IF($O457="Arja", "Evolutionary Search", IF($O457="AVATAR", "True Pattern", IF($O457="CapGen", "Search Like Pattern", IF($O457="Cardumen", "True Semantic", IF($O457="DynaMoth", "True Semantic", IF($O457="FixMiner", "True Pattern", IF($O457="GenProg-A", "Evolutionary Search", IF($O457="Hercules", "Learning Pattern", IF($O457="Jaid", "True Semantic",
IF($O457="Kali-A", "True Search", IF($O457="kPAR", "True Pattern", IF($O457="Nopol", "True Semantic", IF($O457="RSRepair-A", "Evolutionary Search", IF($O457="SequenceR", "Deep Learning", IF($O457="SimFix", "Search Like Pattern", IF($O457="SketchFix", "True Pattern", IF($O457="SOFix", "True Pattern", IF($O457="ssFix", "Search Like Pattern", IF($O457="TBar", "True Pattern", ""))))))))))))))))))))</f>
        <v>Search Like Pattern</v>
      </c>
      <c r="Q457" s="13" t="str">
        <f>IF(NOT(ISERR(SEARCH("*_Buggy",$A457))), "Buggy", IF(NOT(ISERR(SEARCH("*_Fixed",$A457))), "Fixed", IF(NOT(ISERR(SEARCH("*_Repaired",$A457))), "Repaired", "")))</f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>LEFT($A458,FIND("_",$A458)-1)</f>
        <v>SimFix</v>
      </c>
      <c r="P458" s="13" t="str">
        <f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>IF(NOT(ISERR(SEARCH("*_Buggy",$A458))), "Buggy", IF(NOT(ISERR(SEARCH("*_Fixed",$A458))), "Fixed", IF(NOT(ISERR(SEARCH("*_Repaired",$A458))), "Repaired", "")))</f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>LEFT($A459,FIND("_",$A459)-1)</f>
        <v>SimFix</v>
      </c>
      <c r="P459" s="13" t="str">
        <f>IF($O459="ACS", "True Search", IF($O459="Arja", "Evolutionary Search", IF($O459="AVATAR", "True Pattern", IF($O459="CapGen", "Search Like Pattern", IF($O459="Cardumen", "True Semantic", IF($O459="DynaMoth", "True Semantic", IF($O459="FixMiner", "True Pattern", IF($O459="GenProg-A", "Evolutionary Search", IF($O459="Hercules", "Learning Pattern", IF($O459="Jaid", "True Semantic",
IF($O459="Kali-A", "True Search", IF($O459="kPAR", "True Pattern", IF($O459="Nopol", "True Semantic", IF($O459="RSRepair-A", "Evolutionary Search", IF($O459="SequenceR", "Deep Learning", IF($O459="SimFix", "Search Like Pattern", IF($O459="SketchFix", "True Pattern", IF($O459="SOFix", "True Pattern", IF($O459="ssFix", "Search Like Pattern", IF($O459="TBar", "True Pattern", ""))))))))))))))))))))</f>
        <v>Search Like Pattern</v>
      </c>
      <c r="Q459" s="13" t="str">
        <f>IF(NOT(ISERR(SEARCH("*_Buggy",$A459))), "Buggy", IF(NOT(ISERR(SEARCH("*_Fixed",$A459))), "Fixed", IF(NOT(ISERR(SEARCH("*_Repaired",$A459))), "Repaired", "")))</f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>LEFT($A460,FIND("_",$A460)-1)</f>
        <v>SimFix</v>
      </c>
      <c r="P460" s="13" t="str">
        <f>IF($O460="ACS", "True Search", IF($O460="Arja", "Evolutionary Search", IF($O460="AVATAR", "True Pattern", IF($O460="CapGen", "Search Like Pattern", IF($O460="Cardumen", "True Semantic", IF($O460="DynaMoth", "True Semantic", IF($O460="FixMiner", "True Pattern", IF($O460="GenProg-A", "Evolutionary Search", IF($O460="Hercules", "Learning Pattern", IF($O460="Jaid", "True Semantic",
IF($O460="Kali-A", "True Search", IF($O460="kPAR", "True Pattern", IF($O460="Nopol", "True Semantic", IF($O460="RSRepair-A", "Evolutionary Search", IF($O460="SequenceR", "Deep Learning", IF($O460="SimFix", "Search Like Pattern", IF($O460="SketchFix", "True Pattern", IF($O460="SOFix", "True Pattern", IF($O460="ssFix", "Search Like Pattern", IF($O460="TBar", "True Pattern", ""))))))))))))))))))))</f>
        <v>Search Like Pattern</v>
      </c>
      <c r="Q460" s="13" t="str">
        <f>IF(NOT(ISERR(SEARCH("*_Buggy",$A460))), "Buggy", IF(NOT(ISERR(SEARCH("*_Fixed",$A460))), "Fixed", IF(NOT(ISERR(SEARCH("*_Repaired",$A460))), "Repaired", "")))</f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>LEFT($A461,FIND("_",$A461)-1)</f>
        <v>SimFix</v>
      </c>
      <c r="P461" s="13" t="str">
        <f>IF($O461="ACS", "True Search", IF($O461="Arja", "Evolutionary Search", IF($O461="AVATAR", "True Pattern", IF($O461="CapGen", "Search Like Pattern", IF($O461="Cardumen", "True Semantic", IF($O461="DynaMoth", "True Semantic", IF($O461="FixMiner", "True Pattern", IF($O461="GenProg-A", "Evolutionary Search", IF($O461="Hercules", "Learning Pattern", IF($O461="Jaid", "True Semantic",
IF($O461="Kali-A", "True Search", IF($O461="kPAR", "True Pattern", IF($O461="Nopol", "True Semantic", IF($O461="RSRepair-A", "Evolutionary Search", IF($O461="SequenceR", "Deep Learning", IF($O461="SimFix", "Search Like Pattern", IF($O461="SketchFix", "True Pattern", IF($O461="SOFix", "True Pattern", IF($O461="ssFix", "Search Like Pattern", IF($O461="TBar", "True Pattern", ""))))))))))))))))))))</f>
        <v>Search Like Pattern</v>
      </c>
      <c r="Q461" s="13" t="str">
        <f>IF(NOT(ISERR(SEARCH("*_Buggy",$A461))), "Buggy", IF(NOT(ISERR(SEARCH("*_Fixed",$A461))), "Fixed", IF(NOT(ISERR(SEARCH("*_Repaired",$A461))), "Repaired", "")))</f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>LEFT($A462,FIND("_",$A462)-1)</f>
        <v>SimFix</v>
      </c>
      <c r="P462" s="13" t="str">
        <f>IF($O462="ACS", "True Search", IF($O462="Arja", "Evolutionary Search", IF($O462="AVATAR", "True Pattern", IF($O462="CapGen", "Search Like Pattern", IF($O462="Cardumen", "True Semantic", IF($O462="DynaMoth", "True Semantic", IF($O462="FixMiner", "True Pattern", IF($O462="GenProg-A", "Evolutionary Search", IF($O462="Hercules", "Learning Pattern", IF($O462="Jaid", "True Semantic",
IF($O462="Kali-A", "True Search", IF($O462="kPAR", "True Pattern", IF($O462="Nopol", "True Semantic", IF($O462="RSRepair-A", "Evolutionary Search", IF($O462="SequenceR", "Deep Learning", IF($O462="SimFix", "Search Like Pattern", IF($O462="SketchFix", "True Pattern", IF($O462="SOFix", "True Pattern", IF($O462="ssFix", "Search Like Pattern", IF($O462="TBar", "True Pattern", ""))))))))))))))))))))</f>
        <v>Search Like Pattern</v>
      </c>
      <c r="Q462" s="13" t="str">
        <f>IF(NOT(ISERR(SEARCH("*_Buggy",$A462))), "Buggy", IF(NOT(ISERR(SEARCH("*_Fixed",$A462))), "Fixed", IF(NOT(ISERR(SEARCH("*_Repaired",$A462))), "Repaired", "")))</f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>LEFT($A463,FIND("_",$A463)-1)</f>
        <v>SimFix</v>
      </c>
      <c r="P463" s="13" t="str">
        <f>IF($O463="ACS", "True Search", IF($O463="Arja", "Evolutionary Search", IF($O463="AVATAR", "True Pattern", IF($O463="CapGen", "Search Like Pattern", IF($O463="Cardumen", "True Semantic", IF($O463="DynaMoth", "True Semantic", IF($O463="FixMiner", "True Pattern", IF($O463="GenProg-A", "Evolutionary Search", IF($O463="Hercules", "Learning Pattern", IF($O463="Jaid", "True Semantic",
IF($O463="Kali-A", "True Search", IF($O463="kPAR", "True Pattern", IF($O463="Nopol", "True Semantic", IF($O463="RSRepair-A", "Evolutionary Search", IF($O463="SequenceR", "Deep Learning", IF($O463="SimFix", "Search Like Pattern", IF($O463="SketchFix", "True Pattern", IF($O463="SOFix", "True Pattern", IF($O463="ssFix", "Search Like Pattern", IF($O463="TBar", "True Pattern", ""))))))))))))))))))))</f>
        <v>Search Like Pattern</v>
      </c>
      <c r="Q463" s="13" t="str">
        <f>IF(NOT(ISERR(SEARCH("*_Buggy",$A463))), "Buggy", IF(NOT(ISERR(SEARCH("*_Fixed",$A463))), "Fixed", IF(NOT(ISERR(SEARCH("*_Repaired",$A463))), "Repaired", "")))</f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>LEFT($A464,FIND("_",$A464)-1)</f>
        <v>TBar</v>
      </c>
      <c r="P464" s="13" t="str">
        <f>IF($O464="ACS", "True Search", IF($O464="Arja", "Evolutionary Search", IF($O464="AVATAR", "True Pattern", IF($O464="CapGen", "Search Like Pattern", IF($O464="Cardumen", "True Semantic", IF($O464="DynaMoth", "True Semantic", IF($O464="FixMiner", "True Pattern", IF($O464="GenProg-A", "Evolutionary Search", IF($O464="Hercules", "Learning Pattern", IF($O464="Jaid", "True Semantic",
IF($O464="Kali-A", "True Search", IF($O464="kPAR", "True Pattern", IF($O464="Nopol", "True Semantic", IF($O464="RSRepair-A", "Evolutionary Search", IF($O464="SequenceR", "Deep Learning", IF($O464="SimFix", "Search Like Pattern", IF($O464="SketchFix", "True Pattern", IF($O464="SOFix", "True Pattern", IF($O464="ssFix", "Search Like Pattern", IF($O464="TBar", "True Pattern", ""))))))))))))))))))))</f>
        <v>True Pattern</v>
      </c>
      <c r="Q464" s="13" t="str">
        <f>IF(NOT(ISERR(SEARCH("*_Buggy",$A464))), "Buggy", IF(NOT(ISERR(SEARCH("*_Fixed",$A464))), "Fixed", IF(NOT(ISERR(SEARCH("*_Repaired",$A464))), "Repaired", "")))</f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>LEFT($A465,FIND("_",$A465)-1)</f>
        <v>TBar</v>
      </c>
      <c r="P465" s="13" t="str">
        <f>IF($O465="ACS", "True Search", IF($O465="Arja", "Evolutionary Search", IF($O465="AVATAR", "True Pattern", IF($O465="CapGen", "Search Like Pattern", IF($O465="Cardumen", "True Semantic", IF($O465="DynaMoth", "True Semantic", IF($O465="FixMiner", "True Pattern", IF($O465="GenProg-A", "Evolutionary Search", IF($O465="Hercules", "Learning Pattern", IF($O465="Jaid", "True Semantic",
IF($O465="Kali-A", "True Search", IF($O465="kPAR", "True Pattern", IF($O465="Nopol", "True Semantic", IF($O465="RSRepair-A", "Evolutionary Search", IF($O465="SequenceR", "Deep Learning", IF($O465="SimFix", "Search Like Pattern", IF($O465="SketchFix", "True Pattern", IF($O465="SOFix", "True Pattern", IF($O465="ssFix", "Search Like Pattern", IF($O465="TBar", "True Pattern", ""))))))))))))))))))))</f>
        <v>True Pattern</v>
      </c>
      <c r="Q465" s="13" t="str">
        <f>IF(NOT(ISERR(SEARCH("*_Buggy",$A465))), "Buggy", IF(NOT(ISERR(SEARCH("*_Fixed",$A465))), "Fixed", IF(NOT(ISERR(SEARCH("*_Repaired",$A465))), "Repaired", "")))</f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>LEFT($A466,FIND("_",$A466)-1)</f>
        <v>TBar</v>
      </c>
      <c r="P466" s="13" t="str">
        <f>IF($O466="ACS", "True Search", IF($O466="Arja", "Evolutionary Search", IF($O466="AVATAR", "True Pattern", IF($O466="CapGen", "Search Like Pattern", IF($O466="Cardumen", "True Semantic", IF($O466="DynaMoth", "True Semantic", IF($O466="FixMiner", "True Pattern", IF($O466="GenProg-A", "Evolutionary Search", IF($O466="Hercules", "Learning Pattern", IF($O466="Jaid", "True Semantic",
IF($O466="Kali-A", "True Search", IF($O466="kPAR", "True Pattern", IF($O466="Nopol", "True Semantic", IF($O466="RSRepair-A", "Evolutionary Search", IF($O466="SequenceR", "Deep Learning", IF($O466="SimFix", "Search Like Pattern", IF($O466="SketchFix", "True Pattern", IF($O466="SOFix", "True Pattern", IF($O466="ssFix", "Search Like Pattern", IF($O466="TBar", "True Pattern", ""))))))))))))))))))))</f>
        <v>True Pattern</v>
      </c>
      <c r="Q466" s="13" t="str">
        <f>IF(NOT(ISERR(SEARCH("*_Buggy",$A466))), "Buggy", IF(NOT(ISERR(SEARCH("*_Fixed",$A466))), "Fixed", IF(NOT(ISERR(SEARCH("*_Repaired",$A466))), "Repaired", "")))</f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>LEFT($A467,FIND("_",$A467)-1)</f>
        <v>TBar</v>
      </c>
      <c r="P467" s="13" t="str">
        <f>IF($O467="ACS", "True Search", IF($O467="Arja", "Evolutionary Search", IF($O467="AVATAR", "True Pattern", IF($O467="CapGen", "Search Like Pattern", IF($O467="Cardumen", "True Semantic", IF($O467="DynaMoth", "True Semantic", IF($O467="FixMiner", "True Pattern", IF($O467="GenProg-A", "Evolutionary Search", IF($O467="Hercules", "Learning Pattern", IF($O467="Jaid", "True Semantic",
IF($O467="Kali-A", "True Search", IF($O467="kPAR", "True Pattern", IF($O467="Nopol", "True Semantic", IF($O467="RSRepair-A", "Evolutionary Search", IF($O467="SequenceR", "Deep Learning", IF($O467="SimFix", "Search Like Pattern", IF($O467="SketchFix", "True Pattern", IF($O467="SOFix", "True Pattern", IF($O467="ssFix", "Search Like Pattern", IF($O467="TBar", "True Pattern", ""))))))))))))))))))))</f>
        <v>True Pattern</v>
      </c>
      <c r="Q467" s="13" t="str">
        <f>IF(NOT(ISERR(SEARCH("*_Buggy",$A467))), "Buggy", IF(NOT(ISERR(SEARCH("*_Fixed",$A467))), "Fixed", IF(NOT(ISERR(SEARCH("*_Repaired",$A467))), "Repaired", "")))</f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>LEFT($A468,FIND("_",$A468)-1)</f>
        <v>TBar</v>
      </c>
      <c r="P468" s="13" t="str">
        <f>IF($O468="ACS", "True Search", IF($O468="Arja", "Evolutionary Search", IF($O468="AVATAR", "True Pattern", IF($O468="CapGen", "Search Like Pattern", IF($O468="Cardumen", "True Semantic", IF($O468="DynaMoth", "True Semantic", IF($O468="FixMiner", "True Pattern", IF($O468="GenProg-A", "Evolutionary Search", IF($O468="Hercules", "Learning Pattern", IF($O468="Jaid", "True Semantic",
IF($O468="Kali-A", "True Search", IF($O468="kPAR", "True Pattern", IF($O468="Nopol", "True Semantic", IF($O468="RSRepair-A", "Evolutionary Search", IF($O468="SequenceR", "Deep Learning", IF($O468="SimFix", "Search Like Pattern", IF($O468="SketchFix", "True Pattern", IF($O468="SOFix", "True Pattern", IF($O468="ssFix", "Search Like Pattern", IF($O468="TBar", "True Pattern", ""))))))))))))))))))))</f>
        <v>True Pattern</v>
      </c>
      <c r="Q468" s="13" t="str">
        <f>IF(NOT(ISERR(SEARCH("*_Buggy",$A468))), "Buggy", IF(NOT(ISERR(SEARCH("*_Fixed",$A468))), "Fixed", IF(NOT(ISERR(SEARCH("*_Repaired",$A468))), "Repaired", "")))</f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>LEFT($A469,FIND("_",$A469)-1)</f>
        <v>TBar</v>
      </c>
      <c r="P469" s="13" t="str">
        <f>IF($O469="ACS", "True Search", IF($O469="Arja", "Evolutionary Search", IF($O469="AVATAR", "True Pattern", IF($O469="CapGen", "Search Like Pattern", IF($O469="Cardumen", "True Semantic", IF($O469="DynaMoth", "True Semantic", IF($O469="FixMiner", "True Pattern", IF($O469="GenProg-A", "Evolutionary Search", IF($O469="Hercules", "Learning Pattern", IF($O469="Jaid", "True Semantic",
IF($O469="Kali-A", "True Search", IF($O469="kPAR", "True Pattern", IF($O469="Nopol", "True Semantic", IF($O469="RSRepair-A", "Evolutionary Search", IF($O469="SequenceR", "Deep Learning", IF($O469="SimFix", "Search Like Pattern", IF($O469="SketchFix", "True Pattern", IF($O469="SOFix", "True Pattern", IF($O469="ssFix", "Search Like Pattern", IF($O469="TBar", "True Pattern", ""))))))))))))))))))))</f>
        <v>True Pattern</v>
      </c>
      <c r="Q469" s="13" t="str">
        <f>IF(NOT(ISERR(SEARCH("*_Buggy",$A469))), "Buggy", IF(NOT(ISERR(SEARCH("*_Fixed",$A469))), "Fixed", IF(NOT(ISERR(SEARCH("*_Repaired",$A469))), "Repaired", "")))</f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>LEFT($A470,FIND("_",$A470)-1)</f>
        <v>TBar</v>
      </c>
      <c r="P470" s="13" t="str">
        <f>IF($O470="ACS", "True Search", IF($O470="Arja", "Evolutionary Search", IF($O470="AVATAR", "True Pattern", IF($O470="CapGen", "Search Like Pattern", IF($O470="Cardumen", "True Semantic", IF($O470="DynaMoth", "True Semantic", IF($O470="FixMiner", "True Pattern", IF($O470="GenProg-A", "Evolutionary Search", IF($O470="Hercules", "Learning Pattern", IF($O470="Jaid", "True Semantic",
IF($O470="Kali-A", "True Search", IF($O470="kPAR", "True Pattern", IF($O470="Nopol", "True Semantic", IF($O470="RSRepair-A", "Evolutionary Search", IF($O470="SequenceR", "Deep Learning", IF($O470="SimFix", "Search Like Pattern", IF($O470="SketchFix", "True Pattern", IF($O470="SOFix", "True Pattern", IF($O470="ssFix", "Search Like Pattern", IF($O470="TBar", "True Pattern", ""))))))))))))))))))))</f>
        <v>True Pattern</v>
      </c>
      <c r="Q470" s="13" t="str">
        <f>IF(NOT(ISERR(SEARCH("*_Buggy",$A470))), "Buggy", IF(NOT(ISERR(SEARCH("*_Fixed",$A470))), "Fixed", IF(NOT(ISERR(SEARCH("*_Repaired",$A470))), "Repaired", "")))</f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>LEFT($A471,FIND("_",$A471)-1)</f>
        <v>TBar</v>
      </c>
      <c r="P471" s="13" t="str">
        <f>IF($O471="ACS", "True Search", IF($O471="Arja", "Evolutionary Search", IF($O471="AVATAR", "True Pattern", IF($O471="CapGen", "Search Like Pattern", IF($O471="Cardumen", "True Semantic", IF($O471="DynaMoth", "True Semantic", IF($O471="FixMiner", "True Pattern", IF($O471="GenProg-A", "Evolutionary Search", IF($O471="Hercules", "Learning Pattern", IF($O471="Jaid", "True Semantic",
IF($O471="Kali-A", "True Search", IF($O471="kPAR", "True Pattern", IF($O471="Nopol", "True Semantic", IF($O471="RSRepair-A", "Evolutionary Search", IF($O471="SequenceR", "Deep Learning", IF($O471="SimFix", "Search Like Pattern", IF($O471="SketchFix", "True Pattern", IF($O471="SOFix", "True Pattern", IF($O471="ssFix", "Search Like Pattern", IF($O471="TBar", "True Pattern", ""))))))))))))))))))))</f>
        <v>True Pattern</v>
      </c>
      <c r="Q471" s="13" t="str">
        <f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>LEFT($A472,FIND("_",$A472)-1)</f>
        <v>TBar</v>
      </c>
      <c r="P472" s="13" t="str">
        <f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>IF(NOT(ISERR(SEARCH("*_Buggy",$A472))), "Buggy", IF(NOT(ISERR(SEARCH("*_Fixed",$A472))), "Fixed", IF(NOT(ISERR(SEARCH("*_Repaired",$A472))), "Repaired", "")))</f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>LEFT($A473,FIND("_",$A473)-1)</f>
        <v>TBar</v>
      </c>
      <c r="P473" s="13" t="str">
        <f>IF($O473="ACS", "True Search", IF($O473="Arja", "Evolutionary Search", IF($O473="AVATAR", "True Pattern", IF($O473="CapGen", "Search Like Pattern", IF($O473="Cardumen", "True Semantic", IF($O473="DynaMoth", "True Semantic", IF($O473="FixMiner", "True Pattern", IF($O473="GenProg-A", "Evolutionary Search", IF($O473="Hercules", "Learning Pattern", IF($O473="Jaid", "True Semantic",
IF($O473="Kali-A", "True Search", IF($O473="kPAR", "True Pattern", IF($O473="Nopol", "True Semantic", IF($O473="RSRepair-A", "Evolutionary Search", IF($O473="SequenceR", "Deep Learning", IF($O473="SimFix", "Search Like Pattern", IF($O473="SketchFix", "True Pattern", IF($O473="SOFix", "True Pattern", IF($O473="ssFix", "Search Like Pattern", IF($O473="TBar", "True Pattern", ""))))))))))))))))))))</f>
        <v>True Pattern</v>
      </c>
      <c r="Q473" s="13" t="str">
        <f>IF(NOT(ISERR(SEARCH("*_Buggy",$A473))), "Buggy", IF(NOT(ISERR(SEARCH("*_Fixed",$A473))), "Fixed", IF(NOT(ISERR(SEARCH("*_Repaired",$A473))), "Repaired", "")))</f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>LEFT($A474,FIND("_",$A474)-1)</f>
        <v>TBar</v>
      </c>
      <c r="P474" s="13" t="str">
        <f>IF($O474="ACS", "True Search", IF($O474="Arja", "Evolutionary Search", IF($O474="AVATAR", "True Pattern", IF($O474="CapGen", "Search Like Pattern", IF($O474="Cardumen", "True Semantic", IF($O474="DynaMoth", "True Semantic", IF($O474="FixMiner", "True Pattern", IF($O474="GenProg-A", "Evolutionary Search", IF($O474="Hercules", "Learning Pattern", IF($O474="Jaid", "True Semantic",
IF($O474="Kali-A", "True Search", IF($O474="kPAR", "True Pattern", IF($O474="Nopol", "True Semantic", IF($O474="RSRepair-A", "Evolutionary Search", IF($O474="SequenceR", "Deep Learning", IF($O474="SimFix", "Search Like Pattern", IF($O474="SketchFix", "True Pattern", IF($O474="SOFix", "True Pattern", IF($O474="ssFix", "Search Like Pattern", IF($O474="TBar", "True Pattern", ""))))))))))))))))))))</f>
        <v>True Pattern</v>
      </c>
      <c r="Q474" s="13" t="str">
        <f>IF(NOT(ISERR(SEARCH("*_Buggy",$A474))), "Buggy", IF(NOT(ISERR(SEARCH("*_Fixed",$A474))), "Fixed", IF(NOT(ISERR(SEARCH("*_Repaired",$A474))), "Repaired", "")))</f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>LEFT($A475,FIND("_",$A475)-1)</f>
        <v>TBar</v>
      </c>
      <c r="P475" s="13" t="str">
        <f>IF($O475="ACS", "True Search", IF($O475="Arja", "Evolutionary Search", IF($O475="AVATAR", "True Pattern", IF($O475="CapGen", "Search Like Pattern", IF($O475="Cardumen", "True Semantic", IF($O475="DynaMoth", "True Semantic", IF($O475="FixMiner", "True Pattern", IF($O475="GenProg-A", "Evolutionary Search", IF($O475="Hercules", "Learning Pattern", IF($O475="Jaid", "True Semantic",
IF($O475="Kali-A", "True Search", IF($O475="kPAR", "True Pattern", IF($O475="Nopol", "True Semantic", IF($O475="RSRepair-A", "Evolutionary Search", IF($O475="SequenceR", "Deep Learning", IF($O475="SimFix", "Search Like Pattern", IF($O475="SketchFix", "True Pattern", IF($O475="SOFix", "True Pattern", IF($O475="ssFix", "Search Like Pattern", IF($O475="TBar", "True Pattern", ""))))))))))))))))))))</f>
        <v>True Pattern</v>
      </c>
      <c r="Q475" s="13" t="str">
        <f>IF(NOT(ISERR(SEARCH("*_Buggy",$A475))), "Buggy", IF(NOT(ISERR(SEARCH("*_Fixed",$A475))), "Fixed", IF(NOT(ISERR(SEARCH("*_Repaired",$A475))), "Repaired", "")))</f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>LEFT($A476,FIND("_",$A476)-1)</f>
        <v>TBar</v>
      </c>
      <c r="P476" s="13" t="str">
        <f>IF($O476="ACS", "True Search", IF($O476="Arja", "Evolutionary Search", IF($O476="AVATAR", "True Pattern", IF($O476="CapGen", "Search Like Pattern", IF($O476="Cardumen", "True Semantic", IF($O476="DynaMoth", "True Semantic", IF($O476="FixMiner", "True Pattern", IF($O476="GenProg-A", "Evolutionary Search", IF($O476="Hercules", "Learning Pattern", IF($O476="Jaid", "True Semantic",
IF($O476="Kali-A", "True Search", IF($O476="kPAR", "True Pattern", IF($O476="Nopol", "True Semantic", IF($O476="RSRepair-A", "Evolutionary Search", IF($O476="SequenceR", "Deep Learning", IF($O476="SimFix", "Search Like Pattern", IF($O476="SketchFix", "True Pattern", IF($O476="SOFix", "True Pattern", IF($O476="ssFix", "Search Like Pattern", IF($O476="TBar", "True Pattern", ""))))))))))))))))))))</f>
        <v>True Pattern</v>
      </c>
      <c r="Q476" s="13" t="str">
        <f>IF(NOT(ISERR(SEARCH("*_Buggy",$A476))), "Buggy", IF(NOT(ISERR(SEARCH("*_Fixed",$A476))), "Fixed", IF(NOT(ISERR(SEARCH("*_Repaired",$A476))), "Repaired", "")))</f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>LEFT($A477,FIND("_",$A477)-1)</f>
        <v>TBar</v>
      </c>
      <c r="P477" s="13" t="str">
        <f>IF($O477="ACS", "True Search", IF($O477="Arja", "Evolutionary Search", IF($O477="AVATAR", "True Pattern", IF($O477="CapGen", "Search Like Pattern", IF($O477="Cardumen", "True Semantic", IF($O477="DynaMoth", "True Semantic", IF($O477="FixMiner", "True Pattern", IF($O477="GenProg-A", "Evolutionary Search", IF($O477="Hercules", "Learning Pattern", IF($O477="Jaid", "True Semantic",
IF($O477="Kali-A", "True Search", IF($O477="kPAR", "True Pattern", IF($O477="Nopol", "True Semantic", IF($O477="RSRepair-A", "Evolutionary Search", IF($O477="SequenceR", "Deep Learning", IF($O477="SimFix", "Search Like Pattern", IF($O477="SketchFix", "True Pattern", IF($O477="SOFix", "True Pattern", IF($O477="ssFix", "Search Like Pattern", IF($O477="TBar", "True Pattern", ""))))))))))))))))))))</f>
        <v>True Pattern</v>
      </c>
      <c r="Q477" s="13" t="str">
        <f>IF(NOT(ISERR(SEARCH("*_Buggy",$A477))), "Buggy", IF(NOT(ISERR(SEARCH("*_Fixed",$A477))), "Fixed", IF(NOT(ISERR(SEARCH("*_Repaired",$A477))), "Repaired", "")))</f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>LEFT($A478,FIND("_",$A478)-1)</f>
        <v>TBar</v>
      </c>
      <c r="P478" s="13" t="str">
        <f>IF($O478="ACS", "True Search", IF($O478="Arja", "Evolutionary Search", IF($O478="AVATAR", "True Pattern", IF($O478="CapGen", "Search Like Pattern", IF($O478="Cardumen", "True Semantic", IF($O478="DynaMoth", "True Semantic", IF($O478="FixMiner", "True Pattern", IF($O478="GenProg-A", "Evolutionary Search", IF($O478="Hercules", "Learning Pattern", IF($O478="Jaid", "True Semantic",
IF($O478="Kali-A", "True Search", IF($O478="kPAR", "True Pattern", IF($O478="Nopol", "True Semantic", IF($O478="RSRepair-A", "Evolutionary Search", IF($O478="SequenceR", "Deep Learning", IF($O478="SimFix", "Search Like Pattern", IF($O478="SketchFix", "True Pattern", IF($O478="SOFix", "True Pattern", IF($O478="ssFix", "Search Like Pattern", IF($O478="TBar", "True Pattern", ""))))))))))))))))))))</f>
        <v>True Pattern</v>
      </c>
      <c r="Q478" s="13" t="str">
        <f>IF(NOT(ISERR(SEARCH("*_Buggy",$A478))), "Buggy", IF(NOT(ISERR(SEARCH("*_Fixed",$A478))), "Fixed", IF(NOT(ISERR(SEARCH("*_Repaired",$A478))), "Repaired", "")))</f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>LEFT($A479,FIND("_",$A479)-1)</f>
        <v>TBar</v>
      </c>
      <c r="P479" s="13" t="str">
        <f>IF($O479="ACS", "True Search", IF($O479="Arja", "Evolutionary Search", IF($O479="AVATAR", "True Pattern", IF($O479="CapGen", "Search Like Pattern", IF($O479="Cardumen", "True Semantic", IF($O479="DynaMoth", "True Semantic", IF($O479="FixMiner", "True Pattern", IF($O479="GenProg-A", "Evolutionary Search", IF($O479="Hercules", "Learning Pattern", IF($O479="Jaid", "True Semantic",
IF($O479="Kali-A", "True Search", IF($O479="kPAR", "True Pattern", IF($O479="Nopol", "True Semantic", IF($O479="RSRepair-A", "Evolutionary Search", IF($O479="SequenceR", "Deep Learning", IF($O479="SimFix", "Search Like Pattern", IF($O479="SketchFix", "True Pattern", IF($O479="SOFix", "True Pattern", IF($O479="ssFix", "Search Like Pattern", IF($O479="TBar", "True Pattern", ""))))))))))))))))))))</f>
        <v>True Pattern</v>
      </c>
      <c r="Q479" s="13" t="str">
        <f>IF(NOT(ISERR(SEARCH("*_Buggy",$A479))), "Buggy", IF(NOT(ISERR(SEARCH("*_Fixed",$A479))), "Fixed", IF(NOT(ISERR(SEARCH("*_Repaired",$A479))), "Repaired", "")))</f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>LEFT($A480,FIND("_",$A480)-1)</f>
        <v>TBar</v>
      </c>
      <c r="P480" s="13" t="str">
        <f>IF($O480="ACS", "True Search", IF($O480="Arja", "Evolutionary Search", IF($O480="AVATAR", "True Pattern", IF($O480="CapGen", "Search Like Pattern", IF($O480="Cardumen", "True Semantic", IF($O480="DynaMoth", "True Semantic", IF($O480="FixMiner", "True Pattern", IF($O480="GenProg-A", "Evolutionary Search", IF($O480="Hercules", "Learning Pattern", IF($O480="Jaid", "True Semantic",
IF($O480="Kali-A", "True Search", IF($O480="kPAR", "True Pattern", IF($O480="Nopol", "True Semantic", IF($O480="RSRepair-A", "Evolutionary Search", IF($O480="SequenceR", "Deep Learning", IF($O480="SimFix", "Search Like Pattern", IF($O480="SketchFix", "True Pattern", IF($O480="SOFix", "True Pattern", IF($O480="ssFix", "Search Like Pattern", IF($O480="TBar", "True Pattern", ""))))))))))))))))))))</f>
        <v>True Pattern</v>
      </c>
      <c r="Q480" s="13" t="str">
        <f>IF(NOT(ISERR(SEARCH("*_Buggy",$A480))), "Buggy", IF(NOT(ISERR(SEARCH("*_Fixed",$A480))), "Fixed", IF(NOT(ISERR(SEARCH("*_Repaired",$A480))), "Repaired", "")))</f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>LEFT($A481,FIND("_",$A481)-1)</f>
        <v>TBar</v>
      </c>
      <c r="P481" s="13" t="str">
        <f>IF($O481="ACS", "True Search", IF($O481="Arja", "Evolutionary Search", IF($O481="AVATAR", "True Pattern", IF($O481="CapGen", "Search Like Pattern", IF($O481="Cardumen", "True Semantic", IF($O481="DynaMoth", "True Semantic", IF($O481="FixMiner", "True Pattern", IF($O481="GenProg-A", "Evolutionary Search", IF($O481="Hercules", "Learning Pattern", IF($O481="Jaid", "True Semantic",
IF($O481="Kali-A", "True Search", IF($O481="kPAR", "True Pattern", IF($O481="Nopol", "True Semantic", IF($O481="RSRepair-A", "Evolutionary Search", IF($O481="SequenceR", "Deep Learning", IF($O481="SimFix", "Search Like Pattern", IF($O481="SketchFix", "True Pattern", IF($O481="SOFix", "True Pattern", IF($O481="ssFix", "Search Like Pattern", IF($O481="TBar", "True Pattern", ""))))))))))))))))))))</f>
        <v>True Pattern</v>
      </c>
      <c r="Q481" s="13" t="str">
        <f>IF(NOT(ISERR(SEARCH("*_Buggy",$A481))), "Buggy", IF(NOT(ISERR(SEARCH("*_Fixed",$A481))), "Fixed", IF(NOT(ISERR(SEARCH("*_Repaired",$A481))), "Repaired", "")))</f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>LEFT($A482,FIND("_",$A482)-1)</f>
        <v>TBar</v>
      </c>
      <c r="P482" s="13" t="str">
        <f>IF($O482="ACS", "True Search", IF($O482="Arja", "Evolutionary Search", IF($O482="AVATAR", "True Pattern", IF($O482="CapGen", "Search Like Pattern", IF($O482="Cardumen", "True Semantic", IF($O482="DynaMoth", "True Semantic", IF($O482="FixMiner", "True Pattern", IF($O482="GenProg-A", "Evolutionary Search", IF($O482="Hercules", "Learning Pattern", IF($O482="Jaid", "True Semantic",
IF($O482="Kali-A", "True Search", IF($O482="kPAR", "True Pattern", IF($O482="Nopol", "True Semantic", IF($O482="RSRepair-A", "Evolutionary Search", IF($O482="SequenceR", "Deep Learning", IF($O482="SimFix", "Search Like Pattern", IF($O482="SketchFix", "True Pattern", IF($O482="SOFix", "True Pattern", IF($O482="ssFix", "Search Like Pattern", IF($O482="TBar", "True Pattern", ""))))))))))))))))))))</f>
        <v>True Pattern</v>
      </c>
      <c r="Q482" s="13" t="str">
        <f>IF(NOT(ISERR(SEARCH("*_Buggy",$A482))), "Buggy", IF(NOT(ISERR(SEARCH("*_Fixed",$A482))), "Fixed", IF(NOT(ISERR(SEARCH("*_Repaired",$A482))), "Repaired", "")))</f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>LEFT($A483,FIND("_",$A483)-1)</f>
        <v>TBar</v>
      </c>
      <c r="P483" s="13" t="str">
        <f>IF($O483="ACS", "True Search", IF($O483="Arja", "Evolutionary Search", IF($O483="AVATAR", "True Pattern", IF($O483="CapGen", "Search Like Pattern", IF($O483="Cardumen", "True Semantic", IF($O483="DynaMoth", "True Semantic", IF($O483="FixMiner", "True Pattern", IF($O483="GenProg-A", "Evolutionary Search", IF($O483="Hercules", "Learning Pattern", IF($O483="Jaid", "True Semantic",
IF($O483="Kali-A", "True Search", IF($O483="kPAR", "True Pattern", IF($O483="Nopol", "True Semantic", IF($O483="RSRepair-A", "Evolutionary Search", IF($O483="SequenceR", "Deep Learning", IF($O483="SimFix", "Search Like Pattern", IF($O483="SketchFix", "True Pattern", IF($O483="SOFix", "True Pattern", IF($O483="ssFix", "Search Like Pattern", IF($O483="TBar", "True Pattern", ""))))))))))))))))))))</f>
        <v>True Pattern</v>
      </c>
      <c r="Q483" s="13" t="str">
        <f>IF(NOT(ISERR(SEARCH("*_Buggy",$A483))), "Buggy", IF(NOT(ISERR(SEARCH("*_Fixed",$A483))), "Fixed", IF(NOT(ISERR(SEARCH("*_Repaired",$A483))), "Repaired", "")))</f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>LEFT($A484,FIND("_",$A484)-1)</f>
        <v>TBar</v>
      </c>
      <c r="P484" s="13" t="str">
        <f>IF($O484="ACS", "True Search", IF($O484="Arja", "Evolutionary Search", IF($O484="AVATAR", "True Pattern", IF($O484="CapGen", "Search Like Pattern", IF($O484="Cardumen", "True Semantic", IF($O484="DynaMoth", "True Semantic", IF($O484="FixMiner", "True Pattern", IF($O484="GenProg-A", "Evolutionary Search", IF($O484="Hercules", "Learning Pattern", IF($O484="Jaid", "True Semantic",
IF($O484="Kali-A", "True Search", IF($O484="kPAR", "True Pattern", IF($O484="Nopol", "True Semantic", IF($O484="RSRepair-A", "Evolutionary Search", IF($O484="SequenceR", "Deep Learning", IF($O484="SimFix", "Search Like Pattern", IF($O484="SketchFix", "True Pattern", IF($O484="SOFix", "True Pattern", IF($O484="ssFix", "Search Like Pattern", IF($O484="TBar", "True Pattern", ""))))))))))))))))))))</f>
        <v>True Pattern</v>
      </c>
      <c r="Q484" s="13" t="str">
        <f>IF(NOT(ISERR(SEARCH("*_Buggy",$A484))), "Buggy", IF(NOT(ISERR(SEARCH("*_Fixed",$A484))), "Fixed", IF(NOT(ISERR(SEARCH("*_Repaired",$A484))), "Repaired", "")))</f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>LEFT($A485,FIND("_",$A485)-1)</f>
        <v>TBar</v>
      </c>
      <c r="P485" s="13" t="str">
        <f>IF($O485="ACS", "True Search", IF($O485="Arja", "Evolutionary Search", IF($O485="AVATAR", "True Pattern", IF($O485="CapGen", "Search Like Pattern", IF($O485="Cardumen", "True Semantic", IF($O485="DynaMoth", "True Semantic", IF($O485="FixMiner", "True Pattern", IF($O485="GenProg-A", "Evolutionary Search", IF($O485="Hercules", "Learning Pattern", IF($O485="Jaid", "True Semantic",
IF($O485="Kali-A", "True Search", IF($O485="kPAR", "True Pattern", IF($O485="Nopol", "True Semantic", IF($O485="RSRepair-A", "Evolutionary Search", IF($O485="SequenceR", "Deep Learning", IF($O485="SimFix", "Search Like Pattern", IF($O485="SketchFix", "True Pattern", IF($O485="SOFix", "True Pattern", IF($O485="ssFix", "Search Like Pattern", IF($O485="TBar", "True Pattern", ""))))))))))))))))))))</f>
        <v>True Pattern</v>
      </c>
      <c r="Q485" s="13" t="str">
        <f>IF(NOT(ISERR(SEARCH("*_Buggy",$A485))), "Buggy", IF(NOT(ISERR(SEARCH("*_Fixed",$A485))), "Fixed", IF(NOT(ISERR(SEARCH("*_Repaired",$A485))), "Repaired", "")))</f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>LEFT($A486,FIND("_",$A486)-1)</f>
        <v>TBar</v>
      </c>
      <c r="P486" s="13" t="str">
        <f>IF($O486="ACS", "True Search", IF($O486="Arja", "Evolutionary Search", IF($O486="AVATAR", "True Pattern", IF($O486="CapGen", "Search Like Pattern", IF($O486="Cardumen", "True Semantic", IF($O486="DynaMoth", "True Semantic", IF($O486="FixMiner", "True Pattern", IF($O486="GenProg-A", "Evolutionary Search", IF($O486="Hercules", "Learning Pattern", IF($O486="Jaid", "True Semantic",
IF($O486="Kali-A", "True Search", IF($O486="kPAR", "True Pattern", IF($O486="Nopol", "True Semantic", IF($O486="RSRepair-A", "Evolutionary Search", IF($O486="SequenceR", "Deep Learning", IF($O486="SimFix", "Search Like Pattern", IF($O486="SketchFix", "True Pattern", IF($O486="SOFix", "True Pattern", IF($O486="ssFix", "Search Like Pattern", IF($O486="TBar", "True Pattern", ""))))))))))))))))))))</f>
        <v>True Pattern</v>
      </c>
      <c r="Q486" s="13" t="str">
        <f>IF(NOT(ISERR(SEARCH("*_Buggy",$A486))), "Buggy", IF(NOT(ISERR(SEARCH("*_Fixed",$A486))), "Fixed", IF(NOT(ISERR(SEARCH("*_Repaired",$A486))), "Repaired", "")))</f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>LEFT($A487,FIND("_",$A487)-1)</f>
        <v>TBar</v>
      </c>
      <c r="P487" s="13" t="str">
        <f>IF($O487="ACS", "True Search", IF($O487="Arja", "Evolutionary Search", IF($O487="AVATAR", "True Pattern", IF($O487="CapGen", "Search Like Pattern", IF($O487="Cardumen", "True Semantic", IF($O487="DynaMoth", "True Semantic", IF($O487="FixMiner", "True Pattern", IF($O487="GenProg-A", "Evolutionary Search", IF($O487="Hercules", "Learning Pattern", IF($O487="Jaid", "True Semantic",
IF($O487="Kali-A", "True Search", IF($O487="kPAR", "True Pattern", IF($O487="Nopol", "True Semantic", IF($O487="RSRepair-A", "Evolutionary Search", IF($O487="SequenceR", "Deep Learning", IF($O487="SimFix", "Search Like Pattern", IF($O487="SketchFix", "True Pattern", IF($O487="SOFix", "True Pattern", IF($O487="ssFix", "Search Like Pattern", IF($O487="TBar", "True Pattern", ""))))))))))))))))))))</f>
        <v>True Pattern</v>
      </c>
      <c r="Q487" s="13" t="str">
        <f>IF(NOT(ISERR(SEARCH("*_Buggy",$A487))), "Buggy", IF(NOT(ISERR(SEARCH("*_Fixed",$A487))), "Fixed", IF(NOT(ISERR(SEARCH("*_Repaired",$A487))), "Repaired", "")))</f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>LEFT($A488,FIND("_",$A488)-1)</f>
        <v>TBar</v>
      </c>
      <c r="P488" s="13" t="str">
        <f>IF($O488="ACS", "True Search", IF($O488="Arja", "Evolutionary Search", IF($O488="AVATAR", "True Pattern", IF($O488="CapGen", "Search Like Pattern", IF($O488="Cardumen", "True Semantic", IF($O488="DynaMoth", "True Semantic", IF($O488="FixMiner", "True Pattern", IF($O488="GenProg-A", "Evolutionary Search", IF($O488="Hercules", "Learning Pattern", IF($O488="Jaid", "True Semantic",
IF($O488="Kali-A", "True Search", IF($O488="kPAR", "True Pattern", IF($O488="Nopol", "True Semantic", IF($O488="RSRepair-A", "Evolutionary Search", IF($O488="SequenceR", "Deep Learning", IF($O488="SimFix", "Search Like Pattern", IF($O488="SketchFix", "True Pattern", IF($O488="SOFix", "True Pattern", IF($O488="ssFix", "Search Like Pattern", IF($O488="TBar", "True Pattern", ""))))))))))))))))))))</f>
        <v>True Pattern</v>
      </c>
      <c r="Q488" s="13" t="str">
        <f>IF(NOT(ISERR(SEARCH("*_Buggy",$A488))), "Buggy", IF(NOT(ISERR(SEARCH("*_Fixed",$A488))), "Fixed", IF(NOT(ISERR(SEARCH("*_Repaired",$A488))), "Repaired", "")))</f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>LEFT($A489,FIND("_",$A489)-1)</f>
        <v>TBar</v>
      </c>
      <c r="P489" s="13" t="str">
        <f>IF($O489="ACS", "True Search", IF($O489="Arja", "Evolutionary Search", IF($O489="AVATAR", "True Pattern", IF($O489="CapGen", "Search Like Pattern", IF($O489="Cardumen", "True Semantic", IF($O489="DynaMoth", "True Semantic", IF($O489="FixMiner", "True Pattern", IF($O489="GenProg-A", "Evolutionary Search", IF($O489="Hercules", "Learning Pattern", IF($O489="Jaid", "True Semantic",
IF($O489="Kali-A", "True Search", IF($O489="kPAR", "True Pattern", IF($O489="Nopol", "True Semantic", IF($O489="RSRepair-A", "Evolutionary Search", IF($O489="SequenceR", "Deep Learning", IF($O489="SimFix", "Search Like Pattern", IF($O489="SketchFix", "True Pattern", IF($O489="SOFix", "True Pattern", IF($O489="ssFix", "Search Like Pattern", IF($O489="TBar", "True Pattern", ""))))))))))))))))))))</f>
        <v>True Pattern</v>
      </c>
      <c r="Q489" s="13" t="str">
        <f>IF(NOT(ISERR(SEARCH("*_Buggy",$A489))), "Buggy", IF(NOT(ISERR(SEARCH("*_Fixed",$A489))), "Fixed", IF(NOT(ISERR(SEARCH("*_Repaired",$A489))), "Repaired", "")))</f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>LEFT($A490,FIND("_",$A490)-1)</f>
        <v>TBar</v>
      </c>
      <c r="P490" s="13" t="str">
        <f>IF($O490="ACS", "True Search", IF($O490="Arja", "Evolutionary Search", IF($O490="AVATAR", "True Pattern", IF($O490="CapGen", "Search Like Pattern", IF($O490="Cardumen", "True Semantic", IF($O490="DynaMoth", "True Semantic", IF($O490="FixMiner", "True Pattern", IF($O490="GenProg-A", "Evolutionary Search", IF($O490="Hercules", "Learning Pattern", IF($O490="Jaid", "True Semantic",
IF($O490="Kali-A", "True Search", IF($O490="kPAR", "True Pattern", IF($O490="Nopol", "True Semantic", IF($O490="RSRepair-A", "Evolutionary Search", IF($O490="SequenceR", "Deep Learning", IF($O490="SimFix", "Search Like Pattern", IF($O490="SketchFix", "True Pattern", IF($O490="SOFix", "True Pattern", IF($O490="ssFix", "Search Like Pattern", IF($O490="TBar", "True Pattern", ""))))))))))))))))))))</f>
        <v>True Pattern</v>
      </c>
      <c r="Q490" s="13" t="str">
        <f>IF(NOT(ISERR(SEARCH("*_Buggy",$A490))), "Buggy", IF(NOT(ISERR(SEARCH("*_Fixed",$A490))), "Fixed", IF(NOT(ISERR(SEARCH("*_Repaired",$A490))), "Repaired", "")))</f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>LEFT($A491,FIND("_",$A491)-1)</f>
        <v>TBar</v>
      </c>
      <c r="P491" s="13" t="str">
        <f>IF($O491="ACS", "True Search", IF($O491="Arja", "Evolutionary Search", IF($O491="AVATAR", "True Pattern", IF($O491="CapGen", "Search Like Pattern", IF($O491="Cardumen", "True Semantic", IF($O491="DynaMoth", "True Semantic", IF($O491="FixMiner", "True Pattern", IF($O491="GenProg-A", "Evolutionary Search", IF($O491="Hercules", "Learning Pattern", IF($O491="Jaid", "True Semantic",
IF($O491="Kali-A", "True Search", IF($O491="kPAR", "True Pattern", IF($O491="Nopol", "True Semantic", IF($O491="RSRepair-A", "Evolutionary Search", IF($O491="SequenceR", "Deep Learning", IF($O491="SimFix", "Search Like Pattern", IF($O491="SketchFix", "True Pattern", IF($O491="SOFix", "True Pattern", IF($O491="ssFix", "Search Like Pattern", IF($O491="TBar", "True Pattern", ""))))))))))))))))))))</f>
        <v>True Pattern</v>
      </c>
      <c r="Q491" s="13" t="str">
        <f>IF(NOT(ISERR(SEARCH("*_Buggy",$A491))), "Buggy", IF(NOT(ISERR(SEARCH("*_Fixed",$A491))), "Fixed", IF(NOT(ISERR(SEARCH("*_Repaired",$A491))), "Repaired", "")))</f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>LEFT($A492,FIND("_",$A492)-1)</f>
        <v>TBar</v>
      </c>
      <c r="P492" s="13" t="str">
        <f>IF($O492="ACS", "True Search", IF($O492="Arja", "Evolutionary Search", IF($O492="AVATAR", "True Pattern", IF($O492="CapGen", "Search Like Pattern", IF($O492="Cardumen", "True Semantic", IF($O492="DynaMoth", "True Semantic", IF($O492="FixMiner", "True Pattern", IF($O492="GenProg-A", "Evolutionary Search", IF($O492="Hercules", "Learning Pattern", IF($O492="Jaid", "True Semantic",
IF($O492="Kali-A", "True Search", IF($O492="kPAR", "True Pattern", IF($O492="Nopol", "True Semantic", IF($O492="RSRepair-A", "Evolutionary Search", IF($O492="SequenceR", "Deep Learning", IF($O492="SimFix", "Search Like Pattern", IF($O492="SketchFix", "True Pattern", IF($O492="SOFix", "True Pattern", IF($O492="ssFix", "Search Like Pattern", IF($O492="TBar", "True Pattern", ""))))))))))))))))))))</f>
        <v>True Pattern</v>
      </c>
      <c r="Q492" s="13" t="str">
        <f>IF(NOT(ISERR(SEARCH("*_Buggy",$A492))), "Buggy", IF(NOT(ISERR(SEARCH("*_Fixed",$A492))), "Fixed", IF(NOT(ISERR(SEARCH("*_Repaired",$A492))), "Repaired", "")))</f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>LEFT($A493,FIND("_",$A493)-1)</f>
        <v>TBar</v>
      </c>
      <c r="P493" s="13" t="str">
        <f>IF($O493="ACS", "True Search", IF($O493="Arja", "Evolutionary Search", IF($O493="AVATAR", "True Pattern", IF($O493="CapGen", "Search Like Pattern", IF($O493="Cardumen", "True Semantic", IF($O493="DynaMoth", "True Semantic", IF($O493="FixMiner", "True Pattern", IF($O493="GenProg-A", "Evolutionary Search", IF($O493="Hercules", "Learning Pattern", IF($O493="Jaid", "True Semantic",
IF($O493="Kali-A", "True Search", IF($O493="kPAR", "True Pattern", IF($O493="Nopol", "True Semantic", IF($O493="RSRepair-A", "Evolutionary Search", IF($O493="SequenceR", "Deep Learning", IF($O493="SimFix", "Search Like Pattern", IF($O493="SketchFix", "True Pattern", IF($O493="SOFix", "True Pattern", IF($O493="ssFix", "Search Like Pattern", IF($O493="TBar", "True Pattern", ""))))))))))))))))))))</f>
        <v>True Pattern</v>
      </c>
      <c r="Q493" s="13" t="str">
        <f>IF(NOT(ISERR(SEARCH("*_Buggy",$A493))), "Buggy", IF(NOT(ISERR(SEARCH("*_Fixed",$A493))), "Fixed", IF(NOT(ISERR(SEARCH("*_Repaired",$A493))), "Repaired", "")))</f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>LEFT($A494,FIND("_",$A494)-1)</f>
        <v>TBar</v>
      </c>
      <c r="P494" s="13" t="str">
        <f>IF($O494="ACS", "True Search", IF($O494="Arja", "Evolutionary Search", IF($O494="AVATAR", "True Pattern", IF($O494="CapGen", "Search Like Pattern", IF($O494="Cardumen", "True Semantic", IF($O494="DynaMoth", "True Semantic", IF($O494="FixMiner", "True Pattern", IF($O494="GenProg-A", "Evolutionary Search", IF($O494="Hercules", "Learning Pattern", IF($O494="Jaid", "True Semantic",
IF($O494="Kali-A", "True Search", IF($O494="kPAR", "True Pattern", IF($O494="Nopol", "True Semantic", IF($O494="RSRepair-A", "Evolutionary Search", IF($O494="SequenceR", "Deep Learning", IF($O494="SimFix", "Search Like Pattern", IF($O494="SketchFix", "True Pattern", IF($O494="SOFix", "True Pattern", IF($O494="ssFix", "Search Like Pattern", IF($O494="TBar", "True Pattern", ""))))))))))))))))))))</f>
        <v>True Pattern</v>
      </c>
      <c r="Q494" s="13" t="str">
        <f>IF(NOT(ISERR(SEARCH("*_Buggy",$A494))), "Buggy", IF(NOT(ISERR(SEARCH("*_Fixed",$A494))), "Fixed", IF(NOT(ISERR(SEARCH("*_Repaired",$A494))), "Repaired", "")))</f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>LEFT($A495,FIND("_",$A495)-1)</f>
        <v>TBar</v>
      </c>
      <c r="P495" s="13" t="str">
        <f>IF($O495="ACS", "True Search", IF($O495="Arja", "Evolutionary Search", IF($O495="AVATAR", "True Pattern", IF($O495="CapGen", "Search Like Pattern", IF($O495="Cardumen", "True Semantic", IF($O495="DynaMoth", "True Semantic", IF($O495="FixMiner", "True Pattern", IF($O495="GenProg-A", "Evolutionary Search", IF($O495="Hercules", "Learning Pattern", IF($O495="Jaid", "True Semantic",
IF($O495="Kali-A", "True Search", IF($O495="kPAR", "True Pattern", IF($O495="Nopol", "True Semantic", IF($O495="RSRepair-A", "Evolutionary Search", IF($O495="SequenceR", "Deep Learning", IF($O495="SimFix", "Search Like Pattern", IF($O495="SketchFix", "True Pattern", IF($O495="SOFix", "True Pattern", IF($O495="ssFix", "Search Like Pattern", IF($O495="TBar", "True Pattern", ""))))))))))))))))))))</f>
        <v>True Pattern</v>
      </c>
      <c r="Q495" s="13" t="str">
        <f>IF(NOT(ISERR(SEARCH("*_Buggy",$A495))), "Buggy", IF(NOT(ISERR(SEARCH("*_Fixed",$A495))), "Fixed", IF(NOT(ISERR(SEARCH("*_Repaired",$A495))), "Repaired", "")))</f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>LEFT($A496,FIND("_",$A496)-1)</f>
        <v>TBar</v>
      </c>
      <c r="P496" s="13" t="str">
        <f>IF($O496="ACS", "True Search", IF($O496="Arja", "Evolutionary Search", IF($O496="AVATAR", "True Pattern", IF($O496="CapGen", "Search Like Pattern", IF($O496="Cardumen", "True Semantic", IF($O496="DynaMoth", "True Semantic", IF($O496="FixMiner", "True Pattern", IF($O496="GenProg-A", "Evolutionary Search", IF($O496="Hercules", "Learning Pattern", IF($O496="Jaid", "True Semantic",
IF($O496="Kali-A", "True Search", IF($O496="kPAR", "True Pattern", IF($O496="Nopol", "True Semantic", IF($O496="RSRepair-A", "Evolutionary Search", IF($O496="SequenceR", "Deep Learning", IF($O496="SimFix", "Search Like Pattern", IF($O496="SketchFix", "True Pattern", IF($O496="SOFix", "True Pattern", IF($O496="ssFix", "Search Like Pattern", IF($O496="TBar", "True Pattern", ""))))))))))))))))))))</f>
        <v>True Pattern</v>
      </c>
      <c r="Q496" s="13" t="str">
        <f>IF(NOT(ISERR(SEARCH("*_Buggy",$A496))), "Buggy", IF(NOT(ISERR(SEARCH("*_Fixed",$A496))), "Fixed", IF(NOT(ISERR(SEARCH("*_Repaired",$A496))), "Repaired", "")))</f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>LEFT($A497,FIND("_",$A497)-1)</f>
        <v>TBar</v>
      </c>
      <c r="P497" s="13" t="str">
        <f>IF($O497="ACS", "True Search", IF($O497="Arja", "Evolutionary Search", IF($O497="AVATAR", "True Pattern", IF($O497="CapGen", "Search Like Pattern", IF($O497="Cardumen", "True Semantic", IF($O497="DynaMoth", "True Semantic", IF($O497="FixMiner", "True Pattern", IF($O497="GenProg-A", "Evolutionary Search", IF($O497="Hercules", "Learning Pattern", IF($O497="Jaid", "True Semantic",
IF($O497="Kali-A", "True Search", IF($O497="kPAR", "True Pattern", IF($O497="Nopol", "True Semantic", IF($O497="RSRepair-A", "Evolutionary Search", IF($O497="SequenceR", "Deep Learning", IF($O497="SimFix", "Search Like Pattern", IF($O497="SketchFix", "True Pattern", IF($O497="SOFix", "True Pattern", IF($O497="ssFix", "Search Like Pattern", IF($O497="TBar", "True Pattern", ""))))))))))))))))))))</f>
        <v>True Pattern</v>
      </c>
      <c r="Q497" s="13" t="str">
        <f>IF(NOT(ISERR(SEARCH("*_Buggy",$A497))), "Buggy", IF(NOT(ISERR(SEARCH("*_Fixed",$A497))), "Fixed", IF(NOT(ISERR(SEARCH("*_Repaired",$A497))), "Repaired", "")))</f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>LEFT($A498,FIND("_",$A498)-1)</f>
        <v>TBar</v>
      </c>
      <c r="P498" s="13" t="str">
        <f>IF($O498="ACS", "True Search", IF($O498="Arja", "Evolutionary Search", IF($O498="AVATAR", "True Pattern", IF($O498="CapGen", "Search Like Pattern", IF($O498="Cardumen", "True Semantic", IF($O498="DynaMoth", "True Semantic", IF($O498="FixMiner", "True Pattern", IF($O498="GenProg-A", "Evolutionary Search", IF($O498="Hercules", "Learning Pattern", IF($O498="Jaid", "True Semantic",
IF($O498="Kali-A", "True Search", IF($O498="kPAR", "True Pattern", IF($O498="Nopol", "True Semantic", IF($O498="RSRepair-A", "Evolutionary Search", IF($O498="SequenceR", "Deep Learning", IF($O498="SimFix", "Search Like Pattern", IF($O498="SketchFix", "True Pattern", IF($O498="SOFix", "True Pattern", IF($O498="ssFix", "Search Like Pattern", IF($O498="TBar", "True Pattern", ""))))))))))))))))))))</f>
        <v>True Pattern</v>
      </c>
      <c r="Q498" s="13" t="str">
        <f>IF(NOT(ISERR(SEARCH("*_Buggy",$A498))), "Buggy", IF(NOT(ISERR(SEARCH("*_Fixed",$A498))), "Fixed", IF(NOT(ISERR(SEARCH("*_Repaired",$A498))), "Repaired", "")))</f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>LEFT($A499,FIND("_",$A499)-1)</f>
        <v>TBar</v>
      </c>
      <c r="P499" s="13" t="str">
        <f>IF($O499="ACS", "True Search", IF($O499="Arja", "Evolutionary Search", IF($O499="AVATAR", "True Pattern", IF($O499="CapGen", "Search Like Pattern", IF($O499="Cardumen", "True Semantic", IF($O499="DynaMoth", "True Semantic", IF($O499="FixMiner", "True Pattern", IF($O499="GenProg-A", "Evolutionary Search", IF($O499="Hercules", "Learning Pattern", IF($O499="Jaid", "True Semantic",
IF($O499="Kali-A", "True Search", IF($O499="kPAR", "True Pattern", IF($O499="Nopol", "True Semantic", IF($O499="RSRepair-A", "Evolutionary Search", IF($O499="SequenceR", "Deep Learning", IF($O499="SimFix", "Search Like Pattern", IF($O499="SketchFix", "True Pattern", IF($O499="SOFix", "True Pattern", IF($O499="ssFix", "Search Like Pattern", IF($O499="TBar", "True Pattern", ""))))))))))))))))))))</f>
        <v>True Pattern</v>
      </c>
      <c r="Q499" s="13" t="str">
        <f>IF(NOT(ISERR(SEARCH("*_Buggy",$A499))), "Buggy", IF(NOT(ISERR(SEARCH("*_Fixed",$A499))), "Fixed", IF(NOT(ISERR(SEARCH("*_Repaired",$A499))), "Repaired", "")))</f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>LEFT($A500,FIND("_",$A500)-1)</f>
        <v>TBar</v>
      </c>
      <c r="P500" s="13" t="str">
        <f>IF($O500="ACS", "True Search", IF($O500="Arja", "Evolutionary Search", IF($O500="AVATAR", "True Pattern", IF($O500="CapGen", "Search Like Pattern", IF($O500="Cardumen", "True Semantic", IF($O500="DynaMoth", "True Semantic", IF($O500="FixMiner", "True Pattern", IF($O500="GenProg-A", "Evolutionary Search", IF($O500="Hercules", "Learning Pattern", IF($O500="Jaid", "True Semantic",
IF($O500="Kali-A", "True Search", IF($O500="kPAR", "True Pattern", IF($O500="Nopol", "True Semantic", IF($O500="RSRepair-A", "Evolutionary Search", IF($O500="SequenceR", "Deep Learning", IF($O500="SimFix", "Search Like Pattern", IF($O500="SketchFix", "True Pattern", IF($O500="SOFix", "True Pattern", IF($O500="ssFix", "Search Like Pattern", IF($O500="TBar", "True Pattern", ""))))))))))))))))))))</f>
        <v>True Pattern</v>
      </c>
      <c r="Q500" s="13" t="str">
        <f>IF(NOT(ISERR(SEARCH("*_Buggy",$A500))), "Buggy", IF(NOT(ISERR(SEARCH("*_Fixed",$A500))), "Fixed", IF(NOT(ISERR(SEARCH("*_Repaired",$A500))), "Repaired", "")))</f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>LEFT($A501,FIND("_",$A501)-1)</f>
        <v>TBar</v>
      </c>
      <c r="P501" s="13" t="str">
        <f>IF($O501="ACS", "True Search", IF($O501="Arja", "Evolutionary Search", IF($O501="AVATAR", "True Pattern", IF($O501="CapGen", "Search Like Pattern", IF($O501="Cardumen", "True Semantic", IF($O501="DynaMoth", "True Semantic", IF($O501="FixMiner", "True Pattern", IF($O501="GenProg-A", "Evolutionary Search", IF($O501="Hercules", "Learning Pattern", IF($O501="Jaid", "True Semantic",
IF($O501="Kali-A", "True Search", IF($O501="kPAR", "True Pattern", IF($O501="Nopol", "True Semantic", IF($O501="RSRepair-A", "Evolutionary Search", IF($O501="SequenceR", "Deep Learning", IF($O501="SimFix", "Search Like Pattern", IF($O501="SketchFix", "True Pattern", IF($O501="SOFix", "True Pattern", IF($O501="ssFix", "Search Like Pattern", IF($O501="TBar", "True Pattern", ""))))))))))))))))))))</f>
        <v>True Pattern</v>
      </c>
      <c r="Q501" s="13" t="str">
        <f>IF(NOT(ISERR(SEARCH("*_Buggy",$A501))), "Buggy", IF(NOT(ISERR(SEARCH("*_Fixed",$A501))), "Fixed", IF(NOT(ISERR(SEARCH("*_Repaired",$A501))), "Repaired", "")))</f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>LEFT($A502,FIND("_",$A502)-1)</f>
        <v>TBar</v>
      </c>
      <c r="P502" s="13" t="str">
        <f>IF($O502="ACS", "True Search", IF($O502="Arja", "Evolutionary Search", IF($O502="AVATAR", "True Pattern", IF($O502="CapGen", "Search Like Pattern", IF($O502="Cardumen", "True Semantic", IF($O502="DynaMoth", "True Semantic", IF($O502="FixMiner", "True Pattern", IF($O502="GenProg-A", "Evolutionary Search", IF($O502="Hercules", "Learning Pattern", IF($O502="Jaid", "True Semantic",
IF($O502="Kali-A", "True Search", IF($O502="kPAR", "True Pattern", IF($O502="Nopol", "True Semantic", IF($O502="RSRepair-A", "Evolutionary Search", IF($O502="SequenceR", "Deep Learning", IF($O502="SimFix", "Search Like Pattern", IF($O502="SketchFix", "True Pattern", IF($O502="SOFix", "True Pattern", IF($O502="ssFix", "Search Like Pattern", IF($O502="TBar", "True Pattern", ""))))))))))))))))))))</f>
        <v>True Pattern</v>
      </c>
      <c r="Q502" s="13" t="str">
        <f>IF(NOT(ISERR(SEARCH("*_Buggy",$A502))), "Buggy", IF(NOT(ISERR(SEARCH("*_Fixed",$A502))), "Fixed", IF(NOT(ISERR(SEARCH("*_Repaired",$A502))), "Repaired", "")))</f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>LEFT($A503,FIND("_",$A503)-1)</f>
        <v>TBar</v>
      </c>
      <c r="P503" s="13" t="str">
        <f>IF($O503="ACS", "True Search", IF($O503="Arja", "Evolutionary Search", IF($O503="AVATAR", "True Pattern", IF($O503="CapGen", "Search Like Pattern", IF($O503="Cardumen", "True Semantic", IF($O503="DynaMoth", "True Semantic", IF($O503="FixMiner", "True Pattern", IF($O503="GenProg-A", "Evolutionary Search", IF($O503="Hercules", "Learning Pattern", IF($O503="Jaid", "True Semantic",
IF($O503="Kali-A", "True Search", IF($O503="kPAR", "True Pattern", IF($O503="Nopol", "True Semantic", IF($O503="RSRepair-A", "Evolutionary Search", IF($O503="SequenceR", "Deep Learning", IF($O503="SimFix", "Search Like Pattern", IF($O503="SketchFix", "True Pattern", IF($O503="SOFix", "True Pattern", IF($O503="ssFix", "Search Like Pattern", IF($O503="TBar", "True Pattern", ""))))))))))))))))))))</f>
        <v>True Pattern</v>
      </c>
      <c r="Q503" s="13" t="str">
        <f>IF(NOT(ISERR(SEARCH("*_Buggy",$A503))), "Buggy", IF(NOT(ISERR(SEARCH("*_Fixed",$A503))), "Fixed", IF(NOT(ISERR(SEARCH("*_Repaired",$A503))), "Repaired", "")))</f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>LEFT($A504,FIND("_",$A504)-1)</f>
        <v>TBar</v>
      </c>
      <c r="P504" s="13" t="str">
        <f>IF($O504="ACS", "True Search", IF($O504="Arja", "Evolutionary Search", IF($O504="AVATAR", "True Pattern", IF($O504="CapGen", "Search Like Pattern", IF($O504="Cardumen", "True Semantic", IF($O504="DynaMoth", "True Semantic", IF($O504="FixMiner", "True Pattern", IF($O504="GenProg-A", "Evolutionary Search", IF($O504="Hercules", "Learning Pattern", IF($O504="Jaid", "True Semantic",
IF($O504="Kali-A", "True Search", IF($O504="kPAR", "True Pattern", IF($O504="Nopol", "True Semantic", IF($O504="RSRepair-A", "Evolutionary Search", IF($O504="SequenceR", "Deep Learning", IF($O504="SimFix", "Search Like Pattern", IF($O504="SketchFix", "True Pattern", IF($O504="SOFix", "True Pattern", IF($O504="ssFix", "Search Like Pattern", IF($O504="TBar", "True Pattern", ""))))))))))))))))))))</f>
        <v>True Pattern</v>
      </c>
      <c r="Q504" s="13" t="str">
        <f>IF(NOT(ISERR(SEARCH("*_Buggy",$A504))), "Buggy", IF(NOT(ISERR(SEARCH("*_Fixed",$A504))), "Fixed", IF(NOT(ISERR(SEARCH("*_Repaired",$A504))), "Repaired", "")))</f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>LEFT($A505,FIND("_",$A505)-1)</f>
        <v>TBar</v>
      </c>
      <c r="P505" s="13" t="str">
        <f>IF($O505="ACS", "True Search", IF($O505="Arja", "Evolutionary Search", IF($O505="AVATAR", "True Pattern", IF($O505="CapGen", "Search Like Pattern", IF($O505="Cardumen", "True Semantic", IF($O505="DynaMoth", "True Semantic", IF($O505="FixMiner", "True Pattern", IF($O505="GenProg-A", "Evolutionary Search", IF($O505="Hercules", "Learning Pattern", IF($O505="Jaid", "True Semantic",
IF($O505="Kali-A", "True Search", IF($O505="kPAR", "True Pattern", IF($O505="Nopol", "True Semantic", IF($O505="RSRepair-A", "Evolutionary Search", IF($O505="SequenceR", "Deep Learning", IF($O505="SimFix", "Search Like Pattern", IF($O505="SketchFix", "True Pattern", IF($O505="SOFix", "True Pattern", IF($O505="ssFix", "Search Like Pattern", IF($O505="TBar", "True Pattern", ""))))))))))))))))))))</f>
        <v>True Pattern</v>
      </c>
      <c r="Q505" s="13" t="str">
        <f>IF(NOT(ISERR(SEARCH("*_Buggy",$A505))), "Buggy", IF(NOT(ISERR(SEARCH("*_Fixed",$A505))), "Fixed", IF(NOT(ISERR(SEARCH("*_Repaired",$A505))), "Repaired", "")))</f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>LEFT($A506,FIND("_",$A506)-1)</f>
        <v>TBar</v>
      </c>
      <c r="P506" s="13" t="str">
        <f>IF($O506="ACS", "True Search", IF($O506="Arja", "Evolutionary Search", IF($O506="AVATAR", "True Pattern", IF($O506="CapGen", "Search Like Pattern", IF($O506="Cardumen", "True Semantic", IF($O506="DynaMoth", "True Semantic", IF($O506="FixMiner", "True Pattern", IF($O506="GenProg-A", "Evolutionary Search", IF($O506="Hercules", "Learning Pattern", IF($O506="Jaid", "True Semantic",
IF($O506="Kali-A", "True Search", IF($O506="kPAR", "True Pattern", IF($O506="Nopol", "True Semantic", IF($O506="RSRepair-A", "Evolutionary Search", IF($O506="SequenceR", "Deep Learning", IF($O506="SimFix", "Search Like Pattern", IF($O506="SketchFix", "True Pattern", IF($O506="SOFix", "True Pattern", IF($O506="ssFix", "Search Like Pattern", IF($O506="TBar", "True Pattern", ""))))))))))))))))))))</f>
        <v>True Pattern</v>
      </c>
      <c r="Q506" s="13" t="str">
        <f>IF(NOT(ISERR(SEARCH("*_Buggy",$A506))), "Buggy", IF(NOT(ISERR(SEARCH("*_Fixed",$A506))), "Fixed", IF(NOT(ISERR(SEARCH("*_Repaired",$A506))), "Repaired", "")))</f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>LEFT($A507,FIND("_",$A507)-1)</f>
        <v>TBar</v>
      </c>
      <c r="P507" s="13" t="str">
        <f>IF($O507="ACS", "True Search", IF($O507="Arja", "Evolutionary Search", IF($O507="AVATAR", "True Pattern", IF($O507="CapGen", "Search Like Pattern", IF($O507="Cardumen", "True Semantic", IF($O507="DynaMoth", "True Semantic", IF($O507="FixMiner", "True Pattern", IF($O507="GenProg-A", "Evolutionary Search", IF($O507="Hercules", "Learning Pattern", IF($O507="Jaid", "True Semantic",
IF($O507="Kali-A", "True Search", IF($O507="kPAR", "True Pattern", IF($O507="Nopol", "True Semantic", IF($O507="RSRepair-A", "Evolutionary Search", IF($O507="SequenceR", "Deep Learning", IF($O507="SimFix", "Search Like Pattern", IF($O507="SketchFix", "True Pattern", IF($O507="SOFix", "True Pattern", IF($O507="ssFix", "Search Like Pattern", IF($O507="TBar", "True Pattern", ""))))))))))))))))))))</f>
        <v>True Pattern</v>
      </c>
      <c r="Q507" s="13" t="str">
        <f>IF(NOT(ISERR(SEARCH("*_Buggy",$A507))), "Buggy", IF(NOT(ISERR(SEARCH("*_Fixed",$A507))), "Fixed", IF(NOT(ISERR(SEARCH("*_Repaired",$A507))), "Repaired", "")))</f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>LEFT($A508,FIND("_",$A508)-1)</f>
        <v>TBar</v>
      </c>
      <c r="P508" s="13" t="str">
        <f>IF($O508="ACS", "True Search", IF($O508="Arja", "Evolutionary Search", IF($O508="AVATAR", "True Pattern", IF($O508="CapGen", "Search Like Pattern", IF($O508="Cardumen", "True Semantic", IF($O508="DynaMoth", "True Semantic", IF($O508="FixMiner", "True Pattern", IF($O508="GenProg-A", "Evolutionary Search", IF($O508="Hercules", "Learning Pattern", IF($O508="Jaid", "True Semantic",
IF($O508="Kali-A", "True Search", IF($O508="kPAR", "True Pattern", IF($O508="Nopol", "True Semantic", IF($O508="RSRepair-A", "Evolutionary Search", IF($O508="SequenceR", "Deep Learning", IF($O508="SimFix", "Search Like Pattern", IF($O508="SketchFix", "True Pattern", IF($O508="SOFix", "True Pattern", IF($O508="ssFix", "Search Like Pattern", IF($O508="TBar", "True Pattern", ""))))))))))))))))))))</f>
        <v>True Pattern</v>
      </c>
      <c r="Q508" s="13" t="str">
        <f>IF(NOT(ISERR(SEARCH("*_Buggy",$A508))), "Buggy", IF(NOT(ISERR(SEARCH("*_Fixed",$A508))), "Fixed", IF(NOT(ISERR(SEARCH("*_Repaired",$A508))), "Repaired", "")))</f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>LEFT($A509,FIND("_",$A509)-1)</f>
        <v>TBar</v>
      </c>
      <c r="P509" s="13" t="str">
        <f>IF($O509="ACS", "True Search", IF($O509="Arja", "Evolutionary Search", IF($O509="AVATAR", "True Pattern", IF($O509="CapGen", "Search Like Pattern", IF($O509="Cardumen", "True Semantic", IF($O509="DynaMoth", "True Semantic", IF($O509="FixMiner", "True Pattern", IF($O509="GenProg-A", "Evolutionary Search", IF($O509="Hercules", "Learning Pattern", IF($O509="Jaid", "True Semantic",
IF($O509="Kali-A", "True Search", IF($O509="kPAR", "True Pattern", IF($O509="Nopol", "True Semantic", IF($O509="RSRepair-A", "Evolutionary Search", IF($O509="SequenceR", "Deep Learning", IF($O509="SimFix", "Search Like Pattern", IF($O509="SketchFix", "True Pattern", IF($O509="SOFix", "True Pattern", IF($O509="ssFix", "Search Like Pattern", IF($O509="TBar", "True Pattern", ""))))))))))))))))))))</f>
        <v>True Pattern</v>
      </c>
      <c r="Q509" s="13" t="str">
        <f>IF(NOT(ISERR(SEARCH("*_Buggy",$A509))), "Buggy", IF(NOT(ISERR(SEARCH("*_Fixed",$A509))), "Fixed", IF(NOT(ISERR(SEARCH("*_Repaired",$A509))), "Repaired", "")))</f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>LEFT($A510,FIND("_",$A510)-1)</f>
        <v>TBar</v>
      </c>
      <c r="P510" s="13" t="str">
        <f>IF($O510="ACS", "True Search", IF($O510="Arja", "Evolutionary Search", IF($O510="AVATAR", "True Pattern", IF($O510="CapGen", "Search Like Pattern", IF($O510="Cardumen", "True Semantic", IF($O510="DynaMoth", "True Semantic", IF($O510="FixMiner", "True Pattern", IF($O510="GenProg-A", "Evolutionary Search", IF($O510="Hercules", "Learning Pattern", IF($O510="Jaid", "True Semantic",
IF($O510="Kali-A", "True Search", IF($O510="kPAR", "True Pattern", IF($O510="Nopol", "True Semantic", IF($O510="RSRepair-A", "Evolutionary Search", IF($O510="SequenceR", "Deep Learning", IF($O510="SimFix", "Search Like Pattern", IF($O510="SketchFix", "True Pattern", IF($O510="SOFix", "True Pattern", IF($O510="ssFix", "Search Like Pattern", IF($O510="TBar", "True Pattern", ""))))))))))))))))))))</f>
        <v>True Pattern</v>
      </c>
      <c r="Q510" s="13" t="str">
        <f>IF(NOT(ISERR(SEARCH("*_Buggy",$A510))), "Buggy", IF(NOT(ISERR(SEARCH("*_Fixed",$A510))), "Fixed", IF(NOT(ISERR(SEARCH("*_Repaired",$A510))), "Repaired", "")))</f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>LEFT($A511,FIND("_",$A511)-1)</f>
        <v>TBar</v>
      </c>
      <c r="P511" s="13" t="str">
        <f>IF($O511="ACS", "True Search", IF($O511="Arja", "Evolutionary Search", IF($O511="AVATAR", "True Pattern", IF($O511="CapGen", "Search Like Pattern", IF($O511="Cardumen", "True Semantic", IF($O511="DynaMoth", "True Semantic", IF($O511="FixMiner", "True Pattern", IF($O511="GenProg-A", "Evolutionary Search", IF($O511="Hercules", "Learning Pattern", IF($O511="Jaid", "True Semantic",
IF($O511="Kali-A", "True Search", IF($O511="kPAR", "True Pattern", IF($O511="Nopol", "True Semantic", IF($O511="RSRepair-A", "Evolutionary Search", IF($O511="SequenceR", "Deep Learning", IF($O511="SimFix", "Search Like Pattern", IF($O511="SketchFix", "True Pattern", IF($O511="SOFix", "True Pattern", IF($O511="ssFix", "Search Like Pattern", IF($O511="TBar", "True Pattern", ""))))))))))))))))))))</f>
        <v>True Pattern</v>
      </c>
      <c r="Q511" s="13" t="str">
        <f>IF(NOT(ISERR(SEARCH("*_Buggy",$A511))), "Buggy", IF(NOT(ISERR(SEARCH("*_Fixed",$A511))), "Fixed", IF(NOT(ISERR(SEARCH("*_Repaired",$A511))), "Repaired", "")))</f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>LEFT($A512,FIND("_",$A512)-1)</f>
        <v>TBar</v>
      </c>
      <c r="P512" s="13" t="str">
        <f>IF($O512="ACS", "True Search", IF($O512="Arja", "Evolutionary Search", IF($O512="AVATAR", "True Pattern", IF($O512="CapGen", "Search Like Pattern", IF($O512="Cardumen", "True Semantic", IF($O512="DynaMoth", "True Semantic", IF($O512="FixMiner", "True Pattern", IF($O512="GenProg-A", "Evolutionary Search", IF($O512="Hercules", "Learning Pattern", IF($O512="Jaid", "True Semantic",
IF($O512="Kali-A", "True Search", IF($O512="kPAR", "True Pattern", IF($O512="Nopol", "True Semantic", IF($O512="RSRepair-A", "Evolutionary Search", IF($O512="SequenceR", "Deep Learning", IF($O512="SimFix", "Search Like Pattern", IF($O512="SketchFix", "True Pattern", IF($O512="SOFix", "True Pattern", IF($O512="ssFix", "Search Like Pattern", IF($O512="TBar", "True Pattern", ""))))))))))))))))))))</f>
        <v>True Pattern</v>
      </c>
      <c r="Q512" s="13" t="str">
        <f>IF(NOT(ISERR(SEARCH("*_Buggy",$A512))), "Buggy", IF(NOT(ISERR(SEARCH("*_Fixed",$A512))), "Fixed", IF(NOT(ISERR(SEARCH("*_Repaired",$A512))), "Repaired", "")))</f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>LEFT($A513,FIND("_",$A513)-1)</f>
        <v>TBar</v>
      </c>
      <c r="P513" s="13" t="str">
        <f>IF($O513="ACS", "True Search", IF($O513="Arja", "Evolutionary Search", IF($O513="AVATAR", "True Pattern", IF($O513="CapGen", "Search Like Pattern", IF($O513="Cardumen", "True Semantic", IF($O513="DynaMoth", "True Semantic", IF($O513="FixMiner", "True Pattern", IF($O513="GenProg-A", "Evolutionary Search", IF($O513="Hercules", "Learning Pattern", IF($O513="Jaid", "True Semantic",
IF($O513="Kali-A", "True Search", IF($O513="kPAR", "True Pattern", IF($O513="Nopol", "True Semantic", IF($O513="RSRepair-A", "Evolutionary Search", IF($O513="SequenceR", "Deep Learning", IF($O513="SimFix", "Search Like Pattern", IF($O513="SketchFix", "True Pattern", IF($O513="SOFix", "True Pattern", IF($O513="ssFix", "Search Like Pattern", IF($O513="TBar", "True Pattern", ""))))))))))))))))))))</f>
        <v>True Pattern</v>
      </c>
      <c r="Q513" s="13" t="str">
        <f>IF(NOT(ISERR(SEARCH("*_Buggy",$A513))), "Buggy", IF(NOT(ISERR(SEARCH("*_Fixed",$A513))), "Fixed", IF(NOT(ISERR(SEARCH("*_Repaired",$A513))), "Repaired", "")))</f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>LEFT($A514,FIND("_",$A514)-1)</f>
        <v>TBar</v>
      </c>
      <c r="P514" s="13" t="str">
        <f>IF($O514="ACS", "True Search", IF($O514="Arja", "Evolutionary Search", IF($O514="AVATAR", "True Pattern", IF($O514="CapGen", "Search Like Pattern", IF($O514="Cardumen", "True Semantic", IF($O514="DynaMoth", "True Semantic", IF($O514="FixMiner", "True Pattern", IF($O514="GenProg-A", "Evolutionary Search", IF($O514="Hercules", "Learning Pattern", IF($O514="Jaid", "True Semantic",
IF($O514="Kali-A", "True Search", IF($O514="kPAR", "True Pattern", IF($O514="Nopol", "True Semantic", IF($O514="RSRepair-A", "Evolutionary Search", IF($O514="SequenceR", "Deep Learning", IF($O514="SimFix", "Search Like Pattern", IF($O514="SketchFix", "True Pattern", IF($O514="SOFix", "True Pattern", IF($O514="ssFix", "Search Like Pattern", IF($O514="TBar", "True Pattern", ""))))))))))))))))))))</f>
        <v>True Pattern</v>
      </c>
      <c r="Q514" s="13" t="str">
        <f>IF(NOT(ISERR(SEARCH("*_Buggy",$A514))), "Buggy", IF(NOT(ISERR(SEARCH("*_Fixed",$A514))), "Fixed", IF(NOT(ISERR(SEARCH("*_Repaired",$A514))), "Repaired", "")))</f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>LEFT($A515,FIND("_",$A515)-1)</f>
        <v>TBar</v>
      </c>
      <c r="P515" s="13" t="str">
        <f>IF($O515="ACS", "True Search", IF($O515="Arja", "Evolutionary Search", IF($O515="AVATAR", "True Pattern", IF($O515="CapGen", "Search Like Pattern", IF($O515="Cardumen", "True Semantic", IF($O515="DynaMoth", "True Semantic", IF($O515="FixMiner", "True Pattern", IF($O515="GenProg-A", "Evolutionary Search", IF($O515="Hercules", "Learning Pattern", IF($O515="Jaid", "True Semantic",
IF($O515="Kali-A", "True Search", IF($O515="kPAR", "True Pattern", IF($O515="Nopol", "True Semantic", IF($O515="RSRepair-A", "Evolutionary Search", IF($O515="SequenceR", "Deep Learning", IF($O515="SimFix", "Search Like Pattern", IF($O515="SketchFix", "True Pattern", IF($O515="SOFix", "True Pattern", IF($O515="ssFix", "Search Like Pattern", IF($O515="TBar", "True Pattern", ""))))))))))))))))))))</f>
        <v>True Pattern</v>
      </c>
      <c r="Q515" s="13" t="str">
        <f>IF(NOT(ISERR(SEARCH("*_Buggy",$A515))), "Buggy", IF(NOT(ISERR(SEARCH("*_Fixed",$A515))), "Fixed", IF(NOT(ISERR(SEARCH("*_Repaired",$A515))), "Repaired", "")))</f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>LEFT($A516,FIND("_",$A516)-1)</f>
        <v>TBar</v>
      </c>
      <c r="P516" s="13" t="str">
        <f>IF($O516="ACS", "True Search", IF($O516="Arja", "Evolutionary Search", IF($O516="AVATAR", "True Pattern", IF($O516="CapGen", "Search Like Pattern", IF($O516="Cardumen", "True Semantic", IF($O516="DynaMoth", "True Semantic", IF($O516="FixMiner", "True Pattern", IF($O516="GenProg-A", "Evolutionary Search", IF($O516="Hercules", "Learning Pattern", IF($O516="Jaid", "True Semantic",
IF($O516="Kali-A", "True Search", IF($O516="kPAR", "True Pattern", IF($O516="Nopol", "True Semantic", IF($O516="RSRepair-A", "Evolutionary Search", IF($O516="SequenceR", "Deep Learning", IF($O516="SimFix", "Search Like Pattern", IF($O516="SketchFix", "True Pattern", IF($O516="SOFix", "True Pattern", IF($O516="ssFix", "Search Like Pattern", IF($O516="TBar", "True Pattern", ""))))))))))))))))))))</f>
        <v>True Pattern</v>
      </c>
      <c r="Q516" s="13" t="str">
        <f>IF(NOT(ISERR(SEARCH("*_Buggy",$A516))), "Buggy", IF(NOT(ISERR(SEARCH("*_Fixed",$A516))), "Fixed", IF(NOT(ISERR(SEARCH("*_Repaired",$A516))), "Repaired", "")))</f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>LEFT($A517,FIND("_",$A517)-1)</f>
        <v>TBar</v>
      </c>
      <c r="P517" s="13" t="str">
        <f>IF($O517="ACS", "True Search", IF($O517="Arja", "Evolutionary Search", IF($O517="AVATAR", "True Pattern", IF($O517="CapGen", "Search Like Pattern", IF($O517="Cardumen", "True Semantic", IF($O517="DynaMoth", "True Semantic", IF($O517="FixMiner", "True Pattern", IF($O517="GenProg-A", "Evolutionary Search", IF($O517="Hercules", "Learning Pattern", IF($O517="Jaid", "True Semantic",
IF($O517="Kali-A", "True Search", IF($O517="kPAR", "True Pattern", IF($O517="Nopol", "True Semantic", IF($O517="RSRepair-A", "Evolutionary Search", IF($O517="SequenceR", "Deep Learning", IF($O517="SimFix", "Search Like Pattern", IF($O517="SketchFix", "True Pattern", IF($O517="SOFix", "True Pattern", IF($O517="ssFix", "Search Like Pattern", IF($O517="TBar", "True Pattern", ""))))))))))))))))))))</f>
        <v>True Pattern</v>
      </c>
      <c r="Q517" s="13" t="str">
        <f>IF(NOT(ISERR(SEARCH("*_Buggy",$A517))), "Buggy", IF(NOT(ISERR(SEARCH("*_Fixed",$A517))), "Fixed", IF(NOT(ISERR(SEARCH("*_Repaired",$A517))), "Repaired", "")))</f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>LEFT($A518,FIND("_",$A518)-1)</f>
        <v>TBar</v>
      </c>
      <c r="P518" s="13" t="str">
        <f>IF($O518="ACS", "True Search", IF($O518="Arja", "Evolutionary Search", IF($O518="AVATAR", "True Pattern", IF($O518="CapGen", "Search Like Pattern", IF($O518="Cardumen", "True Semantic", IF($O518="DynaMoth", "True Semantic", IF($O518="FixMiner", "True Pattern", IF($O518="GenProg-A", "Evolutionary Search", IF($O518="Hercules", "Learning Pattern", IF($O518="Jaid", "True Semantic",
IF($O518="Kali-A", "True Search", IF($O518="kPAR", "True Pattern", IF($O518="Nopol", "True Semantic", IF($O518="RSRepair-A", "Evolutionary Search", IF($O518="SequenceR", "Deep Learning", IF($O518="SimFix", "Search Like Pattern", IF($O518="SketchFix", "True Pattern", IF($O518="SOFix", "True Pattern", IF($O518="ssFix", "Search Like Pattern", IF($O518="TBar", "True Pattern", ""))))))))))))))))))))</f>
        <v>True Pattern</v>
      </c>
      <c r="Q518" s="13" t="str">
        <f>IF(NOT(ISERR(SEARCH("*_Buggy",$A518))), "Buggy", IF(NOT(ISERR(SEARCH("*_Fixed",$A518))), "Fixed", IF(NOT(ISERR(SEARCH("*_Repaired",$A518))), "Repaired", "")))</f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>LEFT($A519,FIND("_",$A519)-1)</f>
        <v>TBar</v>
      </c>
      <c r="P519" s="13" t="str">
        <f>IF($O519="ACS", "True Search", IF($O519="Arja", "Evolutionary Search", IF($O519="AVATAR", "True Pattern", IF($O519="CapGen", "Search Like Pattern", IF($O519="Cardumen", "True Semantic", IF($O519="DynaMoth", "True Semantic", IF($O519="FixMiner", "True Pattern", IF($O519="GenProg-A", "Evolutionary Search", IF($O519="Hercules", "Learning Pattern", IF($O519="Jaid", "True Semantic",
IF($O519="Kali-A", "True Search", IF($O519="kPAR", "True Pattern", IF($O519="Nopol", "True Semantic", IF($O519="RSRepair-A", "Evolutionary Search", IF($O519="SequenceR", "Deep Learning", IF($O519="SimFix", "Search Like Pattern", IF($O519="SketchFix", "True Pattern", IF($O519="SOFix", "True Pattern", IF($O519="ssFix", "Search Like Pattern", IF($O519="TBar", "True Pattern", ""))))))))))))))))))))</f>
        <v>True Pattern</v>
      </c>
      <c r="Q519" s="13" t="str">
        <f>IF(NOT(ISERR(SEARCH("*_Buggy",$A519))), "Buggy", IF(NOT(ISERR(SEARCH("*_Fixed",$A519))), "Fixed", IF(NOT(ISERR(SEARCH("*_Repaired",$A519))), "Repaired", "")))</f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>LEFT($A520,FIND("_",$A520)-1)</f>
        <v>TBar</v>
      </c>
      <c r="P520" s="13" t="str">
        <f>IF($O520="ACS", "True Search", IF($O520="Arja", "Evolutionary Search", IF($O520="AVATAR", "True Pattern", IF($O520="CapGen", "Search Like Pattern", IF($O520="Cardumen", "True Semantic", IF($O520="DynaMoth", "True Semantic", IF($O520="FixMiner", "True Pattern", IF($O520="GenProg-A", "Evolutionary Search", IF($O520="Hercules", "Learning Pattern", IF($O520="Jaid", "True Semantic",
IF($O520="Kali-A", "True Search", IF($O520="kPAR", "True Pattern", IF($O520="Nopol", "True Semantic", IF($O520="RSRepair-A", "Evolutionary Search", IF($O520="SequenceR", "Deep Learning", IF($O520="SimFix", "Search Like Pattern", IF($O520="SketchFix", "True Pattern", IF($O520="SOFix", "True Pattern", IF($O520="ssFix", "Search Like Pattern", IF($O520="TBar", "True Pattern", ""))))))))))))))))))))</f>
        <v>True Pattern</v>
      </c>
      <c r="Q520" s="13" t="str">
        <f>IF(NOT(ISERR(SEARCH("*_Buggy",$A520))), "Buggy", IF(NOT(ISERR(SEARCH("*_Fixed",$A520))), "Fixed", IF(NOT(ISERR(SEARCH("*_Repaired",$A520))), "Repaired", "")))</f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>LEFT($A521,FIND("_",$A521)-1)</f>
        <v>TBar</v>
      </c>
      <c r="P521" s="13" t="str">
        <f>IF($O521="ACS", "True Search", IF($O521="Arja", "Evolutionary Search", IF($O521="AVATAR", "True Pattern", IF($O521="CapGen", "Search Like Pattern", IF($O521="Cardumen", "True Semantic", IF($O521="DynaMoth", "True Semantic", IF($O521="FixMiner", "True Pattern", IF($O521="GenProg-A", "Evolutionary Search", IF($O521="Hercules", "Learning Pattern", IF($O521="Jaid", "True Semantic",
IF($O521="Kali-A", "True Search", IF($O521="kPAR", "True Pattern", IF($O521="Nopol", "True Semantic", IF($O521="RSRepair-A", "Evolutionary Search", IF($O521="SequenceR", "Deep Learning", IF($O521="SimFix", "Search Like Pattern", IF($O521="SketchFix", "True Pattern", IF($O521="SOFix", "True Pattern", IF($O521="ssFix", "Search Like Pattern", IF($O521="TBar", "True Pattern", ""))))))))))))))))))))</f>
        <v>True Pattern</v>
      </c>
      <c r="Q521" s="13" t="str">
        <f>IF(NOT(ISERR(SEARCH("*_Buggy",$A521))), "Buggy", IF(NOT(ISERR(SEARCH("*_Fixed",$A521))), "Fixed", IF(NOT(ISERR(SEARCH("*_Repaired",$A521))), "Repaired", "")))</f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>LEFT($A522,FIND("_",$A522)-1)</f>
        <v>TBar</v>
      </c>
      <c r="P522" s="13" t="str">
        <f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>IF(NOT(ISERR(SEARCH("*_Buggy",$A522))), "Buggy", IF(NOT(ISERR(SEARCH("*_Fixed",$A522))), "Fixed", IF(NOT(ISERR(SEARCH("*_Repaired",$A522))), "Repaired", "")))</f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>LEFT($A523,FIND("_",$A523)-1)</f>
        <v>TBar</v>
      </c>
      <c r="P523" s="13" t="str">
        <f>IF($O523="ACS", "True Search", IF($O523="Arja", "Evolutionary Search", IF($O523="AVATAR", "True Pattern", IF($O523="CapGen", "Search Like Pattern", IF($O523="Cardumen", "True Semantic", IF($O523="DynaMoth", "True Semantic", IF($O523="FixMiner", "True Pattern", IF($O523="GenProg-A", "Evolutionary Search", IF($O523="Hercules", "Learning Pattern", IF($O523="Jaid", "True Semantic",
IF($O523="Kali-A", "True Search", IF($O523="kPAR", "True Pattern", IF($O523="Nopol", "True Semantic", IF($O523="RSRepair-A", "Evolutionary Search", IF($O523="SequenceR", "Deep Learning", IF($O523="SimFix", "Search Like Pattern", IF($O523="SketchFix", "True Pattern", IF($O523="SOFix", "True Pattern", IF($O523="ssFix", "Search Like Pattern", IF($O523="TBar", "True Pattern", ""))))))))))))))))))))</f>
        <v>True Pattern</v>
      </c>
      <c r="Q523" s="13" t="str">
        <f>IF(NOT(ISERR(SEARCH("*_Buggy",$A523))), "Buggy", IF(NOT(ISERR(SEARCH("*_Fixed",$A523))), "Fixed", IF(NOT(ISERR(SEARCH("*_Repaired",$A523))), "Repaired", "")))</f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>LEFT($A524,FIND("_",$A524)-1)</f>
        <v>TBar</v>
      </c>
      <c r="P524" s="13" t="str">
        <f>IF($O524="ACS", "True Search", IF($O524="Arja", "Evolutionary Search", IF($O524="AVATAR", "True Pattern", IF($O524="CapGen", "Search Like Pattern", IF($O524="Cardumen", "True Semantic", IF($O524="DynaMoth", "True Semantic", IF($O524="FixMiner", "True Pattern", IF($O524="GenProg-A", "Evolutionary Search", IF($O524="Hercules", "Learning Pattern", IF($O524="Jaid", "True Semantic",
IF($O524="Kali-A", "True Search", IF($O524="kPAR", "True Pattern", IF($O524="Nopol", "True Semantic", IF($O524="RSRepair-A", "Evolutionary Search", IF($O524="SequenceR", "Deep Learning", IF($O524="SimFix", "Search Like Pattern", IF($O524="SketchFix", "True Pattern", IF($O524="SOFix", "True Pattern", IF($O524="ssFix", "Search Like Pattern", IF($O524="TBar", "True Pattern", ""))))))))))))))))))))</f>
        <v>True Pattern</v>
      </c>
      <c r="Q524" s="13" t="str">
        <f>IF(NOT(ISERR(SEARCH("*_Buggy",$A524))), "Buggy", IF(NOT(ISERR(SEARCH("*_Fixed",$A524))), "Fixed", IF(NOT(ISERR(SEARCH("*_Repaired",$A524))), "Repaired", "")))</f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>LEFT($A525,FIND("_",$A525)-1)</f>
        <v>TBar</v>
      </c>
      <c r="P525" s="13" t="str">
        <f>IF($O525="ACS", "True Search", IF($O525="Arja", "Evolutionary Search", IF($O525="AVATAR", "True Pattern", IF($O525="CapGen", "Search Like Pattern", IF($O525="Cardumen", "True Semantic", IF($O525="DynaMoth", "True Semantic", IF($O525="FixMiner", "True Pattern", IF($O525="GenProg-A", "Evolutionary Search", IF($O525="Hercules", "Learning Pattern", IF($O525="Jaid", "True Semantic",
IF($O525="Kali-A", "True Search", IF($O525="kPAR", "True Pattern", IF($O525="Nopol", "True Semantic", IF($O525="RSRepair-A", "Evolutionary Search", IF($O525="SequenceR", "Deep Learning", IF($O525="SimFix", "Search Like Pattern", IF($O525="SketchFix", "True Pattern", IF($O525="SOFix", "True Pattern", IF($O525="ssFix", "Search Like Pattern", IF($O525="TBar", "True Pattern", ""))))))))))))))))))))</f>
        <v>True Pattern</v>
      </c>
      <c r="Q525" s="13" t="str">
        <f>IF(NOT(ISERR(SEARCH("*_Buggy",$A525))), "Buggy", IF(NOT(ISERR(SEARCH("*_Fixed",$A525))), "Fixed", IF(NOT(ISERR(SEARCH("*_Repaired",$A525))), "Repaired", "")))</f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>LEFT($A526,FIND("_",$A526)-1)</f>
        <v>TBar</v>
      </c>
      <c r="P526" s="13" t="str">
        <f>IF($O526="ACS", "True Search", IF($O526="Arja", "Evolutionary Search", IF($O526="AVATAR", "True Pattern", IF($O526="CapGen", "Search Like Pattern", IF($O526="Cardumen", "True Semantic", IF($O526="DynaMoth", "True Semantic", IF($O526="FixMiner", "True Pattern", IF($O526="GenProg-A", "Evolutionary Search", IF($O526="Hercules", "Learning Pattern", IF($O526="Jaid", "True Semantic",
IF($O526="Kali-A", "True Search", IF($O526="kPAR", "True Pattern", IF($O526="Nopol", "True Semantic", IF($O526="RSRepair-A", "Evolutionary Search", IF($O526="SequenceR", "Deep Learning", IF($O526="SimFix", "Search Like Pattern", IF($O526="SketchFix", "True Pattern", IF($O526="SOFix", "True Pattern", IF($O526="ssFix", "Search Like Pattern", IF($O526="TBar", "True Pattern", ""))))))))))))))))))))</f>
        <v>True Pattern</v>
      </c>
      <c r="Q526" s="13" t="str">
        <f>IF(NOT(ISERR(SEARCH("*_Buggy",$A526))), "Buggy", IF(NOT(ISERR(SEARCH("*_Fixed",$A526))), "Fixed", IF(NOT(ISERR(SEARCH("*_Repaired",$A526))), "Repaired", "")))</f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>LEFT($A527,FIND("_",$A527)-1)</f>
        <v>TBar</v>
      </c>
      <c r="P527" s="13" t="str">
        <f>IF($O527="ACS", "True Search", IF($O527="Arja", "Evolutionary Search", IF($O527="AVATAR", "True Pattern", IF($O527="CapGen", "Search Like Pattern", IF($O527="Cardumen", "True Semantic", IF($O527="DynaMoth", "True Semantic", IF($O527="FixMiner", "True Pattern", IF($O527="GenProg-A", "Evolutionary Search", IF($O527="Hercules", "Learning Pattern", IF($O527="Jaid", "True Semantic",
IF($O527="Kali-A", "True Search", IF($O527="kPAR", "True Pattern", IF($O527="Nopol", "True Semantic", IF($O527="RSRepair-A", "Evolutionary Search", IF($O527="SequenceR", "Deep Learning", IF($O527="SimFix", "Search Like Pattern", IF($O527="SketchFix", "True Pattern", IF($O527="SOFix", "True Pattern", IF($O527="ssFix", "Search Like Pattern", IF($O527="TBar", "True Pattern", ""))))))))))))))))))))</f>
        <v>True Pattern</v>
      </c>
      <c r="Q527" s="13" t="str">
        <f>IF(NOT(ISERR(SEARCH("*_Buggy",$A527))), "Buggy", IF(NOT(ISERR(SEARCH("*_Fixed",$A527))), "Fixed", IF(NOT(ISERR(SEARCH("*_Repaired",$A527))), "Repaired", "")))</f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>LEFT($A528,FIND("_",$A528)-1)</f>
        <v>TBar</v>
      </c>
      <c r="P528" s="13" t="str">
        <f>IF($O528="ACS", "True Search", IF($O528="Arja", "Evolutionary Search", IF($O528="AVATAR", "True Pattern", IF($O528="CapGen", "Search Like Pattern", IF($O528="Cardumen", "True Semantic", IF($O528="DynaMoth", "True Semantic", IF($O528="FixMiner", "True Pattern", IF($O528="GenProg-A", "Evolutionary Search", IF($O528="Hercules", "Learning Pattern", IF($O528="Jaid", "True Semantic",
IF($O528="Kali-A", "True Search", IF($O528="kPAR", "True Pattern", IF($O528="Nopol", "True Semantic", IF($O528="RSRepair-A", "Evolutionary Search", IF($O528="SequenceR", "Deep Learning", IF($O528="SimFix", "Search Like Pattern", IF($O528="SketchFix", "True Pattern", IF($O528="SOFix", "True Pattern", IF($O528="ssFix", "Search Like Pattern", IF($O528="TBar", "True Pattern", ""))))))))))))))))))))</f>
        <v>True Pattern</v>
      </c>
      <c r="Q528" s="13" t="str">
        <f>IF(NOT(ISERR(SEARCH("*_Buggy",$A528))), "Buggy", IF(NOT(ISERR(SEARCH("*_Fixed",$A528))), "Fixed", IF(NOT(ISERR(SEARCH("*_Repaired",$A528))), "Repaired", "")))</f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>LEFT($A529,FIND("_",$A529)-1)</f>
        <v>TBar</v>
      </c>
      <c r="P529" s="13" t="str">
        <f>IF($O529="ACS", "True Search", IF($O529="Arja", "Evolutionary Search", IF($O529="AVATAR", "True Pattern", IF($O529="CapGen", "Search Like Pattern", IF($O529="Cardumen", "True Semantic", IF($O529="DynaMoth", "True Semantic", IF($O529="FixMiner", "True Pattern", IF($O529="GenProg-A", "Evolutionary Search", IF($O529="Hercules", "Learning Pattern", IF($O529="Jaid", "True Semantic",
IF($O529="Kali-A", "True Search", IF($O529="kPAR", "True Pattern", IF($O529="Nopol", "True Semantic", IF($O529="RSRepair-A", "Evolutionary Search", IF($O529="SequenceR", "Deep Learning", IF($O529="SimFix", "Search Like Pattern", IF($O529="SketchFix", "True Pattern", IF($O529="SOFix", "True Pattern", IF($O529="ssFix", "Search Like Pattern", IF($O529="TBar", "True Pattern", ""))))))))))))))))))))</f>
        <v>True Pattern</v>
      </c>
      <c r="Q529" s="13" t="str">
        <f>IF(NOT(ISERR(SEARCH("*_Buggy",$A529))), "Buggy", IF(NOT(ISERR(SEARCH("*_Fixed",$A529))), "Fixed", IF(NOT(ISERR(SEARCH("*_Repaired",$A529))), "Repaired", "")))</f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>LEFT($A530,FIND("_",$A530)-1)</f>
        <v>TBar</v>
      </c>
      <c r="P530" s="13" t="str">
        <f>IF($O530="ACS", "True Search", IF($O530="Arja", "Evolutionary Search", IF($O530="AVATAR", "True Pattern", IF($O530="CapGen", "Search Like Pattern", IF($O530="Cardumen", "True Semantic", IF($O530="DynaMoth", "True Semantic", IF($O530="FixMiner", "True Pattern", IF($O530="GenProg-A", "Evolutionary Search", IF($O530="Hercules", "Learning Pattern", IF($O530="Jaid", "True Semantic",
IF($O530="Kali-A", "True Search", IF($O530="kPAR", "True Pattern", IF($O530="Nopol", "True Semantic", IF($O530="RSRepair-A", "Evolutionary Search", IF($O530="SequenceR", "Deep Learning", IF($O530="SimFix", "Search Like Pattern", IF($O530="SketchFix", "True Pattern", IF($O530="SOFix", "True Pattern", IF($O530="ssFix", "Search Like Pattern", IF($O530="TBar", "True Pattern", ""))))))))))))))))))))</f>
        <v>True Pattern</v>
      </c>
      <c r="Q530" s="13" t="str">
        <f>IF(NOT(ISERR(SEARCH("*_Buggy",$A530))), "Buggy", IF(NOT(ISERR(SEARCH("*_Fixed",$A530))), "Fixed", IF(NOT(ISERR(SEARCH("*_Repaired",$A530))), "Repaired", "")))</f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>LEFT($A531,FIND("_",$A531)-1)</f>
        <v>TBar</v>
      </c>
      <c r="P531" s="13" t="str">
        <f>IF($O531="ACS", "True Search", IF($O531="Arja", "Evolutionary Search", IF($O531="AVATAR", "True Pattern", IF($O531="CapGen", "Search Like Pattern", IF($O531="Cardumen", "True Semantic", IF($O531="DynaMoth", "True Semantic", IF($O531="FixMiner", "True Pattern", IF($O531="GenProg-A", "Evolutionary Search", IF($O531="Hercules", "Learning Pattern", IF($O531="Jaid", "True Semantic",
IF($O531="Kali-A", "True Search", IF($O531="kPAR", "True Pattern", IF($O531="Nopol", "True Semantic", IF($O531="RSRepair-A", "Evolutionary Search", IF($O531="SequenceR", "Deep Learning", IF($O531="SimFix", "Search Like Pattern", IF($O531="SketchFix", "True Pattern", IF($O531="SOFix", "True Pattern", IF($O531="ssFix", "Search Like Pattern", IF($O531="TBar", "True Pattern", ""))))))))))))))))))))</f>
        <v>True Pattern</v>
      </c>
      <c r="Q531" s="13" t="str">
        <f>IF(NOT(ISERR(SEARCH("*_Buggy",$A531))), "Buggy", IF(NOT(ISERR(SEARCH("*_Fixed",$A531))), "Fixed", IF(NOT(ISERR(SEARCH("*_Repaired",$A531))), "Repaired", "")))</f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>LEFT($A532,FIND("_",$A532)-1)</f>
        <v>TBar</v>
      </c>
      <c r="P532" s="13" t="str">
        <f>IF($O532="ACS", "True Search", IF($O532="Arja", "Evolutionary Search", IF($O532="AVATAR", "True Pattern", IF($O532="CapGen", "Search Like Pattern", IF($O532="Cardumen", "True Semantic", IF($O532="DynaMoth", "True Semantic", IF($O532="FixMiner", "True Pattern", IF($O532="GenProg-A", "Evolutionary Search", IF($O532="Hercules", "Learning Pattern", IF($O532="Jaid", "True Semantic",
IF($O532="Kali-A", "True Search", IF($O532="kPAR", "True Pattern", IF($O532="Nopol", "True Semantic", IF($O532="RSRepair-A", "Evolutionary Search", IF($O532="SequenceR", "Deep Learning", IF($O532="SimFix", "Search Like Pattern", IF($O532="SketchFix", "True Pattern", IF($O532="SOFix", "True Pattern", IF($O532="ssFix", "Search Like Pattern", IF($O532="TBar", "True Pattern", ""))))))))))))))))))))</f>
        <v>True Pattern</v>
      </c>
      <c r="Q532" s="13" t="str">
        <f>IF(NOT(ISERR(SEARCH("*_Buggy",$A532))), "Buggy", IF(NOT(ISERR(SEARCH("*_Fixed",$A532))), "Fixed", IF(NOT(ISERR(SEARCH("*_Repaired",$A532))), "Repaired", "")))</f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>LEFT($A533,FIND("_",$A533)-1)</f>
        <v>TBar</v>
      </c>
      <c r="P533" s="13" t="str">
        <f>IF($O533="ACS", "True Search", IF($O533="Arja", "Evolutionary Search", IF($O533="AVATAR", "True Pattern", IF($O533="CapGen", "Search Like Pattern", IF($O533="Cardumen", "True Semantic", IF($O533="DynaMoth", "True Semantic", IF($O533="FixMiner", "True Pattern", IF($O533="GenProg-A", "Evolutionary Search", IF($O533="Hercules", "Learning Pattern", IF($O533="Jaid", "True Semantic",
IF($O533="Kali-A", "True Search", IF($O533="kPAR", "True Pattern", IF($O533="Nopol", "True Semantic", IF($O533="RSRepair-A", "Evolutionary Search", IF($O533="SequenceR", "Deep Learning", IF($O533="SimFix", "Search Like Pattern", IF($O533="SketchFix", "True Pattern", IF($O533="SOFix", "True Pattern", IF($O533="ssFix", "Search Like Pattern", IF($O533="TBar", "True Pattern", ""))))))))))))))))))))</f>
        <v>True Pattern</v>
      </c>
      <c r="Q533" s="13" t="str">
        <f>IF(NOT(ISERR(SEARCH("*_Buggy",$A533))), "Buggy", IF(NOT(ISERR(SEARCH("*_Fixed",$A533))), "Fixed", IF(NOT(ISERR(SEARCH("*_Repaired",$A533))), "Repaired", "")))</f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>LEFT($A534,FIND("_",$A534)-1)</f>
        <v>TBar</v>
      </c>
      <c r="P534" s="13" t="str">
        <f>IF($O534="ACS", "True Search", IF($O534="Arja", "Evolutionary Search", IF($O534="AVATAR", "True Pattern", IF($O534="CapGen", "Search Like Pattern", IF($O534="Cardumen", "True Semantic", IF($O534="DynaMoth", "True Semantic", IF($O534="FixMiner", "True Pattern", IF($O534="GenProg-A", "Evolutionary Search", IF($O534="Hercules", "Learning Pattern", IF($O534="Jaid", "True Semantic",
IF($O534="Kali-A", "True Search", IF($O534="kPAR", "True Pattern", IF($O534="Nopol", "True Semantic", IF($O534="RSRepair-A", "Evolutionary Search", IF($O534="SequenceR", "Deep Learning", IF($O534="SimFix", "Search Like Pattern", IF($O534="SketchFix", "True Pattern", IF($O534="SOFix", "True Pattern", IF($O534="ssFix", "Search Like Pattern", IF($O534="TBar", "True Pattern", ""))))))))))))))))))))</f>
        <v>True Pattern</v>
      </c>
      <c r="Q534" s="13" t="str">
        <f>IF(NOT(ISERR(SEARCH("*_Buggy",$A534))), "Buggy", IF(NOT(ISERR(SEARCH("*_Fixed",$A534))), "Fixed", IF(NOT(ISERR(SEARCH("*_Repaired",$A534))), "Repaired", "")))</f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>LEFT($A535,FIND("_",$A535)-1)</f>
        <v>TBar</v>
      </c>
      <c r="P535" s="13" t="str">
        <f>IF($O535="ACS", "True Search", IF($O535="Arja", "Evolutionary Search", IF($O535="AVATAR", "True Pattern", IF($O535="CapGen", "Search Like Pattern", IF($O535="Cardumen", "True Semantic", IF($O535="DynaMoth", "True Semantic", IF($O535="FixMiner", "True Pattern", IF($O535="GenProg-A", "Evolutionary Search", IF($O535="Hercules", "Learning Pattern", IF($O535="Jaid", "True Semantic",
IF($O535="Kali-A", "True Search", IF($O535="kPAR", "True Pattern", IF($O535="Nopol", "True Semantic", IF($O535="RSRepair-A", "Evolutionary Search", IF($O535="SequenceR", "Deep Learning", IF($O535="SimFix", "Search Like Pattern", IF($O535="SketchFix", "True Pattern", IF($O535="SOFix", "True Pattern", IF($O535="ssFix", "Search Like Pattern", IF($O535="TBar", "True Pattern", ""))))))))))))))))))))</f>
        <v>True Pattern</v>
      </c>
      <c r="Q535" s="13" t="str">
        <f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>LEFT($A536,FIND("_",$A536)-1)</f>
        <v>TBar</v>
      </c>
      <c r="P536" s="13" t="str">
        <f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>IF(NOT(ISERR(SEARCH("*_Buggy",$A536))), "Buggy", IF(NOT(ISERR(SEARCH("*_Fixed",$A536))), "Fixed", IF(NOT(ISERR(SEARCH("*_Repaired",$A536))), "Repaired", "")))</f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>LEFT($A537,FIND("_",$A537)-1)</f>
        <v>TBar</v>
      </c>
      <c r="P537" s="13" t="str">
        <f>IF($O537="ACS", "True Search", IF($O537="Arja", "Evolutionary Search", IF($O537="AVATAR", "True Pattern", IF($O537="CapGen", "Search Like Pattern", IF($O537="Cardumen", "True Semantic", IF($O537="DynaMoth", "True Semantic", IF($O537="FixMiner", "True Pattern", IF($O537="GenProg-A", "Evolutionary Search", IF($O537="Hercules", "Learning Pattern", IF($O537="Jaid", "True Semantic",
IF($O537="Kali-A", "True Search", IF($O537="kPAR", "True Pattern", IF($O537="Nopol", "True Semantic", IF($O537="RSRepair-A", "Evolutionary Search", IF($O537="SequenceR", "Deep Learning", IF($O537="SimFix", "Search Like Pattern", IF($O537="SketchFix", "True Pattern", IF($O537="SOFix", "True Pattern", IF($O537="ssFix", "Search Like Pattern", IF($O537="TBar", "True Pattern", ""))))))))))))))))))))</f>
        <v>True Pattern</v>
      </c>
      <c r="Q537" s="13" t="str">
        <f>IF(NOT(ISERR(SEARCH("*_Buggy",$A537))), "Buggy", IF(NOT(ISERR(SEARCH("*_Fixed",$A537))), "Fixed", IF(NOT(ISERR(SEARCH("*_Repaired",$A537))), "Repaired", "")))</f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>LEFT($A538,FIND("_",$A538)-1)</f>
        <v>TBar</v>
      </c>
      <c r="P538" s="13" t="str">
        <f>IF($O538="ACS", "True Search", IF($O538="Arja", "Evolutionary Search", IF($O538="AVATAR", "True Pattern", IF($O538="CapGen", "Search Like Pattern", IF($O538="Cardumen", "True Semantic", IF($O538="DynaMoth", "True Semantic", IF($O538="FixMiner", "True Pattern", IF($O538="GenProg-A", "Evolutionary Search", IF($O538="Hercules", "Learning Pattern", IF($O538="Jaid", "True Semantic",
IF($O538="Kali-A", "True Search", IF($O538="kPAR", "True Pattern", IF($O538="Nopol", "True Semantic", IF($O538="RSRepair-A", "Evolutionary Search", IF($O538="SequenceR", "Deep Learning", IF($O538="SimFix", "Search Like Pattern", IF($O538="SketchFix", "True Pattern", IF($O538="SOFix", "True Pattern", IF($O538="ssFix", "Search Like Pattern", IF($O538="TBar", "True Pattern", ""))))))))))))))))))))</f>
        <v>True Pattern</v>
      </c>
      <c r="Q538" s="13" t="str">
        <f>IF(NOT(ISERR(SEARCH("*_Buggy",$A538))), "Buggy", IF(NOT(ISERR(SEARCH("*_Fixed",$A538))), "Fixed", IF(NOT(ISERR(SEARCH("*_Repaired",$A538))), "Repaired", "")))</f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>LEFT($A539,FIND("_",$A539)-1)</f>
        <v>TBar</v>
      </c>
      <c r="P539" s="13" t="str">
        <f>IF($O539="ACS", "True Search", IF($O539="Arja", "Evolutionary Search", IF($O539="AVATAR", "True Pattern", IF($O539="CapGen", "Search Like Pattern", IF($O539="Cardumen", "True Semantic", IF($O539="DynaMoth", "True Semantic", IF($O539="FixMiner", "True Pattern", IF($O539="GenProg-A", "Evolutionary Search", IF($O539="Hercules", "Learning Pattern", IF($O539="Jaid", "True Semantic",
IF($O539="Kali-A", "True Search", IF($O539="kPAR", "True Pattern", IF($O539="Nopol", "True Semantic", IF($O539="RSRepair-A", "Evolutionary Search", IF($O539="SequenceR", "Deep Learning", IF($O539="SimFix", "Search Like Pattern", IF($O539="SketchFix", "True Pattern", IF($O539="SOFix", "True Pattern", IF($O539="ssFix", "Search Like Pattern", IF($O539="TBar", "True Pattern", ""))))))))))))))))))))</f>
        <v>True Pattern</v>
      </c>
      <c r="Q539" s="13" t="str">
        <f>IF(NOT(ISERR(SEARCH("*_Buggy",$A539))), "Buggy", IF(NOT(ISERR(SEARCH("*_Fixed",$A539))), "Fixed", IF(NOT(ISERR(SEARCH("*_Repaired",$A539))), "Repaired", "")))</f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>LEFT($A540,FIND("_",$A540)-1)</f>
        <v>TBar</v>
      </c>
      <c r="P540" s="13" t="str">
        <f>IF($O540="ACS", "True Search", IF($O540="Arja", "Evolutionary Search", IF($O540="AVATAR", "True Pattern", IF($O540="CapGen", "Search Like Pattern", IF($O540="Cardumen", "True Semantic", IF($O540="DynaMoth", "True Semantic", IF($O540="FixMiner", "True Pattern", IF($O540="GenProg-A", "Evolutionary Search", IF($O540="Hercules", "Learning Pattern", IF($O540="Jaid", "True Semantic",
IF($O540="Kali-A", "True Search", IF($O540="kPAR", "True Pattern", IF($O540="Nopol", "True Semantic", IF($O540="RSRepair-A", "Evolutionary Search", IF($O540="SequenceR", "Deep Learning", IF($O540="SimFix", "Search Like Pattern", IF($O540="SketchFix", "True Pattern", IF($O540="SOFix", "True Pattern", IF($O540="ssFix", "Search Like Pattern", IF($O540="TBar", "True Pattern", ""))))))))))))))))))))</f>
        <v>True Pattern</v>
      </c>
      <c r="Q540" s="13" t="str">
        <f>IF(NOT(ISERR(SEARCH("*_Buggy",$A540))), "Buggy", IF(NOT(ISERR(SEARCH("*_Fixed",$A540))), "Fixed", IF(NOT(ISERR(SEARCH("*_Repaired",$A540))), "Repaired", "")))</f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>LEFT($A541,FIND("_",$A541)-1)</f>
        <v>TBar</v>
      </c>
      <c r="P541" s="13" t="str">
        <f>IF($O541="ACS", "True Search", IF($O541="Arja", "Evolutionary Search", IF($O541="AVATAR", "True Pattern", IF($O541="CapGen", "Search Like Pattern", IF($O541="Cardumen", "True Semantic", IF($O541="DynaMoth", "True Semantic", IF($O541="FixMiner", "True Pattern", IF($O541="GenProg-A", "Evolutionary Search", IF($O541="Hercules", "Learning Pattern", IF($O541="Jaid", "True Semantic",
IF($O541="Kali-A", "True Search", IF($O541="kPAR", "True Pattern", IF($O541="Nopol", "True Semantic", IF($O541="RSRepair-A", "Evolutionary Search", IF($O541="SequenceR", "Deep Learning", IF($O541="SimFix", "Search Like Pattern", IF($O541="SketchFix", "True Pattern", IF($O541="SOFix", "True Pattern", IF($O541="ssFix", "Search Like Pattern", IF($O541="TBar", "True Pattern", ""))))))))))))))))))))</f>
        <v>True Pattern</v>
      </c>
      <c r="Q541" s="13" t="str">
        <f>IF(NOT(ISERR(SEARCH("*_Buggy",$A541))), "Buggy", IF(NOT(ISERR(SEARCH("*_Fixed",$A541))), "Fixed", IF(NOT(ISERR(SEARCH("*_Repaired",$A541))), "Repaired", "")))</f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>LEFT($A542,FIND("_",$A542)-1)</f>
        <v>TBar</v>
      </c>
      <c r="P542" s="13" t="str">
        <f>IF($O542="ACS", "True Search", IF($O542="Arja", "Evolutionary Search", IF($O542="AVATAR", "True Pattern", IF($O542="CapGen", "Search Like Pattern", IF($O542="Cardumen", "True Semantic", IF($O542="DynaMoth", "True Semantic", IF($O542="FixMiner", "True Pattern", IF($O542="GenProg-A", "Evolutionary Search", IF($O542="Hercules", "Learning Pattern", IF($O542="Jaid", "True Semantic",
IF($O542="Kali-A", "True Search", IF($O542="kPAR", "True Pattern", IF($O542="Nopol", "True Semantic", IF($O542="RSRepair-A", "Evolutionary Search", IF($O542="SequenceR", "Deep Learning", IF($O542="SimFix", "Search Like Pattern", IF($O542="SketchFix", "True Pattern", IF($O542="SOFix", "True Pattern", IF($O542="ssFix", "Search Like Pattern", IF($O542="TBar", "True Pattern", ""))))))))))))))))))))</f>
        <v>True Pattern</v>
      </c>
      <c r="Q542" s="13" t="str">
        <f>IF(NOT(ISERR(SEARCH("*_Buggy",$A542))), "Buggy", IF(NOT(ISERR(SEARCH("*_Fixed",$A542))), "Fixed", IF(NOT(ISERR(SEARCH("*_Repaired",$A542))), "Repaired", "")))</f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>LEFT($A543,FIND("_",$A543)-1)</f>
        <v>TBar</v>
      </c>
      <c r="P543" s="13" t="str">
        <f>IF($O543="ACS", "True Search", IF($O543="Arja", "Evolutionary Search", IF($O543="AVATAR", "True Pattern", IF($O543="CapGen", "Search Like Pattern", IF($O543="Cardumen", "True Semantic", IF($O543="DynaMoth", "True Semantic", IF($O543="FixMiner", "True Pattern", IF($O543="GenProg-A", "Evolutionary Search", IF($O543="Hercules", "Learning Pattern", IF($O543="Jaid", "True Semantic",
IF($O543="Kali-A", "True Search", IF($O543="kPAR", "True Pattern", IF($O543="Nopol", "True Semantic", IF($O543="RSRepair-A", "Evolutionary Search", IF($O543="SequenceR", "Deep Learning", IF($O543="SimFix", "Search Like Pattern", IF($O543="SketchFix", "True Pattern", IF($O543="SOFix", "True Pattern", IF($O543="ssFix", "Search Like Pattern", IF($O543="TBar", "True Pattern", ""))))))))))))))))))))</f>
        <v>True Pattern</v>
      </c>
      <c r="Q543" s="13" t="str">
        <f>IF(NOT(ISERR(SEARCH("*_Buggy",$A543))), "Buggy", IF(NOT(ISERR(SEARCH("*_Fixed",$A543))), "Fixed", IF(NOT(ISERR(SEARCH("*_Repaired",$A543))), "Repaired", "")))</f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>LEFT($A544,FIND("_",$A544)-1)</f>
        <v>TBar</v>
      </c>
      <c r="P544" s="13" t="str">
        <f>IF($O544="ACS", "True Search", IF($O544="Arja", "Evolutionary Search", IF($O544="AVATAR", "True Pattern", IF($O544="CapGen", "Search Like Pattern", IF($O544="Cardumen", "True Semantic", IF($O544="DynaMoth", "True Semantic", IF($O544="FixMiner", "True Pattern", IF($O544="GenProg-A", "Evolutionary Search", IF($O544="Hercules", "Learning Pattern", IF($O544="Jaid", "True Semantic",
IF($O544="Kali-A", "True Search", IF($O544="kPAR", "True Pattern", IF($O544="Nopol", "True Semantic", IF($O544="RSRepair-A", "Evolutionary Search", IF($O544="SequenceR", "Deep Learning", IF($O544="SimFix", "Search Like Pattern", IF($O544="SketchFix", "True Pattern", IF($O544="SOFix", "True Pattern", IF($O544="ssFix", "Search Like Pattern", IF($O544="TBar", "True Pattern", ""))))))))))))))))))))</f>
        <v>True Pattern</v>
      </c>
      <c r="Q544" s="13" t="str">
        <f>IF(NOT(ISERR(SEARCH("*_Buggy",$A544))), "Buggy", IF(NOT(ISERR(SEARCH("*_Fixed",$A544))), "Fixed", IF(NOT(ISERR(SEARCH("*_Repaired",$A544))), "Repaired", "")))</f>
        <v>Buggy</v>
      </c>
      <c r="R544" s="13"/>
      <c r="S544" s="13"/>
      <c r="T544" s="13"/>
      <c r="U544" s="13"/>
      <c r="V544" s="13"/>
      <c r="W544" s="13"/>
    </row>
    <row r="545" spans="1:23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>LEFT($A545,FIND("_",$A545)-1)</f>
        <v>TBar</v>
      </c>
      <c r="P545" s="13" t="str">
        <f>IF($O545="ACS", "True Search", IF($O545="Arja", "Evolutionary Search", IF($O545="AVATAR", "True Pattern", IF($O545="CapGen", "Search Like Pattern", IF($O545="Cardumen", "True Semantic", IF($O545="DynaMoth", "True Semantic", IF($O545="FixMiner", "True Pattern", IF($O545="GenProg-A", "Evolutionary Search", IF($O545="Hercules", "Learning Pattern", IF($O545="Jaid", "True Semantic",
IF($O545="Kali-A", "True Search", IF($O545="kPAR", "True Pattern", IF($O545="Nopol", "True Semantic", IF($O545="RSRepair-A", "Evolutionary Search", IF($O545="SequenceR", "Deep Learning", IF($O545="SimFix", "Search Like Pattern", IF($O545="SketchFix", "True Pattern", IF($O545="SOFix", "True Pattern", IF($O545="ssFix", "Search Like Pattern", IF($O545="TBar", "True Pattern", ""))))))))))))))))))))</f>
        <v>True Pattern</v>
      </c>
      <c r="Q545" s="13" t="str">
        <f>IF(NOT(ISERR(SEARCH("*_Buggy",$A545))), "Buggy", IF(NOT(ISERR(SEARCH("*_Fixed",$A545))), "Fixed", IF(NOT(ISERR(SEARCH("*_Repaired",$A545))), "Repaired", "")))</f>
        <v>Buggy</v>
      </c>
      <c r="R545" s="13"/>
      <c r="S545" s="13"/>
      <c r="T545" s="13"/>
      <c r="U545" s="13"/>
      <c r="V545" s="13"/>
      <c r="W545" s="13"/>
    </row>
    <row r="546" spans="1:23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>LEFT($A546,FIND("_",$A546)-1)</f>
        <v>TBar</v>
      </c>
      <c r="P546" s="13" t="str">
        <f>IF($O546="ACS", "True Search", IF($O546="Arja", "Evolutionary Search", IF($O546="AVATAR", "True Pattern", IF($O546="CapGen", "Search Like Pattern", IF($O546="Cardumen", "True Semantic", IF($O546="DynaMoth", "True Semantic", IF($O546="FixMiner", "True Pattern", IF($O546="GenProg-A", "Evolutionary Search", IF($O546="Hercules", "Learning Pattern", IF($O546="Jaid", "True Semantic",
IF($O546="Kali-A", "True Search", IF($O546="kPAR", "True Pattern", IF($O546="Nopol", "True Semantic", IF($O546="RSRepair-A", "Evolutionary Search", IF($O546="SequenceR", "Deep Learning", IF($O546="SimFix", "Search Like Pattern", IF($O546="SketchFix", "True Pattern", IF($O546="SOFix", "True Pattern", IF($O546="ssFix", "Search Like Pattern", IF($O546="TBar", "True Pattern", ""))))))))))))))))))))</f>
        <v>True Pattern</v>
      </c>
      <c r="Q546" s="13" t="str">
        <f>IF(NOT(ISERR(SEARCH("*_Buggy",$A546))), "Buggy", IF(NOT(ISERR(SEARCH("*_Fixed",$A546))), "Fixed", IF(NOT(ISERR(SEARCH("*_Repaired",$A546))), "Repaired", "")))</f>
        <v>Buggy</v>
      </c>
      <c r="R546" s="13"/>
      <c r="S546" s="13"/>
      <c r="T546" s="13"/>
      <c r="U546" s="13"/>
      <c r="V546" s="13"/>
      <c r="W546" s="13"/>
    </row>
    <row r="547" spans="1:23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>LEFT($A547,FIND("_",$A547)-1)</f>
        <v>TBar</v>
      </c>
      <c r="P547" s="13" t="str">
        <f>IF($O547="ACS", "True Search", IF($O547="Arja", "Evolutionary Search", IF($O547="AVATAR", "True Pattern", IF($O547="CapGen", "Search Like Pattern", IF($O547="Cardumen", "True Semantic", IF($O547="DynaMoth", "True Semantic", IF($O547="FixMiner", "True Pattern", IF($O547="GenProg-A", "Evolutionary Search", IF($O547="Hercules", "Learning Pattern", IF($O547="Jaid", "True Semantic",
IF($O547="Kali-A", "True Search", IF($O547="kPAR", "True Pattern", IF($O547="Nopol", "True Semantic", IF($O547="RSRepair-A", "Evolutionary Search", IF($O547="SequenceR", "Deep Learning", IF($O547="SimFix", "Search Like Pattern", IF($O547="SketchFix", "True Pattern", IF($O547="SOFix", "True Pattern", IF($O547="ssFix", "Search Like Pattern", IF($O547="TBar", "True Pattern", ""))))))))))))))))))))</f>
        <v>True Pattern</v>
      </c>
      <c r="Q547" s="13" t="str">
        <f>IF(NOT(ISERR(SEARCH("*_Buggy",$A547))), "Buggy", IF(NOT(ISERR(SEARCH("*_Fixed",$A547))), "Fixed", IF(NOT(ISERR(SEARCH("*_Repaired",$A547))), "Repaired", "")))</f>
        <v>Buggy</v>
      </c>
      <c r="R547" s="13"/>
      <c r="S547" s="13"/>
      <c r="T547" s="13"/>
      <c r="U547" s="13"/>
      <c r="V547" s="13"/>
      <c r="W547" s="13"/>
    </row>
    <row r="548" spans="1:23" ht="15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>LEFT($A548,FIND("_",$A548)-1)</f>
        <v>TBar</v>
      </c>
      <c r="P548" s="21" t="str">
        <f>IF($O548="ACS", "True Search", IF($O548="Arja", "Evolutionary Search", IF($O548="AVATAR", "True Pattern", IF($O548="CapGen", "Search Like Pattern", IF($O548="Cardumen", "True Semantic", IF($O548="DynaMoth", "True Semantic", IF($O548="FixMiner", "True Pattern", IF($O548="GenProg-A", "Evolutionary Search", IF($O548="Hercules", "Learning Pattern", IF($O548="Jaid", "True Semantic",
IF($O548="Kali-A", "True Search", IF($O548="kPAR", "True Pattern", IF($O548="Nopol", "True Semantic", IF($O548="RSRepair-A", "Evolutionary Search", IF($O548="SequenceR", "Deep Learning", IF($O548="SimFix", "Search Like Pattern", IF($O548="SketchFix", "True Pattern", IF($O548="SOFix", "True Pattern", IF($O548="ssFix", "Search Like Pattern", IF($O548="TBar", "True Pattern", ""))))))))))))))))))))</f>
        <v>True Pattern</v>
      </c>
      <c r="Q548" s="21" t="str">
        <f>IF(NOT(ISERR(SEARCH("*_Buggy",$A548))), "Buggy", IF(NOT(ISERR(SEARCH("*_Fixed",$A548))), "Fixed", IF(NOT(ISERR(SEARCH("*_Repaired",$A548))), "Repaired", "")))</f>
        <v>Buggy</v>
      </c>
      <c r="R548" s="21"/>
      <c r="S548" s="21"/>
      <c r="T548" s="21"/>
      <c r="U548" s="21"/>
      <c r="V548" s="21"/>
      <c r="W548" s="21"/>
    </row>
    <row r="549" spans="1:23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>LEFT($A549,FIND("_",$A549)-1)</f>
        <v>ACS</v>
      </c>
      <c r="P549" s="13" t="str">
        <f>IF($O549="ACS", "True Search", IF($O549="Arja", "Evolutionary Search", IF($O549="AVATAR", "True Pattern", IF($O549="CapGen", "Search Like Pattern", IF($O549="Cardumen", "True Semantic", IF($O549="DynaMoth", "True Semantic", IF($O549="FixMiner", "True Pattern", IF($O549="GenProg-A", "Evolutionary Search", IF($O549="Hercules", "Learning Pattern", IF($O549="Jaid", "True Semantic",
IF($O549="Kali-A", "True Search", IF($O549="kPAR", "True Pattern", IF($O549="Nopol", "True Semantic", IF($O549="RSRepair-A", "Evolutionary Search", IF($O549="SequenceR", "Deep Learning", IF($O549="SimFix", "Search Like Pattern", IF($O549="SketchFix", "True Pattern", IF($O549="SOFix", "True Pattern", IF($O549="ssFix", "Search Like Pattern", IF($O549="TBar", "True Pattern", ""))))))))))))))))))))</f>
        <v>True Search</v>
      </c>
      <c r="Q549" s="34" t="str">
        <f>IF(NOT(ISERR(SEARCH("*_Buggy",$A549))), "Buggy", IF(NOT(ISERR(SEARCH("*_Fixed",$A549))), "Fixed", IF(NOT(ISERR(SEARCH("*_Repaired",$A549))), "Repaired", "")))</f>
        <v>Fixed</v>
      </c>
      <c r="R549" s="34" t="s">
        <v>1668</v>
      </c>
      <c r="S549" s="34">
        <v>2</v>
      </c>
      <c r="T549" s="34">
        <v>6</v>
      </c>
      <c r="U549" s="34">
        <v>0</v>
      </c>
      <c r="V549" s="18">
        <v>6</v>
      </c>
      <c r="W549" s="18" t="str">
        <f>MID(A549, SEARCH("_", A549) +1, SEARCH("_", A549, SEARCH("_", A549) +1) - SEARCH("_", A549) -1)</f>
        <v>Chart-19</v>
      </c>
    </row>
    <row r="550" spans="1:23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>LEFT($A550,FIND("_",$A550)-1)</f>
        <v>ACS</v>
      </c>
      <c r="P550" s="13" t="str">
        <f>IF($O550="ACS", "True Search", IF($O550="Arja", "Evolutionary Search", IF($O550="AVATAR", "True Pattern", IF($O550="CapGen", "Search Like Pattern", IF($O550="Cardumen", "True Semantic", IF($O550="DynaMoth", "True Semantic", IF($O550="FixMiner", "True Pattern", IF($O550="GenProg-A", "Evolutionary Search", IF($O550="Hercules", "Learning Pattern", IF($O550="Jaid", "True Semantic",
IF($O550="Kali-A", "True Search", IF($O550="kPAR", "True Pattern", IF($O550="Nopol", "True Semantic", IF($O550="RSRepair-A", "Evolutionary Search", IF($O550="SequenceR", "Deep Learning", IF($O550="SimFix", "Search Like Pattern", IF($O550="SketchFix", "True Pattern", IF($O550="SOFix", "True Pattern", IF($O550="ssFix", "Search Like Pattern", IF($O550="TBar", "True Pattern", ""))))))))))))))))))))</f>
        <v>True Search</v>
      </c>
      <c r="Q550" s="18" t="str">
        <f>IF(NOT(ISERR(SEARCH("*_Buggy",$A550))), "Buggy", IF(NOT(ISERR(SEARCH("*_Fixed",$A550))), "Fixed", IF(NOT(ISERR(SEARCH("*_Repaired",$A550))), "Repaired", "")))</f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v>1</v>
      </c>
      <c r="W550" s="13" t="str">
        <f>MID(A550, SEARCH("_", A550) +1, SEARCH("_", A550, SEARCH("_", A550) +1) - SEARCH("_", A550) -1)</f>
        <v>Lang-24</v>
      </c>
    </row>
    <row r="551" spans="1:23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>LEFT($A551,FIND("_",$A551)-1)</f>
        <v>ACS</v>
      </c>
      <c r="P551" s="13" t="str">
        <f>IF($O551="ACS", "True Search", IF($O551="Arja", "Evolutionary Search", IF($O551="AVATAR", "True Pattern", IF($O551="CapGen", "Search Like Pattern", IF($O551="Cardumen", "True Semantic", IF($O551="DynaMoth", "True Semantic", IF($O551="FixMiner", "True Pattern", IF($O551="GenProg-A", "Evolutionary Search", IF($O551="Hercules", "Learning Pattern", IF($O551="Jaid", "True Semantic",
IF($O551="Kali-A", "True Search", IF($O551="kPAR", "True Pattern", IF($O551="Nopol", "True Semantic", IF($O551="RSRepair-A", "Evolutionary Search", IF($O551="SequenceR", "Deep Learning", IF($O551="SimFix", "Search Like Pattern", IF($O551="SketchFix", "True Pattern", IF($O551="SOFix", "True Pattern", IF($O551="ssFix", "Search Like Pattern", IF($O551="TBar", "True Pattern", ""))))))))))))))))))))</f>
        <v>True Search</v>
      </c>
      <c r="Q551" s="13" t="str">
        <f>IF(NOT(ISERR(SEARCH("*_Buggy",$A551))), "Buggy", IF(NOT(ISERR(SEARCH("*_Fixed",$A551))), "Fixed", IF(NOT(ISERR(SEARCH("*_Repaired",$A551))), "Repaired", "")))</f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v>2</v>
      </c>
      <c r="W551" s="13" t="str">
        <f>MID(A551, SEARCH("_", A551) +1, SEARCH("_", A551, SEARCH("_", A551) +1) - SEARCH("_", A551) -1)</f>
        <v>Lang-35</v>
      </c>
    </row>
    <row r="552" spans="1:23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>LEFT($A552,FIND("_",$A552)-1)</f>
        <v>ACS</v>
      </c>
      <c r="P552" s="13" t="str">
        <f>IF($O552="ACS", "True Search", IF($O552="Arja", "Evolutionary Search", IF($O552="AVATAR", "True Pattern", IF($O552="CapGen", "Search Like Pattern", IF($O552="Cardumen", "True Semantic", IF($O552="DynaMoth", "True Semantic", IF($O552="FixMiner", "True Pattern", IF($O552="GenProg-A", "Evolutionary Search", IF($O552="Hercules", "Learning Pattern", IF($O552="Jaid", "True Semantic",
IF($O552="Kali-A", "True Search", IF($O552="kPAR", "True Pattern", IF($O552="Nopol", "True Semantic", IF($O552="RSRepair-A", "Evolutionary Search", IF($O552="SequenceR", "Deep Learning", IF($O552="SimFix", "Search Like Pattern", IF($O552="SketchFix", "True Pattern", IF($O552="SOFix", "True Pattern", IF($O552="ssFix", "Search Like Pattern", IF($O552="TBar", "True Pattern", ""))))))))))))))))))))</f>
        <v>True Search</v>
      </c>
      <c r="Q552" s="13" t="str">
        <f>IF(NOT(ISERR(SEARCH("*_Buggy",$A552))), "Buggy", IF(NOT(ISERR(SEARCH("*_Fixed",$A552))), "Fixed", IF(NOT(ISERR(SEARCH("*_Repaired",$A552))), "Repaired", "")))</f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v>6</v>
      </c>
      <c r="W552" s="13" t="str">
        <f>MID(A552, SEARCH("_", A552) +1, SEARCH("_", A552, SEARCH("_", A552) +1) - SEARCH("_", A552) -1)</f>
        <v>Lang-7</v>
      </c>
    </row>
    <row r="553" spans="1:23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>LEFT($A553,FIND("_",$A553)-1)</f>
        <v>ACS</v>
      </c>
      <c r="P553" s="13" t="str">
        <f>IF($O553="ACS", "True Search", IF($O553="Arja", "Evolutionary Search", IF($O553="AVATAR", "True Pattern", IF($O553="CapGen", "Search Like Pattern", IF($O553="Cardumen", "True Semantic", IF($O553="DynaMoth", "True Semantic", IF($O553="FixMiner", "True Pattern", IF($O553="GenProg-A", "Evolutionary Search", IF($O553="Hercules", "Learning Pattern", IF($O553="Jaid", "True Semantic",
IF($O553="Kali-A", "True Search", IF($O553="kPAR", "True Pattern", IF($O553="Nopol", "True Semantic", IF($O553="RSRepair-A", "Evolutionary Search", IF($O553="SequenceR", "Deep Learning", IF($O553="SimFix", "Search Like Pattern", IF($O553="SketchFix", "True Pattern", IF($O553="SOFix", "True Pattern", IF($O553="ssFix", "Search Like Pattern", IF($O553="TBar", "True Pattern", ""))))))))))))))))))))</f>
        <v>True Search</v>
      </c>
      <c r="Q553" s="13" t="str">
        <f>IF(NOT(ISERR(SEARCH("*_Buggy",$A553))), "Buggy", IF(NOT(ISERR(SEARCH("*_Fixed",$A553))), "Fixed", IF(NOT(ISERR(SEARCH("*_Repaired",$A553))), "Repaired", "")))</f>
        <v>Fixed</v>
      </c>
      <c r="R553" s="13" t="s">
        <v>1668</v>
      </c>
      <c r="S553" s="25">
        <v>2</v>
      </c>
      <c r="T553" s="25">
        <v>3</v>
      </c>
      <c r="U553" s="25">
        <v>0</v>
      </c>
      <c r="V553" s="13">
        <v>3</v>
      </c>
      <c r="W553" s="13" t="str">
        <f>MID(A553, SEARCH("_", A553) +1, SEARCH("_", A553, SEARCH("_", A553) +1) - SEARCH("_", A553) -1)</f>
        <v>Math-25</v>
      </c>
    </row>
    <row r="554" spans="1:23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>LEFT($A554,FIND("_",$A554)-1)</f>
        <v>ACS</v>
      </c>
      <c r="P554" s="13" t="str">
        <f>IF($O554="ACS", "True Search", IF($O554="Arja", "Evolutionary Search", IF($O554="AVATAR", "True Pattern", IF($O554="CapGen", "Search Like Pattern", IF($O554="Cardumen", "True Semantic", IF($O554="DynaMoth", "True Semantic", IF($O554="FixMiner", "True Pattern", IF($O554="GenProg-A", "Evolutionary Search", IF($O554="Hercules", "Learning Pattern", IF($O554="Jaid", "True Semantic",
IF($O554="Kali-A", "True Search", IF($O554="kPAR", "True Pattern", IF($O554="Nopol", "True Semantic", IF($O554="RSRepair-A", "Evolutionary Search", IF($O554="SequenceR", "Deep Learning", IF($O554="SimFix", "Search Like Pattern", IF($O554="SketchFix", "True Pattern", IF($O554="SOFix", "True Pattern", IF($O554="ssFix", "Search Like Pattern", IF($O554="TBar", "True Pattern", ""))))))))))))))))))))</f>
        <v>True Search</v>
      </c>
      <c r="Q554" s="13" t="str">
        <f>IF(NOT(ISERR(SEARCH("*_Buggy",$A554))), "Buggy", IF(NOT(ISERR(SEARCH("*_Fixed",$A554))), "Fixed", IF(NOT(ISERR(SEARCH("*_Repaired",$A554))), "Repaired", "")))</f>
        <v>Fixed</v>
      </c>
      <c r="R554" s="13" t="s">
        <v>1669</v>
      </c>
      <c r="S554" s="25">
        <v>4</v>
      </c>
      <c r="T554" s="13">
        <v>4</v>
      </c>
      <c r="U554" s="25">
        <v>0</v>
      </c>
      <c r="V554" s="13">
        <v>4</v>
      </c>
      <c r="W554" s="13" t="str">
        <f>MID(A554, SEARCH("_", A554) +1, SEARCH("_", A554, SEARCH("_", A554) +1) - SEARCH("_", A554) -1)</f>
        <v>Math-28</v>
      </c>
    </row>
    <row r="555" spans="1:23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>LEFT($A555,FIND("_",$A555)-1)</f>
        <v>ACS</v>
      </c>
      <c r="P555" s="13" t="str">
        <f>IF($O555="ACS", "True Search", IF($O555="Arja", "Evolutionary Search", IF($O555="AVATAR", "True Pattern", IF($O555="CapGen", "Search Like Pattern", IF($O555="Cardumen", "True Semantic", IF($O555="DynaMoth", "True Semantic", IF($O555="FixMiner", "True Pattern", IF($O555="GenProg-A", "Evolutionary Search", IF($O555="Hercules", "Learning Pattern", IF($O555="Jaid", "True Semantic",
IF($O555="Kali-A", "True Search", IF($O555="kPAR", "True Pattern", IF($O555="Nopol", "True Semantic", IF($O555="RSRepair-A", "Evolutionary Search", IF($O555="SequenceR", "Deep Learning", IF($O555="SimFix", "Search Like Pattern", IF($O555="SketchFix", "True Pattern", IF($O555="SOFix", "True Pattern", IF($O555="ssFix", "Search Like Pattern", IF($O555="TBar", "True Pattern", ""))))))))))))))))))))</f>
        <v>True Search</v>
      </c>
      <c r="Q555" s="13" t="str">
        <f>IF(NOT(ISERR(SEARCH("*_Buggy",$A555))), "Buggy", IF(NOT(ISERR(SEARCH("*_Fixed",$A555))), "Fixed", IF(NOT(ISERR(SEARCH("*_Repaired",$A555))), "Repaired", "")))</f>
        <v>Fixed</v>
      </c>
      <c r="R555" s="13" t="s">
        <v>1668</v>
      </c>
      <c r="S555" s="25">
        <v>2</v>
      </c>
      <c r="T555" s="13">
        <v>3</v>
      </c>
      <c r="U555" s="25">
        <v>0</v>
      </c>
      <c r="V555" s="13">
        <v>3</v>
      </c>
      <c r="W555" s="13" t="str">
        <f>MID(A555, SEARCH("_", A555) +1, SEARCH("_", A555, SEARCH("_", A555) +1) - SEARCH("_", A555) -1)</f>
        <v>Math-3</v>
      </c>
    </row>
    <row r="556" spans="1:23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>LEFT($A556,FIND("_",$A556)-1)</f>
        <v>ACS</v>
      </c>
      <c r="P556" s="13" t="str">
        <f>IF($O556="ACS", "True Search", IF($O556="Arja", "Evolutionary Search", IF($O556="AVATAR", "True Pattern", IF($O556="CapGen", "Search Like Pattern", IF($O556="Cardumen", "True Semantic", IF($O556="DynaMoth", "True Semantic", IF($O556="FixMiner", "True Pattern", IF($O556="GenProg-A", "Evolutionary Search", IF($O556="Hercules", "Learning Pattern", IF($O556="Jaid", "True Semantic",
IF($O556="Kali-A", "True Search", IF($O556="kPAR", "True Pattern", IF($O556="Nopol", "True Semantic", IF($O556="RSRepair-A", "Evolutionary Search", IF($O556="SequenceR", "Deep Learning", IF($O556="SimFix", "Search Like Pattern", IF($O556="SketchFix", "True Pattern", IF($O556="SOFix", "True Pattern", IF($O556="ssFix", "Search Like Pattern", IF($O556="TBar", "True Pattern", ""))))))))))))))))))))</f>
        <v>True Search</v>
      </c>
      <c r="Q556" s="13" t="str">
        <f>IF(NOT(ISERR(SEARCH("*_Buggy",$A556))), "Buggy", IF(NOT(ISERR(SEARCH("*_Fixed",$A556))), "Fixed", IF(NOT(ISERR(SEARCH("*_Repaired",$A556))), "Repaired", "")))</f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v>2</v>
      </c>
      <c r="W556" s="13" t="str">
        <f>MID(A556, SEARCH("_", A556) +1, SEARCH("_", A556, SEARCH("_", A556) +1) - SEARCH("_", A556) -1)</f>
        <v>Math-35</v>
      </c>
    </row>
    <row r="557" spans="1:23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>LEFT($A557,FIND("_",$A557)-1)</f>
        <v>ACS</v>
      </c>
      <c r="P557" s="13" t="str">
        <f>IF($O557="ACS", "True Search", IF($O557="Arja", "Evolutionary Search", IF($O557="AVATAR", "True Pattern", IF($O557="CapGen", "Search Like Pattern", IF($O557="Cardumen", "True Semantic", IF($O557="DynaMoth", "True Semantic", IF($O557="FixMiner", "True Pattern", IF($O557="GenProg-A", "Evolutionary Search", IF($O557="Hercules", "Learning Pattern", IF($O557="Jaid", "True Semantic",
IF($O557="Kali-A", "True Search", IF($O557="kPAR", "True Pattern", IF($O557="Nopol", "True Semantic", IF($O557="RSRepair-A", "Evolutionary Search", IF($O557="SequenceR", "Deep Learning", IF($O557="SimFix", "Search Like Pattern", IF($O557="SketchFix", "True Pattern", IF($O557="SOFix", "True Pattern", IF($O557="ssFix", "Search Like Pattern", IF($O557="TBar", "True Pattern", ""))))))))))))))))))))</f>
        <v>True Search</v>
      </c>
      <c r="Q557" s="13" t="str">
        <f>IF(NOT(ISERR(SEARCH("*_Buggy",$A557))), "Buggy", IF(NOT(ISERR(SEARCH("*_Fixed",$A557))), "Fixed", IF(NOT(ISERR(SEARCH("*_Repaired",$A557))), "Repaired", "")))</f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v>1</v>
      </c>
      <c r="W557" s="13" t="str">
        <f>MID(A557, SEARCH("_", A557) +1, SEARCH("_", A557, SEARCH("_", A557) +1) - SEARCH("_", A557) -1)</f>
        <v>Math-5</v>
      </c>
    </row>
    <row r="558" spans="1:23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>LEFT($A558,FIND("_",$A558)-1)</f>
        <v>ACS</v>
      </c>
      <c r="P558" s="13" t="str">
        <f>IF($O558="ACS", "True Search", IF($O558="Arja", "Evolutionary Search", IF($O558="AVATAR", "True Pattern", IF($O558="CapGen", "Search Like Pattern", IF($O558="Cardumen", "True Semantic", IF($O558="DynaMoth", "True Semantic", IF($O558="FixMiner", "True Pattern", IF($O558="GenProg-A", "Evolutionary Search", IF($O558="Hercules", "Learning Pattern", IF($O558="Jaid", "True Semantic",
IF($O558="Kali-A", "True Search", IF($O558="kPAR", "True Pattern", IF($O558="Nopol", "True Semantic", IF($O558="RSRepair-A", "Evolutionary Search", IF($O558="SequenceR", "Deep Learning", IF($O558="SimFix", "Search Like Pattern", IF($O558="SketchFix", "True Pattern", IF($O558="SOFix", "True Pattern", IF($O558="ssFix", "Search Like Pattern", IF($O558="TBar", "True Pattern", ""))))))))))))))))))))</f>
        <v>True Search</v>
      </c>
      <c r="Q558" s="13" t="str">
        <f>IF(NOT(ISERR(SEARCH("*_Buggy",$A558))), "Buggy", IF(NOT(ISERR(SEARCH("*_Fixed",$A558))), "Fixed", IF(NOT(ISERR(SEARCH("*_Repaired",$A558))), "Repaired", "")))</f>
        <v>Fixed</v>
      </c>
      <c r="R558" s="13" t="s">
        <v>1669</v>
      </c>
      <c r="S558" s="25">
        <v>1</v>
      </c>
      <c r="T558" s="25">
        <v>4</v>
      </c>
      <c r="U558" s="25">
        <v>0</v>
      </c>
      <c r="V558" s="13">
        <v>4</v>
      </c>
      <c r="W558" s="13" t="str">
        <f>MID(A558, SEARCH("_", A558) +1, SEARCH("_", A558, SEARCH("_", A558) +1) - SEARCH("_", A558) -1)</f>
        <v>Math-73</v>
      </c>
    </row>
    <row r="559" spans="1:23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>LEFT($A559,FIND("_",$A559)-1)</f>
        <v>ACS</v>
      </c>
      <c r="P559" s="13" t="str">
        <f>IF($O559="ACS", "True Search", IF($O559="Arja", "Evolutionary Search", IF($O559="AVATAR", "True Pattern", IF($O559="CapGen", "Search Like Pattern", IF($O559="Cardumen", "True Semantic", IF($O559="DynaMoth", "True Semantic", IF($O559="FixMiner", "True Pattern", IF($O559="GenProg-A", "Evolutionary Search", IF($O559="Hercules", "Learning Pattern", IF($O559="Jaid", "True Semantic",
IF($O559="Kali-A", "True Search", IF($O559="kPAR", "True Pattern", IF($O559="Nopol", "True Semantic", IF($O559="RSRepair-A", "Evolutionary Search", IF($O559="SequenceR", "Deep Learning", IF($O559="SimFix", "Search Like Pattern", IF($O559="SketchFix", "True Pattern", IF($O559="SOFix", "True Pattern", IF($O559="ssFix", "Search Like Pattern", IF($O559="TBar", "True Pattern", ""))))))))))))))))))))</f>
        <v>True Search</v>
      </c>
      <c r="Q559" s="13" t="str">
        <f>IF(NOT(ISERR(SEARCH("*_Buggy",$A559))), "Buggy", IF(NOT(ISERR(SEARCH("*_Fixed",$A559))), "Fixed", IF(NOT(ISERR(SEARCH("*_Repaired",$A559))), "Repaired", "")))</f>
        <v>Fixed</v>
      </c>
      <c r="R559" s="13" t="s">
        <v>1669</v>
      </c>
      <c r="S559" s="25">
        <v>3</v>
      </c>
      <c r="T559" s="13">
        <v>4</v>
      </c>
      <c r="U559" s="25">
        <v>3</v>
      </c>
      <c r="V559" s="13">
        <v>4</v>
      </c>
      <c r="W559" s="13" t="str">
        <f>MID(A559, SEARCH("_", A559) +1, SEARCH("_", A559, SEARCH("_", A559) +1) - SEARCH("_", A559) -1)</f>
        <v>Math-81</v>
      </c>
    </row>
    <row r="560" spans="1:23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>LEFT($A560,FIND("_",$A560)-1)</f>
        <v>ACS</v>
      </c>
      <c r="P560" s="13" t="str">
        <f>IF($O560="ACS", "True Search", IF($O560="Arja", "Evolutionary Search", IF($O560="AVATAR", "True Pattern", IF($O560="CapGen", "Search Like Pattern", IF($O560="Cardumen", "True Semantic", IF($O560="DynaMoth", "True Semantic", IF($O560="FixMiner", "True Pattern", IF($O560="GenProg-A", "Evolutionary Search", IF($O560="Hercules", "Learning Pattern", IF($O560="Jaid", "True Semantic",
IF($O560="Kali-A", "True Search", IF($O560="kPAR", "True Pattern", IF($O560="Nopol", "True Semantic", IF($O560="RSRepair-A", "Evolutionary Search", IF($O560="SequenceR", "Deep Learning", IF($O560="SimFix", "Search Like Pattern", IF($O560="SketchFix", "True Pattern", IF($O560="SOFix", "True Pattern", IF($O560="ssFix", "Search Like Pattern", IF($O560="TBar", "True Pattern", ""))))))))))))))))))))</f>
        <v>True Search</v>
      </c>
      <c r="Q560" s="13" t="str">
        <f>IF(NOT(ISERR(SEARCH("*_Buggy",$A560))), "Buggy", IF(NOT(ISERR(SEARCH("*_Fixed",$A560))), "Fixed", IF(NOT(ISERR(SEARCH("*_Repaired",$A560))), "Repaired", "")))</f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v>1</v>
      </c>
      <c r="W560" s="13" t="str">
        <f>MID(A560, SEARCH("_", A560) +1, SEARCH("_", A560, SEARCH("_", A560) +1) - SEARCH("_", A560) -1)</f>
        <v>Math-82</v>
      </c>
    </row>
    <row r="561" spans="1:23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>LEFT($A561,FIND("_",$A561)-1)</f>
        <v>ACS</v>
      </c>
      <c r="P561" s="13" t="str">
        <f>IF($O561="ACS", "True Search", IF($O561="Arja", "Evolutionary Search", IF($O561="AVATAR", "True Pattern", IF($O561="CapGen", "Search Like Pattern", IF($O561="Cardumen", "True Semantic", IF($O561="DynaMoth", "True Semantic", IF($O561="FixMiner", "True Pattern", IF($O561="GenProg-A", "Evolutionary Search", IF($O561="Hercules", "Learning Pattern", IF($O561="Jaid", "True Semantic",
IF($O561="Kali-A", "True Search", IF($O561="kPAR", "True Pattern", IF($O561="Nopol", "True Semantic", IF($O561="RSRepair-A", "Evolutionary Search", IF($O561="SequenceR", "Deep Learning", IF($O561="SimFix", "Search Like Pattern", IF($O561="SketchFix", "True Pattern", IF($O561="SOFix", "True Pattern", IF($O561="ssFix", "Search Like Pattern", IF($O561="TBar", "True Pattern", ""))))))))))))))))))))</f>
        <v>True Search</v>
      </c>
      <c r="Q561" s="13" t="str">
        <f>IF(NOT(ISERR(SEARCH("*_Buggy",$A561))), "Buggy", IF(NOT(ISERR(SEARCH("*_Fixed",$A561))), "Fixed", IF(NOT(ISERR(SEARCH("*_Repaired",$A561))), "Repaired", "")))</f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v>1</v>
      </c>
      <c r="W561" s="13" t="str">
        <f>MID(A561, SEARCH("_", A561) +1, SEARCH("_", A561, SEARCH("_", A561) +1) - SEARCH("_", A561) -1)</f>
        <v>Math-85</v>
      </c>
    </row>
    <row r="562" spans="1:23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>LEFT($A562,FIND("_",$A562)-1)</f>
        <v>ACS</v>
      </c>
      <c r="P562" s="13" t="str">
        <f>IF($O562="ACS", "True Search", IF($O562="Arja", "Evolutionary Search", IF($O562="AVATAR", "True Pattern", IF($O562="CapGen", "Search Like Pattern", IF($O562="Cardumen", "True Semantic", IF($O562="DynaMoth", "True Semantic", IF($O562="FixMiner", "True Pattern", IF($O562="GenProg-A", "Evolutionary Search", IF($O562="Hercules", "Learning Pattern", IF($O562="Jaid", "True Semantic",
IF($O562="Kali-A", "True Search", IF($O562="kPAR", "True Pattern", IF($O562="Nopol", "True Semantic", IF($O562="RSRepair-A", "Evolutionary Search", IF($O562="SequenceR", "Deep Learning", IF($O562="SimFix", "Search Like Pattern", IF($O562="SketchFix", "True Pattern", IF($O562="SOFix", "True Pattern", IF($O562="ssFix", "Search Like Pattern", IF($O562="TBar", "True Pattern", ""))))))))))))))))))))</f>
        <v>True Search</v>
      </c>
      <c r="Q562" s="13" t="str">
        <f>IF(NOT(ISERR(SEARCH("*_Buggy",$A562))), "Buggy", IF(NOT(ISERR(SEARCH("*_Fixed",$A562))), "Fixed", IF(NOT(ISERR(SEARCH("*_Repaired",$A562))), "Repaired", "")))</f>
        <v>Fixed</v>
      </c>
      <c r="R562" s="13" t="s">
        <v>1668</v>
      </c>
      <c r="S562" s="25">
        <v>2</v>
      </c>
      <c r="T562" s="25">
        <v>4</v>
      </c>
      <c r="U562" s="25">
        <v>0</v>
      </c>
      <c r="V562" s="13">
        <v>4</v>
      </c>
      <c r="W562" s="13" t="str">
        <f>MID(A562, SEARCH("_", A562) +1, SEARCH("_", A562, SEARCH("_", A562) +1) - SEARCH("_", A562) -1)</f>
        <v>Math-89</v>
      </c>
    </row>
    <row r="563" spans="1:23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>LEFT($A563,FIND("_",$A563)-1)</f>
        <v>ACS</v>
      </c>
      <c r="P563" s="13" t="str">
        <f>IF($O563="ACS", "True Search", IF($O563="Arja", "Evolutionary Search", IF($O563="AVATAR", "True Pattern", IF($O563="CapGen", "Search Like Pattern", IF($O563="Cardumen", "True Semantic", IF($O563="DynaMoth", "True Semantic", IF($O563="FixMiner", "True Pattern", IF($O563="GenProg-A", "Evolutionary Search", IF($O563="Hercules", "Learning Pattern", IF($O563="Jaid", "True Semantic",
IF($O563="Kali-A", "True Search", IF($O563="kPAR", "True Pattern", IF($O563="Nopol", "True Semantic", IF($O563="RSRepair-A", "Evolutionary Search", IF($O563="SequenceR", "Deep Learning", IF($O563="SimFix", "Search Like Pattern", IF($O563="SketchFix", "True Pattern", IF($O563="SOFix", "True Pattern", IF($O563="ssFix", "Search Like Pattern", IF($O563="TBar", "True Pattern", ""))))))))))))))))))))</f>
        <v>True Search</v>
      </c>
      <c r="Q563" s="13" t="str">
        <f>IF(NOT(ISERR(SEARCH("*_Buggy",$A563))), "Buggy", IF(NOT(ISERR(SEARCH("*_Fixed",$A563))), "Fixed", IF(NOT(ISERR(SEARCH("*_Repaired",$A563))), "Repaired", "")))</f>
        <v>Fixed</v>
      </c>
      <c r="R563" s="13" t="s">
        <v>1668</v>
      </c>
      <c r="S563" s="25">
        <v>2</v>
      </c>
      <c r="T563" s="13">
        <v>3</v>
      </c>
      <c r="U563" s="25">
        <v>0</v>
      </c>
      <c r="V563" s="13">
        <v>3</v>
      </c>
      <c r="W563" s="13" t="str">
        <f>MID(A563, SEARCH("_", A563) +1, SEARCH("_", A563, SEARCH("_", A563) +1) - SEARCH("_", A563) -1)</f>
        <v>Math-90</v>
      </c>
    </row>
    <row r="564" spans="1:23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>LEFT($A564,FIND("_",$A564)-1)</f>
        <v>ACS</v>
      </c>
      <c r="P564" s="13" t="str">
        <f>IF($O564="ACS", "True Search", IF($O564="Arja", "Evolutionary Search", IF($O564="AVATAR", "True Pattern", IF($O564="CapGen", "Search Like Pattern", IF($O564="Cardumen", "True Semantic", IF($O564="DynaMoth", "True Semantic", IF($O564="FixMiner", "True Pattern", IF($O564="GenProg-A", "Evolutionary Search", IF($O564="Hercules", "Learning Pattern", IF($O564="Jaid", "True Semantic",
IF($O564="Kali-A", "True Search", IF($O564="kPAR", "True Pattern", IF($O564="Nopol", "True Semantic", IF($O564="RSRepair-A", "Evolutionary Search", IF($O564="SequenceR", "Deep Learning", IF($O564="SimFix", "Search Like Pattern", IF($O564="SketchFix", "True Pattern", IF($O564="SOFix", "True Pattern", IF($O564="ssFix", "Search Like Pattern", IF($O564="TBar", "True Pattern", ""))))))))))))))))))))</f>
        <v>True Search</v>
      </c>
      <c r="Q564" s="13" t="str">
        <f>IF(NOT(ISERR(SEARCH("*_Buggy",$A564))), "Buggy", IF(NOT(ISERR(SEARCH("*_Fixed",$A564))), "Fixed", IF(NOT(ISERR(SEARCH("*_Repaired",$A564))), "Repaired", "")))</f>
        <v>Fixed</v>
      </c>
      <c r="R564" s="13" t="s">
        <v>1669</v>
      </c>
      <c r="S564" s="25">
        <v>3</v>
      </c>
      <c r="T564" s="13">
        <v>10</v>
      </c>
      <c r="U564" s="25">
        <v>2</v>
      </c>
      <c r="V564" s="13">
        <v>10</v>
      </c>
      <c r="W564" s="13" t="str">
        <f>MID(A564, SEARCH("_", A564) +1, SEARCH("_", A564, SEARCH("_", A564) +1) - SEARCH("_", A564) -1)</f>
        <v>Math-93</v>
      </c>
    </row>
    <row r="565" spans="1:23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>LEFT($A565,FIND("_",$A565)-1)</f>
        <v>ACS</v>
      </c>
      <c r="P565" s="13" t="str">
        <f>IF($O565="ACS", "True Search", IF($O565="Arja", "Evolutionary Search", IF($O565="AVATAR", "True Pattern", IF($O565="CapGen", "Search Like Pattern", IF($O565="Cardumen", "True Semantic", IF($O565="DynaMoth", "True Semantic", IF($O565="FixMiner", "True Pattern", IF($O565="GenProg-A", "Evolutionary Search", IF($O565="Hercules", "Learning Pattern", IF($O565="Jaid", "True Semantic",
IF($O565="Kali-A", "True Search", IF($O565="kPAR", "True Pattern", IF($O565="Nopol", "True Semantic", IF($O565="RSRepair-A", "Evolutionary Search", IF($O565="SequenceR", "Deep Learning", IF($O565="SimFix", "Search Like Pattern", IF($O565="SketchFix", "True Pattern", IF($O565="SOFix", "True Pattern", IF($O565="ssFix", "Search Like Pattern", IF($O565="TBar", "True Pattern", ""))))))))))))))))))))</f>
        <v>True Search</v>
      </c>
      <c r="Q565" s="13" t="str">
        <f>IF(NOT(ISERR(SEARCH("*_Buggy",$A565))), "Buggy", IF(NOT(ISERR(SEARCH("*_Fixed",$A565))), "Fixed", IF(NOT(ISERR(SEARCH("*_Repaired",$A565))), "Repaired", "")))</f>
        <v>Fixed</v>
      </c>
      <c r="R565" s="13" t="s">
        <v>1669</v>
      </c>
      <c r="S565" s="25">
        <v>5</v>
      </c>
      <c r="T565" s="25">
        <v>16</v>
      </c>
      <c r="U565" s="25">
        <v>2</v>
      </c>
      <c r="V565" s="13">
        <v>16</v>
      </c>
      <c r="W565" s="13" t="str">
        <f>MID(A565, SEARCH("_", A565) +1, SEARCH("_", A565, SEARCH("_", A565) +1) - SEARCH("_", A565) -1)</f>
        <v>Math-97</v>
      </c>
    </row>
    <row r="566" spans="1:23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>LEFT($A566,FIND("_",$A566)-1)</f>
        <v>ACS</v>
      </c>
      <c r="P566" s="13" t="str">
        <f>IF($O566="ACS", "True Search", IF($O566="Arja", "Evolutionary Search", IF($O566="AVATAR", "True Pattern", IF($O566="CapGen", "Search Like Pattern", IF($O566="Cardumen", "True Semantic", IF($O566="DynaMoth", "True Semantic", IF($O566="FixMiner", "True Pattern", IF($O566="GenProg-A", "Evolutionary Search", IF($O566="Hercules", "Learning Pattern", IF($O566="Jaid", "True Semantic",
IF($O566="Kali-A", "True Search", IF($O566="kPAR", "True Pattern", IF($O566="Nopol", "True Semantic", IF($O566="RSRepair-A", "Evolutionary Search", IF($O566="SequenceR", "Deep Learning", IF($O566="SimFix", "Search Like Pattern", IF($O566="SketchFix", "True Pattern", IF($O566="SOFix", "True Pattern", IF($O566="ssFix", "Search Like Pattern", IF($O566="TBar", "True Pattern", ""))))))))))))))))))))</f>
        <v>True Search</v>
      </c>
      <c r="Q566" s="13" t="str">
        <f>IF(NOT(ISERR(SEARCH("*_Buggy",$A566))), "Buggy", IF(NOT(ISERR(SEARCH("*_Fixed",$A566))), "Fixed", IF(NOT(ISERR(SEARCH("*_Repaired",$A566))), "Repaired", "")))</f>
        <v>Fixed</v>
      </c>
      <c r="R566" s="13" t="s">
        <v>1668</v>
      </c>
      <c r="S566" s="25">
        <v>2</v>
      </c>
      <c r="T566" s="25">
        <v>8</v>
      </c>
      <c r="U566" s="25">
        <v>0</v>
      </c>
      <c r="V566" s="13">
        <v>8</v>
      </c>
      <c r="W566" s="13" t="str">
        <f>MID(A566, SEARCH("_", A566) +1, SEARCH("_", A566, SEARCH("_", A566) +1) - SEARCH("_", A566) -1)</f>
        <v>Math-99</v>
      </c>
    </row>
    <row r="567" spans="1:23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>LEFT($A567,FIND("_",$A567)-1)</f>
        <v>ACS</v>
      </c>
      <c r="P567" s="13" t="str">
        <f>IF($O567="ACS", "True Search", IF($O567="Arja", "Evolutionary Search", IF($O567="AVATAR", "True Pattern", IF($O567="CapGen", "Search Like Pattern", IF($O567="Cardumen", "True Semantic", IF($O567="DynaMoth", "True Semantic", IF($O567="FixMiner", "True Pattern", IF($O567="GenProg-A", "Evolutionary Search", IF($O567="Hercules", "Learning Pattern", IF($O567="Jaid", "True Semantic",
IF($O567="Kali-A", "True Search", IF($O567="kPAR", "True Pattern", IF($O567="Nopol", "True Semantic", IF($O567="RSRepair-A", "Evolutionary Search", IF($O567="SequenceR", "Deep Learning", IF($O567="SimFix", "Search Like Pattern", IF($O567="SketchFix", "True Pattern", IF($O567="SOFix", "True Pattern", IF($O567="ssFix", "Search Like Pattern", IF($O567="TBar", "True Pattern", ""))))))))))))))))))))</f>
        <v>True Search</v>
      </c>
      <c r="Q567" s="13" t="str">
        <f>IF(NOT(ISERR(SEARCH("*_Buggy",$A567))), "Buggy", IF(NOT(ISERR(SEARCH("*_Fixed",$A567))), "Fixed", IF(NOT(ISERR(SEARCH("*_Repaired",$A567))), "Repaired", "")))</f>
        <v>Fixed</v>
      </c>
      <c r="R567" s="13" t="s">
        <v>1668</v>
      </c>
      <c r="S567" s="25">
        <v>1</v>
      </c>
      <c r="T567" s="13">
        <v>3</v>
      </c>
      <c r="U567" s="25">
        <v>0</v>
      </c>
      <c r="V567" s="13">
        <v>3</v>
      </c>
      <c r="W567" s="13" t="str">
        <f>MID(A567, SEARCH("_", A567) +1, SEARCH("_", A567, SEARCH("_", A567) +1) - SEARCH("_", A567) -1)</f>
        <v>Time-15</v>
      </c>
    </row>
    <row r="568" spans="1:23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>LEFT($A568,FIND("_",$A568)-1)</f>
        <v>ARJA</v>
      </c>
      <c r="P568" s="13" t="str">
        <f>IF($O568="ACS", "True Search", IF($O568="Arja", "Evolutionary Search", IF($O568="AVATAR", "True Pattern", IF($O568="CapGen", "Search Like Pattern", IF($O568="Cardumen", "True Semantic", IF($O568="DynaMoth", "True Semantic", IF($O568="FixMiner", "True Pattern", IF($O568="GenProg-A", "Evolutionary Search", IF($O568="Hercules", "Learning Pattern", IF($O568="Jaid", "True Semantic",
IF($O568="Kali-A", "True Search", IF($O568="kPAR", "True Pattern", IF($O568="Nopol", "True Semantic", IF($O568="RSRepair-A", "Evolutionary Search", IF($O568="SequenceR", "Deep Learning", IF($O568="SimFix", "Search Like Pattern", IF($O568="SketchFix", "True Pattern", IF($O568="SOFix", "True Pattern", IF($O568="ssFix", "Search Like Pattern", IF($O568="TBar", "True Pattern", ""))))))))))))))))))))</f>
        <v>Evolutionary Search</v>
      </c>
      <c r="Q568" s="13" t="str">
        <f>IF(NOT(ISERR(SEARCH("*_Buggy",$A568))), "Buggy", IF(NOT(ISERR(SEARCH("*_Fixed",$A568))), "Fixed", IF(NOT(ISERR(SEARCH("*_Repaired",$A568))), "Repaired", "")))</f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v>1</v>
      </c>
      <c r="W568" s="13" t="str">
        <f>MID(A568, SEARCH("_", A568) +1, SEARCH("_", A568, SEARCH("_", A568) +1) - SEARCH("_", A568) -1)</f>
        <v>Chart-1</v>
      </c>
    </row>
    <row r="569" spans="1:23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>LEFT($A569,FIND("_",$A569)-1)</f>
        <v>ARJA</v>
      </c>
      <c r="P569" s="13" t="str">
        <f>IF($O569="ACS", "True Search", IF($O569="Arja", "Evolutionary Search", IF($O569="AVATAR", "True Pattern", IF($O569="CapGen", "Search Like Pattern", IF($O569="Cardumen", "True Semantic", IF($O569="DynaMoth", "True Semantic", IF($O569="FixMiner", "True Pattern", IF($O569="GenProg-A", "Evolutionary Search", IF($O569="Hercules", "Learning Pattern", IF($O569="Jaid", "True Semantic",
IF($O569="Kali-A", "True Search", IF($O569="kPAR", "True Pattern", IF($O569="Nopol", "True Semantic", IF($O569="RSRepair-A", "Evolutionary Search", IF($O569="SequenceR", "Deep Learning", IF($O569="SimFix", "Search Like Pattern", IF($O569="SketchFix", "True Pattern", IF($O569="SOFix", "True Pattern", IF($O569="ssFix", "Search Like Pattern", IF($O569="TBar", "True Pattern", ""))))))))))))))))))))</f>
        <v>Evolutionary Search</v>
      </c>
      <c r="Q569" s="13" t="str">
        <f>IF(NOT(ISERR(SEARCH("*_Buggy",$A569))), "Buggy", IF(NOT(ISERR(SEARCH("*_Fixed",$A569))), "Fixed", IF(NOT(ISERR(SEARCH("*_Repaired",$A569))), "Repaired", "")))</f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v>1</v>
      </c>
      <c r="W569" s="13" t="str">
        <f>MID(A569, SEARCH("_", A569) +1, SEARCH("_", A569, SEARCH("_", A569) +1) - SEARCH("_", A569) -1)</f>
        <v>Chart-12</v>
      </c>
    </row>
    <row r="570" spans="1:23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>LEFT($A570,FIND("_",$A570)-1)</f>
        <v>ARJA</v>
      </c>
      <c r="P570" s="13" t="str">
        <f>IF($O570="ACS", "True Search", IF($O570="Arja", "Evolutionary Search", IF($O570="AVATAR", "True Pattern", IF($O570="CapGen", "Search Like Pattern", IF($O570="Cardumen", "True Semantic", IF($O570="DynaMoth", "True Semantic", IF($O570="FixMiner", "True Pattern", IF($O570="GenProg-A", "Evolutionary Search", IF($O570="Hercules", "Learning Pattern", IF($O570="Jaid", "True Semantic",
IF($O570="Kali-A", "True Search", IF($O570="kPAR", "True Pattern", IF($O570="Nopol", "True Semantic", IF($O570="RSRepair-A", "Evolutionary Search", IF($O570="SequenceR", "Deep Learning", IF($O570="SimFix", "Search Like Pattern", IF($O570="SketchFix", "True Pattern", IF($O570="SOFix", "True Pattern", IF($O570="ssFix", "Search Like Pattern", IF($O570="TBar", "True Pattern", ""))))))))))))))))))))</f>
        <v>Evolutionary Search</v>
      </c>
      <c r="Q570" s="13" t="str">
        <f>IF(NOT(ISERR(SEARCH("*_Buggy",$A570))), "Buggy", IF(NOT(ISERR(SEARCH("*_Fixed",$A570))), "Fixed", IF(NOT(ISERR(SEARCH("*_Repaired",$A570))), "Repaired", "")))</f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v>1</v>
      </c>
      <c r="W570" s="13" t="str">
        <f>MID(A570, SEARCH("_", A570) +1, SEARCH("_", A570, SEARCH("_", A570) +1) - SEARCH("_", A570) -1)</f>
        <v>Chart-13</v>
      </c>
    </row>
    <row r="571" spans="1:23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>LEFT($A571,FIND("_",$A571)-1)</f>
        <v>ARJA</v>
      </c>
      <c r="P571" s="13" t="str">
        <f>IF($O571="ACS", "True Search", IF($O571="Arja", "Evolutionary Search", IF($O571="AVATAR", "True Pattern", IF($O571="CapGen", "Search Like Pattern", IF($O571="Cardumen", "True Semantic", IF($O571="DynaMoth", "True Semantic", IF($O571="FixMiner", "True Pattern", IF($O571="GenProg-A", "Evolutionary Search", IF($O571="Hercules", "Learning Pattern", IF($O571="Jaid", "True Semantic",
IF($O571="Kali-A", "True Search", IF($O571="kPAR", "True Pattern", IF($O571="Nopol", "True Semantic", IF($O571="RSRepair-A", "Evolutionary Search", IF($O571="SequenceR", "Deep Learning", IF($O571="SimFix", "Search Like Pattern", IF($O571="SketchFix", "True Pattern", IF($O571="SOFix", "True Pattern", IF($O571="ssFix", "Search Like Pattern", IF($O571="TBar", "True Pattern", ""))))))))))))))))))))</f>
        <v>Evolutionary Search</v>
      </c>
      <c r="Q571" s="13" t="str">
        <f>IF(NOT(ISERR(SEARCH("*_Buggy",$A571))), "Buggy", IF(NOT(ISERR(SEARCH("*_Fixed",$A571))), "Fixed", IF(NOT(ISERR(SEARCH("*_Repaired",$A571))), "Repaired", "")))</f>
        <v>Fixed</v>
      </c>
      <c r="R571" s="13" t="s">
        <v>1669</v>
      </c>
      <c r="S571" s="25">
        <v>1</v>
      </c>
      <c r="T571" s="25">
        <v>2</v>
      </c>
      <c r="U571" s="25">
        <v>0</v>
      </c>
      <c r="V571" s="13">
        <v>2</v>
      </c>
      <c r="W571" s="13" t="str">
        <f>MID(A571, SEARCH("_", A571) +1, SEARCH("_", A571, SEARCH("_", A571) +1) - SEARCH("_", A571) -1)</f>
        <v>Chart-3</v>
      </c>
    </row>
    <row r="572" spans="1:23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>LEFT($A572,FIND("_",$A572)-1)</f>
        <v>ARJA</v>
      </c>
      <c r="P572" s="13" t="str">
        <f>IF($O572="ACS", "True Search", IF($O572="Arja", "Evolutionary Search", IF($O572="AVATAR", "True Pattern", IF($O572="CapGen", "Search Like Pattern", IF($O572="Cardumen", "True Semantic", IF($O572="DynaMoth", "True Semantic", IF($O572="FixMiner", "True Pattern", IF($O572="GenProg-A", "Evolutionary Search", IF($O572="Hercules", "Learning Pattern", IF($O572="Jaid", "True Semantic",
IF($O572="Kali-A", "True Search", IF($O572="kPAR", "True Pattern", IF($O572="Nopol", "True Semantic", IF($O572="RSRepair-A", "Evolutionary Search", IF($O572="SequenceR", "Deep Learning", IF($O572="SimFix", "Search Like Pattern", IF($O572="SketchFix", "True Pattern", IF($O572="SOFix", "True Pattern", IF($O572="ssFix", "Search Like Pattern", IF($O572="TBar", "True Pattern", ""))))))))))))))))))))</f>
        <v>Evolutionary Search</v>
      </c>
      <c r="Q572" s="13" t="str">
        <f>IF(NOT(ISERR(SEARCH("*_Buggy",$A572))), "Buggy", IF(NOT(ISERR(SEARCH("*_Fixed",$A572))), "Fixed", IF(NOT(ISERR(SEARCH("*_Repaired",$A572))), "Repaired", "")))</f>
        <v>Fixed</v>
      </c>
      <c r="R572" s="13" t="s">
        <v>1669</v>
      </c>
      <c r="S572" s="25">
        <v>2</v>
      </c>
      <c r="T572" s="13">
        <v>5</v>
      </c>
      <c r="U572" s="25">
        <v>1</v>
      </c>
      <c r="V572" s="13">
        <v>5</v>
      </c>
      <c r="W572" s="13" t="str">
        <f>MID(A572, SEARCH("_", A572) +1, SEARCH("_", A572, SEARCH("_", A572) +1) - SEARCH("_", A572) -1)</f>
        <v>Chart-5</v>
      </c>
    </row>
    <row r="573" spans="1:23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>LEFT($A573,FIND("_",$A573)-1)</f>
        <v>ARJA</v>
      </c>
      <c r="P573" s="13" t="str">
        <f>IF($O573="ACS", "True Search", IF($O573="Arja", "Evolutionary Search", IF($O573="AVATAR", "True Pattern", IF($O573="CapGen", "Search Like Pattern", IF($O573="Cardumen", "True Semantic", IF($O573="DynaMoth", "True Semantic", IF($O573="FixMiner", "True Pattern", IF($O573="GenProg-A", "Evolutionary Search", IF($O573="Hercules", "Learning Pattern", IF($O573="Jaid", "True Semantic",
IF($O573="Kali-A", "True Search", IF($O573="kPAR", "True Pattern", IF($O573="Nopol", "True Semantic", IF($O573="RSRepair-A", "Evolutionary Search", IF($O573="SequenceR", "Deep Learning", IF($O573="SimFix", "Search Like Pattern", IF($O573="SketchFix", "True Pattern", IF($O573="SOFix", "True Pattern", IF($O573="ssFix", "Search Like Pattern", IF($O573="TBar", "True Pattern", ""))))))))))))))))))))</f>
        <v>Evolutionary Search</v>
      </c>
      <c r="Q573" s="13" t="str">
        <f>IF(NOT(ISERR(SEARCH("*_Buggy",$A573))), "Buggy", IF(NOT(ISERR(SEARCH("*_Fixed",$A573))), "Fixed", IF(NOT(ISERR(SEARCH("*_Repaired",$A573))), "Repaired", "")))</f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v>2</v>
      </c>
      <c r="W573" s="13" t="str">
        <f>MID(A573, SEARCH("_", A573) +1, SEARCH("_", A573, SEARCH("_", A573) +1) - SEARCH("_", A573) -1)</f>
        <v>Chart-7</v>
      </c>
    </row>
    <row r="574" spans="1:23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>LEFT($A574,FIND("_",$A574)-1)</f>
        <v>ARJA</v>
      </c>
      <c r="P574" s="13" t="str">
        <f>IF($O574="ACS", "True Search", IF($O574="Arja", "Evolutionary Search", IF($O574="AVATAR", "True Pattern", IF($O574="CapGen", "Search Like Pattern", IF($O574="Cardumen", "True Semantic", IF($O574="DynaMoth", "True Semantic", IF($O574="FixMiner", "True Pattern", IF($O574="GenProg-A", "Evolutionary Search", IF($O574="Hercules", "Learning Pattern", IF($O574="Jaid", "True Semantic",
IF($O574="Kali-A", "True Search", IF($O574="kPAR", "True Pattern", IF($O574="Nopol", "True Semantic", IF($O574="RSRepair-A", "Evolutionary Search", IF($O574="SequenceR", "Deep Learning", IF($O574="SimFix", "Search Like Pattern", IF($O574="SketchFix", "True Pattern", IF($O574="SOFix", "True Pattern", IF($O574="ssFix", "Search Like Pattern", IF($O574="TBar", "True Pattern", ""))))))))))))))))))))</f>
        <v>Evolutionary Search</v>
      </c>
      <c r="Q574" s="13" t="str">
        <f>IF(NOT(ISERR(SEARCH("*_Buggy",$A574))), "Buggy", IF(NOT(ISERR(SEARCH("*_Fixed",$A574))), "Fixed", IF(NOT(ISERR(SEARCH("*_Repaired",$A574))), "Repaired", "")))</f>
        <v>Fixed</v>
      </c>
      <c r="R574" s="13" t="s">
        <v>1669</v>
      </c>
      <c r="S574" s="25">
        <v>1</v>
      </c>
      <c r="T574" s="25">
        <v>9</v>
      </c>
      <c r="U574" s="25">
        <v>3</v>
      </c>
      <c r="V574" s="13">
        <v>9</v>
      </c>
      <c r="W574" s="13" t="str">
        <f>MID(A574, SEARCH("_", A574) +1, SEARCH("_", A574, SEARCH("_", A574) +1) - SEARCH("_", A574) -1)</f>
        <v>Closure-112</v>
      </c>
    </row>
    <row r="575" spans="1:23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>LEFT($A575,FIND("_",$A575)-1)</f>
        <v>ARJA</v>
      </c>
      <c r="P575" s="13" t="str">
        <f>IF($O575="ACS", "True Search", IF($O575="Arja", "Evolutionary Search", IF($O575="AVATAR", "True Pattern", IF($O575="CapGen", "Search Like Pattern", IF($O575="Cardumen", "True Semantic", IF($O575="DynaMoth", "True Semantic", IF($O575="FixMiner", "True Pattern", IF($O575="GenProg-A", "Evolutionary Search", IF($O575="Hercules", "Learning Pattern", IF($O575="Jaid", "True Semantic",
IF($O575="Kali-A", "True Search", IF($O575="kPAR", "True Pattern", IF($O575="Nopol", "True Semantic", IF($O575="RSRepair-A", "Evolutionary Search", IF($O575="SequenceR", "Deep Learning", IF($O575="SimFix", "Search Like Pattern", IF($O575="SketchFix", "True Pattern", IF($O575="SOFix", "True Pattern", IF($O575="ssFix", "Search Like Pattern", IF($O575="TBar", "True Pattern", ""))))))))))))))))))))</f>
        <v>Evolutionary Search</v>
      </c>
      <c r="Q575" s="13" t="str">
        <f>IF(NOT(ISERR(SEARCH("*_Buggy",$A575))), "Buggy", IF(NOT(ISERR(SEARCH("*_Fixed",$A575))), "Fixed", IF(NOT(ISERR(SEARCH("*_Repaired",$A575))), "Repaired", "")))</f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v>1</v>
      </c>
      <c r="W575" s="13" t="str">
        <f>MID(A575, SEARCH("_", A575) +1, SEARCH("_", A575, SEARCH("_", A575) +1) - SEARCH("_", A575) -1)</f>
        <v>Closure-114</v>
      </c>
    </row>
    <row r="576" spans="1:23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>LEFT($A576,FIND("_",$A576)-1)</f>
        <v>ARJA</v>
      </c>
      <c r="P576" s="13" t="str">
        <f>IF($O576="ACS", "True Search", IF($O576="Arja", "Evolutionary Search", IF($O576="AVATAR", "True Pattern", IF($O576="CapGen", "Search Like Pattern", IF($O576="Cardumen", "True Semantic", IF($O576="DynaMoth", "True Semantic", IF($O576="FixMiner", "True Pattern", IF($O576="GenProg-A", "Evolutionary Search", IF($O576="Hercules", "Learning Pattern", IF($O576="Jaid", "True Semantic",
IF($O576="Kali-A", "True Search", IF($O576="kPAR", "True Pattern", IF($O576="Nopol", "True Semantic", IF($O576="RSRepair-A", "Evolutionary Search", IF($O576="SequenceR", "Deep Learning", IF($O576="SimFix", "Search Like Pattern", IF($O576="SketchFix", "True Pattern", IF($O576="SOFix", "True Pattern", IF($O576="ssFix", "Search Like Pattern", IF($O576="TBar", "True Pattern", ""))))))))))))))))))))</f>
        <v>Evolutionary Search</v>
      </c>
      <c r="Q576" s="13" t="str">
        <f>IF(NOT(ISERR(SEARCH("*_Buggy",$A576))), "Buggy", IF(NOT(ISERR(SEARCH("*_Fixed",$A576))), "Fixed", IF(NOT(ISERR(SEARCH("*_Repaired",$A576))), "Repaired", "")))</f>
        <v>Fixed</v>
      </c>
      <c r="R576" s="13" t="s">
        <v>1668</v>
      </c>
      <c r="S576" s="25">
        <v>2</v>
      </c>
      <c r="T576" s="25">
        <v>0</v>
      </c>
      <c r="U576" s="25">
        <v>11</v>
      </c>
      <c r="V576" s="13">
        <v>11</v>
      </c>
      <c r="W576" s="13" t="str">
        <f>MID(A576, SEARCH("_", A576) +1, SEARCH("_", A576, SEARCH("_", A576) +1) - SEARCH("_", A576) -1)</f>
        <v>Closure-115</v>
      </c>
    </row>
    <row r="577" spans="1:23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>LEFT($A577,FIND("_",$A577)-1)</f>
        <v>ARJA</v>
      </c>
      <c r="P577" s="13" t="str">
        <f>IF($O577="ACS", "True Search", IF($O577="Arja", "Evolutionary Search", IF($O577="AVATAR", "True Pattern", IF($O577="CapGen", "Search Like Pattern", IF($O577="Cardumen", "True Semantic", IF($O577="DynaMoth", "True Semantic", IF($O577="FixMiner", "True Pattern", IF($O577="GenProg-A", "Evolutionary Search", IF($O577="Hercules", "Learning Pattern", IF($O577="Jaid", "True Semantic",
IF($O577="Kali-A", "True Search", IF($O577="kPAR", "True Pattern", IF($O577="Nopol", "True Semantic", IF($O577="RSRepair-A", "Evolutionary Search", IF($O577="SequenceR", "Deep Learning", IF($O577="SimFix", "Search Like Pattern", IF($O577="SketchFix", "True Pattern", IF($O577="SOFix", "True Pattern", IF($O577="ssFix", "Search Like Pattern", IF($O577="TBar", "True Pattern", ""))))))))))))))))))))</f>
        <v>Evolutionary Search</v>
      </c>
      <c r="Q577" s="13" t="str">
        <f>IF(NOT(ISERR(SEARCH("*_Buggy",$A577))), "Buggy", IF(NOT(ISERR(SEARCH("*_Fixed",$A577))), "Fixed", IF(NOT(ISERR(SEARCH("*_Repaired",$A577))), "Repaired", "")))</f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v>24</v>
      </c>
      <c r="W577" s="13" t="str">
        <f>MID(A577, SEARCH("_", A577) +1, SEARCH("_", A577, SEARCH("_", A577) +1) - SEARCH("_", A577) -1)</f>
        <v>Closure-117</v>
      </c>
    </row>
    <row r="578" spans="1:23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>LEFT($A578,FIND("_",$A578)-1)</f>
        <v>ARJA</v>
      </c>
      <c r="P578" s="13" t="str">
        <f>IF($O578="ACS", "True Search", IF($O578="Arja", "Evolutionary Search", IF($O578="AVATAR", "True Pattern", IF($O578="CapGen", "Search Like Pattern", IF($O578="Cardumen", "True Semantic", IF($O578="DynaMoth", "True Semantic", IF($O578="FixMiner", "True Pattern", IF($O578="GenProg-A", "Evolutionary Search", IF($O578="Hercules", "Learning Pattern", IF($O578="Jaid", "True Semantic",
IF($O578="Kali-A", "True Search", IF($O578="kPAR", "True Pattern", IF($O578="Nopol", "True Semantic", IF($O578="RSRepair-A", "Evolutionary Search", IF($O578="SequenceR", "Deep Learning", IF($O578="SimFix", "Search Like Pattern", IF($O578="SketchFix", "True Pattern", IF($O578="SOFix", "True Pattern", IF($O578="ssFix", "Search Like Pattern", IF($O578="TBar", "True Pattern", ""))))))))))))))))))))</f>
        <v>Evolutionary Search</v>
      </c>
      <c r="Q578" s="13" t="str">
        <f>IF(NOT(ISERR(SEARCH("*_Buggy",$A578))), "Buggy", IF(NOT(ISERR(SEARCH("*_Fixed",$A578))), "Fixed", IF(NOT(ISERR(SEARCH("*_Repaired",$A578))), "Repaired", "")))</f>
        <v>Fixed</v>
      </c>
      <c r="R578" s="13" t="s">
        <v>1669</v>
      </c>
      <c r="S578" s="25">
        <v>2</v>
      </c>
      <c r="T578" s="25">
        <v>2</v>
      </c>
      <c r="U578" s="25">
        <v>0</v>
      </c>
      <c r="V578" s="13">
        <v>2</v>
      </c>
      <c r="W578" s="13" t="str">
        <f>MID(A578, SEARCH("_", A578) +1, SEARCH("_", A578, SEARCH("_", A578) +1) - SEARCH("_", A578) -1)</f>
        <v>Closure-124</v>
      </c>
    </row>
    <row r="579" spans="1:23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>LEFT($A579,FIND("_",$A579)-1)</f>
        <v>ARJA</v>
      </c>
      <c r="P579" s="13" t="str">
        <f>IF($O579="ACS", "True Search", IF($O579="Arja", "Evolutionary Search", IF($O579="AVATAR", "True Pattern", IF($O579="CapGen", "Search Like Pattern", IF($O579="Cardumen", "True Semantic", IF($O579="DynaMoth", "True Semantic", IF($O579="FixMiner", "True Pattern", IF($O579="GenProg-A", "Evolutionary Search", IF($O579="Hercules", "Learning Pattern", IF($O579="Jaid", "True Semantic",
IF($O579="Kali-A", "True Search", IF($O579="kPAR", "True Pattern", IF($O579="Nopol", "True Semantic", IF($O579="RSRepair-A", "Evolutionary Search", IF($O579="SequenceR", "Deep Learning", IF($O579="SimFix", "Search Like Pattern", IF($O579="SketchFix", "True Pattern", IF($O579="SOFix", "True Pattern", IF($O579="ssFix", "Search Like Pattern", IF($O579="TBar", "True Pattern", ""))))))))))))))))))))</f>
        <v>Evolutionary Search</v>
      </c>
      <c r="Q579" s="13" t="str">
        <f>IF(NOT(ISERR(SEARCH("*_Buggy",$A579))), "Buggy", IF(NOT(ISERR(SEARCH("*_Fixed",$A579))), "Fixed", IF(NOT(ISERR(SEARCH("*_Repaired",$A579))), "Repaired", "")))</f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v>1</v>
      </c>
      <c r="W579" s="13" t="str">
        <f>MID(A579, SEARCH("_", A579) +1, SEARCH("_", A579, SEARCH("_", A579) +1) - SEARCH("_", A579) -1)</f>
        <v>Closure-125</v>
      </c>
    </row>
    <row r="580" spans="1:23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>LEFT($A580,FIND("_",$A580)-1)</f>
        <v>ARJA</v>
      </c>
      <c r="P580" s="13" t="str">
        <f>IF($O580="ACS", "True Search", IF($O580="Arja", "Evolutionary Search", IF($O580="AVATAR", "True Pattern", IF($O580="CapGen", "Search Like Pattern", IF($O580="Cardumen", "True Semantic", IF($O580="DynaMoth", "True Semantic", IF($O580="FixMiner", "True Pattern", IF($O580="GenProg-A", "Evolutionary Search", IF($O580="Hercules", "Learning Pattern", IF($O580="Jaid", "True Semantic",
IF($O580="Kali-A", "True Search", IF($O580="kPAR", "True Pattern", IF($O580="Nopol", "True Semantic", IF($O580="RSRepair-A", "Evolutionary Search", IF($O580="SequenceR", "Deep Learning", IF($O580="SimFix", "Search Like Pattern", IF($O580="SketchFix", "True Pattern", IF($O580="SOFix", "True Pattern", IF($O580="ssFix", "Search Like Pattern", IF($O580="TBar", "True Pattern", ""))))))))))))))))))))</f>
        <v>Evolutionary Search</v>
      </c>
      <c r="Q580" s="13" t="str">
        <f>IF(NOT(ISERR(SEARCH("*_Buggy",$A580))), "Buggy", IF(NOT(ISERR(SEARCH("*_Fixed",$A580))), "Fixed", IF(NOT(ISERR(SEARCH("*_Repaired",$A580))), "Repaired", "")))</f>
        <v>Fixed</v>
      </c>
      <c r="R580" s="13" t="s">
        <v>1669</v>
      </c>
      <c r="S580" s="25">
        <v>2</v>
      </c>
      <c r="T580" s="25">
        <v>2</v>
      </c>
      <c r="U580" s="25">
        <v>19</v>
      </c>
      <c r="V580" s="13">
        <v>19</v>
      </c>
      <c r="W580" s="13" t="str">
        <f>MID(A580, SEARCH("_", A580) +1, SEARCH("_", A580, SEARCH("_", A580) +1) - SEARCH("_", A580) -1)</f>
        <v>Closure-21</v>
      </c>
    </row>
    <row r="581" spans="1:23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>LEFT($A581,FIND("_",$A581)-1)</f>
        <v>ARJA</v>
      </c>
      <c r="P581" s="13" t="str">
        <f>IF($O581="ACS", "True Search", IF($O581="Arja", "Evolutionary Search", IF($O581="AVATAR", "True Pattern", IF($O581="CapGen", "Search Like Pattern", IF($O581="Cardumen", "True Semantic", IF($O581="DynaMoth", "True Semantic", IF($O581="FixMiner", "True Pattern", IF($O581="GenProg-A", "Evolutionary Search", IF($O581="Hercules", "Learning Pattern", IF($O581="Jaid", "True Semantic",
IF($O581="Kali-A", "True Search", IF($O581="kPAR", "True Pattern", IF($O581="Nopol", "True Semantic", IF($O581="RSRepair-A", "Evolutionary Search", IF($O581="SequenceR", "Deep Learning", IF($O581="SimFix", "Search Like Pattern", IF($O581="SketchFix", "True Pattern", IF($O581="SOFix", "True Pattern", IF($O581="ssFix", "Search Like Pattern", IF($O581="TBar", "True Pattern", ""))))))))))))))))))))</f>
        <v>Evolutionary Search</v>
      </c>
      <c r="Q581" s="13" t="str">
        <f>IF(NOT(ISERR(SEARCH("*_Buggy",$A581))), "Buggy", IF(NOT(ISERR(SEARCH("*_Fixed",$A581))), "Fixed", IF(NOT(ISERR(SEARCH("*_Repaired",$A581))), "Repaired", "")))</f>
        <v>Fixed</v>
      </c>
      <c r="R581" s="13" t="s">
        <v>1669</v>
      </c>
      <c r="S581" s="25">
        <v>5</v>
      </c>
      <c r="T581" s="25">
        <v>2</v>
      </c>
      <c r="U581" s="25">
        <v>26</v>
      </c>
      <c r="V581" s="13">
        <v>26</v>
      </c>
      <c r="W581" s="13" t="str">
        <f>MID(A581, SEARCH("_", A581) +1, SEARCH("_", A581, SEARCH("_", A581) +1) - SEARCH("_", A581) -1)</f>
        <v>Closure-22</v>
      </c>
    </row>
    <row r="582" spans="1:23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>LEFT($A582,FIND("_",$A582)-1)</f>
        <v>ARJA</v>
      </c>
      <c r="P582" s="13" t="str">
        <f>IF($O582="ACS", "True Search", IF($O582="Arja", "Evolutionary Search", IF($O582="AVATAR", "True Pattern", IF($O582="CapGen", "Search Like Pattern", IF($O582="Cardumen", "True Semantic", IF($O582="DynaMoth", "True Semantic", IF($O582="FixMiner", "True Pattern", IF($O582="GenProg-A", "Evolutionary Search", IF($O582="Hercules", "Learning Pattern", IF($O582="Jaid", "True Semantic",
IF($O582="Kali-A", "True Search", IF($O582="kPAR", "True Pattern", IF($O582="Nopol", "True Semantic", IF($O582="RSRepair-A", "Evolutionary Search", IF($O582="SequenceR", "Deep Learning", IF($O582="SimFix", "Search Like Pattern", IF($O582="SketchFix", "True Pattern", IF($O582="SOFix", "True Pattern", IF($O582="ssFix", "Search Like Pattern", IF($O582="TBar", "True Pattern", ""))))))))))))))))))))</f>
        <v>Evolutionary Search</v>
      </c>
      <c r="Q582" s="13" t="str">
        <f>IF(NOT(ISERR(SEARCH("*_Buggy",$A582))), "Buggy", IF(NOT(ISERR(SEARCH("*_Fixed",$A582))), "Fixed", IF(NOT(ISERR(SEARCH("*_Repaired",$A582))), "Repaired", "")))</f>
        <v>Fixed</v>
      </c>
      <c r="R582" s="13" t="s">
        <v>1669</v>
      </c>
      <c r="S582" s="25">
        <v>3</v>
      </c>
      <c r="T582" s="25">
        <v>8</v>
      </c>
      <c r="U582" s="25">
        <v>2</v>
      </c>
      <c r="V582" s="13">
        <v>8</v>
      </c>
      <c r="W582" s="13" t="str">
        <f>MID(A582, SEARCH("_", A582) +1, SEARCH("_", A582, SEARCH("_", A582) +1) - SEARCH("_", A582) -1)</f>
        <v>Closure-3</v>
      </c>
    </row>
    <row r="583" spans="1:23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>LEFT($A583,FIND("_",$A583)-1)</f>
        <v>ARJA</v>
      </c>
      <c r="P583" s="13" t="str">
        <f>IF($O583="ACS", "True Search", IF($O583="Arja", "Evolutionary Search", IF($O583="AVATAR", "True Pattern", IF($O583="CapGen", "Search Like Pattern", IF($O583="Cardumen", "True Semantic", IF($O583="DynaMoth", "True Semantic", IF($O583="FixMiner", "True Pattern", IF($O583="GenProg-A", "Evolutionary Search", IF($O583="Hercules", "Learning Pattern", IF($O583="Jaid", "True Semantic",
IF($O583="Kali-A", "True Search", IF($O583="kPAR", "True Pattern", IF($O583="Nopol", "True Semantic", IF($O583="RSRepair-A", "Evolutionary Search", IF($O583="SequenceR", "Deep Learning", IF($O583="SimFix", "Search Like Pattern", IF($O583="SketchFix", "True Pattern", IF($O583="SOFix", "True Pattern", IF($O583="ssFix", "Search Like Pattern", IF($O583="TBar", "True Pattern", ""))))))))))))))))))))</f>
        <v>Evolutionary Search</v>
      </c>
      <c r="Q583" s="13" t="str">
        <f>IF(NOT(ISERR(SEARCH("*_Buggy",$A583))), "Buggy", IF(NOT(ISERR(SEARCH("*_Fixed",$A583))), "Fixed", IF(NOT(ISERR(SEARCH("*_Repaired",$A583))), "Repaired", "")))</f>
        <v>Fixed</v>
      </c>
      <c r="R583" s="13" t="s">
        <v>1669</v>
      </c>
      <c r="S583" s="25">
        <v>1</v>
      </c>
      <c r="T583" s="25">
        <v>3</v>
      </c>
      <c r="U583" s="25">
        <v>0</v>
      </c>
      <c r="V583" s="13">
        <v>3</v>
      </c>
      <c r="W583" s="13" t="str">
        <f>MID(A583, SEARCH("_", A583) +1, SEARCH("_", A583, SEARCH("_", A583) +1) - SEARCH("_", A583) -1)</f>
        <v>Closure-33</v>
      </c>
    </row>
    <row r="584" spans="1:23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>LEFT($A584,FIND("_",$A584)-1)</f>
        <v>ARJA</v>
      </c>
      <c r="P584" s="13" t="str">
        <f>IF($O584="ACS", "True Search", IF($O584="Arja", "Evolutionary Search", IF($O584="AVATAR", "True Pattern", IF($O584="CapGen", "Search Like Pattern", IF($O584="Cardumen", "True Semantic", IF($O584="DynaMoth", "True Semantic", IF($O584="FixMiner", "True Pattern", IF($O584="GenProg-A", "Evolutionary Search", IF($O584="Hercules", "Learning Pattern", IF($O584="Jaid", "True Semantic",
IF($O584="Kali-A", "True Search", IF($O584="kPAR", "True Pattern", IF($O584="Nopol", "True Semantic", IF($O584="RSRepair-A", "Evolutionary Search", IF($O584="SequenceR", "Deep Learning", IF($O584="SimFix", "Search Like Pattern", IF($O584="SketchFix", "True Pattern", IF($O584="SOFix", "True Pattern", IF($O584="ssFix", "Search Like Pattern", IF($O584="TBar", "True Pattern", ""))))))))))))))))))))</f>
        <v>Evolutionary Search</v>
      </c>
      <c r="Q584" s="13" t="str">
        <f>IF(NOT(ISERR(SEARCH("*_Buggy",$A584))), "Buggy", IF(NOT(ISERR(SEARCH("*_Fixed",$A584))), "Fixed", IF(NOT(ISERR(SEARCH("*_Repaired",$A584))), "Repaired", "")))</f>
        <v>Fixed</v>
      </c>
      <c r="R584" s="13" t="s">
        <v>1669</v>
      </c>
      <c r="S584" s="25">
        <v>1</v>
      </c>
      <c r="T584" s="13">
        <v>2</v>
      </c>
      <c r="U584" s="25">
        <v>1</v>
      </c>
      <c r="V584" s="13">
        <v>2</v>
      </c>
      <c r="W584" s="13" t="str">
        <f>MID(A584, SEARCH("_", A584) +1, SEARCH("_", A584, SEARCH("_", A584) +1) - SEARCH("_", A584) -1)</f>
        <v>Closure-55</v>
      </c>
    </row>
    <row r="585" spans="1:23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>LEFT($A585,FIND("_",$A585)-1)</f>
        <v>ARJA</v>
      </c>
      <c r="P585" s="13" t="str">
        <f>IF($O585="ACS", "True Search", IF($O585="Arja", "Evolutionary Search", IF($O585="AVATAR", "True Pattern", IF($O585="CapGen", "Search Like Pattern", IF($O585="Cardumen", "True Semantic", IF($O585="DynaMoth", "True Semantic", IF($O585="FixMiner", "True Pattern", IF($O585="GenProg-A", "Evolutionary Search", IF($O585="Hercules", "Learning Pattern", IF($O585="Jaid", "True Semantic",
IF($O585="Kali-A", "True Search", IF($O585="kPAR", "True Pattern", IF($O585="Nopol", "True Semantic", IF($O585="RSRepair-A", "Evolutionary Search", IF($O585="SequenceR", "Deep Learning", IF($O585="SimFix", "Search Like Pattern", IF($O585="SketchFix", "True Pattern", IF($O585="SOFix", "True Pattern", IF($O585="ssFix", "Search Like Pattern", IF($O585="TBar", "True Pattern", ""))))))))))))))))))))</f>
        <v>Evolutionary Search</v>
      </c>
      <c r="Q585" s="13" t="str">
        <f>IF(NOT(ISERR(SEARCH("*_Buggy",$A585))), "Buggy", IF(NOT(ISERR(SEARCH("*_Fixed",$A585))), "Fixed", IF(NOT(ISERR(SEARCH("*_Repaired",$A585))), "Repaired", "")))</f>
        <v>Fixed</v>
      </c>
      <c r="R585" s="13" t="s">
        <v>1669</v>
      </c>
      <c r="S585" s="25">
        <v>2</v>
      </c>
      <c r="T585" s="25">
        <v>4</v>
      </c>
      <c r="U585" s="25">
        <v>0</v>
      </c>
      <c r="V585" s="13">
        <v>4</v>
      </c>
      <c r="W585" s="13" t="str">
        <f>MID(A585, SEARCH("_", A585) +1, SEARCH("_", A585, SEARCH("_", A585) +1) - SEARCH("_", A585) -1)</f>
        <v>Closure-8</v>
      </c>
    </row>
    <row r="586" spans="1:23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>LEFT($A586,FIND("_",$A586)-1)</f>
        <v>ARJA</v>
      </c>
      <c r="P586" s="13" t="str">
        <f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>IF(NOT(ISERR(SEARCH("*_Buggy",$A586))), "Buggy", IF(NOT(ISERR(SEARCH("*_Fixed",$A586))), "Fixed", IF(NOT(ISERR(SEARCH("*_Repaired",$A586))), "Repaired", "")))</f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v>1</v>
      </c>
      <c r="W586" s="13" t="str">
        <f>MID(A586, SEARCH("_", A586) +1, SEARCH("_", A586, SEARCH("_", A586) +1) - SEARCH("_", A586) -1)</f>
        <v>Closure-86</v>
      </c>
    </row>
    <row r="587" spans="1:23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>LEFT($A587,FIND("_",$A587)-1)</f>
        <v>ARJA</v>
      </c>
      <c r="P587" s="13" t="str">
        <f>IF($O587="ACS", "True Search", IF($O587="Arja", "Evolutionary Search", IF($O587="AVATAR", "True Pattern", IF($O587="CapGen", "Search Like Pattern", IF($O587="Cardumen", "True Semantic", IF($O587="DynaMoth", "True Semantic", IF($O587="FixMiner", "True Pattern", IF($O587="GenProg-A", "Evolutionary Search", IF($O587="Hercules", "Learning Pattern", IF($O587="Jaid", "True Semantic",
IF($O587="Kali-A", "True Search", IF($O587="kPAR", "True Pattern", IF($O587="Nopol", "True Semantic", IF($O587="RSRepair-A", "Evolutionary Search", IF($O587="SequenceR", "Deep Learning", IF($O587="SimFix", "Search Like Pattern", IF($O587="SketchFix", "True Pattern", IF($O587="SOFix", "True Pattern", IF($O587="ssFix", "Search Like Pattern", IF($O587="TBar", "True Pattern", ""))))))))))))))))))))</f>
        <v>Evolutionary Search</v>
      </c>
      <c r="Q587" s="13" t="str">
        <f>IF(NOT(ISERR(SEARCH("*_Buggy",$A587))), "Buggy", IF(NOT(ISERR(SEARCH("*_Fixed",$A587))), "Fixed", IF(NOT(ISERR(SEARCH("*_Repaired",$A587))), "Repaired", "")))</f>
        <v>Fixed</v>
      </c>
      <c r="R587" s="13" t="s">
        <v>1669</v>
      </c>
      <c r="S587" s="25">
        <v>2</v>
      </c>
      <c r="T587" s="25">
        <v>6</v>
      </c>
      <c r="U587" s="25">
        <v>0</v>
      </c>
      <c r="V587" s="13">
        <v>6</v>
      </c>
      <c r="W587" s="13" t="str">
        <f>MID(A587, SEARCH("_", A587) +1, SEARCH("_", A587, SEARCH("_", A587) +1) - SEARCH("_", A587) -1)</f>
        <v>Closure-88</v>
      </c>
    </row>
    <row r="588" spans="1:23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>LEFT($A588,FIND("_",$A588)-1)</f>
        <v>ARJA</v>
      </c>
      <c r="P588" s="13" t="str">
        <f>IF($O588="ACS", "True Search", IF($O588="Arja", "Evolutionary Search", IF($O588="AVATAR", "True Pattern", IF($O588="CapGen", "Search Like Pattern", IF($O588="Cardumen", "True Semantic", IF($O588="DynaMoth", "True Semantic", IF($O588="FixMiner", "True Pattern", IF($O588="GenProg-A", "Evolutionary Search", IF($O588="Hercules", "Learning Pattern", IF($O588="Jaid", "True Semantic",
IF($O588="Kali-A", "True Search", IF($O588="kPAR", "True Pattern", IF($O588="Nopol", "True Semantic", IF($O588="RSRepair-A", "Evolutionary Search", IF($O588="SequenceR", "Deep Learning", IF($O588="SimFix", "Search Like Pattern", IF($O588="SketchFix", "True Pattern", IF($O588="SOFix", "True Pattern", IF($O588="ssFix", "Search Like Pattern", IF($O588="TBar", "True Pattern", ""))))))))))))))))))))</f>
        <v>Evolutionary Search</v>
      </c>
      <c r="Q588" s="13" t="str">
        <f>IF(NOT(ISERR(SEARCH("*_Buggy",$A588))), "Buggy", IF(NOT(ISERR(SEARCH("*_Fixed",$A588))), "Fixed", IF(NOT(ISERR(SEARCH("*_Repaired",$A588))), "Repaired", "")))</f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v>1</v>
      </c>
      <c r="W588" s="13" t="str">
        <f>MID(A588, SEARCH("_", A588) +1, SEARCH("_", A588, SEARCH("_", A588) +1) - SEARCH("_", A588) -1)</f>
        <v>Lang-16</v>
      </c>
    </row>
    <row r="589" spans="1:23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>LEFT($A589,FIND("_",$A589)-1)</f>
        <v>ARJA</v>
      </c>
      <c r="P589" s="13" t="str">
        <f>IF($O589="ACS", "True Search", IF($O589="Arja", "Evolutionary Search", IF($O589="AVATAR", "True Pattern", IF($O589="CapGen", "Search Like Pattern", IF($O589="Cardumen", "True Semantic", IF($O589="DynaMoth", "True Semantic", IF($O589="FixMiner", "True Pattern", IF($O589="GenProg-A", "Evolutionary Search", IF($O589="Hercules", "Learning Pattern", IF($O589="Jaid", "True Semantic",
IF($O589="Kali-A", "True Search", IF($O589="kPAR", "True Pattern", IF($O589="Nopol", "True Semantic", IF($O589="RSRepair-A", "Evolutionary Search", IF($O589="SequenceR", "Deep Learning", IF($O589="SimFix", "Search Like Pattern", IF($O589="SketchFix", "True Pattern", IF($O589="SOFix", "True Pattern", IF($O589="ssFix", "Search Like Pattern", IF($O589="TBar", "True Pattern", ""))))))))))))))))))))</f>
        <v>Evolutionary Search</v>
      </c>
      <c r="Q589" s="13" t="str">
        <f>IF(NOT(ISERR(SEARCH("*_Buggy",$A589))), "Buggy", IF(NOT(ISERR(SEARCH("*_Fixed",$A589))), "Fixed", IF(NOT(ISERR(SEARCH("*_Repaired",$A589))), "Repaired", "")))</f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v>2</v>
      </c>
      <c r="W589" s="13" t="str">
        <f>MID(A589, SEARCH("_", A589) +1, SEARCH("_", A589, SEARCH("_", A589) +1) - SEARCH("_", A589) -1)</f>
        <v>Lang-20</v>
      </c>
    </row>
    <row r="590" spans="1:23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>LEFT($A590,FIND("_",$A590)-1)</f>
        <v>ARJA</v>
      </c>
      <c r="P590" s="13" t="str">
        <f>IF($O590="ACS", "True Search", IF($O590="Arja", "Evolutionary Search", IF($O590="AVATAR", "True Pattern", IF($O590="CapGen", "Search Like Pattern", IF($O590="Cardumen", "True Semantic", IF($O590="DynaMoth", "True Semantic", IF($O590="FixMiner", "True Pattern", IF($O590="GenProg-A", "Evolutionary Search", IF($O590="Hercules", "Learning Pattern", IF($O590="Jaid", "True Semantic",
IF($O590="Kali-A", "True Search", IF($O590="kPAR", "True Pattern", IF($O590="Nopol", "True Semantic", IF($O590="RSRepair-A", "Evolutionary Search", IF($O590="SequenceR", "Deep Learning", IF($O590="SimFix", "Search Like Pattern", IF($O590="SketchFix", "True Pattern", IF($O590="SOFix", "True Pattern", IF($O590="ssFix", "Search Like Pattern", IF($O590="TBar", "True Pattern", ""))))))))))))))))))))</f>
        <v>Evolutionary Search</v>
      </c>
      <c r="Q590" s="13" t="str">
        <f>IF(NOT(ISERR(SEARCH("*_Buggy",$A590))), "Buggy", IF(NOT(ISERR(SEARCH("*_Fixed",$A590))), "Fixed", IF(NOT(ISERR(SEARCH("*_Repaired",$A590))), "Repaired", "")))</f>
        <v>Fixed</v>
      </c>
      <c r="R590" s="13" t="s">
        <v>1669</v>
      </c>
      <c r="S590" s="25">
        <v>1</v>
      </c>
      <c r="T590" s="25">
        <v>1</v>
      </c>
      <c r="U590" s="25">
        <v>0</v>
      </c>
      <c r="V590" s="13">
        <v>1</v>
      </c>
      <c r="W590" s="13" t="str">
        <f>MID(A590, SEARCH("_", A590) +1, SEARCH("_", A590, SEARCH("_", A590) +1) - SEARCH("_", A590) -1)</f>
        <v>Lang-43</v>
      </c>
    </row>
    <row r="591" spans="1:23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>LEFT($A591,FIND("_",$A591)-1)</f>
        <v>ARJA</v>
      </c>
      <c r="P591" s="13" t="str">
        <f>IF($O591="ACS", "True Search", IF($O591="Arja", "Evolutionary Search", IF($O591="AVATAR", "True Pattern", IF($O591="CapGen", "Search Like Pattern", IF($O591="Cardumen", "True Semantic", IF($O591="DynaMoth", "True Semantic", IF($O591="FixMiner", "True Pattern", IF($O591="GenProg-A", "Evolutionary Search", IF($O591="Hercules", "Learning Pattern", IF($O591="Jaid", "True Semantic",
IF($O591="Kali-A", "True Search", IF($O591="kPAR", "True Pattern", IF($O591="Nopol", "True Semantic", IF($O591="RSRepair-A", "Evolutionary Search", IF($O591="SequenceR", "Deep Learning", IF($O591="SimFix", "Search Like Pattern", IF($O591="SketchFix", "True Pattern", IF($O591="SOFix", "True Pattern", IF($O591="ssFix", "Search Like Pattern", IF($O591="TBar", "True Pattern", ""))))))))))))))))))))</f>
        <v>Evolutionary Search</v>
      </c>
      <c r="Q591" s="13" t="str">
        <f>IF(NOT(ISERR(SEARCH("*_Buggy",$A591))), "Buggy", IF(NOT(ISERR(SEARCH("*_Fixed",$A591))), "Fixed", IF(NOT(ISERR(SEARCH("*_Repaired",$A591))), "Repaired", "")))</f>
        <v>Fixed</v>
      </c>
      <c r="R591" s="13" t="s">
        <v>1668</v>
      </c>
      <c r="S591" s="25">
        <v>9</v>
      </c>
      <c r="T591" s="13">
        <v>10</v>
      </c>
      <c r="U591" s="25">
        <v>7</v>
      </c>
      <c r="V591" s="13">
        <v>10</v>
      </c>
      <c r="W591" s="13" t="str">
        <f>MID(A591, SEARCH("_", A591) +1, SEARCH("_", A591, SEARCH("_", A591) +1) - SEARCH("_", A591) -1)</f>
        <v>Lang-46</v>
      </c>
    </row>
    <row r="592" spans="1:23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>LEFT($A592,FIND("_",$A592)-1)</f>
        <v>ARJA</v>
      </c>
      <c r="P592" s="13" t="str">
        <f>IF($O592="ACS", "True Search", IF($O592="Arja", "Evolutionary Search", IF($O592="AVATAR", "True Pattern", IF($O592="CapGen", "Search Like Pattern", IF($O592="Cardumen", "True Semantic", IF($O592="DynaMoth", "True Semantic", IF($O592="FixMiner", "True Pattern", IF($O592="GenProg-A", "Evolutionary Search", IF($O592="Hercules", "Learning Pattern", IF($O592="Jaid", "True Semantic",
IF($O592="Kali-A", "True Search", IF($O592="kPAR", "True Pattern", IF($O592="Nopol", "True Semantic", IF($O592="RSRepair-A", "Evolutionary Search", IF($O592="SequenceR", "Deep Learning", IF($O592="SimFix", "Search Like Pattern", IF($O592="SketchFix", "True Pattern", IF($O592="SOFix", "True Pattern", IF($O592="ssFix", "Search Like Pattern", IF($O592="TBar", "True Pattern", ""))))))))))))))))))))</f>
        <v>Evolutionary Search</v>
      </c>
      <c r="Q592" s="13" t="str">
        <f>IF(NOT(ISERR(SEARCH("*_Buggy",$A592))), "Buggy", IF(NOT(ISERR(SEARCH("*_Fixed",$A592))), "Fixed", IF(NOT(ISERR(SEARCH("*_Repaired",$A592))), "Repaired", "")))</f>
        <v>Fixed</v>
      </c>
      <c r="R592" s="13" t="s">
        <v>1669</v>
      </c>
      <c r="S592" s="25">
        <v>6</v>
      </c>
      <c r="T592" s="25">
        <v>6</v>
      </c>
      <c r="U592" s="25">
        <v>10</v>
      </c>
      <c r="V592" s="13">
        <v>12</v>
      </c>
      <c r="W592" s="13" t="str">
        <f>MID(A592, SEARCH("_", A592) +1, SEARCH("_", A592, SEARCH("_", A592) +1) - SEARCH("_", A592) -1)</f>
        <v>Lang-50</v>
      </c>
    </row>
    <row r="593" spans="1:23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>LEFT($A593,FIND("_",$A593)-1)</f>
        <v>ARJA</v>
      </c>
      <c r="P593" s="13" t="str">
        <f>IF($O593="ACS", "True Search", IF($O593="Arja", "Evolutionary Search", IF($O593="AVATAR", "True Pattern", IF($O593="CapGen", "Search Like Pattern", IF($O593="Cardumen", "True Semantic", IF($O593="DynaMoth", "True Semantic", IF($O593="FixMiner", "True Pattern", IF($O593="GenProg-A", "Evolutionary Search", IF($O593="Hercules", "Learning Pattern", IF($O593="Jaid", "True Semantic",
IF($O593="Kali-A", "True Search", IF($O593="kPAR", "True Pattern", IF($O593="Nopol", "True Semantic", IF($O593="RSRepair-A", "Evolutionary Search", IF($O593="SequenceR", "Deep Learning", IF($O593="SimFix", "Search Like Pattern", IF($O593="SketchFix", "True Pattern", IF($O593="SOFix", "True Pattern", IF($O593="ssFix", "Search Like Pattern", IF($O593="TBar", "True Pattern", ""))))))))))))))))))))</f>
        <v>Evolutionary Search</v>
      </c>
      <c r="Q593" s="13" t="str">
        <f>IF(NOT(ISERR(SEARCH("*_Buggy",$A593))), "Buggy", IF(NOT(ISERR(SEARCH("*_Fixed",$A593))), "Fixed", IF(NOT(ISERR(SEARCH("*_Repaired",$A593))), "Repaired", "")))</f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v>1</v>
      </c>
      <c r="W593" s="13" t="str">
        <f>MID(A593, SEARCH("_", A593) +1, SEARCH("_", A593, SEARCH("_", A593) +1) - SEARCH("_", A593) -1)</f>
        <v>Lang-59</v>
      </c>
    </row>
    <row r="594" spans="1:23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>LEFT($A594,FIND("_",$A594)-1)</f>
        <v>ARJA</v>
      </c>
      <c r="P594" s="13" t="str">
        <f>IF($O594="ACS", "True Search", IF($O594="Arja", "Evolutionary Search", IF($O594="AVATAR", "True Pattern", IF($O594="CapGen", "Search Like Pattern", IF($O594="Cardumen", "True Semantic", IF($O594="DynaMoth", "True Semantic", IF($O594="FixMiner", "True Pattern", IF($O594="GenProg-A", "Evolutionary Search", IF($O594="Hercules", "Learning Pattern", IF($O594="Jaid", "True Semantic",
IF($O594="Kali-A", "True Search", IF($O594="kPAR", "True Pattern", IF($O594="Nopol", "True Semantic", IF($O594="RSRepair-A", "Evolutionary Search", IF($O594="SequenceR", "Deep Learning", IF($O594="SimFix", "Search Like Pattern", IF($O594="SketchFix", "True Pattern", IF($O594="SOFix", "True Pattern", IF($O594="ssFix", "Search Like Pattern", IF($O594="TBar", "True Pattern", ""))))))))))))))))))))</f>
        <v>Evolutionary Search</v>
      </c>
      <c r="Q594" s="13" t="str">
        <f>IF(NOT(ISERR(SEARCH("*_Buggy",$A594))), "Buggy", IF(NOT(ISERR(SEARCH("*_Fixed",$A594))), "Fixed", IF(NOT(ISERR(SEARCH("*_Repaired",$A594))), "Repaired", "")))</f>
        <v>Fixed</v>
      </c>
      <c r="R594" s="13" t="s">
        <v>1669</v>
      </c>
      <c r="S594" s="25">
        <v>4</v>
      </c>
      <c r="T594" s="25">
        <v>3</v>
      </c>
      <c r="U594" s="25">
        <v>20</v>
      </c>
      <c r="V594" s="13">
        <v>22</v>
      </c>
      <c r="W594" s="13" t="str">
        <f>MID(A594, SEARCH("_", A594) +1, SEARCH("_", A594, SEARCH("_", A594) +1) - SEARCH("_", A594) -1)</f>
        <v>Lang-63</v>
      </c>
    </row>
    <row r="595" spans="1:23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>LEFT($A595,FIND("_",$A595)-1)</f>
        <v>ARJA</v>
      </c>
      <c r="P595" s="13" t="str">
        <f>IF($O595="ACS", "True Search", IF($O595="Arja", "Evolutionary Search", IF($O595="AVATAR", "True Pattern", IF($O595="CapGen", "Search Like Pattern", IF($O595="Cardumen", "True Semantic", IF($O595="DynaMoth", "True Semantic", IF($O595="FixMiner", "True Pattern", IF($O595="GenProg-A", "Evolutionary Search", IF($O595="Hercules", "Learning Pattern", IF($O595="Jaid", "True Semantic",
IF($O595="Kali-A", "True Search", IF($O595="kPAR", "True Pattern", IF($O595="Nopol", "True Semantic", IF($O595="RSRepair-A", "Evolutionary Search", IF($O595="SequenceR", "Deep Learning", IF($O595="SimFix", "Search Like Pattern", IF($O595="SketchFix", "True Pattern", IF($O595="SOFix", "True Pattern", IF($O595="ssFix", "Search Like Pattern", IF($O595="TBar", "True Pattern", ""))))))))))))))))))))</f>
        <v>Evolutionary Search</v>
      </c>
      <c r="Q595" s="13" t="str">
        <f>IF(NOT(ISERR(SEARCH("*_Buggy",$A595))), "Buggy", IF(NOT(ISERR(SEARCH("*_Fixed",$A595))), "Fixed", IF(NOT(ISERR(SEARCH("*_Repaired",$A595))), "Repaired", "")))</f>
        <v>Fixed</v>
      </c>
      <c r="R595" s="13" t="s">
        <v>1669</v>
      </c>
      <c r="S595" s="25">
        <v>4</v>
      </c>
      <c r="T595" s="25">
        <v>4</v>
      </c>
      <c r="U595" s="25">
        <v>0</v>
      </c>
      <c r="V595" s="13">
        <v>4</v>
      </c>
      <c r="W595" s="13" t="str">
        <f>MID(A595, SEARCH("_", A595) +1, SEARCH("_", A595, SEARCH("_", A595) +1) - SEARCH("_", A595) -1)</f>
        <v>Math-28</v>
      </c>
    </row>
    <row r="596" spans="1:23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>LEFT($A596,FIND("_",$A596)-1)</f>
        <v>ARJA</v>
      </c>
      <c r="P596" s="13" t="str">
        <f>IF($O596="ACS", "True Search", IF($O596="Arja", "Evolutionary Search", IF($O596="AVATAR", "True Pattern", IF($O596="CapGen", "Search Like Pattern", IF($O596="Cardumen", "True Semantic", IF($O596="DynaMoth", "True Semantic", IF($O596="FixMiner", "True Pattern", IF($O596="GenProg-A", "Evolutionary Search", IF($O596="Hercules", "Learning Pattern", IF($O596="Jaid", "True Semantic",
IF($O596="Kali-A", "True Search", IF($O596="kPAR", "True Pattern", IF($O596="Nopol", "True Semantic", IF($O596="RSRepair-A", "Evolutionary Search", IF($O596="SequenceR", "Deep Learning", IF($O596="SimFix", "Search Like Pattern", IF($O596="SketchFix", "True Pattern", IF($O596="SOFix", "True Pattern", IF($O596="ssFix", "Search Like Pattern", IF($O596="TBar", "True Pattern", ""))))))))))))))))))))</f>
        <v>Evolutionary Search</v>
      </c>
      <c r="Q596" s="13" t="str">
        <f>IF(NOT(ISERR(SEARCH("*_Buggy",$A596))), "Buggy", IF(NOT(ISERR(SEARCH("*_Fixed",$A596))), "Fixed", IF(NOT(ISERR(SEARCH("*_Repaired",$A596))), "Repaired", "")))</f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v>2</v>
      </c>
      <c r="W596" s="13" t="str">
        <f>MID(A596, SEARCH("_", A596) +1, SEARCH("_", A596, SEARCH("_", A596) +1) - SEARCH("_", A596) -1)</f>
        <v>Math-35</v>
      </c>
    </row>
    <row r="597" spans="1:23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>LEFT($A597,FIND("_",$A597)-1)</f>
        <v>ARJA</v>
      </c>
      <c r="P597" s="13" t="str">
        <f>IF($O597="ACS", "True Search", IF($O597="Arja", "Evolutionary Search", IF($O597="AVATAR", "True Pattern", IF($O597="CapGen", "Search Like Pattern", IF($O597="Cardumen", "True Semantic", IF($O597="DynaMoth", "True Semantic", IF($O597="FixMiner", "True Pattern", IF($O597="GenProg-A", "Evolutionary Search", IF($O597="Hercules", "Learning Pattern", IF($O597="Jaid", "True Semantic",
IF($O597="Kali-A", "True Search", IF($O597="kPAR", "True Pattern", IF($O597="Nopol", "True Semantic", IF($O597="RSRepair-A", "Evolutionary Search", IF($O597="SequenceR", "Deep Learning", IF($O597="SimFix", "Search Like Pattern", IF($O597="SketchFix", "True Pattern", IF($O597="SOFix", "True Pattern", IF($O597="ssFix", "Search Like Pattern", IF($O597="TBar", "True Pattern", ""))))))))))))))))))))</f>
        <v>Evolutionary Search</v>
      </c>
      <c r="Q597" s="13" t="str">
        <f>IF(NOT(ISERR(SEARCH("*_Buggy",$A597))), "Buggy", IF(NOT(ISERR(SEARCH("*_Fixed",$A597))), "Fixed", IF(NOT(ISERR(SEARCH("*_Repaired",$A597))), "Repaired", "")))</f>
        <v>Fixed</v>
      </c>
      <c r="R597" s="13" t="s">
        <v>1669</v>
      </c>
      <c r="S597" s="25">
        <v>2</v>
      </c>
      <c r="T597" s="25">
        <v>8</v>
      </c>
      <c r="U597" s="25">
        <v>2</v>
      </c>
      <c r="V597" s="13">
        <v>8</v>
      </c>
      <c r="W597" s="13" t="str">
        <f>MID(A597, SEARCH("_", A597) +1, SEARCH("_", A597, SEARCH("_", A597) +1) - SEARCH("_", A597) -1)</f>
        <v>Math-40</v>
      </c>
    </row>
    <row r="598" spans="1:23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>LEFT($A598,FIND("_",$A598)-1)</f>
        <v>ARJA</v>
      </c>
      <c r="P598" s="13" t="str">
        <f>IF($O598="ACS", "True Search", IF($O598="Arja", "Evolutionary Search", IF($O598="AVATAR", "True Pattern", IF($O598="CapGen", "Search Like Pattern", IF($O598="Cardumen", "True Semantic", IF($O598="DynaMoth", "True Semantic", IF($O598="FixMiner", "True Pattern", IF($O598="GenProg-A", "Evolutionary Search", IF($O598="Hercules", "Learning Pattern", IF($O598="Jaid", "True Semantic",
IF($O598="Kali-A", "True Search", IF($O598="kPAR", "True Pattern", IF($O598="Nopol", "True Semantic", IF($O598="RSRepair-A", "Evolutionary Search", IF($O598="SequenceR", "Deep Learning", IF($O598="SimFix", "Search Like Pattern", IF($O598="SketchFix", "True Pattern", IF($O598="SOFix", "True Pattern", IF($O598="ssFix", "Search Like Pattern", IF($O598="TBar", "True Pattern", ""))))))))))))))))))))</f>
        <v>Evolutionary Search</v>
      </c>
      <c r="Q598" s="13" t="str">
        <f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v>4</v>
      </c>
      <c r="W598" s="13" t="str">
        <f>MID(A598, SEARCH("_", A598) +1, SEARCH("_", A598, SEARCH("_", A598) +1) - SEARCH("_", A598) -1)</f>
        <v>Math-49</v>
      </c>
    </row>
    <row r="599" spans="1:23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>LEFT($A599,FIND("_",$A599)-1)</f>
        <v>ARJA</v>
      </c>
      <c r="P599" s="13" t="str">
        <f>IF($O599="ACS", "True Search", IF($O599="Arja", "Evolutionary Search", IF($O599="AVATAR", "True Pattern", IF($O599="CapGen", "Search Like Pattern", IF($O599="Cardumen", "True Semantic", IF($O599="DynaMoth", "True Semantic", IF($O599="FixMiner", "True Pattern", IF($O599="GenProg-A", "Evolutionary Search", IF($O599="Hercules", "Learning Pattern", IF($O599="Jaid", "True Semantic",
IF($O599="Kali-A", "True Search", IF($O599="kPAR", "True Pattern", IF($O599="Nopol", "True Semantic", IF($O599="RSRepair-A", "Evolutionary Search", IF($O599="SequenceR", "Deep Learning", IF($O599="SimFix", "Search Like Pattern", IF($O599="SketchFix", "True Pattern", IF($O599="SOFix", "True Pattern", IF($O599="ssFix", "Search Like Pattern", IF($O599="TBar", "True Pattern", ""))))))))))))))))))))</f>
        <v>Evolutionary Search</v>
      </c>
      <c r="Q599" s="13" t="str">
        <f>IF(NOT(ISERR(SEARCH("*_Buggy",$A599))), "Buggy", IF(NOT(ISERR(SEARCH("*_Fixed",$A599))), "Fixed", IF(NOT(ISERR(SEARCH("*_Repaired",$A599))), "Repaired", "")))</f>
        <v>Fixed</v>
      </c>
      <c r="R599" s="13" t="s">
        <v>1668</v>
      </c>
      <c r="S599" s="25">
        <v>1</v>
      </c>
      <c r="T599" s="25">
        <v>0</v>
      </c>
      <c r="U599" s="25">
        <v>4</v>
      </c>
      <c r="V599" s="13">
        <v>4</v>
      </c>
      <c r="W599" s="13" t="str">
        <f>MID(A599, SEARCH("_", A599) +1, SEARCH("_", A599, SEARCH("_", A599) +1) - SEARCH("_", A599) -1)</f>
        <v>Math-50</v>
      </c>
    </row>
    <row r="600" spans="1:23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>LEFT($A600,FIND("_",$A600)-1)</f>
        <v>ARJA</v>
      </c>
      <c r="P600" s="13" t="str">
        <f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>IF(NOT(ISERR(SEARCH("*_Buggy",$A600))), "Buggy", IF(NOT(ISERR(SEARCH("*_Fixed",$A600))), "Fixed", IF(NOT(ISERR(SEARCH("*_Repaired",$A600))), "Repaired", "")))</f>
        <v>Fixed</v>
      </c>
      <c r="R600" s="13" t="s">
        <v>1669</v>
      </c>
      <c r="S600" s="25">
        <v>1</v>
      </c>
      <c r="T600" s="25">
        <v>3</v>
      </c>
      <c r="U600" s="13">
        <v>0</v>
      </c>
      <c r="V600" s="13">
        <v>3</v>
      </c>
      <c r="W600" s="13" t="str">
        <f>MID(A600, SEARCH("_", A600) +1, SEARCH("_", A600, SEARCH("_", A600) +1) - SEARCH("_", A600) -1)</f>
        <v>Math-53</v>
      </c>
    </row>
    <row r="601" spans="1:23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>LEFT($A601,FIND("_",$A601)-1)</f>
        <v>ARJA</v>
      </c>
      <c r="P601" s="13" t="str">
        <f>IF($O601="ACS", "True Search", IF($O601="Arja", "Evolutionary Search", IF($O601="AVATAR", "True Pattern", IF($O601="CapGen", "Search Like Pattern", IF($O601="Cardumen", "True Semantic", IF($O601="DynaMoth", "True Semantic", IF($O601="FixMiner", "True Pattern", IF($O601="GenProg-A", "Evolutionary Search", IF($O601="Hercules", "Learning Pattern", IF($O601="Jaid", "True Semantic",
IF($O601="Kali-A", "True Search", IF($O601="kPAR", "True Pattern", IF($O601="Nopol", "True Semantic", IF($O601="RSRepair-A", "Evolutionary Search", IF($O601="SequenceR", "Deep Learning", IF($O601="SimFix", "Search Like Pattern", IF($O601="SketchFix", "True Pattern", IF($O601="SOFix", "True Pattern", IF($O601="ssFix", "Search Like Pattern", IF($O601="TBar", "True Pattern", ""))))))))))))))))))))</f>
        <v>Evolutionary Search</v>
      </c>
      <c r="Q601" s="13" t="str">
        <f>IF(NOT(ISERR(SEARCH("*_Buggy",$A601))), "Buggy", IF(NOT(ISERR(SEARCH("*_Fixed",$A601))), "Fixed", IF(NOT(ISERR(SEARCH("*_Repaired",$A601))), "Repaired", "")))</f>
        <v>Fixed</v>
      </c>
      <c r="R601" s="13" t="s">
        <v>1669</v>
      </c>
      <c r="S601" s="25">
        <v>1</v>
      </c>
      <c r="T601" s="13">
        <v>1</v>
      </c>
      <c r="U601" s="25">
        <v>7</v>
      </c>
      <c r="V601" s="13">
        <v>7</v>
      </c>
      <c r="W601" s="13" t="str">
        <f>MID(A601, SEARCH("_", A601) +1, SEARCH("_", A601, SEARCH("_", A601) +1) - SEARCH("_", A601) -1)</f>
        <v>Math-56</v>
      </c>
    </row>
    <row r="602" spans="1:23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>LEFT($A602,FIND("_",$A602)-1)</f>
        <v>ARJA</v>
      </c>
      <c r="P602" s="13" t="str">
        <f>IF($O602="ACS", "True Search", IF($O602="Arja", "Evolutionary Search", IF($O602="AVATAR", "True Pattern", IF($O602="CapGen", "Search Like Pattern", IF($O602="Cardumen", "True Semantic", IF($O602="DynaMoth", "True Semantic", IF($O602="FixMiner", "True Pattern", IF($O602="GenProg-A", "Evolutionary Search", IF($O602="Hercules", "Learning Pattern", IF($O602="Jaid", "True Semantic",
IF($O602="Kali-A", "True Search", IF($O602="kPAR", "True Pattern", IF($O602="Nopol", "True Semantic", IF($O602="RSRepair-A", "Evolutionary Search", IF($O602="SequenceR", "Deep Learning", IF($O602="SimFix", "Search Like Pattern", IF($O602="SketchFix", "True Pattern", IF($O602="SOFix", "True Pattern", IF($O602="ssFix", "Search Like Pattern", IF($O602="TBar", "True Pattern", ""))))))))))))))))))))</f>
        <v>Evolutionary Search</v>
      </c>
      <c r="Q602" s="13" t="str">
        <f>IF(NOT(ISERR(SEARCH("*_Buggy",$A602))), "Buggy", IF(NOT(ISERR(SEARCH("*_Fixed",$A602))), "Fixed", IF(NOT(ISERR(SEARCH("*_Repaired",$A602))), "Repaired", "")))</f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v>1</v>
      </c>
      <c r="W602" s="13" t="str">
        <f>MID(A602, SEARCH("_", A602) +1, SEARCH("_", A602, SEARCH("_", A602) +1) - SEARCH("_", A602) -1)</f>
        <v>Math-58</v>
      </c>
    </row>
    <row r="603" spans="1:23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>LEFT($A603,FIND("_",$A603)-1)</f>
        <v>ARJA</v>
      </c>
      <c r="P603" s="13" t="str">
        <f>IF($O603="ACS", "True Search", IF($O603="Arja", "Evolutionary Search", IF($O603="AVATAR", "True Pattern", IF($O603="CapGen", "Search Like Pattern", IF($O603="Cardumen", "True Semantic", IF($O603="DynaMoth", "True Semantic", IF($O603="FixMiner", "True Pattern", IF($O603="GenProg-A", "Evolutionary Search", IF($O603="Hercules", "Learning Pattern", IF($O603="Jaid", "True Semantic",
IF($O603="Kali-A", "True Search", IF($O603="kPAR", "True Pattern", IF($O603="Nopol", "True Semantic", IF($O603="RSRepair-A", "Evolutionary Search", IF($O603="SequenceR", "Deep Learning", IF($O603="SimFix", "Search Like Pattern", IF($O603="SketchFix", "True Pattern", IF($O603="SOFix", "True Pattern", IF($O603="ssFix", "Search Like Pattern", IF($O603="TBar", "True Pattern", ""))))))))))))))))))))</f>
        <v>Evolutionary Search</v>
      </c>
      <c r="Q603" s="13" t="str">
        <f>IF(NOT(ISERR(SEARCH("*_Buggy",$A603))), "Buggy", IF(NOT(ISERR(SEARCH("*_Fixed",$A603))), "Fixed", IF(NOT(ISERR(SEARCH("*_Repaired",$A603))), "Repaired", "")))</f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v>1</v>
      </c>
      <c r="W603" s="13" t="str">
        <f>MID(A603, SEARCH("_", A603) +1, SEARCH("_", A603, SEARCH("_", A603) +1) - SEARCH("_", A603) -1)</f>
        <v>Math-70</v>
      </c>
    </row>
    <row r="604" spans="1:23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>LEFT($A604,FIND("_",$A604)-1)</f>
        <v>ARJA</v>
      </c>
      <c r="P604" s="13" t="str">
        <f>IF($O604="ACS", "True Search", IF($O604="Arja", "Evolutionary Search", IF($O604="AVATAR", "True Pattern", IF($O604="CapGen", "Search Like Pattern", IF($O604="Cardumen", "True Semantic", IF($O604="DynaMoth", "True Semantic", IF($O604="FixMiner", "True Pattern", IF($O604="GenProg-A", "Evolutionary Search", IF($O604="Hercules", "Learning Pattern", IF($O604="Jaid", "True Semantic",
IF($O604="Kali-A", "True Search", IF($O604="kPAR", "True Pattern", IF($O604="Nopol", "True Semantic", IF($O604="RSRepair-A", "Evolutionary Search", IF($O604="SequenceR", "Deep Learning", IF($O604="SimFix", "Search Like Pattern", IF($O604="SketchFix", "True Pattern", IF($O604="SOFix", "True Pattern", IF($O604="ssFix", "Search Like Pattern", IF($O604="TBar", "True Pattern", ""))))))))))))))))))))</f>
        <v>Evolutionary Search</v>
      </c>
      <c r="Q604" s="13" t="str">
        <f>IF(NOT(ISERR(SEARCH("*_Buggy",$A604))), "Buggy", IF(NOT(ISERR(SEARCH("*_Fixed",$A604))), "Fixed", IF(NOT(ISERR(SEARCH("*_Repaired",$A604))), "Repaired", "")))</f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v>1</v>
      </c>
      <c r="W604" s="13" t="str">
        <f>MID(A604, SEARCH("_", A604) +1, SEARCH("_", A604, SEARCH("_", A604) +1) - SEARCH("_", A604) -1)</f>
        <v>Math-80</v>
      </c>
    </row>
    <row r="605" spans="1:23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>LEFT($A605,FIND("_",$A605)-1)</f>
        <v>ARJA</v>
      </c>
      <c r="P605" s="13" t="str">
        <f>IF($O605="ACS", "True Search", IF($O605="Arja", "Evolutionary Search", IF($O605="AVATAR", "True Pattern", IF($O605="CapGen", "Search Like Pattern", IF($O605="Cardumen", "True Semantic", IF($O605="DynaMoth", "True Semantic", IF($O605="FixMiner", "True Pattern", IF($O605="GenProg-A", "Evolutionary Search", IF($O605="Hercules", "Learning Pattern", IF($O605="Jaid", "True Semantic",
IF($O605="Kali-A", "True Search", IF($O605="kPAR", "True Pattern", IF($O605="Nopol", "True Semantic", IF($O605="RSRepair-A", "Evolutionary Search", IF($O605="SequenceR", "Deep Learning", IF($O605="SimFix", "Search Like Pattern", IF($O605="SketchFix", "True Pattern", IF($O605="SOFix", "True Pattern", IF($O605="ssFix", "Search Like Pattern", IF($O605="TBar", "True Pattern", ""))))))))))))))))))))</f>
        <v>Evolutionary Search</v>
      </c>
      <c r="Q605" s="13" t="str">
        <f>IF(NOT(ISERR(SEARCH("*_Buggy",$A605))), "Buggy", IF(NOT(ISERR(SEARCH("*_Fixed",$A605))), "Fixed", IF(NOT(ISERR(SEARCH("*_Repaired",$A605))), "Repaired", "")))</f>
        <v>Fixed</v>
      </c>
      <c r="R605" s="13" t="s">
        <v>1669</v>
      </c>
      <c r="S605" s="25">
        <v>3</v>
      </c>
      <c r="T605" s="25">
        <v>4</v>
      </c>
      <c r="U605" s="25">
        <v>3</v>
      </c>
      <c r="V605" s="13">
        <v>4</v>
      </c>
      <c r="W605" s="13" t="str">
        <f>MID(A605, SEARCH("_", A605) +1, SEARCH("_", A605, SEARCH("_", A605) +1) - SEARCH("_", A605) -1)</f>
        <v>Math-81</v>
      </c>
    </row>
    <row r="606" spans="1:23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>LEFT($A606,FIND("_",$A606)-1)</f>
        <v>ARJA</v>
      </c>
      <c r="P606" s="13" t="str">
        <f>IF($O606="ACS", "True Search", IF($O606="Arja", "Evolutionary Search", IF($O606="AVATAR", "True Pattern", IF($O606="CapGen", "Search Like Pattern", IF($O606="Cardumen", "True Semantic", IF($O606="DynaMoth", "True Semantic", IF($O606="FixMiner", "True Pattern", IF($O606="GenProg-A", "Evolutionary Search", IF($O606="Hercules", "Learning Pattern", IF($O606="Jaid", "True Semantic",
IF($O606="Kali-A", "True Search", IF($O606="kPAR", "True Pattern", IF($O606="Nopol", "True Semantic", IF($O606="RSRepair-A", "Evolutionary Search", IF($O606="SequenceR", "Deep Learning", IF($O606="SimFix", "Search Like Pattern", IF($O606="SketchFix", "True Pattern", IF($O606="SOFix", "True Pattern", IF($O606="ssFix", "Search Like Pattern", IF($O606="TBar", "True Pattern", ""))))))))))))))))))))</f>
        <v>Evolutionary Search</v>
      </c>
      <c r="Q606" s="13" t="str">
        <f>IF(NOT(ISERR(SEARCH("*_Buggy",$A606))), "Buggy", IF(NOT(ISERR(SEARCH("*_Fixed",$A606))), "Fixed", IF(NOT(ISERR(SEARCH("*_Repaired",$A606))), "Repaired", "")))</f>
        <v>Fixed</v>
      </c>
      <c r="R606" s="13" t="s">
        <v>1669</v>
      </c>
      <c r="S606" s="25">
        <v>3</v>
      </c>
      <c r="T606" s="25">
        <v>9</v>
      </c>
      <c r="U606" s="25">
        <v>0</v>
      </c>
      <c r="V606" s="13">
        <v>9</v>
      </c>
      <c r="W606" s="13" t="str">
        <f>MID(A606, SEARCH("_", A606) +1, SEARCH("_", A606, SEARCH("_", A606) +1) - SEARCH("_", A606) -1)</f>
        <v>Math-84</v>
      </c>
    </row>
    <row r="607" spans="1:23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>LEFT($A607,FIND("_",$A607)-1)</f>
        <v>ARJA</v>
      </c>
      <c r="P607" s="13" t="str">
        <f>IF($O607="ACS", "True Search", IF($O607="Arja", "Evolutionary Search", IF($O607="AVATAR", "True Pattern", IF($O607="CapGen", "Search Like Pattern", IF($O607="Cardumen", "True Semantic", IF($O607="DynaMoth", "True Semantic", IF($O607="FixMiner", "True Pattern", IF($O607="GenProg-A", "Evolutionary Search", IF($O607="Hercules", "Learning Pattern", IF($O607="Jaid", "True Semantic",
IF($O607="Kali-A", "True Search", IF($O607="kPAR", "True Pattern", IF($O607="Nopol", "True Semantic", IF($O607="RSRepair-A", "Evolutionary Search", IF($O607="SequenceR", "Deep Learning", IF($O607="SimFix", "Search Like Pattern", IF($O607="SketchFix", "True Pattern", IF($O607="SOFix", "True Pattern", IF($O607="ssFix", "Search Like Pattern", IF($O607="TBar", "True Pattern", ""))))))))))))))))))))</f>
        <v>Evolutionary Search</v>
      </c>
      <c r="Q607" s="13" t="str">
        <f>IF(NOT(ISERR(SEARCH("*_Buggy",$A607))), "Buggy", IF(NOT(ISERR(SEARCH("*_Fixed",$A607))), "Fixed", IF(NOT(ISERR(SEARCH("*_Repaired",$A607))), "Repaired", "")))</f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v>1</v>
      </c>
      <c r="W607" s="13" t="str">
        <f>MID(A607, SEARCH("_", A607) +1, SEARCH("_", A607, SEARCH("_", A607) +1) - SEARCH("_", A607) -1)</f>
        <v>Math-85</v>
      </c>
    </row>
    <row r="608" spans="1:23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>LEFT($A608,FIND("_",$A608)-1)</f>
        <v>ARJA</v>
      </c>
      <c r="P608" s="13" t="str">
        <f>IF($O608="ACS", "True Search", IF($O608="Arja", "Evolutionary Search", IF($O608="AVATAR", "True Pattern", IF($O608="CapGen", "Search Like Pattern", IF($O608="Cardumen", "True Semantic", IF($O608="DynaMoth", "True Semantic", IF($O608="FixMiner", "True Pattern", IF($O608="GenProg-A", "Evolutionary Search", IF($O608="Hercules", "Learning Pattern", IF($O608="Jaid", "True Semantic",
IF($O608="Kali-A", "True Search", IF($O608="kPAR", "True Pattern", IF($O608="Nopol", "True Semantic", IF($O608="RSRepair-A", "Evolutionary Search", IF($O608="SequenceR", "Deep Learning", IF($O608="SimFix", "Search Like Pattern", IF($O608="SketchFix", "True Pattern", IF($O608="SOFix", "True Pattern", IF($O608="ssFix", "Search Like Pattern", IF($O608="TBar", "True Pattern", ""))))))))))))))))))))</f>
        <v>Evolutionary Search</v>
      </c>
      <c r="Q608" s="13" t="str">
        <f>IF(NOT(ISERR(SEARCH("*_Buggy",$A608))), "Buggy", IF(NOT(ISERR(SEARCH("*_Fixed",$A608))), "Fixed", IF(NOT(ISERR(SEARCH("*_Repaired",$A608))), "Repaired", "")))</f>
        <v>Fixed</v>
      </c>
      <c r="R608" s="13" t="s">
        <v>1669</v>
      </c>
      <c r="S608" s="25">
        <v>4</v>
      </c>
      <c r="T608" s="25">
        <v>5</v>
      </c>
      <c r="U608" s="25">
        <v>6</v>
      </c>
      <c r="V608" s="13">
        <v>11</v>
      </c>
      <c r="W608" s="13" t="str">
        <f>MID(A608, SEARCH("_", A608) +1, SEARCH("_", A608, SEARCH("_", A608) +1) - SEARCH("_", A608) -1)</f>
        <v>Math-88</v>
      </c>
    </row>
    <row r="609" spans="1:23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>LEFT($A609,FIND("_",$A609)-1)</f>
        <v>ARJA</v>
      </c>
      <c r="P609" s="13" t="str">
        <f>IF($O609="ACS", "True Search", IF($O609="Arja", "Evolutionary Search", IF($O609="AVATAR", "True Pattern", IF($O609="CapGen", "Search Like Pattern", IF($O609="Cardumen", "True Semantic", IF($O609="DynaMoth", "True Semantic", IF($O609="FixMiner", "True Pattern", IF($O609="GenProg-A", "Evolutionary Search", IF($O609="Hercules", "Learning Pattern", IF($O609="Jaid", "True Semantic",
IF($O609="Kali-A", "True Search", IF($O609="kPAR", "True Pattern", IF($O609="Nopol", "True Semantic", IF($O609="RSRepair-A", "Evolutionary Search", IF($O609="SequenceR", "Deep Learning", IF($O609="SimFix", "Search Like Pattern", IF($O609="SketchFix", "True Pattern", IF($O609="SOFix", "True Pattern", IF($O609="ssFix", "Search Like Pattern", IF($O609="TBar", "True Pattern", ""))))))))))))))))))))</f>
        <v>Evolutionary Search</v>
      </c>
      <c r="Q609" s="13" t="str">
        <f>IF(NOT(ISERR(SEARCH("*_Buggy",$A609))), "Buggy", IF(NOT(ISERR(SEARCH("*_Fixed",$A609))), "Fixed", IF(NOT(ISERR(SEARCH("*_Repaired",$A609))), "Repaired", "")))</f>
        <v>Fixed</v>
      </c>
      <c r="R609" s="13" t="s">
        <v>1669</v>
      </c>
      <c r="S609" s="25">
        <v>3</v>
      </c>
      <c r="T609" s="25">
        <v>3</v>
      </c>
      <c r="U609" s="25">
        <v>1</v>
      </c>
      <c r="V609" s="13">
        <v>3</v>
      </c>
      <c r="W609" s="13" t="str">
        <f>MID(A609, SEARCH("_", A609) +1, SEARCH("_", A609, SEARCH("_", A609) +1) - SEARCH("_", A609) -1)</f>
        <v>Math-95</v>
      </c>
    </row>
    <row r="610" spans="1:23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>LEFT($A610,FIND("_",$A610)-1)</f>
        <v>AVATAR</v>
      </c>
      <c r="P610" s="13" t="str">
        <f>IF($O610="ACS", "True Search", IF($O610="Arja", "Evolutionary Search", IF($O610="AVATAR", "True Pattern", IF($O610="CapGen", "Search Like Pattern", IF($O610="Cardumen", "True Semantic", IF($O610="DynaMoth", "True Semantic", IF($O610="FixMiner", "True Pattern", IF($O610="GenProg-A", "Evolutionary Search", IF($O610="Hercules", "Learning Pattern", IF($O610="Jaid", "True Semantic",
IF($O610="Kali-A", "True Search", IF($O610="kPAR", "True Pattern", IF($O610="Nopol", "True Semantic", IF($O610="RSRepair-A", "Evolutionary Search", IF($O610="SequenceR", "Deep Learning", IF($O610="SimFix", "Search Like Pattern", IF($O610="SketchFix", "True Pattern", IF($O610="SOFix", "True Pattern", IF($O610="ssFix", "Search Like Pattern", IF($O610="TBar", "True Pattern", ""))))))))))))))))))))</f>
        <v>True Pattern</v>
      </c>
      <c r="Q610" s="13" t="str">
        <f>IF(NOT(ISERR(SEARCH("*_Buggy",$A610))), "Buggy", IF(NOT(ISERR(SEARCH("*_Fixed",$A610))), "Fixed", IF(NOT(ISERR(SEARCH("*_Repaired",$A610))), "Repaired", "")))</f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v>1</v>
      </c>
      <c r="W610" s="13" t="str">
        <f>MID(A610, SEARCH("_", A610) +1, SEARCH("_", A610, SEARCH("_", A610) +1) - SEARCH("_", A610) -1)</f>
        <v>Chart-1</v>
      </c>
    </row>
    <row r="611" spans="1:23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>LEFT($A611,FIND("_",$A611)-1)</f>
        <v>AVATAR</v>
      </c>
      <c r="P611" s="13" t="str">
        <f>IF($O611="ACS", "True Search", IF($O611="Arja", "Evolutionary Search", IF($O611="AVATAR", "True Pattern", IF($O611="CapGen", "Search Like Pattern", IF($O611="Cardumen", "True Semantic", IF($O611="DynaMoth", "True Semantic", IF($O611="FixMiner", "True Pattern", IF($O611="GenProg-A", "Evolutionary Search", IF($O611="Hercules", "Learning Pattern", IF($O611="Jaid", "True Semantic",
IF($O611="Kali-A", "True Search", IF($O611="kPAR", "True Pattern", IF($O611="Nopol", "True Semantic", IF($O611="RSRepair-A", "Evolutionary Search", IF($O611="SequenceR", "Deep Learning", IF($O611="SimFix", "Search Like Pattern", IF($O611="SketchFix", "True Pattern", IF($O611="SOFix", "True Pattern", IF($O611="ssFix", "Search Like Pattern", IF($O611="TBar", "True Pattern", ""))))))))))))))))))))</f>
        <v>True Pattern</v>
      </c>
      <c r="Q611" s="13" t="str">
        <f>IF(NOT(ISERR(SEARCH("*_Buggy",$A611))), "Buggy", IF(NOT(ISERR(SEARCH("*_Fixed",$A611))), "Fixed", IF(NOT(ISERR(SEARCH("*_Repaired",$A611))), "Repaired", "")))</f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v>1</v>
      </c>
      <c r="W611" s="13" t="str">
        <f>MID(A611, SEARCH("_", A611) +1, SEARCH("_", A611, SEARCH("_", A611) +1) - SEARCH("_", A611) -1)</f>
        <v>Chart-11</v>
      </c>
    </row>
    <row r="612" spans="1:23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>LEFT($A612,FIND("_",$A612)-1)</f>
        <v>AVATAR</v>
      </c>
      <c r="P612" s="13" t="str">
        <f>IF($O612="ACS", "True Search", IF($O612="Arja", "Evolutionary Search", IF($O612="AVATAR", "True Pattern", IF($O612="CapGen", "Search Like Pattern", IF($O612="Cardumen", "True Semantic", IF($O612="DynaMoth", "True Semantic", IF($O612="FixMiner", "True Pattern", IF($O612="GenProg-A", "Evolutionary Search", IF($O612="Hercules", "Learning Pattern", IF($O612="Jaid", "True Semantic",
IF($O612="Kali-A", "True Search", IF($O612="kPAR", "True Pattern", IF($O612="Nopol", "True Semantic", IF($O612="RSRepair-A", "Evolutionary Search", IF($O612="SequenceR", "Deep Learning", IF($O612="SimFix", "Search Like Pattern", IF($O612="SketchFix", "True Pattern", IF($O612="SOFix", "True Pattern", IF($O612="ssFix", "Search Like Pattern", IF($O612="TBar", "True Pattern", ""))))))))))))))))))))</f>
        <v>True Pattern</v>
      </c>
      <c r="Q612" s="13" t="str">
        <f>IF(NOT(ISERR(SEARCH("*_Buggy",$A612))), "Buggy", IF(NOT(ISERR(SEARCH("*_Fixed",$A612))), "Fixed", IF(NOT(ISERR(SEARCH("*_Repaired",$A612))), "Repaired", "")))</f>
        <v>Fixed</v>
      </c>
      <c r="R612" s="13" t="s">
        <v>1668</v>
      </c>
      <c r="S612" s="25">
        <v>2</v>
      </c>
      <c r="T612" s="25">
        <v>6</v>
      </c>
      <c r="U612" s="25">
        <v>0</v>
      </c>
      <c r="V612" s="13">
        <v>6</v>
      </c>
      <c r="W612" s="13" t="str">
        <f>MID(A612, SEARCH("_", A612) +1, SEARCH("_", A612, SEARCH("_", A612) +1) - SEARCH("_", A612) -1)</f>
        <v>Chart-19</v>
      </c>
    </row>
    <row r="613" spans="1:23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>LEFT($A613,FIND("_",$A613)-1)</f>
        <v>AVATAR</v>
      </c>
      <c r="P613" s="13" t="str">
        <f>IF($O613="ACS", "True Search", IF($O613="Arja", "Evolutionary Search", IF($O613="AVATAR", "True Pattern", IF($O613="CapGen", "Search Like Pattern", IF($O613="Cardumen", "True Semantic", IF($O613="DynaMoth", "True Semantic", IF($O613="FixMiner", "True Pattern", IF($O613="GenProg-A", "Evolutionary Search", IF($O613="Hercules", "Learning Pattern", IF($O613="Jaid", "True Semantic",
IF($O613="Kali-A", "True Search", IF($O613="kPAR", "True Pattern", IF($O613="Nopol", "True Semantic", IF($O613="RSRepair-A", "Evolutionary Search", IF($O613="SequenceR", "Deep Learning", IF($O613="SimFix", "Search Like Pattern", IF($O613="SketchFix", "True Pattern", IF($O613="SOFix", "True Pattern", IF($O613="ssFix", "Search Like Pattern", IF($O613="TBar", "True Pattern", ""))))))))))))))))))))</f>
        <v>True Pattern</v>
      </c>
      <c r="Q613" s="13" t="str">
        <f>IF(NOT(ISERR(SEARCH("*_Buggy",$A613))), "Buggy", IF(NOT(ISERR(SEARCH("*_Fixed",$A613))), "Fixed", IF(NOT(ISERR(SEARCH("*_Repaired",$A613))), "Repaired", "")))</f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v>1</v>
      </c>
      <c r="W613" s="13" t="str">
        <f>MID(A613, SEARCH("_", A613) +1, SEARCH("_", A613, SEARCH("_", A613) +1) - SEARCH("_", A613) -1)</f>
        <v>Chart-24</v>
      </c>
    </row>
    <row r="614" spans="1:23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>LEFT($A614,FIND("_",$A614)-1)</f>
        <v>AVATAR</v>
      </c>
      <c r="P614" s="13" t="str">
        <f>IF($O614="ACS", "True Search", IF($O614="Arja", "Evolutionary Search", IF($O614="AVATAR", "True Pattern", IF($O614="CapGen", "Search Like Pattern", IF($O614="Cardumen", "True Semantic", IF($O614="DynaMoth", "True Semantic", IF($O614="FixMiner", "True Pattern", IF($O614="GenProg-A", "Evolutionary Search", IF($O614="Hercules", "Learning Pattern", IF($O614="Jaid", "True Semantic",
IF($O614="Kali-A", "True Search", IF($O614="kPAR", "True Pattern", IF($O614="Nopol", "True Semantic", IF($O614="RSRepair-A", "Evolutionary Search", IF($O614="SequenceR", "Deep Learning", IF($O614="SimFix", "Search Like Pattern", IF($O614="SketchFix", "True Pattern", IF($O614="SOFix", "True Pattern", IF($O614="ssFix", "Search Like Pattern", IF($O614="TBar", "True Pattern", ""))))))))))))))))))))</f>
        <v>True Pattern</v>
      </c>
      <c r="Q614" s="13" t="str">
        <f>IF(NOT(ISERR(SEARCH("*_Buggy",$A614))), "Buggy", IF(NOT(ISERR(SEARCH("*_Fixed",$A614))), "Fixed", IF(NOT(ISERR(SEARCH("*_Repaired",$A614))), "Repaired", "")))</f>
        <v>Fixed</v>
      </c>
      <c r="R614" s="13" t="s">
        <v>1669</v>
      </c>
      <c r="S614" s="25">
        <v>6</v>
      </c>
      <c r="T614" s="25">
        <v>14</v>
      </c>
      <c r="U614" s="25">
        <v>2</v>
      </c>
      <c r="V614" s="13">
        <v>14</v>
      </c>
      <c r="W614" s="13" t="str">
        <f>MID(A614, SEARCH("_", A614) +1, SEARCH("_", A614, SEARCH("_", A614) +1) - SEARCH("_", A614) -1)</f>
        <v>Chart-25</v>
      </c>
    </row>
    <row r="615" spans="1:23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>LEFT($A615,FIND("_",$A615)-1)</f>
        <v>AVATAR</v>
      </c>
      <c r="P615" s="13" t="str">
        <f>IF($O615="ACS", "True Search", IF($O615="Arja", "Evolutionary Search", IF($O615="AVATAR", "True Pattern", IF($O615="CapGen", "Search Like Pattern", IF($O615="Cardumen", "True Semantic", IF($O615="DynaMoth", "True Semantic", IF($O615="FixMiner", "True Pattern", IF($O615="GenProg-A", "Evolutionary Search", IF($O615="Hercules", "Learning Pattern", IF($O615="Jaid", "True Semantic",
IF($O615="Kali-A", "True Search", IF($O615="kPAR", "True Pattern", IF($O615="Nopol", "True Semantic", IF($O615="RSRepair-A", "Evolutionary Search", IF($O615="SequenceR", "Deep Learning", IF($O615="SimFix", "Search Like Pattern", IF($O615="SketchFix", "True Pattern", IF($O615="SOFix", "True Pattern", IF($O615="ssFix", "Search Like Pattern", IF($O615="TBar", "True Pattern", ""))))))))))))))))))))</f>
        <v>True Pattern</v>
      </c>
      <c r="Q615" s="13" t="str">
        <f>IF(NOT(ISERR(SEARCH("*_Buggy",$A615))), "Buggy", IF(NOT(ISERR(SEARCH("*_Fixed",$A615))), "Fixed", IF(NOT(ISERR(SEARCH("*_Repaired",$A615))), "Repaired", "")))</f>
        <v>Fixed</v>
      </c>
      <c r="R615" s="13" t="s">
        <v>1668</v>
      </c>
      <c r="S615" s="25">
        <v>2</v>
      </c>
      <c r="T615" s="13">
        <v>2</v>
      </c>
      <c r="U615" s="25">
        <v>0</v>
      </c>
      <c r="V615" s="13">
        <v>2</v>
      </c>
      <c r="W615" s="13" t="str">
        <f>MID(A615, SEARCH("_", A615) +1, SEARCH("_", A615, SEARCH("_", A615) +1) - SEARCH("_", A615) -1)</f>
        <v>Chart-26</v>
      </c>
    </row>
    <row r="616" spans="1:23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>LEFT($A616,FIND("_",$A616)-1)</f>
        <v>AVATAR</v>
      </c>
      <c r="P616" s="13" t="str">
        <f>IF($O616="ACS", "True Search", IF($O616="Arja", "Evolutionary Search", IF($O616="AVATAR", "True Pattern", IF($O616="CapGen", "Search Like Pattern", IF($O616="Cardumen", "True Semantic", IF($O616="DynaMoth", "True Semantic", IF($O616="FixMiner", "True Pattern", IF($O616="GenProg-A", "Evolutionary Search", IF($O616="Hercules", "Learning Pattern", IF($O616="Jaid", "True Semantic",
IF($O616="Kali-A", "True Search", IF($O616="kPAR", "True Pattern", IF($O616="Nopol", "True Semantic", IF($O616="RSRepair-A", "Evolutionary Search", IF($O616="SequenceR", "Deep Learning", IF($O616="SimFix", "Search Like Pattern", IF($O616="SketchFix", "True Pattern", IF($O616="SOFix", "True Pattern", IF($O616="ssFix", "Search Like Pattern", IF($O616="TBar", "True Pattern", ""))))))))))))))))))))</f>
        <v>True Pattern</v>
      </c>
      <c r="Q616" s="13" t="str">
        <f>IF(NOT(ISERR(SEARCH("*_Buggy",$A616))), "Buggy", IF(NOT(ISERR(SEARCH("*_Fixed",$A616))), "Fixed", IF(NOT(ISERR(SEARCH("*_Repaired",$A616))), "Repaired", "")))</f>
        <v>Fixed</v>
      </c>
      <c r="R616" s="13" t="s">
        <v>1668</v>
      </c>
      <c r="S616" s="25">
        <v>2</v>
      </c>
      <c r="T616" s="13">
        <v>2</v>
      </c>
      <c r="U616" s="25">
        <v>0</v>
      </c>
      <c r="V616" s="13">
        <v>2</v>
      </c>
      <c r="W616" s="13" t="str">
        <f>MID(A616, SEARCH("_", A616) +1, SEARCH("_", A616, SEARCH("_", A616) +1) - SEARCH("_", A616) -1)</f>
        <v>Chart-4</v>
      </c>
    </row>
    <row r="617" spans="1:23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>LEFT($A617,FIND("_",$A617)-1)</f>
        <v>AVATAR</v>
      </c>
      <c r="P617" s="13" t="str">
        <f>IF($O617="ACS", "True Search", IF($O617="Arja", "Evolutionary Search", IF($O617="AVATAR", "True Pattern", IF($O617="CapGen", "Search Like Pattern", IF($O617="Cardumen", "True Semantic", IF($O617="DynaMoth", "True Semantic", IF($O617="FixMiner", "True Pattern", IF($O617="GenProg-A", "Evolutionary Search", IF($O617="Hercules", "Learning Pattern", IF($O617="Jaid", "True Semantic",
IF($O617="Kali-A", "True Search", IF($O617="kPAR", "True Pattern", IF($O617="Nopol", "True Semantic", IF($O617="RSRepair-A", "Evolutionary Search", IF($O617="SequenceR", "Deep Learning", IF($O617="SimFix", "Search Like Pattern", IF($O617="SketchFix", "True Pattern", IF($O617="SOFix", "True Pattern", IF($O617="ssFix", "Search Like Pattern", IF($O617="TBar", "True Pattern", ""))))))))))))))))))))</f>
        <v>True Pattern</v>
      </c>
      <c r="Q617" s="13" t="str">
        <f>IF(NOT(ISERR(SEARCH("*_Buggy",$A617))), "Buggy", IF(NOT(ISERR(SEARCH("*_Fixed",$A617))), "Fixed", IF(NOT(ISERR(SEARCH("*_Repaired",$A617))), "Repaired", "")))</f>
        <v>Fixed</v>
      </c>
      <c r="R617" s="13" t="s">
        <v>1669</v>
      </c>
      <c r="S617" s="25">
        <v>2</v>
      </c>
      <c r="T617" s="25">
        <v>5</v>
      </c>
      <c r="U617" s="25">
        <v>1</v>
      </c>
      <c r="V617" s="13">
        <v>5</v>
      </c>
      <c r="W617" s="13" t="str">
        <f>MID(A617, SEARCH("_", A617) +1, SEARCH("_", A617, SEARCH("_", A617) +1) - SEARCH("_", A617) -1)</f>
        <v>Chart-5</v>
      </c>
    </row>
    <row r="618" spans="1:23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>LEFT($A618,FIND("_",$A618)-1)</f>
        <v>AVATAR</v>
      </c>
      <c r="P618" s="13" t="str">
        <f>IF($O618="ACS", "True Search", IF($O618="Arja", "Evolutionary Search", IF($O618="AVATAR", "True Pattern", IF($O618="CapGen", "Search Like Pattern", IF($O618="Cardumen", "True Semantic", IF($O618="DynaMoth", "True Semantic", IF($O618="FixMiner", "True Pattern", IF($O618="GenProg-A", "Evolutionary Search", IF($O618="Hercules", "Learning Pattern", IF($O618="Jaid", "True Semantic",
IF($O618="Kali-A", "True Search", IF($O618="kPAR", "True Pattern", IF($O618="Nopol", "True Semantic", IF($O618="RSRepair-A", "Evolutionary Search", IF($O618="SequenceR", "Deep Learning", IF($O618="SimFix", "Search Like Pattern", IF($O618="SketchFix", "True Pattern", IF($O618="SOFix", "True Pattern", IF($O618="ssFix", "Search Like Pattern", IF($O618="TBar", "True Pattern", ""))))))))))))))))))))</f>
        <v>True Pattern</v>
      </c>
      <c r="Q618" s="13" t="str">
        <f>IF(NOT(ISERR(SEARCH("*_Buggy",$A618))), "Buggy", IF(NOT(ISERR(SEARCH("*_Fixed",$A618))), "Fixed", IF(NOT(ISERR(SEARCH("*_Repaired",$A618))), "Repaired", "")))</f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v>2</v>
      </c>
      <c r="W618" s="13" t="str">
        <f>MID(A618, SEARCH("_", A618) +1, SEARCH("_", A618, SEARCH("_", A618) +1) - SEARCH("_", A618) -1)</f>
        <v>Chart-7</v>
      </c>
    </row>
    <row r="619" spans="1:23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>LEFT($A619,FIND("_",$A619)-1)</f>
        <v>AVATAR</v>
      </c>
      <c r="P619" s="13" t="str">
        <f>IF($O619="ACS", "True Search", IF($O619="Arja", "Evolutionary Search", IF($O619="AVATAR", "True Pattern", IF($O619="CapGen", "Search Like Pattern", IF($O619="Cardumen", "True Semantic", IF($O619="DynaMoth", "True Semantic", IF($O619="FixMiner", "True Pattern", IF($O619="GenProg-A", "Evolutionary Search", IF($O619="Hercules", "Learning Pattern", IF($O619="Jaid", "True Semantic",
IF($O619="Kali-A", "True Search", IF($O619="kPAR", "True Pattern", IF($O619="Nopol", "True Semantic", IF($O619="RSRepair-A", "Evolutionary Search", IF($O619="SequenceR", "Deep Learning", IF($O619="SimFix", "Search Like Pattern", IF($O619="SketchFix", "True Pattern", IF($O619="SOFix", "True Pattern", IF($O619="ssFix", "Search Like Pattern", IF($O619="TBar", "True Pattern", ""))))))))))))))))))))</f>
        <v>True Pattern</v>
      </c>
      <c r="Q619" s="13" t="str">
        <f>IF(NOT(ISERR(SEARCH("*_Buggy",$A619))), "Buggy", IF(NOT(ISERR(SEARCH("*_Fixed",$A619))), "Fixed", IF(NOT(ISERR(SEARCH("*_Repaired",$A619))), "Repaired", "")))</f>
        <v>Fixed</v>
      </c>
      <c r="R619" s="13" t="s">
        <v>1669</v>
      </c>
      <c r="S619" s="25">
        <v>4</v>
      </c>
      <c r="T619" s="25">
        <v>4</v>
      </c>
      <c r="U619" s="25">
        <v>1</v>
      </c>
      <c r="V619" s="13">
        <v>4</v>
      </c>
      <c r="W619" s="13" t="str">
        <f>MID(A619, SEARCH("_", A619) +1, SEARCH("_", A619, SEARCH("_", A619) +1) - SEARCH("_", A619) -1)</f>
        <v>Closure-108</v>
      </c>
    </row>
    <row r="620" spans="1:23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>LEFT($A620,FIND("_",$A620)-1)</f>
        <v>AVATAR</v>
      </c>
      <c r="P620" s="13" t="str">
        <f>IF($O620="ACS", "True Search", IF($O620="Arja", "Evolutionary Search", IF($O620="AVATAR", "True Pattern", IF($O620="CapGen", "Search Like Pattern", IF($O620="Cardumen", "True Semantic", IF($O620="DynaMoth", "True Semantic", IF($O620="FixMiner", "True Pattern", IF($O620="GenProg-A", "Evolutionary Search", IF($O620="Hercules", "Learning Pattern", IF($O620="Jaid", "True Semantic",
IF($O620="Kali-A", "True Search", IF($O620="kPAR", "True Pattern", IF($O620="Nopol", "True Semantic", IF($O620="RSRepair-A", "Evolutionary Search", IF($O620="SequenceR", "Deep Learning", IF($O620="SimFix", "Search Like Pattern", IF($O620="SketchFix", "True Pattern", IF($O620="SOFix", "True Pattern", IF($O620="ssFix", "Search Like Pattern", IF($O620="TBar", "True Pattern", ""))))))))))))))))))))</f>
        <v>True Pattern</v>
      </c>
      <c r="Q620" s="13" t="str">
        <f>IF(NOT(ISERR(SEARCH("*_Buggy",$A620))), "Buggy", IF(NOT(ISERR(SEARCH("*_Fixed",$A620))), "Fixed", IF(NOT(ISERR(SEARCH("*_Repaired",$A620))), "Repaired", "")))</f>
        <v>Fixed</v>
      </c>
      <c r="R620" s="13" t="s">
        <v>1668</v>
      </c>
      <c r="S620" s="25">
        <v>1</v>
      </c>
      <c r="T620" s="25">
        <v>0</v>
      </c>
      <c r="U620" s="13">
        <v>2</v>
      </c>
      <c r="V620" s="13">
        <v>2</v>
      </c>
      <c r="W620" s="13" t="str">
        <f>MID(A620, SEARCH("_", A620) +1, SEARCH("_", A620, SEARCH("_", A620) +1) - SEARCH("_", A620) -1)</f>
        <v>Closure-11</v>
      </c>
    </row>
    <row r="621" spans="1:23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>LEFT($A621,FIND("_",$A621)-1)</f>
        <v>AVATAR</v>
      </c>
      <c r="P621" s="13" t="str">
        <f>IF($O621="ACS", "True Search", IF($O621="Arja", "Evolutionary Search", IF($O621="AVATAR", "True Pattern", IF($O621="CapGen", "Search Like Pattern", IF($O621="Cardumen", "True Semantic", IF($O621="DynaMoth", "True Semantic", IF($O621="FixMiner", "True Pattern", IF($O621="GenProg-A", "Evolutionary Search", IF($O621="Hercules", "Learning Pattern", IF($O621="Jaid", "True Semantic",
IF($O621="Kali-A", "True Search", IF($O621="kPAR", "True Pattern", IF($O621="Nopol", "True Semantic", IF($O621="RSRepair-A", "Evolutionary Search", IF($O621="SequenceR", "Deep Learning", IF($O621="SimFix", "Search Like Pattern", IF($O621="SketchFix", "True Pattern", IF($O621="SOFix", "True Pattern", IF($O621="ssFix", "Search Like Pattern", IF($O621="TBar", "True Pattern", ""))))))))))))))))))))</f>
        <v>True Pattern</v>
      </c>
      <c r="Q621" s="13" t="str">
        <f>IF(NOT(ISERR(SEARCH("*_Buggy",$A621))), "Buggy", IF(NOT(ISERR(SEARCH("*_Fixed",$A621))), "Fixed", IF(NOT(ISERR(SEARCH("*_Repaired",$A621))), "Repaired", "")))</f>
        <v>Fixed</v>
      </c>
      <c r="R621" s="13" t="s">
        <v>1668</v>
      </c>
      <c r="S621" s="25">
        <v>2</v>
      </c>
      <c r="T621" s="25">
        <v>0</v>
      </c>
      <c r="U621" s="13">
        <v>11</v>
      </c>
      <c r="V621" s="13">
        <v>11</v>
      </c>
      <c r="W621" s="13" t="str">
        <f>MID(A621, SEARCH("_", A621) +1, SEARCH("_", A621, SEARCH("_", A621) +1) - SEARCH("_", A621) -1)</f>
        <v>Closure-115</v>
      </c>
    </row>
    <row r="622" spans="1:23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>LEFT($A622,FIND("_",$A622)-1)</f>
        <v>AVATAR</v>
      </c>
      <c r="P622" s="13" t="str">
        <f>IF($O622="ACS", "True Search", IF($O622="Arja", "Evolutionary Search", IF($O622="AVATAR", "True Pattern", IF($O622="CapGen", "Search Like Pattern", IF($O622="Cardumen", "True Semantic", IF($O622="DynaMoth", "True Semantic", IF($O622="FixMiner", "True Pattern", IF($O622="GenProg-A", "Evolutionary Search", IF($O622="Hercules", "Learning Pattern", IF($O622="Jaid", "True Semantic",
IF($O622="Kali-A", "True Search", IF($O622="kPAR", "True Pattern", IF($O622="Nopol", "True Semantic", IF($O622="RSRepair-A", "Evolutionary Search", IF($O622="SequenceR", "Deep Learning", IF($O622="SimFix", "Search Like Pattern", IF($O622="SketchFix", "True Pattern", IF($O622="SOFix", "True Pattern", IF($O622="ssFix", "Search Like Pattern", IF($O622="TBar", "True Pattern", ""))))))))))))))))))))</f>
        <v>True Pattern</v>
      </c>
      <c r="Q622" s="13" t="str">
        <f>IF(NOT(ISERR(SEARCH("*_Buggy",$A622))), "Buggy", IF(NOT(ISERR(SEARCH("*_Fixed",$A622))), "Fixed", IF(NOT(ISERR(SEARCH("*_Repaired",$A622))), "Repaired", "")))</f>
        <v>Fixed</v>
      </c>
      <c r="R622" s="13" t="s">
        <v>1668</v>
      </c>
      <c r="S622" s="25">
        <v>3</v>
      </c>
      <c r="T622" s="13">
        <v>4</v>
      </c>
      <c r="U622" s="25">
        <v>0</v>
      </c>
      <c r="V622" s="13">
        <v>4</v>
      </c>
      <c r="W622" s="13" t="str">
        <f>MID(A622, SEARCH("_", A622) +1, SEARCH("_", A622, SEARCH("_", A622) +1) - SEARCH("_", A622) -1)</f>
        <v>Closure-2</v>
      </c>
    </row>
    <row r="623" spans="1:23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>LEFT($A623,FIND("_",$A623)-1)</f>
        <v>AVATAR</v>
      </c>
      <c r="P623" s="13" t="str">
        <f>IF($O623="ACS", "True Search", IF($O623="Arja", "Evolutionary Search", IF($O623="AVATAR", "True Pattern", IF($O623="CapGen", "Search Like Pattern", IF($O623="Cardumen", "True Semantic", IF($O623="DynaMoth", "True Semantic", IF($O623="FixMiner", "True Pattern", IF($O623="GenProg-A", "Evolutionary Search", IF($O623="Hercules", "Learning Pattern", IF($O623="Jaid", "True Semantic",
IF($O623="Kali-A", "True Search", IF($O623="kPAR", "True Pattern", IF($O623="Nopol", "True Semantic", IF($O623="RSRepair-A", "Evolutionary Search", IF($O623="SequenceR", "Deep Learning", IF($O623="SimFix", "Search Like Pattern", IF($O623="SketchFix", "True Pattern", IF($O623="SOFix", "True Pattern", IF($O623="ssFix", "Search Like Pattern", IF($O623="TBar", "True Pattern", ""))))))))))))))))))))</f>
        <v>True Pattern</v>
      </c>
      <c r="Q623" s="13" t="str">
        <f>IF(NOT(ISERR(SEARCH("*_Buggy",$A623))), "Buggy", IF(NOT(ISERR(SEARCH("*_Fixed",$A623))), "Fixed", IF(NOT(ISERR(SEARCH("*_Repaired",$A623))), "Repaired", "")))</f>
        <v>Fixed</v>
      </c>
      <c r="R623" s="13" t="s">
        <v>1669</v>
      </c>
      <c r="S623" s="25">
        <v>2</v>
      </c>
      <c r="T623" s="25">
        <v>2</v>
      </c>
      <c r="U623" s="25">
        <v>19</v>
      </c>
      <c r="V623" s="13">
        <v>19</v>
      </c>
      <c r="W623" s="13" t="str">
        <f>MID(A623, SEARCH("_", A623) +1, SEARCH("_", A623, SEARCH("_", A623) +1) - SEARCH("_", A623) -1)</f>
        <v>Closure-21</v>
      </c>
    </row>
    <row r="624" spans="1:23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>LEFT($A624,FIND("_",$A624)-1)</f>
        <v>AVATAR</v>
      </c>
      <c r="P624" s="13" t="str">
        <f>IF($O624="ACS", "True Search", IF($O624="Arja", "Evolutionary Search", IF($O624="AVATAR", "True Pattern", IF($O624="CapGen", "Search Like Pattern", IF($O624="Cardumen", "True Semantic", IF($O624="DynaMoth", "True Semantic", IF($O624="FixMiner", "True Pattern", IF($O624="GenProg-A", "Evolutionary Search", IF($O624="Hercules", "Learning Pattern", IF($O624="Jaid", "True Semantic",
IF($O624="Kali-A", "True Search", IF($O624="kPAR", "True Pattern", IF($O624="Nopol", "True Semantic", IF($O624="RSRepair-A", "Evolutionary Search", IF($O624="SequenceR", "Deep Learning", IF($O624="SimFix", "Search Like Pattern", IF($O624="SketchFix", "True Pattern", IF($O624="SOFix", "True Pattern", IF($O624="ssFix", "Search Like Pattern", IF($O624="TBar", "True Pattern", ""))))))))))))))))))))</f>
        <v>True Pattern</v>
      </c>
      <c r="Q624" s="13" t="str">
        <f>IF(NOT(ISERR(SEARCH("*_Buggy",$A624))), "Buggy", IF(NOT(ISERR(SEARCH("*_Fixed",$A624))), "Fixed", IF(NOT(ISERR(SEARCH("*_Repaired",$A624))), "Repaired", "")))</f>
        <v>Fixed</v>
      </c>
      <c r="R624" s="13" t="s">
        <v>1669</v>
      </c>
      <c r="S624" s="25">
        <v>5</v>
      </c>
      <c r="T624" s="25">
        <v>2</v>
      </c>
      <c r="U624" s="25">
        <v>26</v>
      </c>
      <c r="V624" s="13">
        <v>26</v>
      </c>
      <c r="W624" s="13" t="str">
        <f>MID(A624, SEARCH("_", A624) +1, SEARCH("_", A624, SEARCH("_", A624) +1) - SEARCH("_", A624) -1)</f>
        <v>Closure-22</v>
      </c>
    </row>
    <row r="625" spans="1:23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>LEFT($A625,FIND("_",$A625)-1)</f>
        <v>AVATAR</v>
      </c>
      <c r="P625" s="13" t="str">
        <f>IF($O625="ACS", "True Search", IF($O625="Arja", "Evolutionary Search", IF($O625="AVATAR", "True Pattern", IF($O625="CapGen", "Search Like Pattern", IF($O625="Cardumen", "True Semantic", IF($O625="DynaMoth", "True Semantic", IF($O625="FixMiner", "True Pattern", IF($O625="GenProg-A", "Evolutionary Search", IF($O625="Hercules", "Learning Pattern", IF($O625="Jaid", "True Semantic",
IF($O625="Kali-A", "True Search", IF($O625="kPAR", "True Pattern", IF($O625="Nopol", "True Semantic", IF($O625="RSRepair-A", "Evolutionary Search", IF($O625="SequenceR", "Deep Learning", IF($O625="SimFix", "Search Like Pattern", IF($O625="SketchFix", "True Pattern", IF($O625="SOFix", "True Pattern", IF($O625="ssFix", "Search Like Pattern", IF($O625="TBar", "True Pattern", ""))))))))))))))))))))</f>
        <v>True Pattern</v>
      </c>
      <c r="Q625" s="13" t="str">
        <f>IF(NOT(ISERR(SEARCH("*_Buggy",$A625))), "Buggy", IF(NOT(ISERR(SEARCH("*_Fixed",$A625))), "Fixed", IF(NOT(ISERR(SEARCH("*_Repaired",$A625))), "Repaired", "")))</f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v>1</v>
      </c>
      <c r="W625" s="13" t="str">
        <f>MID(A625, SEARCH("_", A625) +1, SEARCH("_", A625, SEARCH("_", A625) +1) - SEARCH("_", A625) -1)</f>
        <v>Closure-38</v>
      </c>
    </row>
    <row r="626" spans="1:23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>LEFT($A626,FIND("_",$A626)-1)</f>
        <v>AVATAR</v>
      </c>
      <c r="P626" s="13" t="str">
        <f>IF($O626="ACS", "True Search", IF($O626="Arja", "Evolutionary Search", IF($O626="AVATAR", "True Pattern", IF($O626="CapGen", "Search Like Pattern", IF($O626="Cardumen", "True Semantic", IF($O626="DynaMoth", "True Semantic", IF($O626="FixMiner", "True Pattern", IF($O626="GenProg-A", "Evolutionary Search", IF($O626="Hercules", "Learning Pattern", IF($O626="Jaid", "True Semantic",
IF($O626="Kali-A", "True Search", IF($O626="kPAR", "True Pattern", IF($O626="Nopol", "True Semantic", IF($O626="RSRepair-A", "Evolutionary Search", IF($O626="SequenceR", "Deep Learning", IF($O626="SimFix", "Search Like Pattern", IF($O626="SketchFix", "True Pattern", IF($O626="SOFix", "True Pattern", IF($O626="ssFix", "Search Like Pattern", IF($O626="TBar", "True Pattern", ""))))))))))))))))))))</f>
        <v>True Pattern</v>
      </c>
      <c r="Q626" s="13" t="str">
        <f>IF(NOT(ISERR(SEARCH("*_Buggy",$A626))), "Buggy", IF(NOT(ISERR(SEARCH("*_Fixed",$A626))), "Fixed", IF(NOT(ISERR(SEARCH("*_Repaired",$A626))), "Repaired", "")))</f>
        <v>Fixed</v>
      </c>
      <c r="R626" s="13" t="s">
        <v>1669</v>
      </c>
      <c r="S626" s="25">
        <v>4</v>
      </c>
      <c r="T626" s="25">
        <v>6</v>
      </c>
      <c r="U626" s="25">
        <v>2</v>
      </c>
      <c r="V626" s="13">
        <v>6</v>
      </c>
      <c r="W626" s="13" t="str">
        <f>MID(A626, SEARCH("_", A626) +1, SEARCH("_", A626, SEARCH("_", A626) +1) - SEARCH("_", A626) -1)</f>
        <v>Closure-45</v>
      </c>
    </row>
    <row r="627" spans="1:23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>LEFT($A627,FIND("_",$A627)-1)</f>
        <v>AVATAR</v>
      </c>
      <c r="P627" s="13" t="str">
        <f>IF($O627="ACS", "True Search", IF($O627="Arja", "Evolutionary Search", IF($O627="AVATAR", "True Pattern", IF($O627="CapGen", "Search Like Pattern", IF($O627="Cardumen", "True Semantic", IF($O627="DynaMoth", "True Semantic", IF($O627="FixMiner", "True Pattern", IF($O627="GenProg-A", "Evolutionary Search", IF($O627="Hercules", "Learning Pattern", IF($O627="Jaid", "True Semantic",
IF($O627="Kali-A", "True Search", IF($O627="kPAR", "True Pattern", IF($O627="Nopol", "True Semantic", IF($O627="RSRepair-A", "Evolutionary Search", IF($O627="SequenceR", "Deep Learning", IF($O627="SimFix", "Search Like Pattern", IF($O627="SketchFix", "True Pattern", IF($O627="SOFix", "True Pattern", IF($O627="ssFix", "Search Like Pattern", IF($O627="TBar", "True Pattern", ""))))))))))))))))))))</f>
        <v>True Pattern</v>
      </c>
      <c r="Q627" s="13" t="str">
        <f>IF(NOT(ISERR(SEARCH("*_Buggy",$A627))), "Buggy", IF(NOT(ISERR(SEARCH("*_Fixed",$A627))), "Fixed", IF(NOT(ISERR(SEARCH("*_Repaired",$A627))), "Repaired", "")))</f>
        <v>Fixed</v>
      </c>
      <c r="R627" s="13" t="s">
        <v>1668</v>
      </c>
      <c r="S627" s="25">
        <v>1</v>
      </c>
      <c r="T627" s="25">
        <v>0</v>
      </c>
      <c r="U627" s="13">
        <v>16</v>
      </c>
      <c r="V627" s="13">
        <v>16</v>
      </c>
      <c r="W627" s="13" t="str">
        <f>MID(A627, SEARCH("_", A627) +1, SEARCH("_", A627, SEARCH("_", A627) +1) - SEARCH("_", A627) -1)</f>
        <v>Closure-46</v>
      </c>
    </row>
    <row r="628" spans="1:23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>LEFT($A628,FIND("_",$A628)-1)</f>
        <v>AVATAR</v>
      </c>
      <c r="P628" s="13" t="str">
        <f>IF($O628="ACS", "True Search", IF($O628="Arja", "Evolutionary Search", IF($O628="AVATAR", "True Pattern", IF($O628="CapGen", "Search Like Pattern", IF($O628="Cardumen", "True Semantic", IF($O628="DynaMoth", "True Semantic", IF($O628="FixMiner", "True Pattern", IF($O628="GenProg-A", "Evolutionary Search", IF($O628="Hercules", "Learning Pattern", IF($O628="Jaid", "True Semantic",
IF($O628="Kali-A", "True Search", IF($O628="kPAR", "True Pattern", IF($O628="Nopol", "True Semantic", IF($O628="RSRepair-A", "Evolutionary Search", IF($O628="SequenceR", "Deep Learning", IF($O628="SimFix", "Search Like Pattern", IF($O628="SketchFix", "True Pattern", IF($O628="SOFix", "True Pattern", IF($O628="ssFix", "Search Like Pattern", IF($O628="TBar", "True Pattern", ""))))))))))))))))))))</f>
        <v>True Pattern</v>
      </c>
      <c r="Q628" s="13" t="str">
        <f>IF(NOT(ISERR(SEARCH("*_Buggy",$A628))), "Buggy", IF(NOT(ISERR(SEARCH("*_Fixed",$A628))), "Fixed", IF(NOT(ISERR(SEARCH("*_Repaired",$A628))), "Repaired", "")))</f>
        <v>Fixed</v>
      </c>
      <c r="R628" s="13" t="s">
        <v>1669</v>
      </c>
      <c r="S628" s="25">
        <v>2</v>
      </c>
      <c r="T628" s="25">
        <v>7</v>
      </c>
      <c r="U628" s="25">
        <v>4</v>
      </c>
      <c r="V628" s="13">
        <v>7</v>
      </c>
      <c r="W628" s="13" t="str">
        <f>MID(A628, SEARCH("_", A628) +1, SEARCH("_", A628, SEARCH("_", A628) +1) - SEARCH("_", A628) -1)</f>
        <v>Closure-48</v>
      </c>
    </row>
    <row r="629" spans="1:23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>LEFT($A629,FIND("_",$A629)-1)</f>
        <v>AVATAR</v>
      </c>
      <c r="P629" s="13" t="str">
        <f>IF($O629="ACS", "True Search", IF($O629="Arja", "Evolutionary Search", IF($O629="AVATAR", "True Pattern", IF($O629="CapGen", "Search Like Pattern", IF($O629="Cardumen", "True Semantic", IF($O629="DynaMoth", "True Semantic", IF($O629="FixMiner", "True Pattern", IF($O629="GenProg-A", "Evolutionary Search", IF($O629="Hercules", "Learning Pattern", IF($O629="Jaid", "True Semantic",
IF($O629="Kali-A", "True Search", IF($O629="kPAR", "True Pattern", IF($O629="Nopol", "True Semantic", IF($O629="RSRepair-A", "Evolutionary Search", IF($O629="SequenceR", "Deep Learning", IF($O629="SimFix", "Search Like Pattern", IF($O629="SketchFix", "True Pattern", IF($O629="SOFix", "True Pattern", IF($O629="ssFix", "Search Like Pattern", IF($O629="TBar", "True Pattern", ""))))))))))))))))))))</f>
        <v>True Pattern</v>
      </c>
      <c r="Q629" s="13" t="str">
        <f>IF(NOT(ISERR(SEARCH("*_Buggy",$A629))), "Buggy", IF(NOT(ISERR(SEARCH("*_Fixed",$A629))), "Fixed", IF(NOT(ISERR(SEARCH("*_Repaired",$A629))), "Repaired", "")))</f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v>1</v>
      </c>
      <c r="W629" s="13" t="str">
        <f>MID(A629, SEARCH("_", A629) +1, SEARCH("_", A629, SEARCH("_", A629) +1) - SEARCH("_", A629) -1)</f>
        <v>Closure-62</v>
      </c>
    </row>
    <row r="630" spans="1:23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>LEFT($A630,FIND("_",$A630)-1)</f>
        <v>AVATAR</v>
      </c>
      <c r="P630" s="13" t="str">
        <f>IF($O630="ACS", "True Search", IF($O630="Arja", "Evolutionary Search", IF($O630="AVATAR", "True Pattern", IF($O630="CapGen", "Search Like Pattern", IF($O630="Cardumen", "True Semantic", IF($O630="DynaMoth", "True Semantic", IF($O630="FixMiner", "True Pattern", IF($O630="GenProg-A", "Evolutionary Search", IF($O630="Hercules", "Learning Pattern", IF($O630="Jaid", "True Semantic",
IF($O630="Kali-A", "True Search", IF($O630="kPAR", "True Pattern", IF($O630="Nopol", "True Semantic", IF($O630="RSRepair-A", "Evolutionary Search", IF($O630="SequenceR", "Deep Learning", IF($O630="SimFix", "Search Like Pattern", IF($O630="SketchFix", "True Pattern", IF($O630="SOFix", "True Pattern", IF($O630="ssFix", "Search Like Pattern", IF($O630="TBar", "True Pattern", ""))))))))))))))))))))</f>
        <v>True Pattern</v>
      </c>
      <c r="Q630" s="13" t="str">
        <f>IF(NOT(ISERR(SEARCH("*_Buggy",$A630))), "Buggy", IF(NOT(ISERR(SEARCH("*_Fixed",$A630))), "Fixed", IF(NOT(ISERR(SEARCH("*_Repaired",$A630))), "Repaired", "")))</f>
        <v>Fixed</v>
      </c>
      <c r="R630" s="13" t="s">
        <v>1669</v>
      </c>
      <c r="S630" s="25">
        <v>2</v>
      </c>
      <c r="T630" s="13">
        <v>2</v>
      </c>
      <c r="U630" s="25">
        <v>0</v>
      </c>
      <c r="V630" s="13">
        <v>2</v>
      </c>
      <c r="W630" s="13" t="str">
        <f>MID(A630, SEARCH("_", A630) +1, SEARCH("_", A630, SEARCH("_", A630) +1) - SEARCH("_", A630) -1)</f>
        <v>Closure-66</v>
      </c>
    </row>
    <row r="631" spans="1:23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>LEFT($A631,FIND("_",$A631)-1)</f>
        <v>AVATAR</v>
      </c>
      <c r="P631" s="13" t="str">
        <f>IF($O631="ACS", "True Search", IF($O631="Arja", "Evolutionary Search", IF($O631="AVATAR", "True Pattern", IF($O631="CapGen", "Search Like Pattern", IF($O631="Cardumen", "True Semantic", IF($O631="DynaMoth", "True Semantic", IF($O631="FixMiner", "True Pattern", IF($O631="GenProg-A", "Evolutionary Search", IF($O631="Hercules", "Learning Pattern", IF($O631="Jaid", "True Semantic",
IF($O631="Kali-A", "True Search", IF($O631="kPAR", "True Pattern", IF($O631="Nopol", "True Semantic", IF($O631="RSRepair-A", "Evolutionary Search", IF($O631="SequenceR", "Deep Learning", IF($O631="SimFix", "Search Like Pattern", IF($O631="SketchFix", "True Pattern", IF($O631="SOFix", "True Pattern", IF($O631="ssFix", "Search Like Pattern", IF($O631="TBar", "True Pattern", ""))))))))))))))))))))</f>
        <v>True Pattern</v>
      </c>
      <c r="Q631" s="13" t="str">
        <f>IF(NOT(ISERR(SEARCH("*_Buggy",$A631))), "Buggy", IF(NOT(ISERR(SEARCH("*_Fixed",$A631))), "Fixed", IF(NOT(ISERR(SEARCH("*_Repaired",$A631))), "Repaired", "")))</f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v>1</v>
      </c>
      <c r="W631" s="13" t="str">
        <f>MID(A631, SEARCH("_", A631) +1, SEARCH("_", A631, SEARCH("_", A631) +1) - SEARCH("_", A631) -1)</f>
        <v>Closure-73</v>
      </c>
    </row>
    <row r="632" spans="1:23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>LEFT($A632,FIND("_",$A632)-1)</f>
        <v>AVATAR</v>
      </c>
      <c r="P632" s="13" t="str">
        <f>IF($O632="ACS", "True Search", IF($O632="Arja", "Evolutionary Search", IF($O632="AVATAR", "True Pattern", IF($O632="CapGen", "Search Like Pattern", IF($O632="Cardumen", "True Semantic", IF($O632="DynaMoth", "True Semantic", IF($O632="FixMiner", "True Pattern", IF($O632="GenProg-A", "Evolutionary Search", IF($O632="Hercules", "Learning Pattern", IF($O632="Jaid", "True Semantic",
IF($O632="Kali-A", "True Search", IF($O632="kPAR", "True Pattern", IF($O632="Nopol", "True Semantic", IF($O632="RSRepair-A", "Evolutionary Search", IF($O632="SequenceR", "Deep Learning", IF($O632="SimFix", "Search Like Pattern", IF($O632="SketchFix", "True Pattern", IF($O632="SOFix", "True Pattern", IF($O632="ssFix", "Search Like Pattern", IF($O632="TBar", "True Pattern", ""))))))))))))))))))))</f>
        <v>True Pattern</v>
      </c>
      <c r="Q632" s="13" t="str">
        <f>IF(NOT(ISERR(SEARCH("*_Buggy",$A632))), "Buggy", IF(NOT(ISERR(SEARCH("*_Fixed",$A632))), "Fixed", IF(NOT(ISERR(SEARCH("*_Repaired",$A632))), "Repaired", "")))</f>
        <v>Fixed</v>
      </c>
      <c r="R632" s="13" t="s">
        <v>1668</v>
      </c>
      <c r="S632" s="25">
        <v>2</v>
      </c>
      <c r="T632" s="25">
        <v>0</v>
      </c>
      <c r="U632" s="13">
        <v>9</v>
      </c>
      <c r="V632" s="13">
        <v>9</v>
      </c>
      <c r="W632" s="13" t="str">
        <f>MID(A632, SEARCH("_", A632) +1, SEARCH("_", A632, SEARCH("_", A632) +1) - SEARCH("_", A632) -1)</f>
        <v>Lang-10</v>
      </c>
    </row>
    <row r="633" spans="1:23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>LEFT($A633,FIND("_",$A633)-1)</f>
        <v>AVATAR</v>
      </c>
      <c r="P633" s="13" t="str">
        <f>IF($O633="ACS", "True Search", IF($O633="Arja", "Evolutionary Search", IF($O633="AVATAR", "True Pattern", IF($O633="CapGen", "Search Like Pattern", IF($O633="Cardumen", "True Semantic", IF($O633="DynaMoth", "True Semantic", IF($O633="FixMiner", "True Pattern", IF($O633="GenProg-A", "Evolutionary Search", IF($O633="Hercules", "Learning Pattern", IF($O633="Jaid", "True Semantic",
IF($O633="Kali-A", "True Search", IF($O633="kPAR", "True Pattern", IF($O633="Nopol", "True Semantic", IF($O633="RSRepair-A", "Evolutionary Search", IF($O633="SequenceR", "Deep Learning", IF($O633="SimFix", "Search Like Pattern", IF($O633="SketchFix", "True Pattern", IF($O633="SOFix", "True Pattern", IF($O633="ssFix", "Search Like Pattern", IF($O633="TBar", "True Pattern", ""))))))))))))))))))))</f>
        <v>True Pattern</v>
      </c>
      <c r="Q633" s="13" t="str">
        <f>IF(NOT(ISERR(SEARCH("*_Buggy",$A633))), "Buggy", IF(NOT(ISERR(SEARCH("*_Fixed",$A633))), "Fixed", IF(NOT(ISERR(SEARCH("*_Repaired",$A633))), "Repaired", "")))</f>
        <v>Fixed</v>
      </c>
      <c r="R633" s="13" t="s">
        <v>1669</v>
      </c>
      <c r="S633" s="25">
        <v>4</v>
      </c>
      <c r="T633" s="13">
        <v>19</v>
      </c>
      <c r="U633" s="25">
        <v>0</v>
      </c>
      <c r="V633" s="13">
        <v>19</v>
      </c>
      <c r="W633" s="13" t="str">
        <f>MID(A633, SEARCH("_", A633) +1, SEARCH("_", A633, SEARCH("_", A633) +1) - SEARCH("_", A633) -1)</f>
        <v>Lang-13</v>
      </c>
    </row>
    <row r="634" spans="1:23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>LEFT($A634,FIND("_",$A634)-1)</f>
        <v>AVATAR</v>
      </c>
      <c r="P634" s="13" t="str">
        <f>IF($O634="ACS", "True Search", IF($O634="Arja", "Evolutionary Search", IF($O634="AVATAR", "True Pattern", IF($O634="CapGen", "Search Like Pattern", IF($O634="Cardumen", "True Semantic", IF($O634="DynaMoth", "True Semantic", IF($O634="FixMiner", "True Pattern", IF($O634="GenProg-A", "Evolutionary Search", IF($O634="Hercules", "Learning Pattern", IF($O634="Jaid", "True Semantic",
IF($O634="Kali-A", "True Search", IF($O634="kPAR", "True Pattern", IF($O634="Nopol", "True Semantic", IF($O634="RSRepair-A", "Evolutionary Search", IF($O634="SequenceR", "Deep Learning", IF($O634="SimFix", "Search Like Pattern", IF($O634="SketchFix", "True Pattern", IF($O634="SOFix", "True Pattern", IF($O634="ssFix", "Search Like Pattern", IF($O634="TBar", "True Pattern", ""))))))))))))))))))))</f>
        <v>True Pattern</v>
      </c>
      <c r="Q634" s="13" t="str">
        <f>IF(NOT(ISERR(SEARCH("*_Buggy",$A634))), "Buggy", IF(NOT(ISERR(SEARCH("*_Fixed",$A634))), "Fixed", IF(NOT(ISERR(SEARCH("*_Repaired",$A634))), "Repaired", "")))</f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v>2</v>
      </c>
      <c r="W634" s="13" t="str">
        <f>MID(A634, SEARCH("_", A634) +1, SEARCH("_", A634, SEARCH("_", A634) +1) - SEARCH("_", A634) -1)</f>
        <v>Lang-20</v>
      </c>
    </row>
    <row r="635" spans="1:23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>LEFT($A635,FIND("_",$A635)-1)</f>
        <v>AVATAR</v>
      </c>
      <c r="P635" s="13" t="str">
        <f>IF($O635="ACS", "True Search", IF($O635="Arja", "Evolutionary Search", IF($O635="AVATAR", "True Pattern", IF($O635="CapGen", "Search Like Pattern", IF($O635="Cardumen", "True Semantic", IF($O635="DynaMoth", "True Semantic", IF($O635="FixMiner", "True Pattern", IF($O635="GenProg-A", "Evolutionary Search", IF($O635="Hercules", "Learning Pattern", IF($O635="Jaid", "True Semantic",
IF($O635="Kali-A", "True Search", IF($O635="kPAR", "True Pattern", IF($O635="Nopol", "True Semantic", IF($O635="RSRepair-A", "Evolutionary Search", IF($O635="SequenceR", "Deep Learning", IF($O635="SimFix", "Search Like Pattern", IF($O635="SketchFix", "True Pattern", IF($O635="SOFix", "True Pattern", IF($O635="ssFix", "Search Like Pattern", IF($O635="TBar", "True Pattern", ""))))))))))))))))))))</f>
        <v>True Pattern</v>
      </c>
      <c r="Q635" s="13" t="str">
        <f>IF(NOT(ISERR(SEARCH("*_Buggy",$A635))), "Buggy", IF(NOT(ISERR(SEARCH("*_Fixed",$A635))), "Fixed", IF(NOT(ISERR(SEARCH("*_Repaired",$A635))), "Repaired", "")))</f>
        <v>Fixed</v>
      </c>
      <c r="R635" s="13" t="s">
        <v>1669</v>
      </c>
      <c r="S635" s="25">
        <v>2</v>
      </c>
      <c r="T635" s="25">
        <v>7</v>
      </c>
      <c r="U635" s="25">
        <v>1</v>
      </c>
      <c r="V635" s="13">
        <v>7</v>
      </c>
      <c r="W635" s="13" t="str">
        <f>MID(A635, SEARCH("_", A635) +1, SEARCH("_", A635, SEARCH("_", A635) +1) - SEARCH("_", A635) -1)</f>
        <v>Lang-22</v>
      </c>
    </row>
    <row r="636" spans="1:23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>LEFT($A636,FIND("_",$A636)-1)</f>
        <v>AVATAR</v>
      </c>
      <c r="P636" s="13" t="str">
        <f>IF($O636="ACS", "True Search", IF($O636="Arja", "Evolutionary Search", IF($O636="AVATAR", "True Pattern", IF($O636="CapGen", "Search Like Pattern", IF($O636="Cardumen", "True Semantic", IF($O636="DynaMoth", "True Semantic", IF($O636="FixMiner", "True Pattern", IF($O636="GenProg-A", "Evolutionary Search", IF($O636="Hercules", "Learning Pattern", IF($O636="Jaid", "True Semantic",
IF($O636="Kali-A", "True Search", IF($O636="kPAR", "True Pattern", IF($O636="Nopol", "True Semantic", IF($O636="RSRepair-A", "Evolutionary Search", IF($O636="SequenceR", "Deep Learning", IF($O636="SimFix", "Search Like Pattern", IF($O636="SketchFix", "True Pattern", IF($O636="SOFix", "True Pattern", IF($O636="ssFix", "Search Like Pattern", IF($O636="TBar", "True Pattern", ""))))))))))))))))))))</f>
        <v>True Pattern</v>
      </c>
      <c r="Q636" s="13" t="str">
        <f>IF(NOT(ISERR(SEARCH("*_Buggy",$A636))), "Buggy", IF(NOT(ISERR(SEARCH("*_Fixed",$A636))), "Fixed", IF(NOT(ISERR(SEARCH("*_Repaired",$A636))), "Repaired", "")))</f>
        <v>Fixed</v>
      </c>
      <c r="R636" s="13" t="s">
        <v>1669</v>
      </c>
      <c r="S636" s="25">
        <v>2</v>
      </c>
      <c r="T636" s="25">
        <v>4</v>
      </c>
      <c r="U636" s="25">
        <v>1</v>
      </c>
      <c r="V636" s="13">
        <v>4</v>
      </c>
      <c r="W636" s="13" t="str">
        <f>MID(A636, SEARCH("_", A636) +1, SEARCH("_", A636, SEARCH("_", A636) +1) - SEARCH("_", A636) -1)</f>
        <v>Lang-27</v>
      </c>
    </row>
    <row r="637" spans="1:23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>LEFT($A637,FIND("_",$A637)-1)</f>
        <v>AVATAR</v>
      </c>
      <c r="P637" s="13" t="str">
        <f>IF($O637="ACS", "True Search", IF($O637="Arja", "Evolutionary Search", IF($O637="AVATAR", "True Pattern", IF($O637="CapGen", "Search Like Pattern", IF($O637="Cardumen", "True Semantic", IF($O637="DynaMoth", "True Semantic", IF($O637="FixMiner", "True Pattern", IF($O637="GenProg-A", "Evolutionary Search", IF($O637="Hercules", "Learning Pattern", IF($O637="Jaid", "True Semantic",
IF($O637="Kali-A", "True Search", IF($O637="kPAR", "True Pattern", IF($O637="Nopol", "True Semantic", IF($O637="RSRepair-A", "Evolutionary Search", IF($O637="SequenceR", "Deep Learning", IF($O637="SimFix", "Search Like Pattern", IF($O637="SketchFix", "True Pattern", IF($O637="SOFix", "True Pattern", IF($O637="ssFix", "Search Like Pattern", IF($O637="TBar", "True Pattern", ""))))))))))))))))))))</f>
        <v>True Pattern</v>
      </c>
      <c r="Q637" s="13" t="str">
        <f>IF(NOT(ISERR(SEARCH("*_Buggy",$A637))), "Buggy", IF(NOT(ISERR(SEARCH("*_Fixed",$A637))), "Fixed", IF(NOT(ISERR(SEARCH("*_Repaired",$A637))), "Repaired", "")))</f>
        <v>Fixed</v>
      </c>
      <c r="R637" s="13" t="s">
        <v>1669</v>
      </c>
      <c r="S637" s="25">
        <v>1</v>
      </c>
      <c r="T637" s="13">
        <v>3</v>
      </c>
      <c r="U637" s="25">
        <v>0</v>
      </c>
      <c r="V637" s="13">
        <v>3</v>
      </c>
      <c r="W637" s="13" t="str">
        <f>MID(A637, SEARCH("_", A637) +1, SEARCH("_", A637, SEARCH("_", A637) +1) - SEARCH("_", A637) -1)</f>
        <v>Lang-39</v>
      </c>
    </row>
    <row r="638" spans="1:23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>LEFT($A638,FIND("_",$A638)-1)</f>
        <v>AVATAR</v>
      </c>
      <c r="P638" s="13" t="str">
        <f>IF($O638="ACS", "True Search", IF($O638="Arja", "Evolutionary Search", IF($O638="AVATAR", "True Pattern", IF($O638="CapGen", "Search Like Pattern", IF($O638="Cardumen", "True Semantic", IF($O638="DynaMoth", "True Semantic", IF($O638="FixMiner", "True Pattern", IF($O638="GenProg-A", "Evolutionary Search", IF($O638="Hercules", "Learning Pattern", IF($O638="Jaid", "True Semantic",
IF($O638="Kali-A", "True Search", IF($O638="kPAR", "True Pattern", IF($O638="Nopol", "True Semantic", IF($O638="RSRepair-A", "Evolutionary Search", IF($O638="SequenceR", "Deep Learning", IF($O638="SimFix", "Search Like Pattern", IF($O638="SketchFix", "True Pattern", IF($O638="SOFix", "True Pattern", IF($O638="ssFix", "Search Like Pattern", IF($O638="TBar", "True Pattern", ""))))))))))))))))))))</f>
        <v>True Pattern</v>
      </c>
      <c r="Q638" s="13" t="str">
        <f>IF(NOT(ISERR(SEARCH("*_Buggy",$A638))), "Buggy", IF(NOT(ISERR(SEARCH("*_Fixed",$A638))), "Fixed", IF(NOT(ISERR(SEARCH("*_Repaired",$A638))), "Repaired", "")))</f>
        <v>Fixed</v>
      </c>
      <c r="R638" s="13" t="s">
        <v>1669</v>
      </c>
      <c r="S638" s="25">
        <v>1</v>
      </c>
      <c r="T638" s="13">
        <v>1</v>
      </c>
      <c r="U638" s="25">
        <v>0</v>
      </c>
      <c r="V638" s="13">
        <v>1</v>
      </c>
      <c r="W638" s="13" t="str">
        <f>MID(A638, SEARCH("_", A638) +1, SEARCH("_", A638, SEARCH("_", A638) +1) - SEARCH("_", A638) -1)</f>
        <v>Lang-51</v>
      </c>
    </row>
    <row r="639" spans="1:23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>LEFT($A639,FIND("_",$A639)-1)</f>
        <v>AVATAR</v>
      </c>
      <c r="P639" s="13" t="str">
        <f>IF($O639="ACS", "True Search", IF($O639="Arja", "Evolutionary Search", IF($O639="AVATAR", "True Pattern", IF($O639="CapGen", "Search Like Pattern", IF($O639="Cardumen", "True Semantic", IF($O639="DynaMoth", "True Semantic", IF($O639="FixMiner", "True Pattern", IF($O639="GenProg-A", "Evolutionary Search", IF($O639="Hercules", "Learning Pattern", IF($O639="Jaid", "True Semantic",
IF($O639="Kali-A", "True Search", IF($O639="kPAR", "True Pattern", IF($O639="Nopol", "True Semantic", IF($O639="RSRepair-A", "Evolutionary Search", IF($O639="SequenceR", "Deep Learning", IF($O639="SimFix", "Search Like Pattern", IF($O639="SketchFix", "True Pattern", IF($O639="SOFix", "True Pattern", IF($O639="ssFix", "Search Like Pattern", IF($O639="TBar", "True Pattern", ""))))))))))))))))))))</f>
        <v>True Pattern</v>
      </c>
      <c r="Q639" s="13" t="str">
        <f>IF(NOT(ISERR(SEARCH("*_Buggy",$A639))), "Buggy", IF(NOT(ISERR(SEARCH("*_Fixed",$A639))), "Fixed", IF(NOT(ISERR(SEARCH("*_Repaired",$A639))), "Repaired", "")))</f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v>1</v>
      </c>
      <c r="W639" s="13" t="str">
        <f>MID(A639, SEARCH("_", A639) +1, SEARCH("_", A639, SEARCH("_", A639) +1) - SEARCH("_", A639) -1)</f>
        <v>Lang-57</v>
      </c>
    </row>
    <row r="640" spans="1:23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>LEFT($A640,FIND("_",$A640)-1)</f>
        <v>AVATAR</v>
      </c>
      <c r="P640" s="13" t="str">
        <f>IF($O640="ACS", "True Search", IF($O640="Arja", "Evolutionary Search", IF($O640="AVATAR", "True Pattern", IF($O640="CapGen", "Search Like Pattern", IF($O640="Cardumen", "True Semantic", IF($O640="DynaMoth", "True Semantic", IF($O640="FixMiner", "True Pattern", IF($O640="GenProg-A", "Evolutionary Search", IF($O640="Hercules", "Learning Pattern", IF($O640="Jaid", "True Semantic",
IF($O640="Kali-A", "True Search", IF($O640="kPAR", "True Pattern", IF($O640="Nopol", "True Semantic", IF($O640="RSRepair-A", "Evolutionary Search", IF($O640="SequenceR", "Deep Learning", IF($O640="SimFix", "Search Like Pattern", IF($O640="SketchFix", "True Pattern", IF($O640="SOFix", "True Pattern", IF($O640="ssFix", "Search Like Pattern", IF($O640="TBar", "True Pattern", ""))))))))))))))))))))</f>
        <v>True Pattern</v>
      </c>
      <c r="Q640" s="13" t="str">
        <f>IF(NOT(ISERR(SEARCH("*_Buggy",$A640))), "Buggy", IF(NOT(ISERR(SEARCH("*_Fixed",$A640))), "Fixed", IF(NOT(ISERR(SEARCH("*_Repaired",$A640))), "Repaired", "")))</f>
        <v>Fixed</v>
      </c>
      <c r="R640" s="13" t="s">
        <v>1669</v>
      </c>
      <c r="S640" s="25">
        <v>1</v>
      </c>
      <c r="T640" s="25">
        <v>1</v>
      </c>
      <c r="U640" s="25">
        <v>2</v>
      </c>
      <c r="V640" s="13">
        <v>2</v>
      </c>
      <c r="W640" s="13" t="str">
        <f>MID(A640, SEARCH("_", A640) +1, SEARCH("_", A640, SEARCH("_", A640) +1) - SEARCH("_", A640) -1)</f>
        <v>Lang-58</v>
      </c>
    </row>
    <row r="641" spans="1:23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>LEFT($A641,FIND("_",$A641)-1)</f>
        <v>AVATAR</v>
      </c>
      <c r="P641" s="13" t="str">
        <f>IF($O641="ACS", "True Search", IF($O641="Arja", "Evolutionary Search", IF($O641="AVATAR", "True Pattern", IF($O641="CapGen", "Search Like Pattern", IF($O641="Cardumen", "True Semantic", IF($O641="DynaMoth", "True Semantic", IF($O641="FixMiner", "True Pattern", IF($O641="GenProg-A", "Evolutionary Search", IF($O641="Hercules", "Learning Pattern", IF($O641="Jaid", "True Semantic",
IF($O641="Kali-A", "True Search", IF($O641="kPAR", "True Pattern", IF($O641="Nopol", "True Semantic", IF($O641="RSRepair-A", "Evolutionary Search", IF($O641="SequenceR", "Deep Learning", IF($O641="SimFix", "Search Like Pattern", IF($O641="SketchFix", "True Pattern", IF($O641="SOFix", "True Pattern", IF($O641="ssFix", "Search Like Pattern", IF($O641="TBar", "True Pattern", ""))))))))))))))))))))</f>
        <v>True Pattern</v>
      </c>
      <c r="Q641" s="13" t="str">
        <f>IF(NOT(ISERR(SEARCH("*_Buggy",$A641))), "Buggy", IF(NOT(ISERR(SEARCH("*_Fixed",$A641))), "Fixed", IF(NOT(ISERR(SEARCH("*_Repaired",$A641))), "Repaired", "")))</f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v>1</v>
      </c>
      <c r="W641" s="13" t="str">
        <f>MID(A641, SEARCH("_", A641) +1, SEARCH("_", A641, SEARCH("_", A641) +1) - SEARCH("_", A641) -1)</f>
        <v>Lang-59</v>
      </c>
    </row>
    <row r="642" spans="1:23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>LEFT($A642,FIND("_",$A642)-1)</f>
        <v>AVATAR</v>
      </c>
      <c r="P642" s="13" t="str">
        <f>IF($O642="ACS", "True Search", IF($O642="Arja", "Evolutionary Search", IF($O642="AVATAR", "True Pattern", IF($O642="CapGen", "Search Like Pattern", IF($O642="Cardumen", "True Semantic", IF($O642="DynaMoth", "True Semantic", IF($O642="FixMiner", "True Pattern", IF($O642="GenProg-A", "Evolutionary Search", IF($O642="Hercules", "Learning Pattern", IF($O642="Jaid", "True Semantic",
IF($O642="Kali-A", "True Search", IF($O642="kPAR", "True Pattern", IF($O642="Nopol", "True Semantic", IF($O642="RSRepair-A", "Evolutionary Search", IF($O642="SequenceR", "Deep Learning", IF($O642="SimFix", "Search Like Pattern", IF($O642="SketchFix", "True Pattern", IF($O642="SOFix", "True Pattern", IF($O642="ssFix", "Search Like Pattern", IF($O642="TBar", "True Pattern", ""))))))))))))))))))))</f>
        <v>True Pattern</v>
      </c>
      <c r="Q642" s="13" t="str">
        <f>IF(NOT(ISERR(SEARCH("*_Buggy",$A642))), "Buggy", IF(NOT(ISERR(SEARCH("*_Fixed",$A642))), "Fixed", IF(NOT(ISERR(SEARCH("*_Repaired",$A642))), "Repaired", "")))</f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v>1</v>
      </c>
      <c r="W642" s="13" t="str">
        <f>MID(A642, SEARCH("_", A642) +1, SEARCH("_", A642, SEARCH("_", A642) +1) - SEARCH("_", A642) -1)</f>
        <v>Lang-6</v>
      </c>
    </row>
    <row r="643" spans="1:23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>LEFT($A643,FIND("_",$A643)-1)</f>
        <v>AVATAR</v>
      </c>
      <c r="P643" s="13" t="str">
        <f>IF($O643="ACS", "True Search", IF($O643="Arja", "Evolutionary Search", IF($O643="AVATAR", "True Pattern", IF($O643="CapGen", "Search Like Pattern", IF($O643="Cardumen", "True Semantic", IF($O643="DynaMoth", "True Semantic", IF($O643="FixMiner", "True Pattern", IF($O643="GenProg-A", "Evolutionary Search", IF($O643="Hercules", "Learning Pattern", IF($O643="Jaid", "True Semantic",
IF($O643="Kali-A", "True Search", IF($O643="kPAR", "True Pattern", IF($O643="Nopol", "True Semantic", IF($O643="RSRepair-A", "Evolutionary Search", IF($O643="SequenceR", "Deep Learning", IF($O643="SimFix", "Search Like Pattern", IF($O643="SketchFix", "True Pattern", IF($O643="SOFix", "True Pattern", IF($O643="ssFix", "Search Like Pattern", IF($O643="TBar", "True Pattern", ""))))))))))))))))))))</f>
        <v>True Pattern</v>
      </c>
      <c r="Q643" s="13" t="str">
        <f>IF(NOT(ISERR(SEARCH("*_Buggy",$A643))), "Buggy", IF(NOT(ISERR(SEARCH("*_Fixed",$A643))), "Fixed", IF(NOT(ISERR(SEARCH("*_Repaired",$A643))), "Repaired", "")))</f>
        <v>Fixed</v>
      </c>
      <c r="R643" s="13" t="s">
        <v>1669</v>
      </c>
      <c r="S643" s="25">
        <v>4</v>
      </c>
      <c r="T643" s="25">
        <v>3</v>
      </c>
      <c r="U643" s="25">
        <v>20</v>
      </c>
      <c r="V643" s="13">
        <v>22</v>
      </c>
      <c r="W643" s="13" t="str">
        <f>MID(A643, SEARCH("_", A643) +1, SEARCH("_", A643, SEARCH("_", A643) +1) - SEARCH("_", A643) -1)</f>
        <v>Lang-63</v>
      </c>
    </row>
    <row r="644" spans="1:23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>LEFT($A644,FIND("_",$A644)-1)</f>
        <v>AVATAR</v>
      </c>
      <c r="P644" s="13" t="str">
        <f>IF($O644="ACS", "True Search", IF($O644="Arja", "Evolutionary Search", IF($O644="AVATAR", "True Pattern", IF($O644="CapGen", "Search Like Pattern", IF($O644="Cardumen", "True Semantic", IF($O644="DynaMoth", "True Semantic", IF($O644="FixMiner", "True Pattern", IF($O644="GenProg-A", "Evolutionary Search", IF($O644="Hercules", "Learning Pattern", IF($O644="Jaid", "True Semantic",
IF($O644="Kali-A", "True Search", IF($O644="kPAR", "True Pattern", IF($O644="Nopol", "True Semantic", IF($O644="RSRepair-A", "Evolutionary Search", IF($O644="SequenceR", "Deep Learning", IF($O644="SimFix", "Search Like Pattern", IF($O644="SketchFix", "True Pattern", IF($O644="SOFix", "True Pattern", IF($O644="ssFix", "Search Like Pattern", IF($O644="TBar", "True Pattern", ""))))))))))))))))))))</f>
        <v>True Pattern</v>
      </c>
      <c r="Q644" s="13" t="str">
        <f>IF(NOT(ISERR(SEARCH("*_Buggy",$A644))), "Buggy", IF(NOT(ISERR(SEARCH("*_Fixed",$A644))), "Fixed", IF(NOT(ISERR(SEARCH("*_Repaired",$A644))), "Repaired", "")))</f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v>6</v>
      </c>
      <c r="W644" s="13" t="str">
        <f>MID(A644, SEARCH("_", A644) +1, SEARCH("_", A644, SEARCH("_", A644) +1) - SEARCH("_", A644) -1)</f>
        <v>Lang-7</v>
      </c>
    </row>
    <row r="645" spans="1:23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>LEFT($A645,FIND("_",$A645)-1)</f>
        <v>AVATAR</v>
      </c>
      <c r="P645" s="13" t="str">
        <f>IF($O645="ACS", "True Search", IF($O645="Arja", "Evolutionary Search", IF($O645="AVATAR", "True Pattern", IF($O645="CapGen", "Search Like Pattern", IF($O645="Cardumen", "True Semantic", IF($O645="DynaMoth", "True Semantic", IF($O645="FixMiner", "True Pattern", IF($O645="GenProg-A", "Evolutionary Search", IF($O645="Hercules", "Learning Pattern", IF($O645="Jaid", "True Semantic",
IF($O645="Kali-A", "True Search", IF($O645="kPAR", "True Pattern", IF($O645="Nopol", "True Semantic", IF($O645="RSRepair-A", "Evolutionary Search", IF($O645="SequenceR", "Deep Learning", IF($O645="SimFix", "Search Like Pattern", IF($O645="SketchFix", "True Pattern", IF($O645="SOFix", "True Pattern", IF($O645="ssFix", "Search Like Pattern", IF($O645="TBar", "True Pattern", ""))))))))))))))))))))</f>
        <v>True Pattern</v>
      </c>
      <c r="Q645" s="13" t="str">
        <f>IF(NOT(ISERR(SEARCH("*_Buggy",$A645))), "Buggy", IF(NOT(ISERR(SEARCH("*_Fixed",$A645))), "Fixed", IF(NOT(ISERR(SEARCH("*_Repaired",$A645))), "Repaired", "")))</f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v>1</v>
      </c>
      <c r="W645" s="13" t="str">
        <f>MID(A645, SEARCH("_", A645) +1, SEARCH("_", A645, SEARCH("_", A645) +1) - SEARCH("_", A645) -1)</f>
        <v>Math-104</v>
      </c>
    </row>
    <row r="646" spans="1:23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>LEFT($A646,FIND("_",$A646)-1)</f>
        <v>AVATAR</v>
      </c>
      <c r="P646" s="13" t="str">
        <f>IF($O646="ACS", "True Search", IF($O646="Arja", "Evolutionary Search", IF($O646="AVATAR", "True Pattern", IF($O646="CapGen", "Search Like Pattern", IF($O646="Cardumen", "True Semantic", IF($O646="DynaMoth", "True Semantic", IF($O646="FixMiner", "True Pattern", IF($O646="GenProg-A", "Evolutionary Search", IF($O646="Hercules", "Learning Pattern", IF($O646="Jaid", "True Semantic",
IF($O646="Kali-A", "True Search", IF($O646="kPAR", "True Pattern", IF($O646="Nopol", "True Semantic", IF($O646="RSRepair-A", "Evolutionary Search", IF($O646="SequenceR", "Deep Learning", IF($O646="SimFix", "Search Like Pattern", IF($O646="SketchFix", "True Pattern", IF($O646="SOFix", "True Pattern", IF($O646="ssFix", "Search Like Pattern", IF($O646="TBar", "True Pattern", ""))))))))))))))))))))</f>
        <v>True Pattern</v>
      </c>
      <c r="Q646" s="13" t="str">
        <f>IF(NOT(ISERR(SEARCH("*_Buggy",$A646))), "Buggy", IF(NOT(ISERR(SEARCH("*_Fixed",$A646))), "Fixed", IF(NOT(ISERR(SEARCH("*_Repaired",$A646))), "Repaired", "")))</f>
        <v>Fixed</v>
      </c>
      <c r="R646" s="13" t="s">
        <v>1669</v>
      </c>
      <c r="S646" s="25">
        <v>4</v>
      </c>
      <c r="T646" s="13">
        <v>4</v>
      </c>
      <c r="U646" s="25">
        <v>0</v>
      </c>
      <c r="V646" s="13">
        <v>4</v>
      </c>
      <c r="W646" s="13" t="str">
        <f>MID(A646, SEARCH("_", A646) +1, SEARCH("_", A646, SEARCH("_", A646) +1) - SEARCH("_", A646) -1)</f>
        <v>Math-28</v>
      </c>
    </row>
    <row r="647" spans="1:23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>LEFT($A647,FIND("_",$A647)-1)</f>
        <v>AVATAR</v>
      </c>
      <c r="P647" s="13" t="str">
        <f>IF($O647="ACS", "True Search", IF($O647="Arja", "Evolutionary Search", IF($O647="AVATAR", "True Pattern", IF($O647="CapGen", "Search Like Pattern", IF($O647="Cardumen", "True Semantic", IF($O647="DynaMoth", "True Semantic", IF($O647="FixMiner", "True Pattern", IF($O647="GenProg-A", "Evolutionary Search", IF($O647="Hercules", "Learning Pattern", IF($O647="Jaid", "True Semantic",
IF($O647="Kali-A", "True Search", IF($O647="kPAR", "True Pattern", IF($O647="Nopol", "True Semantic", IF($O647="RSRepair-A", "Evolutionary Search", IF($O647="SequenceR", "Deep Learning", IF($O647="SimFix", "Search Like Pattern", IF($O647="SketchFix", "True Pattern", IF($O647="SOFix", "True Pattern", IF($O647="ssFix", "Search Like Pattern", IF($O647="TBar", "True Pattern", ""))))))))))))))))))))</f>
        <v>True Pattern</v>
      </c>
      <c r="Q647" s="13" t="str">
        <f>IF(NOT(ISERR(SEARCH("*_Buggy",$A647))), "Buggy", IF(NOT(ISERR(SEARCH("*_Fixed",$A647))), "Fixed", IF(NOT(ISERR(SEARCH("*_Repaired",$A647))), "Repaired", "")))</f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v>1</v>
      </c>
      <c r="W647" s="13" t="str">
        <f>MID(A647, SEARCH("_", A647) +1, SEARCH("_", A647, SEARCH("_", A647) +1) - SEARCH("_", A647) -1)</f>
        <v>Math-33</v>
      </c>
    </row>
    <row r="648" spans="1:23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>LEFT($A648,FIND("_",$A648)-1)</f>
        <v>AVATAR</v>
      </c>
      <c r="P648" s="13" t="str">
        <f>IF($O648="ACS", "True Search", IF($O648="Arja", "Evolutionary Search", IF($O648="AVATAR", "True Pattern", IF($O648="CapGen", "Search Like Pattern", IF($O648="Cardumen", "True Semantic", IF($O648="DynaMoth", "True Semantic", IF($O648="FixMiner", "True Pattern", IF($O648="GenProg-A", "Evolutionary Search", IF($O648="Hercules", "Learning Pattern", IF($O648="Jaid", "True Semantic",
IF($O648="Kali-A", "True Search", IF($O648="kPAR", "True Pattern", IF($O648="Nopol", "True Semantic", IF($O648="RSRepair-A", "Evolutionary Search", IF($O648="SequenceR", "Deep Learning", IF($O648="SimFix", "Search Like Pattern", IF($O648="SketchFix", "True Pattern", IF($O648="SOFix", "True Pattern", IF($O648="ssFix", "Search Like Pattern", IF($O648="TBar", "True Pattern", ""))))))))))))))))))))</f>
        <v>True Pattern</v>
      </c>
      <c r="Q648" s="13" t="str">
        <f>IF(NOT(ISERR(SEARCH("*_Buggy",$A648))), "Buggy", IF(NOT(ISERR(SEARCH("*_Fixed",$A648))), "Fixed", IF(NOT(ISERR(SEARCH("*_Repaired",$A648))), "Repaired", "")))</f>
        <v>Fixed</v>
      </c>
      <c r="R648" s="13" t="s">
        <v>1669</v>
      </c>
      <c r="S648" s="25">
        <v>1</v>
      </c>
      <c r="T648" s="25">
        <v>0</v>
      </c>
      <c r="U648" s="13">
        <v>4</v>
      </c>
      <c r="V648" s="13">
        <v>4</v>
      </c>
      <c r="W648" s="13" t="str">
        <f>MID(A648, SEARCH("_", A648) +1, SEARCH("_", A648, SEARCH("_", A648) +1) - SEARCH("_", A648) -1)</f>
        <v>Math-50</v>
      </c>
    </row>
    <row r="649" spans="1:23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>LEFT($A649,FIND("_",$A649)-1)</f>
        <v>AVATAR</v>
      </c>
      <c r="P649" s="13" t="str">
        <f>IF($O649="ACS", "True Search", IF($O649="Arja", "Evolutionary Search", IF($O649="AVATAR", "True Pattern", IF($O649="CapGen", "Search Like Pattern", IF($O649="Cardumen", "True Semantic", IF($O649="DynaMoth", "True Semantic", IF($O649="FixMiner", "True Pattern", IF($O649="GenProg-A", "Evolutionary Search", IF($O649="Hercules", "Learning Pattern", IF($O649="Jaid", "True Semantic",
IF($O649="Kali-A", "True Search", IF($O649="kPAR", "True Pattern", IF($O649="Nopol", "True Semantic", IF($O649="RSRepair-A", "Evolutionary Search", IF($O649="SequenceR", "Deep Learning", IF($O649="SimFix", "Search Like Pattern", IF($O649="SketchFix", "True Pattern", IF($O649="SOFix", "True Pattern", IF($O649="ssFix", "Search Like Pattern", IF($O649="TBar", "True Pattern", ""))))))))))))))))))))</f>
        <v>True Pattern</v>
      </c>
      <c r="Q649" s="13" t="str">
        <f>IF(NOT(ISERR(SEARCH("*_Buggy",$A649))), "Buggy", IF(NOT(ISERR(SEARCH("*_Fixed",$A649))), "Fixed", IF(NOT(ISERR(SEARCH("*_Repaired",$A649))), "Repaired", "")))</f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v>1</v>
      </c>
      <c r="W649" s="13" t="str">
        <f>MID(A649, SEARCH("_", A649) +1, SEARCH("_", A649, SEARCH("_", A649) +1) - SEARCH("_", A649) -1)</f>
        <v>Math-57</v>
      </c>
    </row>
    <row r="650" spans="1:23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>LEFT($A650,FIND("_",$A650)-1)</f>
        <v>AVATAR</v>
      </c>
      <c r="P650" s="13" t="str">
        <f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>IF(NOT(ISERR(SEARCH("*_Buggy",$A650))), "Buggy", IF(NOT(ISERR(SEARCH("*_Fixed",$A650))), "Fixed", IF(NOT(ISERR(SEARCH("*_Repaired",$A650))), "Repaired", "")))</f>
        <v>Fixed</v>
      </c>
      <c r="R650" s="13" t="s">
        <v>1669</v>
      </c>
      <c r="S650" s="25">
        <v>2</v>
      </c>
      <c r="T650" s="25">
        <v>3</v>
      </c>
      <c r="U650" s="25">
        <v>4</v>
      </c>
      <c r="V650" s="13">
        <v>4</v>
      </c>
      <c r="W650" s="13" t="str">
        <f>MID(A650, SEARCH("_", A650) +1, SEARCH("_", A650, SEARCH("_", A650) +1) - SEARCH("_", A650) -1)</f>
        <v>Math-62</v>
      </c>
    </row>
    <row r="651" spans="1:23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>LEFT($A651,FIND("_",$A651)-1)</f>
        <v>AVATAR</v>
      </c>
      <c r="P651" s="13" t="str">
        <f>IF($O651="ACS", "True Search", IF($O651="Arja", "Evolutionary Search", IF($O651="AVATAR", "True Pattern", IF($O651="CapGen", "Search Like Pattern", IF($O651="Cardumen", "True Semantic", IF($O651="DynaMoth", "True Semantic", IF($O651="FixMiner", "True Pattern", IF($O651="GenProg-A", "Evolutionary Search", IF($O651="Hercules", "Learning Pattern", IF($O651="Jaid", "True Semantic",
IF($O651="Kali-A", "True Search", IF($O651="kPAR", "True Pattern", IF($O651="Nopol", "True Semantic", IF($O651="RSRepair-A", "Evolutionary Search", IF($O651="SequenceR", "Deep Learning", IF($O651="SimFix", "Search Like Pattern", IF($O651="SketchFix", "True Pattern", IF($O651="SOFix", "True Pattern", IF($O651="ssFix", "Search Like Pattern", IF($O651="TBar", "True Pattern", ""))))))))))))))))))))</f>
        <v>True Pattern</v>
      </c>
      <c r="Q651" s="13" t="str">
        <f>IF(NOT(ISERR(SEARCH("*_Buggy",$A651))), "Buggy", IF(NOT(ISERR(SEARCH("*_Fixed",$A651))), "Fixed", IF(NOT(ISERR(SEARCH("*_Repaired",$A651))), "Repaired", "")))</f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v>1</v>
      </c>
      <c r="W651" s="13" t="str">
        <f>MID(A651, SEARCH("_", A651) +1, SEARCH("_", A651, SEARCH("_", A651) +1) - SEARCH("_", A651) -1)</f>
        <v>Math-80</v>
      </c>
    </row>
    <row r="652" spans="1:23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>LEFT($A652,FIND("_",$A652)-1)</f>
        <v>AVATAR</v>
      </c>
      <c r="P652" s="13" t="str">
        <f>IF($O652="ACS", "True Search", IF($O652="Arja", "Evolutionary Search", IF($O652="AVATAR", "True Pattern", IF($O652="CapGen", "Search Like Pattern", IF($O652="Cardumen", "True Semantic", IF($O652="DynaMoth", "True Semantic", IF($O652="FixMiner", "True Pattern", IF($O652="GenProg-A", "Evolutionary Search", IF($O652="Hercules", "Learning Pattern", IF($O652="Jaid", "True Semantic",
IF($O652="Kali-A", "True Search", IF($O652="kPAR", "True Pattern", IF($O652="Nopol", "True Semantic", IF($O652="RSRepair-A", "Evolutionary Search", IF($O652="SequenceR", "Deep Learning", IF($O652="SimFix", "Search Like Pattern", IF($O652="SketchFix", "True Pattern", IF($O652="SOFix", "True Pattern", IF($O652="ssFix", "Search Like Pattern", IF($O652="TBar", "True Pattern", ""))))))))))))))))))))</f>
        <v>True Pattern</v>
      </c>
      <c r="Q652" s="13" t="str">
        <f>IF(NOT(ISERR(SEARCH("*_Buggy",$A652))), "Buggy", IF(NOT(ISERR(SEARCH("*_Fixed",$A652))), "Fixed", IF(NOT(ISERR(SEARCH("*_Repaired",$A652))), "Repaired", "")))</f>
        <v>Fixed</v>
      </c>
      <c r="R652" s="13" t="s">
        <v>1669</v>
      </c>
      <c r="S652" s="25">
        <v>3</v>
      </c>
      <c r="T652" s="25">
        <v>4</v>
      </c>
      <c r="U652" s="25">
        <v>3</v>
      </c>
      <c r="V652" s="13">
        <v>4</v>
      </c>
      <c r="W652" s="13" t="str">
        <f>MID(A652, SEARCH("_", A652) +1, SEARCH("_", A652, SEARCH("_", A652) +1) - SEARCH("_", A652) -1)</f>
        <v>Math-81</v>
      </c>
    </row>
    <row r="653" spans="1:23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>LEFT($A653,FIND("_",$A653)-1)</f>
        <v>AVATAR</v>
      </c>
      <c r="P653" s="13" t="str">
        <f>IF($O653="ACS", "True Search", IF($O653="Arja", "Evolutionary Search", IF($O653="AVATAR", "True Pattern", IF($O653="CapGen", "Search Like Pattern", IF($O653="Cardumen", "True Semantic", IF($O653="DynaMoth", "True Semantic", IF($O653="FixMiner", "True Pattern", IF($O653="GenProg-A", "Evolutionary Search", IF($O653="Hercules", "Learning Pattern", IF($O653="Jaid", "True Semantic",
IF($O653="Kali-A", "True Search", IF($O653="kPAR", "True Pattern", IF($O653="Nopol", "True Semantic", IF($O653="RSRepair-A", "Evolutionary Search", IF($O653="SequenceR", "Deep Learning", IF($O653="SimFix", "Search Like Pattern", IF($O653="SketchFix", "True Pattern", IF($O653="SOFix", "True Pattern", IF($O653="ssFix", "Search Like Pattern", IF($O653="TBar", "True Pattern", ""))))))))))))))))))))</f>
        <v>True Pattern</v>
      </c>
      <c r="Q653" s="13" t="str">
        <f>IF(NOT(ISERR(SEARCH("*_Buggy",$A653))), "Buggy", IF(NOT(ISERR(SEARCH("*_Fixed",$A653))), "Fixed", IF(NOT(ISERR(SEARCH("*_Repaired",$A653))), "Repaired", "")))</f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v>1</v>
      </c>
      <c r="W653" s="13" t="str">
        <f>MID(A653, SEARCH("_", A653) +1, SEARCH("_", A653, SEARCH("_", A653) +1) - SEARCH("_", A653) -1)</f>
        <v>Math-82</v>
      </c>
    </row>
    <row r="654" spans="1:23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>LEFT($A654,FIND("_",$A654)-1)</f>
        <v>AVATAR</v>
      </c>
      <c r="P654" s="13" t="str">
        <f>IF($O654="ACS", "True Search", IF($O654="Arja", "Evolutionary Search", IF($O654="AVATAR", "True Pattern", IF($O654="CapGen", "Search Like Pattern", IF($O654="Cardumen", "True Semantic", IF($O654="DynaMoth", "True Semantic", IF($O654="FixMiner", "True Pattern", IF($O654="GenProg-A", "Evolutionary Search", IF($O654="Hercules", "Learning Pattern", IF($O654="Jaid", "True Semantic",
IF($O654="Kali-A", "True Search", IF($O654="kPAR", "True Pattern", IF($O654="Nopol", "True Semantic", IF($O654="RSRepair-A", "Evolutionary Search", IF($O654="SequenceR", "Deep Learning", IF($O654="SimFix", "Search Like Pattern", IF($O654="SketchFix", "True Pattern", IF($O654="SOFix", "True Pattern", IF($O654="ssFix", "Search Like Pattern", IF($O654="TBar", "True Pattern", ""))))))))))))))))))))</f>
        <v>True Pattern</v>
      </c>
      <c r="Q654" s="13" t="str">
        <f>IF(NOT(ISERR(SEARCH("*_Buggy",$A654))), "Buggy", IF(NOT(ISERR(SEARCH("*_Fixed",$A654))), "Fixed", IF(NOT(ISERR(SEARCH("*_Repaired",$A654))), "Repaired", "")))</f>
        <v>Fixed</v>
      </c>
      <c r="R654" s="13" t="s">
        <v>1669</v>
      </c>
      <c r="S654" s="25">
        <v>3</v>
      </c>
      <c r="T654" s="13">
        <v>9</v>
      </c>
      <c r="U654" s="25">
        <v>0</v>
      </c>
      <c r="V654" s="13">
        <v>9</v>
      </c>
      <c r="W654" s="13" t="str">
        <f>MID(A654, SEARCH("_", A654) +1, SEARCH("_", A654, SEARCH("_", A654) +1) - SEARCH("_", A654) -1)</f>
        <v>Math-84</v>
      </c>
    </row>
    <row r="655" spans="1:23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>LEFT($A655,FIND("_",$A655)-1)</f>
        <v>AVATAR</v>
      </c>
      <c r="P655" s="13" t="str">
        <f>IF($O655="ACS", "True Search", IF($O655="Arja", "Evolutionary Search", IF($O655="AVATAR", "True Pattern", IF($O655="CapGen", "Search Like Pattern", IF($O655="Cardumen", "True Semantic", IF($O655="DynaMoth", "True Semantic", IF($O655="FixMiner", "True Pattern", IF($O655="GenProg-A", "Evolutionary Search", IF($O655="Hercules", "Learning Pattern", IF($O655="Jaid", "True Semantic",
IF($O655="Kali-A", "True Search", IF($O655="kPAR", "True Pattern", IF($O655="Nopol", "True Semantic", IF($O655="RSRepair-A", "Evolutionary Search", IF($O655="SequenceR", "Deep Learning", IF($O655="SimFix", "Search Like Pattern", IF($O655="SketchFix", "True Pattern", IF($O655="SOFix", "True Pattern", IF($O655="ssFix", "Search Like Pattern", IF($O655="TBar", "True Pattern", ""))))))))))))))))))))</f>
        <v>True Pattern</v>
      </c>
      <c r="Q655" s="13" t="str">
        <f>IF(NOT(ISERR(SEARCH("*_Buggy",$A655))), "Buggy", IF(NOT(ISERR(SEARCH("*_Fixed",$A655))), "Fixed", IF(NOT(ISERR(SEARCH("*_Repaired",$A655))), "Repaired", "")))</f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v>1</v>
      </c>
      <c r="W655" s="13" t="str">
        <f>MID(A655, SEARCH("_", A655) +1, SEARCH("_", A655, SEARCH("_", A655) +1) - SEARCH("_", A655) -1)</f>
        <v>Math-85</v>
      </c>
    </row>
    <row r="656" spans="1:23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>LEFT($A656,FIND("_",$A656)-1)</f>
        <v>AVATAR</v>
      </c>
      <c r="P656" s="13" t="str">
        <f>IF($O656="ACS", "True Search", IF($O656="Arja", "Evolutionary Search", IF($O656="AVATAR", "True Pattern", IF($O656="CapGen", "Search Like Pattern", IF($O656="Cardumen", "True Semantic", IF($O656="DynaMoth", "True Semantic", IF($O656="FixMiner", "True Pattern", IF($O656="GenProg-A", "Evolutionary Search", IF($O656="Hercules", "Learning Pattern", IF($O656="Jaid", "True Semantic",
IF($O656="Kali-A", "True Search", IF($O656="kPAR", "True Pattern", IF($O656="Nopol", "True Semantic", IF($O656="RSRepair-A", "Evolutionary Search", IF($O656="SequenceR", "Deep Learning", IF($O656="SimFix", "Search Like Pattern", IF($O656="SketchFix", "True Pattern", IF($O656="SOFix", "True Pattern", IF($O656="ssFix", "Search Like Pattern", IF($O656="TBar", "True Pattern", ""))))))))))))))))))))</f>
        <v>True Pattern</v>
      </c>
      <c r="Q656" s="13" t="str">
        <f>IF(NOT(ISERR(SEARCH("*_Buggy",$A656))), "Buggy", IF(NOT(ISERR(SEARCH("*_Fixed",$A656))), "Fixed", IF(NOT(ISERR(SEARCH("*_Repaired",$A656))), "Repaired", "")))</f>
        <v>Fixed</v>
      </c>
      <c r="R656" s="13" t="s">
        <v>1669</v>
      </c>
      <c r="S656" s="25">
        <v>4</v>
      </c>
      <c r="T656" s="25">
        <v>5</v>
      </c>
      <c r="U656" s="25">
        <v>6</v>
      </c>
      <c r="V656" s="13">
        <v>11</v>
      </c>
      <c r="W656" s="13" t="str">
        <f>MID(A656, SEARCH("_", A656) +1, SEARCH("_", A656, SEARCH("_", A656) +1) - SEARCH("_", A656) -1)</f>
        <v>Math-88</v>
      </c>
    </row>
    <row r="657" spans="1:23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>LEFT($A657,FIND("_",$A657)-1)</f>
        <v>AVATAR</v>
      </c>
      <c r="P657" s="13" t="str">
        <f>IF($O657="ACS", "True Search", IF($O657="Arja", "Evolutionary Search", IF($O657="AVATAR", "True Pattern", IF($O657="CapGen", "Search Like Pattern", IF($O657="Cardumen", "True Semantic", IF($O657="DynaMoth", "True Semantic", IF($O657="FixMiner", "True Pattern", IF($O657="GenProg-A", "Evolutionary Search", IF($O657="Hercules", "Learning Pattern", IF($O657="Jaid", "True Semantic",
IF($O657="Kali-A", "True Search", IF($O657="kPAR", "True Pattern", IF($O657="Nopol", "True Semantic", IF($O657="RSRepair-A", "Evolutionary Search", IF($O657="SequenceR", "Deep Learning", IF($O657="SimFix", "Search Like Pattern", IF($O657="SketchFix", "True Pattern", IF($O657="SOFix", "True Pattern", IF($O657="ssFix", "Search Like Pattern", IF($O657="TBar", "True Pattern", ""))))))))))))))))))))</f>
        <v>True Pattern</v>
      </c>
      <c r="Q657" s="13" t="str">
        <f>IF(NOT(ISERR(SEARCH("*_Buggy",$A657))), "Buggy", IF(NOT(ISERR(SEARCH("*_Fixed",$A657))), "Fixed", IF(NOT(ISERR(SEARCH("*_Repaired",$A657))), "Repaired", "")))</f>
        <v>Fixed</v>
      </c>
      <c r="R657" s="13" t="s">
        <v>1668</v>
      </c>
      <c r="S657" s="25">
        <v>2</v>
      </c>
      <c r="T657" s="13">
        <v>4</v>
      </c>
      <c r="U657" s="25">
        <v>0</v>
      </c>
      <c r="V657" s="13">
        <v>4</v>
      </c>
      <c r="W657" s="13" t="str">
        <f>MID(A657, SEARCH("_", A657) +1, SEARCH("_", A657, SEARCH("_", A657) +1) - SEARCH("_", A657) -1)</f>
        <v>Math-89</v>
      </c>
    </row>
    <row r="658" spans="1:23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>LEFT($A658,FIND("_",$A658)-1)</f>
        <v>AVATAR</v>
      </c>
      <c r="P658" s="13" t="str">
        <f>IF($O658="ACS", "True Search", IF($O658="Arja", "Evolutionary Search", IF($O658="AVATAR", "True Pattern", IF($O658="CapGen", "Search Like Pattern", IF($O658="Cardumen", "True Semantic", IF($O658="DynaMoth", "True Semantic", IF($O658="FixMiner", "True Pattern", IF($O658="GenProg-A", "Evolutionary Search", IF($O658="Hercules", "Learning Pattern", IF($O658="Jaid", "True Semantic",
IF($O658="Kali-A", "True Search", IF($O658="kPAR", "True Pattern", IF($O658="Nopol", "True Semantic", IF($O658="RSRepair-A", "Evolutionary Search", IF($O658="SequenceR", "Deep Learning", IF($O658="SimFix", "Search Like Pattern", IF($O658="SketchFix", "True Pattern", IF($O658="SOFix", "True Pattern", IF($O658="ssFix", "Search Like Pattern", IF($O658="TBar", "True Pattern", ""))))))))))))))))))))</f>
        <v>True Pattern</v>
      </c>
      <c r="Q658" s="13" t="str">
        <f>IF(NOT(ISERR(SEARCH("*_Buggy",$A658))), "Buggy", IF(NOT(ISERR(SEARCH("*_Fixed",$A658))), "Fixed", IF(NOT(ISERR(SEARCH("*_Repaired",$A658))), "Repaired", "")))</f>
        <v>Fixed</v>
      </c>
      <c r="R658" s="13" t="s">
        <v>1669</v>
      </c>
      <c r="S658" s="25">
        <v>3</v>
      </c>
      <c r="T658" s="25">
        <v>3</v>
      </c>
      <c r="U658" s="25">
        <v>1</v>
      </c>
      <c r="V658" s="13">
        <v>3</v>
      </c>
      <c r="W658" s="13" t="str">
        <f>MID(A658, SEARCH("_", A658) +1, SEARCH("_", A658, SEARCH("_", A658) +1) - SEARCH("_", A658) -1)</f>
        <v>Math-95</v>
      </c>
    </row>
    <row r="659" spans="1:23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>LEFT($A659,FIND("_",$A659)-1)</f>
        <v>AVATAR</v>
      </c>
      <c r="P659" s="13" t="str">
        <f>IF($O659="ACS", "True Search", IF($O659="Arja", "Evolutionary Search", IF($O659="AVATAR", "True Pattern", IF($O659="CapGen", "Search Like Pattern", IF($O659="Cardumen", "True Semantic", IF($O659="DynaMoth", "True Semantic", IF($O659="FixMiner", "True Pattern", IF($O659="GenProg-A", "Evolutionary Search", IF($O659="Hercules", "Learning Pattern", IF($O659="Jaid", "True Semantic",
IF($O659="Kali-A", "True Search", IF($O659="kPAR", "True Pattern", IF($O659="Nopol", "True Semantic", IF($O659="RSRepair-A", "Evolutionary Search", IF($O659="SequenceR", "Deep Learning", IF($O659="SimFix", "Search Like Pattern", IF($O659="SketchFix", "True Pattern", IF($O659="SOFix", "True Pattern", IF($O659="ssFix", "Search Like Pattern", IF($O659="TBar", "True Pattern", ""))))))))))))))))))))</f>
        <v>True Pattern</v>
      </c>
      <c r="Q659" s="13" t="str">
        <f>IF(NOT(ISERR(SEARCH("*_Buggy",$A659))), "Buggy", IF(NOT(ISERR(SEARCH("*_Fixed",$A659))), "Fixed", IF(NOT(ISERR(SEARCH("*_Repaired",$A659))), "Repaired", "")))</f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v>1</v>
      </c>
      <c r="W659" s="13" t="str">
        <f>MID(A659, SEARCH("_", A659) +1, SEARCH("_", A659, SEARCH("_", A659) +1) - SEARCH("_", A659) -1)</f>
        <v>Mockito-29</v>
      </c>
    </row>
    <row r="660" spans="1:23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>LEFT($A660,FIND("_",$A660)-1)</f>
        <v>AVATAR</v>
      </c>
      <c r="P660" s="13" t="str">
        <f>IF($O660="ACS", "True Search", IF($O660="Arja", "Evolutionary Search", IF($O660="AVATAR", "True Pattern", IF($O660="CapGen", "Search Like Pattern", IF($O660="Cardumen", "True Semantic", IF($O660="DynaMoth", "True Semantic", IF($O660="FixMiner", "True Pattern", IF($O660="GenProg-A", "Evolutionary Search", IF($O660="Hercules", "Learning Pattern", IF($O660="Jaid", "True Semantic",
IF($O660="Kali-A", "True Search", IF($O660="kPAR", "True Pattern", IF($O660="Nopol", "True Semantic", IF($O660="RSRepair-A", "Evolutionary Search", IF($O660="SequenceR", "Deep Learning", IF($O660="SimFix", "Search Like Pattern", IF($O660="SketchFix", "True Pattern", IF($O660="SOFix", "True Pattern", IF($O660="ssFix", "Search Like Pattern", IF($O660="TBar", "True Pattern", ""))))))))))))))))))))</f>
        <v>True Pattern</v>
      </c>
      <c r="Q660" s="13" t="str">
        <f>IF(NOT(ISERR(SEARCH("*_Buggy",$A660))), "Buggy", IF(NOT(ISERR(SEARCH("*_Fixed",$A660))), "Fixed", IF(NOT(ISERR(SEARCH("*_Repaired",$A660))), "Repaired", "")))</f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v>1</v>
      </c>
      <c r="W660" s="13" t="str">
        <f>MID(A660, SEARCH("_", A660) +1, SEARCH("_", A660, SEARCH("_", A660) +1) - SEARCH("_", A660) -1)</f>
        <v>Mockito-38</v>
      </c>
    </row>
    <row r="661" spans="1:23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>LEFT($A661,FIND("_",$A661)-1)</f>
        <v>AVATAR</v>
      </c>
      <c r="P661" s="13" t="str">
        <f>IF($O661="ACS", "True Search", IF($O661="Arja", "Evolutionary Search", IF($O661="AVATAR", "True Pattern", IF($O661="CapGen", "Search Like Pattern", IF($O661="Cardumen", "True Semantic", IF($O661="DynaMoth", "True Semantic", IF($O661="FixMiner", "True Pattern", IF($O661="GenProg-A", "Evolutionary Search", IF($O661="Hercules", "Learning Pattern", IF($O661="Jaid", "True Semantic",
IF($O661="Kali-A", "True Search", IF($O661="kPAR", "True Pattern", IF($O661="Nopol", "True Semantic", IF($O661="RSRepair-A", "Evolutionary Search", IF($O661="SequenceR", "Deep Learning", IF($O661="SimFix", "Search Like Pattern", IF($O661="SketchFix", "True Pattern", IF($O661="SOFix", "True Pattern", IF($O661="ssFix", "Search Like Pattern", IF($O661="TBar", "True Pattern", ""))))))))))))))))))))</f>
        <v>True Pattern</v>
      </c>
      <c r="Q661" s="13" t="str">
        <f>IF(NOT(ISERR(SEARCH("*_Buggy",$A661))), "Buggy", IF(NOT(ISERR(SEARCH("*_Fixed",$A661))), "Fixed", IF(NOT(ISERR(SEARCH("*_Repaired",$A661))), "Repaired", "")))</f>
        <v>Fixed</v>
      </c>
      <c r="R661" s="13" t="s">
        <v>1669</v>
      </c>
      <c r="S661" s="25">
        <v>2</v>
      </c>
      <c r="T661" s="13">
        <v>12</v>
      </c>
      <c r="U661" s="25">
        <v>0</v>
      </c>
      <c r="V661" s="13">
        <v>12</v>
      </c>
      <c r="W661" s="13" t="str">
        <f>MID(A661, SEARCH("_", A661) +1, SEARCH("_", A661, SEARCH("_", A661) +1) - SEARCH("_", A661) -1)</f>
        <v>Time-18</v>
      </c>
    </row>
    <row r="662" spans="1:23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>LEFT($A662,FIND("_",$A662)-1)</f>
        <v>DynaMoth</v>
      </c>
      <c r="P662" s="13" t="str">
        <f>IF($O662="ACS", "True Search", IF($O662="Arja", "Evolutionary Search", IF($O662="AVATAR", "True Pattern", IF($O662="CapGen", "Search Like Pattern", IF($O662="Cardumen", "True Semantic", IF($O662="DynaMoth", "True Semantic", IF($O662="FixMiner", "True Pattern", IF($O662="GenProg-A", "Evolutionary Search", IF($O662="Hercules", "Learning Pattern", IF($O662="Jaid", "True Semantic",
IF($O662="Kali-A", "True Search", IF($O662="kPAR", "True Pattern", IF($O662="Nopol", "True Semantic", IF($O662="RSRepair-A", "Evolutionary Search", IF($O662="SequenceR", "Deep Learning", IF($O662="SimFix", "Search Like Pattern", IF($O662="SketchFix", "True Pattern", IF($O662="SOFix", "True Pattern", IF($O662="ssFix", "Search Like Pattern", IF($O662="TBar", "True Pattern", ""))))))))))))))))))))</f>
        <v>True Semantic</v>
      </c>
      <c r="Q662" s="13" t="str">
        <f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v>1</v>
      </c>
      <c r="W662" s="13" t="str">
        <f>MID(A662, SEARCH("_", A662) +1, SEARCH("_", A662, SEARCH("_", A662) +1) - SEARCH("_", A662) -1)</f>
        <v>Chart-1</v>
      </c>
    </row>
    <row r="663" spans="1:23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>LEFT($A663,FIND("_",$A663)-1)</f>
        <v>DynaMoth</v>
      </c>
      <c r="P663" s="13" t="str">
        <f>IF($O663="ACS", "True Search", IF($O663="Arja", "Evolutionary Search", IF($O663="AVATAR", "True Pattern", IF($O663="CapGen", "Search Like Pattern", IF($O663="Cardumen", "True Semantic", IF($O663="DynaMoth", "True Semantic", IF($O663="FixMiner", "True Pattern", IF($O663="GenProg-A", "Evolutionary Search", IF($O663="Hercules", "Learning Pattern", IF($O663="Jaid", "True Semantic",
IF($O663="Kali-A", "True Search", IF($O663="kPAR", "True Pattern", IF($O663="Nopol", "True Semantic", IF($O663="RSRepair-A", "Evolutionary Search", IF($O663="SequenceR", "Deep Learning", IF($O663="SimFix", "Search Like Pattern", IF($O663="SketchFix", "True Pattern", IF($O663="SOFix", "True Pattern", IF($O663="ssFix", "Search Like Pattern", IF($O663="TBar", "True Pattern", ""))))))))))))))))))))</f>
        <v>True Semantic</v>
      </c>
      <c r="Q663" s="13" t="str">
        <f>IF(NOT(ISERR(SEARCH("*_Buggy",$A663))), "Buggy", IF(NOT(ISERR(SEARCH("*_Fixed",$A663))), "Fixed", IF(NOT(ISERR(SEARCH("*_Repaired",$A663))), "Repaired", "")))</f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v>1</v>
      </c>
      <c r="W663" s="13" t="str">
        <f>MID(A663, SEARCH("_", A663) +1, SEARCH("_", A663, SEARCH("_", A663) +1) - SEARCH("_", A663) -1)</f>
        <v>Chart-13</v>
      </c>
    </row>
    <row r="664" spans="1:23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>LEFT($A664,FIND("_",$A664)-1)</f>
        <v>DynaMoth</v>
      </c>
      <c r="P664" s="13" t="str">
        <f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>IF(NOT(ISERR(SEARCH("*_Buggy",$A664))), "Buggy", IF(NOT(ISERR(SEARCH("*_Fixed",$A664))), "Fixed", IF(NOT(ISERR(SEARCH("*_Repaired",$A664))), "Repaired", "")))</f>
        <v>Fixed</v>
      </c>
      <c r="R664" s="13" t="s">
        <v>1669</v>
      </c>
      <c r="S664" s="25">
        <v>6</v>
      </c>
      <c r="T664" s="25">
        <v>14</v>
      </c>
      <c r="U664" s="25">
        <v>2</v>
      </c>
      <c r="V664" s="13">
        <v>14</v>
      </c>
      <c r="W664" s="13" t="str">
        <f>MID(A664, SEARCH("_", A664) +1, SEARCH("_", A664, SEARCH("_", A664) +1) - SEARCH("_", A664) -1)</f>
        <v>Chart-25</v>
      </c>
    </row>
    <row r="665" spans="1:23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>LEFT($A665,FIND("_",$A665)-1)</f>
        <v>DynaMoth</v>
      </c>
      <c r="P665" s="13" t="str">
        <f>IF($O665="ACS", "True Search", IF($O665="Arja", "Evolutionary Search", IF($O665="AVATAR", "True Pattern", IF($O665="CapGen", "Search Like Pattern", IF($O665="Cardumen", "True Semantic", IF($O665="DynaMoth", "True Semantic", IF($O665="FixMiner", "True Pattern", IF($O665="GenProg-A", "Evolutionary Search", IF($O665="Hercules", "Learning Pattern", IF($O665="Jaid", "True Semantic",
IF($O665="Kali-A", "True Search", IF($O665="kPAR", "True Pattern", IF($O665="Nopol", "True Semantic", IF($O665="RSRepair-A", "Evolutionary Search", IF($O665="SequenceR", "Deep Learning", IF($O665="SimFix", "Search Like Pattern", IF($O665="SketchFix", "True Pattern", IF($O665="SOFix", "True Pattern", IF($O665="ssFix", "Search Like Pattern", IF($O665="TBar", "True Pattern", ""))))))))))))))))))))</f>
        <v>True Semantic</v>
      </c>
      <c r="Q665" s="13" t="str">
        <f>IF(NOT(ISERR(SEARCH("*_Buggy",$A665))), "Buggy", IF(NOT(ISERR(SEARCH("*_Fixed",$A665))), "Fixed", IF(NOT(ISERR(SEARCH("*_Repaired",$A665))), "Repaired", "")))</f>
        <v>Fixed</v>
      </c>
      <c r="R665" s="13" t="s">
        <v>1669</v>
      </c>
      <c r="S665" s="25">
        <v>2</v>
      </c>
      <c r="T665" s="25">
        <v>5</v>
      </c>
      <c r="U665" s="25">
        <v>1</v>
      </c>
      <c r="V665" s="13">
        <v>5</v>
      </c>
      <c r="W665" s="13" t="str">
        <f>MID(A665, SEARCH("_", A665) +1, SEARCH("_", A665, SEARCH("_", A665) +1) - SEARCH("_", A665) -1)</f>
        <v>Chart-5</v>
      </c>
    </row>
    <row r="666" spans="1:23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>LEFT($A666,FIND("_",$A666)-1)</f>
        <v>DynaMoth</v>
      </c>
      <c r="P666" s="13" t="str">
        <f>IF($O666="ACS", "True Search", IF($O666="Arja", "Evolutionary Search", IF($O666="AVATAR", "True Pattern", IF($O666="CapGen", "Search Like Pattern", IF($O666="Cardumen", "True Semantic", IF($O666="DynaMoth", "True Semantic", IF($O666="FixMiner", "True Pattern", IF($O666="GenProg-A", "Evolutionary Search", IF($O666="Hercules", "Learning Pattern", IF($O666="Jaid", "True Semantic",
IF($O666="Kali-A", "True Search", IF($O666="kPAR", "True Pattern", IF($O666="Nopol", "True Semantic", IF($O666="RSRepair-A", "Evolutionary Search", IF($O666="SequenceR", "Deep Learning", IF($O666="SimFix", "Search Like Pattern", IF($O666="SketchFix", "True Pattern", IF($O666="SOFix", "True Pattern", IF($O666="ssFix", "Search Like Pattern", IF($O666="TBar", "True Pattern", ""))))))))))))))))))))</f>
        <v>True Semantic</v>
      </c>
      <c r="Q666" s="13" t="str">
        <f>IF(NOT(ISERR(SEARCH("*_Buggy",$A666))), "Buggy", IF(NOT(ISERR(SEARCH("*_Fixed",$A666))), "Fixed", IF(NOT(ISERR(SEARCH("*_Repaired",$A666))), "Repaired", "")))</f>
        <v>Fixed</v>
      </c>
      <c r="R666" s="13" t="s">
        <v>1668</v>
      </c>
      <c r="S666" s="25">
        <v>9</v>
      </c>
      <c r="T666" s="25">
        <v>10</v>
      </c>
      <c r="U666" s="25">
        <v>7</v>
      </c>
      <c r="V666" s="13">
        <v>10</v>
      </c>
      <c r="W666" s="13" t="str">
        <f>MID(A666, SEARCH("_", A666) +1, SEARCH("_", A666, SEARCH("_", A666) +1) - SEARCH("_", A666) -1)</f>
        <v>Lang-46</v>
      </c>
    </row>
    <row r="667" spans="1:23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>LEFT($A667,FIND("_",$A667)-1)</f>
        <v>DynaMoth</v>
      </c>
      <c r="P667" s="13" t="str">
        <f>IF($O667="ACS", "True Search", IF($O667="Arja", "Evolutionary Search", IF($O667="AVATAR", "True Pattern", IF($O667="CapGen", "Search Like Pattern", IF($O667="Cardumen", "True Semantic", IF($O667="DynaMoth", "True Semantic", IF($O667="FixMiner", "True Pattern", IF($O667="GenProg-A", "Evolutionary Search", IF($O667="Hercules", "Learning Pattern", IF($O667="Jaid", "True Semantic",
IF($O667="Kali-A", "True Search", IF($O667="kPAR", "True Pattern", IF($O667="Nopol", "True Semantic", IF($O667="RSRepair-A", "Evolutionary Search", IF($O667="SequenceR", "Deep Learning", IF($O667="SimFix", "Search Like Pattern", IF($O667="SketchFix", "True Pattern", IF($O667="SOFix", "True Pattern", IF($O667="ssFix", "Search Like Pattern", IF($O667="TBar", "True Pattern", ""))))))))))))))))))))</f>
        <v>True Semantic</v>
      </c>
      <c r="Q667" s="13" t="str">
        <f>IF(NOT(ISERR(SEARCH("*_Buggy",$A667))), "Buggy", IF(NOT(ISERR(SEARCH("*_Fixed",$A667))), "Fixed", IF(NOT(ISERR(SEARCH("*_Repaired",$A667))), "Repaired", "")))</f>
        <v>Fixed</v>
      </c>
      <c r="R667" s="13" t="s">
        <v>1669</v>
      </c>
      <c r="S667" s="25">
        <v>1</v>
      </c>
      <c r="T667" s="13">
        <v>1</v>
      </c>
      <c r="U667" s="25">
        <v>0</v>
      </c>
      <c r="V667" s="13">
        <v>1</v>
      </c>
      <c r="W667" s="13" t="str">
        <f>MID(A667, SEARCH("_", A667) +1, SEARCH("_", A667, SEARCH("_", A667) +1) - SEARCH("_", A667) -1)</f>
        <v>Lang-51</v>
      </c>
    </row>
    <row r="668" spans="1:23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>LEFT($A668,FIND("_",$A668)-1)</f>
        <v>DynaMoth</v>
      </c>
      <c r="P668" s="13" t="str">
        <f>IF($O668="ACS", "True Search", IF($O668="Arja", "Evolutionary Search", IF($O668="AVATAR", "True Pattern", IF($O668="CapGen", "Search Like Pattern", IF($O668="Cardumen", "True Semantic", IF($O668="DynaMoth", "True Semantic", IF($O668="FixMiner", "True Pattern", IF($O668="GenProg-A", "Evolutionary Search", IF($O668="Hercules", "Learning Pattern", IF($O668="Jaid", "True Semantic",
IF($O668="Kali-A", "True Search", IF($O668="kPAR", "True Pattern", IF($O668="Nopol", "True Semantic", IF($O668="RSRepair-A", "Evolutionary Search", IF($O668="SequenceR", "Deep Learning", IF($O668="SimFix", "Search Like Pattern", IF($O668="SketchFix", "True Pattern", IF($O668="SOFix", "True Pattern", IF($O668="ssFix", "Search Like Pattern", IF($O668="TBar", "True Pattern", ""))))))))))))))))))))</f>
        <v>True Semantic</v>
      </c>
      <c r="Q668" s="13" t="str">
        <f>IF(NOT(ISERR(SEARCH("*_Buggy",$A668))), "Buggy", IF(NOT(ISERR(SEARCH("*_Fixed",$A668))), "Fixed", IF(NOT(ISERR(SEARCH("*_Repaired",$A668))), "Repaired", "")))</f>
        <v>Fixed</v>
      </c>
      <c r="R668" s="13" t="s">
        <v>1668</v>
      </c>
      <c r="S668" s="25">
        <v>2</v>
      </c>
      <c r="T668" s="13">
        <v>2</v>
      </c>
      <c r="U668" s="25">
        <v>0</v>
      </c>
      <c r="V668" s="13">
        <v>2</v>
      </c>
      <c r="W668" s="13" t="str">
        <f>MID(A668, SEARCH("_", A668) +1, SEARCH("_", A668, SEARCH("_", A668) +1) - SEARCH("_", A668) -1)</f>
        <v>Lang-55</v>
      </c>
    </row>
    <row r="669" spans="1:23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>LEFT($A669,FIND("_",$A669)-1)</f>
        <v>DynaMoth</v>
      </c>
      <c r="P669" s="13" t="str">
        <f>IF($O669="ACS", "True Search", IF($O669="Arja", "Evolutionary Search", IF($O669="AVATAR", "True Pattern", IF($O669="CapGen", "Search Like Pattern", IF($O669="Cardumen", "True Semantic", IF($O669="DynaMoth", "True Semantic", IF($O669="FixMiner", "True Pattern", IF($O669="GenProg-A", "Evolutionary Search", IF($O669="Hercules", "Learning Pattern", IF($O669="Jaid", "True Semantic",
IF($O669="Kali-A", "True Search", IF($O669="kPAR", "True Pattern", IF($O669="Nopol", "True Semantic", IF($O669="RSRepair-A", "Evolutionary Search", IF($O669="SequenceR", "Deep Learning", IF($O669="SimFix", "Search Like Pattern", IF($O669="SketchFix", "True Pattern", IF($O669="SOFix", "True Pattern", IF($O669="ssFix", "Search Like Pattern", IF($O669="TBar", "True Pattern", ""))))))))))))))))))))</f>
        <v>True Semantic</v>
      </c>
      <c r="Q669" s="13" t="str">
        <f>IF(NOT(ISERR(SEARCH("*_Buggy",$A669))), "Buggy", IF(NOT(ISERR(SEARCH("*_Fixed",$A669))), "Fixed", IF(NOT(ISERR(SEARCH("*_Repaired",$A669))), "Repaired", "")))</f>
        <v>Fixed</v>
      </c>
      <c r="R669" s="13" t="s">
        <v>1669</v>
      </c>
      <c r="S669" s="25">
        <v>1</v>
      </c>
      <c r="T669" s="25">
        <v>1</v>
      </c>
      <c r="U669" s="25">
        <v>2</v>
      </c>
      <c r="V669" s="13">
        <v>2</v>
      </c>
      <c r="W669" s="13" t="str">
        <f>MID(A669, SEARCH("_", A669) +1, SEARCH("_", A669, SEARCH("_", A669) +1) - SEARCH("_", A669) -1)</f>
        <v>Lang-58</v>
      </c>
    </row>
    <row r="670" spans="1:23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>LEFT($A670,FIND("_",$A670)-1)</f>
        <v>DynaMoth</v>
      </c>
      <c r="P670" s="13" t="str">
        <f>IF($O670="ACS", "True Search", IF($O670="Arja", "Evolutionary Search", IF($O670="AVATAR", "True Pattern", IF($O670="CapGen", "Search Like Pattern", IF($O670="Cardumen", "True Semantic", IF($O670="DynaMoth", "True Semantic", IF($O670="FixMiner", "True Pattern", IF($O670="GenProg-A", "Evolutionary Search", IF($O670="Hercules", "Learning Pattern", IF($O670="Jaid", "True Semantic",
IF($O670="Kali-A", "True Search", IF($O670="kPAR", "True Pattern", IF($O670="Nopol", "True Semantic", IF($O670="RSRepair-A", "Evolutionary Search", IF($O670="SequenceR", "Deep Learning", IF($O670="SimFix", "Search Like Pattern", IF($O670="SketchFix", "True Pattern", IF($O670="SOFix", "True Pattern", IF($O670="ssFix", "Search Like Pattern", IF($O670="TBar", "True Pattern", ""))))))))))))))))))))</f>
        <v>True Semantic</v>
      </c>
      <c r="Q670" s="13" t="str">
        <f>IF(NOT(ISERR(SEARCH("*_Buggy",$A670))), "Buggy", IF(NOT(ISERR(SEARCH("*_Fixed",$A670))), "Fixed", IF(NOT(ISERR(SEARCH("*_Repaired",$A670))), "Repaired", "")))</f>
        <v>Fixed</v>
      </c>
      <c r="R670" s="13" t="s">
        <v>1669</v>
      </c>
      <c r="S670" s="25">
        <v>4</v>
      </c>
      <c r="T670" s="25">
        <v>3</v>
      </c>
      <c r="U670" s="25">
        <v>20</v>
      </c>
      <c r="V670" s="13">
        <v>22</v>
      </c>
      <c r="W670" s="13" t="str">
        <f>MID(A670, SEARCH("_", A670) +1, SEARCH("_", A670, SEARCH("_", A670) +1) - SEARCH("_", A670) -1)</f>
        <v>Lang-63</v>
      </c>
    </row>
    <row r="671" spans="1:23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>LEFT($A671,FIND("_",$A671)-1)</f>
        <v>DynaMoth</v>
      </c>
      <c r="P671" s="13" t="str">
        <f>IF($O671="ACS", "True Search", IF($O671="Arja", "Evolutionary Search", IF($O671="AVATAR", "True Pattern", IF($O671="CapGen", "Search Like Pattern", IF($O671="Cardumen", "True Semantic", IF($O671="DynaMoth", "True Semantic", IF($O671="FixMiner", "True Pattern", IF($O671="GenProg-A", "Evolutionary Search", IF($O671="Hercules", "Learning Pattern", IF($O671="Jaid", "True Semantic",
IF($O671="Kali-A", "True Search", IF($O671="kPAR", "True Pattern", IF($O671="Nopol", "True Semantic", IF($O671="RSRepair-A", "Evolutionary Search", IF($O671="SequenceR", "Deep Learning", IF($O671="SimFix", "Search Like Pattern", IF($O671="SketchFix", "True Pattern", IF($O671="SOFix", "True Pattern", IF($O671="ssFix", "Search Like Pattern", IF($O671="TBar", "True Pattern", ""))))))))))))))))))))</f>
        <v>True Semantic</v>
      </c>
      <c r="Q671" s="13" t="str">
        <f>IF(NOT(ISERR(SEARCH("*_Buggy",$A671))), "Buggy", IF(NOT(ISERR(SEARCH("*_Fixed",$A671))), "Fixed", IF(NOT(ISERR(SEARCH("*_Repaired",$A671))), "Repaired", "")))</f>
        <v>Fixed</v>
      </c>
      <c r="R671" s="13" t="s">
        <v>1669</v>
      </c>
      <c r="S671" s="25">
        <v>1</v>
      </c>
      <c r="T671" s="25">
        <v>2</v>
      </c>
      <c r="U671" s="25">
        <v>1</v>
      </c>
      <c r="V671" s="13">
        <v>2</v>
      </c>
      <c r="W671" s="13" t="str">
        <f>MID(A671, SEARCH("_", A671) +1, SEARCH("_", A671, SEARCH("_", A671) +1) - SEARCH("_", A671) -1)</f>
        <v>Math-101</v>
      </c>
    </row>
    <row r="672" spans="1:23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>LEFT($A672,FIND("_",$A672)-1)</f>
        <v>DynaMoth</v>
      </c>
      <c r="P672" s="13" t="str">
        <f>IF($O672="ACS", "True Search", IF($O672="Arja", "Evolutionary Search", IF($O672="AVATAR", "True Pattern", IF($O672="CapGen", "Search Like Pattern", IF($O672="Cardumen", "True Semantic", IF($O672="DynaMoth", "True Semantic", IF($O672="FixMiner", "True Pattern", IF($O672="GenProg-A", "Evolutionary Search", IF($O672="Hercules", "Learning Pattern", IF($O672="Jaid", "True Semantic",
IF($O672="Kali-A", "True Search", IF($O672="kPAR", "True Pattern", IF($O672="Nopol", "True Semantic", IF($O672="RSRepair-A", "Evolutionary Search", IF($O672="SequenceR", "Deep Learning", IF($O672="SimFix", "Search Like Pattern", IF($O672="SketchFix", "True Pattern", IF($O672="SOFix", "True Pattern", IF($O672="ssFix", "Search Like Pattern", IF($O672="TBar", "True Pattern", ""))))))))))))))))))))</f>
        <v>True Semantic</v>
      </c>
      <c r="Q672" s="13" t="str">
        <f>IF(NOT(ISERR(SEARCH("*_Buggy",$A672))), "Buggy", IF(NOT(ISERR(SEARCH("*_Fixed",$A672))), "Fixed", IF(NOT(ISERR(SEARCH("*_Repaired",$A672))), "Repaired", "")))</f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v>1</v>
      </c>
      <c r="W672" s="13" t="str">
        <f>MID(A672, SEARCH("_", A672) +1, SEARCH("_", A672, SEARCH("_", A672) +1) - SEARCH("_", A672) -1)</f>
        <v>Math-105</v>
      </c>
    </row>
    <row r="673" spans="1:23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>LEFT($A673,FIND("_",$A673)-1)</f>
        <v>DynaMoth</v>
      </c>
      <c r="P673" s="13" t="str">
        <f>IF($O673="ACS", "True Search", IF($O673="Arja", "Evolutionary Search", IF($O673="AVATAR", "True Pattern", IF($O673="CapGen", "Search Like Pattern", IF($O673="Cardumen", "True Semantic", IF($O673="DynaMoth", "True Semantic", IF($O673="FixMiner", "True Pattern", IF($O673="GenProg-A", "Evolutionary Search", IF($O673="Hercules", "Learning Pattern", IF($O673="Jaid", "True Semantic",
IF($O673="Kali-A", "True Search", IF($O673="kPAR", "True Pattern", IF($O673="Nopol", "True Semantic", IF($O673="RSRepair-A", "Evolutionary Search", IF($O673="SequenceR", "Deep Learning", IF($O673="SimFix", "Search Like Pattern", IF($O673="SketchFix", "True Pattern", IF($O673="SOFix", "True Pattern", IF($O673="ssFix", "Search Like Pattern", IF($O673="TBar", "True Pattern", ""))))))))))))))))))))</f>
        <v>True Semantic</v>
      </c>
      <c r="Q673" s="13" t="str">
        <f>IF(NOT(ISERR(SEARCH("*_Buggy",$A673))), "Buggy", IF(NOT(ISERR(SEARCH("*_Fixed",$A673))), "Fixed", IF(NOT(ISERR(SEARCH("*_Repaired",$A673))), "Repaired", "")))</f>
        <v>Fixed</v>
      </c>
      <c r="R673" s="13" t="s">
        <v>1669</v>
      </c>
      <c r="S673" s="25">
        <v>1</v>
      </c>
      <c r="T673" s="25">
        <v>2</v>
      </c>
      <c r="U673" s="25">
        <v>1</v>
      </c>
      <c r="V673" s="13">
        <v>2</v>
      </c>
      <c r="W673" s="13" t="str">
        <f>MID(A673, SEARCH("_", A673) +1, SEARCH("_", A673, SEARCH("_", A673) +1) - SEARCH("_", A673) -1)</f>
        <v>Math-20</v>
      </c>
    </row>
    <row r="674" spans="1:23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>LEFT($A674,FIND("_",$A674)-1)</f>
        <v>DynaMoth</v>
      </c>
      <c r="P674" s="13" t="str">
        <f>IF($O674="ACS", "True Search", IF($O674="Arja", "Evolutionary Search", IF($O674="AVATAR", "True Pattern", IF($O674="CapGen", "Search Like Pattern", IF($O674="Cardumen", "True Semantic", IF($O674="DynaMoth", "True Semantic", IF($O674="FixMiner", "True Pattern", IF($O674="GenProg-A", "Evolutionary Search", IF($O674="Hercules", "Learning Pattern", IF($O674="Jaid", "True Semantic",
IF($O674="Kali-A", "True Search", IF($O674="kPAR", "True Pattern", IF($O674="Nopol", "True Semantic", IF($O674="RSRepair-A", "Evolutionary Search", IF($O674="SequenceR", "Deep Learning", IF($O674="SimFix", "Search Like Pattern", IF($O674="SketchFix", "True Pattern", IF($O674="SOFix", "True Pattern", IF($O674="ssFix", "Search Like Pattern", IF($O674="TBar", "True Pattern", ""))))))))))))))))))))</f>
        <v>True Semantic</v>
      </c>
      <c r="Q674" s="13" t="str">
        <f>IF(NOT(ISERR(SEARCH("*_Buggy",$A674))), "Buggy", IF(NOT(ISERR(SEARCH("*_Fixed",$A674))), "Fixed", IF(NOT(ISERR(SEARCH("*_Repaired",$A674))), "Repaired", "")))</f>
        <v>Fixed</v>
      </c>
      <c r="R674" s="13" t="s">
        <v>1669</v>
      </c>
      <c r="S674" s="25">
        <v>4</v>
      </c>
      <c r="T674" s="13">
        <v>4</v>
      </c>
      <c r="U674" s="25">
        <v>0</v>
      </c>
      <c r="V674" s="13">
        <v>4</v>
      </c>
      <c r="W674" s="13" t="str">
        <f>MID(A674, SEARCH("_", A674) +1, SEARCH("_", A674, SEARCH("_", A674) +1) - SEARCH("_", A674) -1)</f>
        <v>Math-28</v>
      </c>
    </row>
    <row r="675" spans="1:23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>LEFT($A675,FIND("_",$A675)-1)</f>
        <v>DynaMoth</v>
      </c>
      <c r="P675" s="13" t="str">
        <f>IF($O675="ACS", "True Search", IF($O675="Arja", "Evolutionary Search", IF($O675="AVATAR", "True Pattern", IF($O675="CapGen", "Search Like Pattern", IF($O675="Cardumen", "True Semantic", IF($O675="DynaMoth", "True Semantic", IF($O675="FixMiner", "True Pattern", IF($O675="GenProg-A", "Evolutionary Search", IF($O675="Hercules", "Learning Pattern", IF($O675="Jaid", "True Semantic",
IF($O675="Kali-A", "True Search", IF($O675="kPAR", "True Pattern", IF($O675="Nopol", "True Semantic", IF($O675="RSRepair-A", "Evolutionary Search", IF($O675="SequenceR", "Deep Learning", IF($O675="SimFix", "Search Like Pattern", IF($O675="SketchFix", "True Pattern", IF($O675="SOFix", "True Pattern", IF($O675="ssFix", "Search Like Pattern", IF($O675="TBar", "True Pattern", ""))))))))))))))))))))</f>
        <v>True Semantic</v>
      </c>
      <c r="Q675" s="13" t="str">
        <f>IF(NOT(ISERR(SEARCH("*_Buggy",$A675))), "Buggy", IF(NOT(ISERR(SEARCH("*_Fixed",$A675))), "Fixed", IF(NOT(ISERR(SEARCH("*_Repaired",$A675))), "Repaired", "")))</f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v>1</v>
      </c>
      <c r="W675" s="13" t="str">
        <f>MID(A675, SEARCH("_", A675) +1, SEARCH("_", A675, SEARCH("_", A675) +1) - SEARCH("_", A675) -1)</f>
        <v>Math-32</v>
      </c>
    </row>
    <row r="676" spans="1:23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>LEFT($A676,FIND("_",$A676)-1)</f>
        <v>DynaMoth</v>
      </c>
      <c r="P676" s="13" t="str">
        <f>IF($O676="ACS", "True Search", IF($O676="Arja", "Evolutionary Search", IF($O676="AVATAR", "True Pattern", IF($O676="CapGen", "Search Like Pattern", IF($O676="Cardumen", "True Semantic", IF($O676="DynaMoth", "True Semantic", IF($O676="FixMiner", "True Pattern", IF($O676="GenProg-A", "Evolutionary Search", IF($O676="Hercules", "Learning Pattern", IF($O676="Jaid", "True Semantic",
IF($O676="Kali-A", "True Search", IF($O676="kPAR", "True Pattern", IF($O676="Nopol", "True Semantic", IF($O676="RSRepair-A", "Evolutionary Search", IF($O676="SequenceR", "Deep Learning", IF($O676="SimFix", "Search Like Pattern", IF($O676="SketchFix", "True Pattern", IF($O676="SOFix", "True Pattern", IF($O676="ssFix", "Search Like Pattern", IF($O676="TBar", "True Pattern", ""))))))))))))))))))))</f>
        <v>True Semantic</v>
      </c>
      <c r="Q676" s="13" t="str">
        <f>IF(NOT(ISERR(SEARCH("*_Buggy",$A676))), "Buggy", IF(NOT(ISERR(SEARCH("*_Fixed",$A676))), "Fixed", IF(NOT(ISERR(SEARCH("*_Repaired",$A676))), "Repaired", "")))</f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v>1</v>
      </c>
      <c r="W676" s="13" t="str">
        <f>MID(A676, SEARCH("_", A676) +1, SEARCH("_", A676, SEARCH("_", A676) +1) - SEARCH("_", A676) -1)</f>
        <v>Math-41</v>
      </c>
    </row>
    <row r="677" spans="1:23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>LEFT($A677,FIND("_",$A677)-1)</f>
        <v>DynaMoth</v>
      </c>
      <c r="P677" s="13" t="str">
        <f>IF($O677="ACS", "True Search", IF($O677="Arja", "Evolutionary Search", IF($O677="AVATAR", "True Pattern", IF($O677="CapGen", "Search Like Pattern", IF($O677="Cardumen", "True Semantic", IF($O677="DynaMoth", "True Semantic", IF($O677="FixMiner", "True Pattern", IF($O677="GenProg-A", "Evolutionary Search", IF($O677="Hercules", "Learning Pattern", IF($O677="Jaid", "True Semantic",
IF($O677="Kali-A", "True Search", IF($O677="kPAR", "True Pattern", IF($O677="Nopol", "True Semantic", IF($O677="RSRepair-A", "Evolutionary Search", IF($O677="SequenceR", "Deep Learning", IF($O677="SimFix", "Search Like Pattern", IF($O677="SketchFix", "True Pattern", IF($O677="SOFix", "True Pattern", IF($O677="ssFix", "Search Like Pattern", IF($O677="TBar", "True Pattern", ""))))))))))))))))))))</f>
        <v>True Semantic</v>
      </c>
      <c r="Q677" s="13" t="str">
        <f>IF(NOT(ISERR(SEARCH("*_Buggy",$A677))), "Buggy", IF(NOT(ISERR(SEARCH("*_Fixed",$A677))), "Fixed", IF(NOT(ISERR(SEARCH("*_Repaired",$A677))), "Repaired", "")))</f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v>4</v>
      </c>
      <c r="W677" s="13" t="str">
        <f>MID(A677, SEARCH("_", A677) +1, SEARCH("_", A677, SEARCH("_", A677) +1) - SEARCH("_", A677) -1)</f>
        <v>Math-49</v>
      </c>
    </row>
    <row r="678" spans="1:23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>LEFT($A678,FIND("_",$A678)-1)</f>
        <v>DynaMoth</v>
      </c>
      <c r="P678" s="13" t="str">
        <f>IF($O678="ACS", "True Search", IF($O678="Arja", "Evolutionary Search", IF($O678="AVATAR", "True Pattern", IF($O678="CapGen", "Search Like Pattern", IF($O678="Cardumen", "True Semantic", IF($O678="DynaMoth", "True Semantic", IF($O678="FixMiner", "True Pattern", IF($O678="GenProg-A", "Evolutionary Search", IF($O678="Hercules", "Learning Pattern", IF($O678="Jaid", "True Semantic",
IF($O678="Kali-A", "True Search", IF($O678="kPAR", "True Pattern", IF($O678="Nopol", "True Semantic", IF($O678="RSRepair-A", "Evolutionary Search", IF($O678="SequenceR", "Deep Learning", IF($O678="SimFix", "Search Like Pattern", IF($O678="SketchFix", "True Pattern", IF($O678="SOFix", "True Pattern", IF($O678="ssFix", "Search Like Pattern", IF($O678="TBar", "True Pattern", ""))))))))))))))))))))</f>
        <v>True Semantic</v>
      </c>
      <c r="Q678" s="13" t="str">
        <f>IF(NOT(ISERR(SEARCH("*_Buggy",$A678))), "Buggy", IF(NOT(ISERR(SEARCH("*_Fixed",$A678))), "Fixed", IF(NOT(ISERR(SEARCH("*_Repaired",$A678))), "Repaired", "")))</f>
        <v>Fixed</v>
      </c>
      <c r="R678" s="13" t="s">
        <v>1668</v>
      </c>
      <c r="S678" s="25">
        <v>1</v>
      </c>
      <c r="T678" s="25">
        <v>0</v>
      </c>
      <c r="U678" s="13">
        <v>4</v>
      </c>
      <c r="V678" s="13">
        <v>4</v>
      </c>
      <c r="W678" s="13" t="str">
        <f>MID(A678, SEARCH("_", A678) +1, SEARCH("_", A678, SEARCH("_", A678) +1) - SEARCH("_", A678) -1)</f>
        <v>Math-50</v>
      </c>
    </row>
    <row r="679" spans="1:23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>LEFT($A679,FIND("_",$A679)-1)</f>
        <v>DynaMoth</v>
      </c>
      <c r="P679" s="13" t="str">
        <f>IF($O679="ACS", "True Search", IF($O679="Arja", "Evolutionary Search", IF($O679="AVATAR", "True Pattern", IF($O679="CapGen", "Search Like Pattern", IF($O679="Cardumen", "True Semantic", IF($O679="DynaMoth", "True Semantic", IF($O679="FixMiner", "True Pattern", IF($O679="GenProg-A", "Evolutionary Search", IF($O679="Hercules", "Learning Pattern", IF($O679="Jaid", "True Semantic",
IF($O679="Kali-A", "True Search", IF($O679="kPAR", "True Pattern", IF($O679="Nopol", "True Semantic", IF($O679="RSRepair-A", "Evolutionary Search", IF($O679="SequenceR", "Deep Learning", IF($O679="SimFix", "Search Like Pattern", IF($O679="SketchFix", "True Pattern", IF($O679="SOFix", "True Pattern", IF($O679="ssFix", "Search Like Pattern", IF($O679="TBar", "True Pattern", ""))))))))))))))))))))</f>
        <v>True Semantic</v>
      </c>
      <c r="Q679" s="13" t="str">
        <f>IF(NOT(ISERR(SEARCH("*_Buggy",$A679))), "Buggy", IF(NOT(ISERR(SEARCH("*_Fixed",$A679))), "Fixed", IF(NOT(ISERR(SEARCH("*_Repaired",$A679))), "Repaired", "")))</f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v>2</v>
      </c>
      <c r="W679" s="13" t="str">
        <f>MID(A679, SEARCH("_", A679) +1, SEARCH("_", A679, SEARCH("_", A679) +1) - SEARCH("_", A679) -1)</f>
        <v>Math-8</v>
      </c>
    </row>
    <row r="680" spans="1:23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>LEFT($A680,FIND("_",$A680)-1)</f>
        <v>DynaMoth</v>
      </c>
      <c r="P680" s="13" t="str">
        <f>IF($O680="ACS", "True Search", IF($O680="Arja", "Evolutionary Search", IF($O680="AVATAR", "True Pattern", IF($O680="CapGen", "Search Like Pattern", IF($O680="Cardumen", "True Semantic", IF($O680="DynaMoth", "True Semantic", IF($O680="FixMiner", "True Pattern", IF($O680="GenProg-A", "Evolutionary Search", IF($O680="Hercules", "Learning Pattern", IF($O680="Jaid", "True Semantic",
IF($O680="Kali-A", "True Search", IF($O680="kPAR", "True Pattern", IF($O680="Nopol", "True Semantic", IF($O680="RSRepair-A", "Evolutionary Search", IF($O680="SequenceR", "Deep Learning", IF($O680="SimFix", "Search Like Pattern", IF($O680="SketchFix", "True Pattern", IF($O680="SOFix", "True Pattern", IF($O680="ssFix", "Search Like Pattern", IF($O680="TBar", "True Pattern", ""))))))))))))))))))))</f>
        <v>True Semantic</v>
      </c>
      <c r="Q680" s="13" t="str">
        <f>IF(NOT(ISERR(SEARCH("*_Buggy",$A680))), "Buggy", IF(NOT(ISERR(SEARCH("*_Fixed",$A680))), "Fixed", IF(NOT(ISERR(SEARCH("*_Repaired",$A680))), "Repaired", "")))</f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v>1</v>
      </c>
      <c r="W680" s="13" t="str">
        <f>MID(A680, SEARCH("_", A680) +1, SEARCH("_", A680, SEARCH("_", A680) +1) - SEARCH("_", A680) -1)</f>
        <v>Math-80</v>
      </c>
    </row>
    <row r="681" spans="1:23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>LEFT($A681,FIND("_",$A681)-1)</f>
        <v>DynaMoth</v>
      </c>
      <c r="P681" s="13" t="str">
        <f>IF($O681="ACS", "True Search", IF($O681="Arja", "Evolutionary Search", IF($O681="AVATAR", "True Pattern", IF($O681="CapGen", "Search Like Pattern", IF($O681="Cardumen", "True Semantic", IF($O681="DynaMoth", "True Semantic", IF($O681="FixMiner", "True Pattern", IF($O681="GenProg-A", "Evolutionary Search", IF($O681="Hercules", "Learning Pattern", IF($O681="Jaid", "True Semantic",
IF($O681="Kali-A", "True Search", IF($O681="kPAR", "True Pattern", IF($O681="Nopol", "True Semantic", IF($O681="RSRepair-A", "Evolutionary Search", IF($O681="SequenceR", "Deep Learning", IF($O681="SimFix", "Search Like Pattern", IF($O681="SketchFix", "True Pattern", IF($O681="SOFix", "True Pattern", IF($O681="ssFix", "Search Like Pattern", IF($O681="TBar", "True Pattern", ""))))))))))))))))))))</f>
        <v>True Semantic</v>
      </c>
      <c r="Q681" s="13" t="str">
        <f>IF(NOT(ISERR(SEARCH("*_Buggy",$A681))), "Buggy", IF(NOT(ISERR(SEARCH("*_Fixed",$A681))), "Fixed", IF(NOT(ISERR(SEARCH("*_Repaired",$A681))), "Repaired", "")))</f>
        <v>Fixed</v>
      </c>
      <c r="R681" s="13" t="s">
        <v>1669</v>
      </c>
      <c r="S681" s="25">
        <v>3</v>
      </c>
      <c r="T681" s="25">
        <v>4</v>
      </c>
      <c r="U681" s="25">
        <v>3</v>
      </c>
      <c r="V681" s="13">
        <v>4</v>
      </c>
      <c r="W681" s="13" t="str">
        <f>MID(A681, SEARCH("_", A681) +1, SEARCH("_", A681, SEARCH("_", A681) +1) - SEARCH("_", A681) -1)</f>
        <v>Math-81</v>
      </c>
    </row>
    <row r="682" spans="1:23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>LEFT($A682,FIND("_",$A682)-1)</f>
        <v>DynaMoth</v>
      </c>
      <c r="P682" s="13" t="str">
        <f>IF($O682="ACS", "True Search", IF($O682="Arja", "Evolutionary Search", IF($O682="AVATAR", "True Pattern", IF($O682="CapGen", "Search Like Pattern", IF($O682="Cardumen", "True Semantic", IF($O682="DynaMoth", "True Semantic", IF($O682="FixMiner", "True Pattern", IF($O682="GenProg-A", "Evolutionary Search", IF($O682="Hercules", "Learning Pattern", IF($O682="Jaid", "True Semantic",
IF($O682="Kali-A", "True Search", IF($O682="kPAR", "True Pattern", IF($O682="Nopol", "True Semantic", IF($O682="RSRepair-A", "Evolutionary Search", IF($O682="SequenceR", "Deep Learning", IF($O682="SimFix", "Search Like Pattern", IF($O682="SketchFix", "True Pattern", IF($O682="SOFix", "True Pattern", IF($O682="ssFix", "Search Like Pattern", IF($O682="TBar", "True Pattern", ""))))))))))))))))))))</f>
        <v>True Semantic</v>
      </c>
      <c r="Q682" s="13" t="str">
        <f>IF(NOT(ISERR(SEARCH("*_Buggy",$A682))), "Buggy", IF(NOT(ISERR(SEARCH("*_Fixed",$A682))), "Fixed", IF(NOT(ISERR(SEARCH("*_Repaired",$A682))), "Repaired", "")))</f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v>1</v>
      </c>
      <c r="W682" s="13" t="str">
        <f>MID(A682, SEARCH("_", A682) +1, SEARCH("_", A682, SEARCH("_", A682) +1) - SEARCH("_", A682) -1)</f>
        <v>Math-82</v>
      </c>
    </row>
    <row r="683" spans="1:23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>LEFT($A683,FIND("_",$A683)-1)</f>
        <v>DynaMoth</v>
      </c>
      <c r="P683" s="13" t="str">
        <f>IF($O683="ACS", "True Search", IF($O683="Arja", "Evolutionary Search", IF($O683="AVATAR", "True Pattern", IF($O683="CapGen", "Search Like Pattern", IF($O683="Cardumen", "True Semantic", IF($O683="DynaMoth", "True Semantic", IF($O683="FixMiner", "True Pattern", IF($O683="GenProg-A", "Evolutionary Search", IF($O683="Hercules", "Learning Pattern", IF($O683="Jaid", "True Semantic",
IF($O683="Kali-A", "True Search", IF($O683="kPAR", "True Pattern", IF($O683="Nopol", "True Semantic", IF($O683="RSRepair-A", "Evolutionary Search", IF($O683="SequenceR", "Deep Learning", IF($O683="SimFix", "Search Like Pattern", IF($O683="SketchFix", "True Pattern", IF($O683="SOFix", "True Pattern", IF($O683="ssFix", "Search Like Pattern", IF($O683="TBar", "True Pattern", ""))))))))))))))))))))</f>
        <v>True Semantic</v>
      </c>
      <c r="Q683" s="13" t="str">
        <f>IF(NOT(ISERR(SEARCH("*_Buggy",$A683))), "Buggy", IF(NOT(ISERR(SEARCH("*_Fixed",$A683))), "Fixed", IF(NOT(ISERR(SEARCH("*_Repaired",$A683))), "Repaired", "")))</f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v>1</v>
      </c>
      <c r="W683" s="13" t="str">
        <f>MID(A683, SEARCH("_", A683) +1, SEARCH("_", A683, SEARCH("_", A683) +1) - SEARCH("_", A683) -1)</f>
        <v>Math-85</v>
      </c>
    </row>
    <row r="684" spans="1:23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>LEFT($A684,FIND("_",$A684)-1)</f>
        <v>DynaMoth</v>
      </c>
      <c r="P684" s="13" t="str">
        <f>IF($O684="ACS", "True Search", IF($O684="Arja", "Evolutionary Search", IF($O684="AVATAR", "True Pattern", IF($O684="CapGen", "Search Like Pattern", IF($O684="Cardumen", "True Semantic", IF($O684="DynaMoth", "True Semantic", IF($O684="FixMiner", "True Pattern", IF($O684="GenProg-A", "Evolutionary Search", IF($O684="Hercules", "Learning Pattern", IF($O684="Jaid", "True Semantic",
IF($O684="Kali-A", "True Search", IF($O684="kPAR", "True Pattern", IF($O684="Nopol", "True Semantic", IF($O684="RSRepair-A", "Evolutionary Search", IF($O684="SequenceR", "Deep Learning", IF($O684="SimFix", "Search Like Pattern", IF($O684="SketchFix", "True Pattern", IF($O684="SOFix", "True Pattern", IF($O684="ssFix", "Search Like Pattern", IF($O684="TBar", "True Pattern", ""))))))))))))))))))))</f>
        <v>True Semantic</v>
      </c>
      <c r="Q684" s="13" t="str">
        <f>IF(NOT(ISERR(SEARCH("*_Buggy",$A684))), "Buggy", IF(NOT(ISERR(SEARCH("*_Fixed",$A684))), "Fixed", IF(NOT(ISERR(SEARCH("*_Repaired",$A684))), "Repaired", "")))</f>
        <v>Fixed</v>
      </c>
      <c r="R684" s="13" t="s">
        <v>1669</v>
      </c>
      <c r="S684" s="25">
        <v>4</v>
      </c>
      <c r="T684" s="25">
        <v>5</v>
      </c>
      <c r="U684" s="25">
        <v>6</v>
      </c>
      <c r="V684" s="13">
        <v>11</v>
      </c>
      <c r="W684" s="13" t="str">
        <f>MID(A684, SEARCH("_", A684) +1, SEARCH("_", A684, SEARCH("_", A684) +1) - SEARCH("_", A684) -1)</f>
        <v>Math-88</v>
      </c>
    </row>
    <row r="685" spans="1:23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>LEFT($A685,FIND("_",$A685)-1)</f>
        <v>DynaMoth</v>
      </c>
      <c r="P685" s="13" t="str">
        <f>IF($O685="ACS", "True Search", IF($O685="Arja", "Evolutionary Search", IF($O685="AVATAR", "True Pattern", IF($O685="CapGen", "Search Like Pattern", IF($O685="Cardumen", "True Semantic", IF($O685="DynaMoth", "True Semantic", IF($O685="FixMiner", "True Pattern", IF($O685="GenProg-A", "Evolutionary Search", IF($O685="Hercules", "Learning Pattern", IF($O685="Jaid", "True Semantic",
IF($O685="Kali-A", "True Search", IF($O685="kPAR", "True Pattern", IF($O685="Nopol", "True Semantic", IF($O685="RSRepair-A", "Evolutionary Search", IF($O685="SequenceR", "Deep Learning", IF($O685="SimFix", "Search Like Pattern", IF($O685="SketchFix", "True Pattern", IF($O685="SOFix", "True Pattern", IF($O685="ssFix", "Search Like Pattern", IF($O685="TBar", "True Pattern", ""))))))))))))))))))))</f>
        <v>True Semantic</v>
      </c>
      <c r="Q685" s="13" t="str">
        <f>IF(NOT(ISERR(SEARCH("*_Buggy",$A685))), "Buggy", IF(NOT(ISERR(SEARCH("*_Fixed",$A685))), "Fixed", IF(NOT(ISERR(SEARCH("*_Repaired",$A685))), "Repaired", "")))</f>
        <v>Fixed</v>
      </c>
      <c r="R685" s="13" t="s">
        <v>1669</v>
      </c>
      <c r="S685" s="25">
        <v>5</v>
      </c>
      <c r="T685" s="25">
        <v>16</v>
      </c>
      <c r="U685" s="25">
        <v>2</v>
      </c>
      <c r="V685" s="13">
        <v>16</v>
      </c>
      <c r="W685" s="13" t="str">
        <f>MID(A685, SEARCH("_", A685) +1, SEARCH("_", A685, SEARCH("_", A685) +1) - SEARCH("_", A685) -1)</f>
        <v>Math-97</v>
      </c>
    </row>
    <row r="686" spans="1:23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>LEFT($A686,FIND("_",$A686)-1)</f>
        <v>FixMiner</v>
      </c>
      <c r="P686" s="13" t="str">
        <f>IF($O686="ACS", "True Search", IF($O686="Arja", "Evolutionary Search", IF($O686="AVATAR", "True Pattern", IF($O686="CapGen", "Search Like Pattern", IF($O686="Cardumen", "True Semantic", IF($O686="DynaMoth", "True Semantic", IF($O686="FixMiner", "True Pattern", IF($O686="GenProg-A", "Evolutionary Search", IF($O686="Hercules", "Learning Pattern", IF($O686="Jaid", "True Semantic",
IF($O686="Kali-A", "True Search", IF($O686="kPAR", "True Pattern", IF($O686="Nopol", "True Semantic", IF($O686="RSRepair-A", "Evolutionary Search", IF($O686="SequenceR", "Deep Learning", IF($O686="SimFix", "Search Like Pattern", IF($O686="SketchFix", "True Pattern", IF($O686="SOFix", "True Pattern", IF($O686="ssFix", "Search Like Pattern", IF($O686="TBar", "True Pattern", ""))))))))))))))))))))</f>
        <v>True Pattern</v>
      </c>
      <c r="Q686" s="13" t="str">
        <f>IF(NOT(ISERR(SEARCH("*_Buggy",$A686))), "Buggy", IF(NOT(ISERR(SEARCH("*_Fixed",$A686))), "Fixed", IF(NOT(ISERR(SEARCH("*_Repaired",$A686))), "Repaired", "")))</f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v>1</v>
      </c>
      <c r="W686" s="13" t="str">
        <f>MID(A686, SEARCH("_", A686) +1, SEARCH("_", A686, SEARCH("_", A686) +1) - SEARCH("_", A686) -1)</f>
        <v>Chart-1</v>
      </c>
    </row>
    <row r="687" spans="1:23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>LEFT($A687,FIND("_",$A687)-1)</f>
        <v>FixMiner</v>
      </c>
      <c r="P687" s="13" t="str">
        <f>IF($O687="ACS", "True Search", IF($O687="Arja", "Evolutionary Search", IF($O687="AVATAR", "True Pattern", IF($O687="CapGen", "Search Like Pattern", IF($O687="Cardumen", "True Semantic", IF($O687="DynaMoth", "True Semantic", IF($O687="FixMiner", "True Pattern", IF($O687="GenProg-A", "Evolutionary Search", IF($O687="Hercules", "Learning Pattern", IF($O687="Jaid", "True Semantic",
IF($O687="Kali-A", "True Search", IF($O687="kPAR", "True Pattern", IF($O687="Nopol", "True Semantic", IF($O687="RSRepair-A", "Evolutionary Search", IF($O687="SequenceR", "Deep Learning", IF($O687="SimFix", "Search Like Pattern", IF($O687="SketchFix", "True Pattern", IF($O687="SOFix", "True Pattern", IF($O687="ssFix", "Search Like Pattern", IF($O687="TBar", "True Pattern", ""))))))))))))))))))))</f>
        <v>True Pattern</v>
      </c>
      <c r="Q687" s="13" t="str">
        <f>IF(NOT(ISERR(SEARCH("*_Buggy",$A687))), "Buggy", IF(NOT(ISERR(SEARCH("*_Fixed",$A687))), "Fixed", IF(NOT(ISERR(SEARCH("*_Repaired",$A687))), "Repaired", "")))</f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v>1</v>
      </c>
      <c r="W687" s="13" t="str">
        <f>MID(A687, SEARCH("_", A687) +1, SEARCH("_", A687, SEARCH("_", A687) +1) - SEARCH("_", A687) -1)</f>
        <v>Chart-11</v>
      </c>
    </row>
    <row r="688" spans="1:23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>LEFT($A688,FIND("_",$A688)-1)</f>
        <v>FixMiner</v>
      </c>
      <c r="P688" s="13" t="str">
        <f>IF($O688="ACS", "True Search", IF($O688="Arja", "Evolutionary Search", IF($O688="AVATAR", "True Pattern", IF($O688="CapGen", "Search Like Pattern", IF($O688="Cardumen", "True Semantic", IF($O688="DynaMoth", "True Semantic", IF($O688="FixMiner", "True Pattern", IF($O688="GenProg-A", "Evolutionary Search", IF($O688="Hercules", "Learning Pattern", IF($O688="Jaid", "True Semantic",
IF($O688="Kali-A", "True Search", IF($O688="kPAR", "True Pattern", IF($O688="Nopol", "True Semantic", IF($O688="RSRepair-A", "Evolutionary Search", IF($O688="SequenceR", "Deep Learning", IF($O688="SimFix", "Search Like Pattern", IF($O688="SketchFix", "True Pattern", IF($O688="SOFix", "True Pattern", IF($O688="ssFix", "Search Like Pattern", IF($O688="TBar", "True Pattern", ""))))))))))))))))))))</f>
        <v>True Pattern</v>
      </c>
      <c r="Q688" s="13" t="str">
        <f>IF(NOT(ISERR(SEARCH("*_Buggy",$A688))), "Buggy", IF(NOT(ISERR(SEARCH("*_Fixed",$A688))), "Fixed", IF(NOT(ISERR(SEARCH("*_Repaired",$A688))), "Repaired", "")))</f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v>1</v>
      </c>
      <c r="W688" s="13" t="str">
        <f>MID(A688, SEARCH("_", A688) +1, SEARCH("_", A688, SEARCH("_", A688) +1) - SEARCH("_", A688) -1)</f>
        <v>Chart-12</v>
      </c>
    </row>
    <row r="689" spans="1:23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>LEFT($A689,FIND("_",$A689)-1)</f>
        <v>FixMiner</v>
      </c>
      <c r="P689" s="13" t="str">
        <f>IF($O689="ACS", "True Search", IF($O689="Arja", "Evolutionary Search", IF($O689="AVATAR", "True Pattern", IF($O689="CapGen", "Search Like Pattern", IF($O689="Cardumen", "True Semantic", IF($O689="DynaMoth", "True Semantic", IF($O689="FixMiner", "True Pattern", IF($O689="GenProg-A", "Evolutionary Search", IF($O689="Hercules", "Learning Pattern", IF($O689="Jaid", "True Semantic",
IF($O689="Kali-A", "True Search", IF($O689="kPAR", "True Pattern", IF($O689="Nopol", "True Semantic", IF($O689="RSRepair-A", "Evolutionary Search", IF($O689="SequenceR", "Deep Learning", IF($O689="SimFix", "Search Like Pattern", IF($O689="SketchFix", "True Pattern", IF($O689="SOFix", "True Pattern", IF($O689="ssFix", "Search Like Pattern", IF($O689="TBar", "True Pattern", ""))))))))))))))))))))</f>
        <v>True Pattern</v>
      </c>
      <c r="Q689" s="13" t="str">
        <f>IF(NOT(ISERR(SEARCH("*_Buggy",$A689))), "Buggy", IF(NOT(ISERR(SEARCH("*_Fixed",$A689))), "Fixed", IF(NOT(ISERR(SEARCH("*_Repaired",$A689))), "Repaired", "")))</f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v>1</v>
      </c>
      <c r="W689" s="13" t="str">
        <f>MID(A689, SEARCH("_", A689) +1, SEARCH("_", A689, SEARCH("_", A689) +1) - SEARCH("_", A689) -1)</f>
        <v>Chart-13</v>
      </c>
    </row>
    <row r="690" spans="1:23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>LEFT($A690,FIND("_",$A690)-1)</f>
        <v>FixMiner</v>
      </c>
      <c r="P690" s="13" t="str">
        <f>IF($O690="ACS", "True Search", IF($O690="Arja", "Evolutionary Search", IF($O690="AVATAR", "True Pattern", IF($O690="CapGen", "Search Like Pattern", IF($O690="Cardumen", "True Semantic", IF($O690="DynaMoth", "True Semantic", IF($O690="FixMiner", "True Pattern", IF($O690="GenProg-A", "Evolutionary Search", IF($O690="Hercules", "Learning Pattern", IF($O690="Jaid", "True Semantic",
IF($O690="Kali-A", "True Search", IF($O690="kPAR", "True Pattern", IF($O690="Nopol", "True Semantic", IF($O690="RSRepair-A", "Evolutionary Search", IF($O690="SequenceR", "Deep Learning", IF($O690="SimFix", "Search Like Pattern", IF($O690="SketchFix", "True Pattern", IF($O690="SOFix", "True Pattern", IF($O690="ssFix", "Search Like Pattern", IF($O690="TBar", "True Pattern", ""))))))))))))))))))))</f>
        <v>True Pattern</v>
      </c>
      <c r="Q690" s="13" t="str">
        <f>IF(NOT(ISERR(SEARCH("*_Buggy",$A690))), "Buggy", IF(NOT(ISERR(SEARCH("*_Fixed",$A690))), "Fixed", IF(NOT(ISERR(SEARCH("*_Repaired",$A690))), "Repaired", "")))</f>
        <v>Fixed</v>
      </c>
      <c r="R690" s="13" t="s">
        <v>1669</v>
      </c>
      <c r="S690" s="25">
        <v>1</v>
      </c>
      <c r="T690" s="25">
        <v>2</v>
      </c>
      <c r="U690" s="25">
        <v>1</v>
      </c>
      <c r="V690" s="13">
        <v>2</v>
      </c>
      <c r="W690" s="13" t="str">
        <f>MID(A690, SEARCH("_", A690) +1, SEARCH("_", A690, SEARCH("_", A690) +1) - SEARCH("_", A690) -1)</f>
        <v>Chart-17</v>
      </c>
    </row>
    <row r="691" spans="1:23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>LEFT($A691,FIND("_",$A691)-1)</f>
        <v>FixMiner</v>
      </c>
      <c r="P691" s="13" t="str">
        <f>IF($O691="ACS", "True Search", IF($O691="Arja", "Evolutionary Search", IF($O691="AVATAR", "True Pattern", IF($O691="CapGen", "Search Like Pattern", IF($O691="Cardumen", "True Semantic", IF($O691="DynaMoth", "True Semantic", IF($O691="FixMiner", "True Pattern", IF($O691="GenProg-A", "Evolutionary Search", IF($O691="Hercules", "Learning Pattern", IF($O691="Jaid", "True Semantic",
IF($O691="Kali-A", "True Search", IF($O691="kPAR", "True Pattern", IF($O691="Nopol", "True Semantic", IF($O691="RSRepair-A", "Evolutionary Search", IF($O691="SequenceR", "Deep Learning", IF($O691="SimFix", "Search Like Pattern", IF($O691="SketchFix", "True Pattern", IF($O691="SOFix", "True Pattern", IF($O691="ssFix", "Search Like Pattern", IF($O691="TBar", "True Pattern", ""))))))))))))))))))))</f>
        <v>True Pattern</v>
      </c>
      <c r="Q691" s="13" t="str">
        <f>IF(NOT(ISERR(SEARCH("*_Buggy",$A691))), "Buggy", IF(NOT(ISERR(SEARCH("*_Fixed",$A691))), "Fixed", IF(NOT(ISERR(SEARCH("*_Repaired",$A691))), "Repaired", "")))</f>
        <v>Fixed</v>
      </c>
      <c r="R691" s="13" t="s">
        <v>1668</v>
      </c>
      <c r="S691" s="25">
        <v>2</v>
      </c>
      <c r="T691" s="13">
        <v>6</v>
      </c>
      <c r="U691" s="25">
        <v>0</v>
      </c>
      <c r="V691" s="13">
        <v>6</v>
      </c>
      <c r="W691" s="13" t="str">
        <f>MID(A691, SEARCH("_", A691) +1, SEARCH("_", A691, SEARCH("_", A691) +1) - SEARCH("_", A691) -1)</f>
        <v>Chart-19</v>
      </c>
    </row>
    <row r="692" spans="1:23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>LEFT($A692,FIND("_",$A692)-1)</f>
        <v>FixMiner</v>
      </c>
      <c r="P692" s="13" t="str">
        <f>IF($O692="ACS", "True Search", IF($O692="Arja", "Evolutionary Search", IF($O692="AVATAR", "True Pattern", IF($O692="CapGen", "Search Like Pattern", IF($O692="Cardumen", "True Semantic", IF($O692="DynaMoth", "True Semantic", IF($O692="FixMiner", "True Pattern", IF($O692="GenProg-A", "Evolutionary Search", IF($O692="Hercules", "Learning Pattern", IF($O692="Jaid", "True Semantic",
IF($O692="Kali-A", "True Search", IF($O692="kPAR", "True Pattern", IF($O692="Nopol", "True Semantic", IF($O692="RSRepair-A", "Evolutionary Search", IF($O692="SequenceR", "Deep Learning", IF($O692="SimFix", "Search Like Pattern", IF($O692="SketchFix", "True Pattern", IF($O692="SOFix", "True Pattern", IF($O692="ssFix", "Search Like Pattern", IF($O692="TBar", "True Pattern", ""))))))))))))))))))))</f>
        <v>True Pattern</v>
      </c>
      <c r="Q692" s="13" t="str">
        <f>IF(NOT(ISERR(SEARCH("*_Buggy",$A692))), "Buggy", IF(NOT(ISERR(SEARCH("*_Fixed",$A692))), "Fixed", IF(NOT(ISERR(SEARCH("*_Repaired",$A692))), "Repaired", "")))</f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v>1</v>
      </c>
      <c r="W692" s="13" t="str">
        <f>MID(A692, SEARCH("_", A692) +1, SEARCH("_", A692, SEARCH("_", A692) +1) - SEARCH("_", A692) -1)</f>
        <v>Chart-24</v>
      </c>
    </row>
    <row r="693" spans="1:23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>LEFT($A693,FIND("_",$A693)-1)</f>
        <v>FixMiner</v>
      </c>
      <c r="P693" s="13" t="str">
        <f>IF($O693="ACS", "True Search", IF($O693="Arja", "Evolutionary Search", IF($O693="AVATAR", "True Pattern", IF($O693="CapGen", "Search Like Pattern", IF($O693="Cardumen", "True Semantic", IF($O693="DynaMoth", "True Semantic", IF($O693="FixMiner", "True Pattern", IF($O693="GenProg-A", "Evolutionary Search", IF($O693="Hercules", "Learning Pattern", IF($O693="Jaid", "True Semantic",
IF($O693="Kali-A", "True Search", IF($O693="kPAR", "True Pattern", IF($O693="Nopol", "True Semantic", IF($O693="RSRepair-A", "Evolutionary Search", IF($O693="SequenceR", "Deep Learning", IF($O693="SimFix", "Search Like Pattern", IF($O693="SketchFix", "True Pattern", IF($O693="SOFix", "True Pattern", IF($O693="ssFix", "Search Like Pattern", IF($O693="TBar", "True Pattern", ""))))))))))))))))))))</f>
        <v>True Pattern</v>
      </c>
      <c r="Q693" s="13" t="str">
        <f>IF(NOT(ISERR(SEARCH("*_Buggy",$A693))), "Buggy", IF(NOT(ISERR(SEARCH("*_Fixed",$A693))), "Fixed", IF(NOT(ISERR(SEARCH("*_Repaired",$A693))), "Repaired", "")))</f>
        <v>Fixed</v>
      </c>
      <c r="R693" s="13" t="s">
        <v>1668</v>
      </c>
      <c r="S693" s="25">
        <v>2</v>
      </c>
      <c r="T693" s="13">
        <v>2</v>
      </c>
      <c r="U693" s="25">
        <v>0</v>
      </c>
      <c r="V693" s="13">
        <v>2</v>
      </c>
      <c r="W693" s="13" t="str">
        <f>MID(A693, SEARCH("_", A693) +1, SEARCH("_", A693, SEARCH("_", A693) +1) - SEARCH("_", A693) -1)</f>
        <v>Chart-26</v>
      </c>
    </row>
    <row r="694" spans="1:23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>LEFT($A694,FIND("_",$A694)-1)</f>
        <v>FixMiner</v>
      </c>
      <c r="P694" s="13" t="str">
        <f>IF($O694="ACS", "True Search", IF($O694="Arja", "Evolutionary Search", IF($O694="AVATAR", "True Pattern", IF($O694="CapGen", "Search Like Pattern", IF($O694="Cardumen", "True Semantic", IF($O694="DynaMoth", "True Semantic", IF($O694="FixMiner", "True Pattern", IF($O694="GenProg-A", "Evolutionary Search", IF($O694="Hercules", "Learning Pattern", IF($O694="Jaid", "True Semantic",
IF($O694="Kali-A", "True Search", IF($O694="kPAR", "True Pattern", IF($O694="Nopol", "True Semantic", IF($O694="RSRepair-A", "Evolutionary Search", IF($O694="SequenceR", "Deep Learning", IF($O694="SimFix", "Search Like Pattern", IF($O694="SketchFix", "True Pattern", IF($O694="SOFix", "True Pattern", IF($O694="ssFix", "Search Like Pattern", IF($O694="TBar", "True Pattern", ""))))))))))))))))))))</f>
        <v>True Pattern</v>
      </c>
      <c r="Q694" s="13" t="str">
        <f>IF(NOT(ISERR(SEARCH("*_Buggy",$A694))), "Buggy", IF(NOT(ISERR(SEARCH("*_Fixed",$A694))), "Fixed", IF(NOT(ISERR(SEARCH("*_Repaired",$A694))), "Repaired", "")))</f>
        <v>Fixed</v>
      </c>
      <c r="R694" s="13" t="s">
        <v>1669</v>
      </c>
      <c r="S694" s="25">
        <v>1</v>
      </c>
      <c r="T694" s="13">
        <v>2</v>
      </c>
      <c r="U694" s="25">
        <v>0</v>
      </c>
      <c r="V694" s="13">
        <v>2</v>
      </c>
      <c r="W694" s="13" t="str">
        <f>MID(A694, SEARCH("_", A694) +1, SEARCH("_", A694, SEARCH("_", A694) +1) - SEARCH("_", A694) -1)</f>
        <v>Chart-3</v>
      </c>
    </row>
    <row r="695" spans="1:23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>LEFT($A695,FIND("_",$A695)-1)</f>
        <v>FixMiner</v>
      </c>
      <c r="P695" s="13" t="str">
        <f>IF($O695="ACS", "True Search", IF($O695="Arja", "Evolutionary Search", IF($O695="AVATAR", "True Pattern", IF($O695="CapGen", "Search Like Pattern", IF($O695="Cardumen", "True Semantic", IF($O695="DynaMoth", "True Semantic", IF($O695="FixMiner", "True Pattern", IF($O695="GenProg-A", "Evolutionary Search", IF($O695="Hercules", "Learning Pattern", IF($O695="Jaid", "True Semantic",
IF($O695="Kali-A", "True Search", IF($O695="kPAR", "True Pattern", IF($O695="Nopol", "True Semantic", IF($O695="RSRepair-A", "Evolutionary Search", IF($O695="SequenceR", "Deep Learning", IF($O695="SimFix", "Search Like Pattern", IF($O695="SketchFix", "True Pattern", IF($O695="SOFix", "True Pattern", IF($O695="ssFix", "Search Like Pattern", IF($O695="TBar", "True Pattern", ""))))))))))))))))))))</f>
        <v>True Pattern</v>
      </c>
      <c r="Q695" s="13" t="str">
        <f>IF(NOT(ISERR(SEARCH("*_Buggy",$A695))), "Buggy", IF(NOT(ISERR(SEARCH("*_Fixed",$A695))), "Fixed", IF(NOT(ISERR(SEARCH("*_Repaired",$A695))), "Repaired", "")))</f>
        <v>Fixed</v>
      </c>
      <c r="R695" s="13" t="s">
        <v>1668</v>
      </c>
      <c r="S695" s="25">
        <v>2</v>
      </c>
      <c r="T695" s="13">
        <v>2</v>
      </c>
      <c r="U695" s="25">
        <v>0</v>
      </c>
      <c r="V695" s="13">
        <v>2</v>
      </c>
      <c r="W695" s="13" t="str">
        <f>MID(A695, SEARCH("_", A695) +1, SEARCH("_", A695, SEARCH("_", A695) +1) - SEARCH("_", A695) -1)</f>
        <v>Chart-4</v>
      </c>
    </row>
    <row r="696" spans="1:23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>LEFT($A696,FIND("_",$A696)-1)</f>
        <v>FixMiner</v>
      </c>
      <c r="P696" s="13" t="str">
        <f>IF($O696="ACS", "True Search", IF($O696="Arja", "Evolutionary Search", IF($O696="AVATAR", "True Pattern", IF($O696="CapGen", "Search Like Pattern", IF($O696="Cardumen", "True Semantic", IF($O696="DynaMoth", "True Semantic", IF($O696="FixMiner", "True Pattern", IF($O696="GenProg-A", "Evolutionary Search", IF($O696="Hercules", "Learning Pattern", IF($O696="Jaid", "True Semantic",
IF($O696="Kali-A", "True Search", IF($O696="kPAR", "True Pattern", IF($O696="Nopol", "True Semantic", IF($O696="RSRepair-A", "Evolutionary Search", IF($O696="SequenceR", "Deep Learning", IF($O696="SimFix", "Search Like Pattern", IF($O696="SketchFix", "True Pattern", IF($O696="SOFix", "True Pattern", IF($O696="ssFix", "Search Like Pattern", IF($O696="TBar", "True Pattern", ""))))))))))))))))))))</f>
        <v>True Pattern</v>
      </c>
      <c r="Q696" s="13" t="str">
        <f>IF(NOT(ISERR(SEARCH("*_Buggy",$A696))), "Buggy", IF(NOT(ISERR(SEARCH("*_Fixed",$A696))), "Fixed", IF(NOT(ISERR(SEARCH("*_Repaired",$A696))), "Repaired", "")))</f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v>2</v>
      </c>
      <c r="W696" s="13" t="str">
        <f>MID(A696, SEARCH("_", A696) +1, SEARCH("_", A696, SEARCH("_", A696) +1) - SEARCH("_", A696) -1)</f>
        <v>Chart-7</v>
      </c>
    </row>
    <row r="697" spans="1:23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>LEFT($A697,FIND("_",$A697)-1)</f>
        <v>FixMiner</v>
      </c>
      <c r="P697" s="13" t="str">
        <f>IF($O697="ACS", "True Search", IF($O697="Arja", "Evolutionary Search", IF($O697="AVATAR", "True Pattern", IF($O697="CapGen", "Search Like Pattern", IF($O697="Cardumen", "True Semantic", IF($O697="DynaMoth", "True Semantic", IF($O697="FixMiner", "True Pattern", IF($O697="GenProg-A", "Evolutionary Search", IF($O697="Hercules", "Learning Pattern", IF($O697="Jaid", "True Semantic",
IF($O697="Kali-A", "True Search", IF($O697="kPAR", "True Pattern", IF($O697="Nopol", "True Semantic", IF($O697="RSRepair-A", "Evolutionary Search", IF($O697="SequenceR", "Deep Learning", IF($O697="SimFix", "Search Like Pattern", IF($O697="SketchFix", "True Pattern", IF($O697="SOFix", "True Pattern", IF($O697="ssFix", "Search Like Pattern", IF($O697="TBar", "True Pattern", ""))))))))))))))))))))</f>
        <v>True Pattern</v>
      </c>
      <c r="Q697" s="13" t="str">
        <f>IF(NOT(ISERR(SEARCH("*_Buggy",$A697))), "Buggy", IF(NOT(ISERR(SEARCH("*_Fixed",$A697))), "Fixed", IF(NOT(ISERR(SEARCH("*_Repaired",$A697))), "Repaired", "")))</f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v>1</v>
      </c>
      <c r="W697" s="13" t="str">
        <f>MID(A697, SEARCH("_", A697) +1, SEARCH("_", A697, SEARCH("_", A697) +1) - SEARCH("_", A697) -1)</f>
        <v>Closure-10</v>
      </c>
    </row>
    <row r="698" spans="1:23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>LEFT($A698,FIND("_",$A698)-1)</f>
        <v>FixMiner</v>
      </c>
      <c r="P698" s="13" t="str">
        <f>IF($O698="ACS", "True Search", IF($O698="Arja", "Evolutionary Search", IF($O698="AVATAR", "True Pattern", IF($O698="CapGen", "Search Like Pattern", IF($O698="Cardumen", "True Semantic", IF($O698="DynaMoth", "True Semantic", IF($O698="FixMiner", "True Pattern", IF($O698="GenProg-A", "Evolutionary Search", IF($O698="Hercules", "Learning Pattern", IF($O698="Jaid", "True Semantic",
IF($O698="Kali-A", "True Search", IF($O698="kPAR", "True Pattern", IF($O698="Nopol", "True Semantic", IF($O698="RSRepair-A", "Evolutionary Search", IF($O698="SequenceR", "Deep Learning", IF($O698="SimFix", "Search Like Pattern", IF($O698="SketchFix", "True Pattern", IF($O698="SOFix", "True Pattern", IF($O698="ssFix", "Search Like Pattern", IF($O698="TBar", "True Pattern", ""))))))))))))))))))))</f>
        <v>True Pattern</v>
      </c>
      <c r="Q698" s="13" t="str">
        <f>IF(NOT(ISERR(SEARCH("*_Buggy",$A698))), "Buggy", IF(NOT(ISERR(SEARCH("*_Fixed",$A698))), "Fixed", IF(NOT(ISERR(SEARCH("*_Repaired",$A698))), "Repaired", "")))</f>
        <v>Fixed</v>
      </c>
      <c r="R698" s="13" t="s">
        <v>1669</v>
      </c>
      <c r="S698" s="25">
        <v>2</v>
      </c>
      <c r="T698" s="25">
        <v>0</v>
      </c>
      <c r="U698" s="13">
        <v>11</v>
      </c>
      <c r="V698" s="13">
        <v>11</v>
      </c>
      <c r="W698" s="13" t="str">
        <f>MID(A698, SEARCH("_", A698) +1, SEARCH("_", A698, SEARCH("_", A698) +1) - SEARCH("_", A698) -1)</f>
        <v>Closure-115</v>
      </c>
    </row>
    <row r="699" spans="1:23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>LEFT($A699,FIND("_",$A699)-1)</f>
        <v>FixMiner</v>
      </c>
      <c r="P699" s="13" t="str">
        <f>IF($O699="ACS", "True Search", IF($O699="Arja", "Evolutionary Search", IF($O699="AVATAR", "True Pattern", IF($O699="CapGen", "Search Like Pattern", IF($O699="Cardumen", "True Semantic", IF($O699="DynaMoth", "True Semantic", IF($O699="FixMiner", "True Pattern", IF($O699="GenProg-A", "Evolutionary Search", IF($O699="Hercules", "Learning Pattern", IF($O699="Jaid", "True Semantic",
IF($O699="Kali-A", "True Search", IF($O699="kPAR", "True Pattern", IF($O699="Nopol", "True Semantic", IF($O699="RSRepair-A", "Evolutionary Search", IF($O699="SequenceR", "Deep Learning", IF($O699="SimFix", "Search Like Pattern", IF($O699="SketchFix", "True Pattern", IF($O699="SOFix", "True Pattern", IF($O699="ssFix", "Search Like Pattern", IF($O699="TBar", "True Pattern", ""))))))))))))))))))))</f>
        <v>True Pattern</v>
      </c>
      <c r="Q699" s="13" t="str">
        <f>IF(NOT(ISERR(SEARCH("*_Buggy",$A699))), "Buggy", IF(NOT(ISERR(SEARCH("*_Fixed",$A699))), "Fixed", IF(NOT(ISERR(SEARCH("*_Repaired",$A699))), "Repaired", "")))</f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v>2</v>
      </c>
      <c r="W699" s="13" t="str">
        <f>MID(A699, SEARCH("_", A699) +1, SEARCH("_", A699, SEARCH("_", A699) +1) - SEARCH("_", A699) -1)</f>
        <v>Closure-13</v>
      </c>
    </row>
    <row r="700" spans="1:23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>LEFT($A700,FIND("_",$A700)-1)</f>
        <v>FixMiner</v>
      </c>
      <c r="P700" s="13" t="str">
        <f>IF($O700="ACS", "True Search", IF($O700="Arja", "Evolutionary Search", IF($O700="AVATAR", "True Pattern", IF($O700="CapGen", "Search Like Pattern", IF($O700="Cardumen", "True Semantic", IF($O700="DynaMoth", "True Semantic", IF($O700="FixMiner", "True Pattern", IF($O700="GenProg-A", "Evolutionary Search", IF($O700="Hercules", "Learning Pattern", IF($O700="Jaid", "True Semantic",
IF($O700="Kali-A", "True Search", IF($O700="kPAR", "True Pattern", IF($O700="Nopol", "True Semantic", IF($O700="RSRepair-A", "Evolutionary Search", IF($O700="SequenceR", "Deep Learning", IF($O700="SimFix", "Search Like Pattern", IF($O700="SketchFix", "True Pattern", IF($O700="SOFix", "True Pattern", IF($O700="ssFix", "Search Like Pattern", IF($O700="TBar", "True Pattern", ""))))))))))))))))))))</f>
        <v>True Pattern</v>
      </c>
      <c r="Q700" s="13" t="str">
        <f>IF(NOT(ISERR(SEARCH("*_Buggy",$A700))), "Buggy", IF(NOT(ISERR(SEARCH("*_Fixed",$A700))), "Fixed", IF(NOT(ISERR(SEARCH("*_Repaired",$A700))), "Repaired", "")))</f>
        <v>Fixed</v>
      </c>
      <c r="R700" s="13" t="s">
        <v>1669</v>
      </c>
      <c r="S700" s="25">
        <v>2</v>
      </c>
      <c r="T700" s="13">
        <v>2</v>
      </c>
      <c r="U700" s="25">
        <v>0</v>
      </c>
      <c r="V700" s="13">
        <v>2</v>
      </c>
      <c r="W700" s="13" t="str">
        <f>MID(A700, SEARCH("_", A700) +1, SEARCH("_", A700, SEARCH("_", A700) +1) - SEARCH("_", A700) -1)</f>
        <v>Closure-19</v>
      </c>
    </row>
    <row r="701" spans="1:23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>LEFT($A701,FIND("_",$A701)-1)</f>
        <v>FixMiner</v>
      </c>
      <c r="P701" s="13" t="str">
        <f>IF($O701="ACS", "True Search", IF($O701="Arja", "Evolutionary Search", IF($O701="AVATAR", "True Pattern", IF($O701="CapGen", "Search Like Pattern", IF($O701="Cardumen", "True Semantic", IF($O701="DynaMoth", "True Semantic", IF($O701="FixMiner", "True Pattern", IF($O701="GenProg-A", "Evolutionary Search", IF($O701="Hercules", "Learning Pattern", IF($O701="Jaid", "True Semantic",
IF($O701="Kali-A", "True Search", IF($O701="kPAR", "True Pattern", IF($O701="Nopol", "True Semantic", IF($O701="RSRepair-A", "Evolutionary Search", IF($O701="SequenceR", "Deep Learning", IF($O701="SimFix", "Search Like Pattern", IF($O701="SketchFix", "True Pattern", IF($O701="SOFix", "True Pattern", IF($O701="ssFix", "Search Like Pattern", IF($O701="TBar", "True Pattern", ""))))))))))))))))))))</f>
        <v>True Pattern</v>
      </c>
      <c r="Q701" s="13" t="str">
        <f>IF(NOT(ISERR(SEARCH("*_Buggy",$A701))), "Buggy", IF(NOT(ISERR(SEARCH("*_Fixed",$A701))), "Fixed", IF(NOT(ISERR(SEARCH("*_Repaired",$A701))), "Repaired", "")))</f>
        <v>Fixed</v>
      </c>
      <c r="R701" s="13" t="s">
        <v>1668</v>
      </c>
      <c r="S701" s="25">
        <v>3</v>
      </c>
      <c r="T701" s="13">
        <v>4</v>
      </c>
      <c r="U701" s="25">
        <v>0</v>
      </c>
      <c r="V701" s="13">
        <v>4</v>
      </c>
      <c r="W701" s="13" t="str">
        <f>MID(A701, SEARCH("_", A701) +1, SEARCH("_", A701, SEARCH("_", A701) +1) - SEARCH("_", A701) -1)</f>
        <v>Closure-2</v>
      </c>
    </row>
    <row r="702" spans="1:23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>LEFT($A702,FIND("_",$A702)-1)</f>
        <v>FixMiner</v>
      </c>
      <c r="P702" s="13" t="str">
        <f>IF($O702="ACS", "True Search", IF($O702="Arja", "Evolutionary Search", IF($O702="AVATAR", "True Pattern", IF($O702="CapGen", "Search Like Pattern", IF($O702="Cardumen", "True Semantic", IF($O702="DynaMoth", "True Semantic", IF($O702="FixMiner", "True Pattern", IF($O702="GenProg-A", "Evolutionary Search", IF($O702="Hercules", "Learning Pattern", IF($O702="Jaid", "True Semantic",
IF($O702="Kali-A", "True Search", IF($O702="kPAR", "True Pattern", IF($O702="Nopol", "True Semantic", IF($O702="RSRepair-A", "Evolutionary Search", IF($O702="SequenceR", "Deep Learning", IF($O702="SimFix", "Search Like Pattern", IF($O702="SketchFix", "True Pattern", IF($O702="SOFix", "True Pattern", IF($O702="ssFix", "Search Like Pattern", IF($O702="TBar", "True Pattern", ""))))))))))))))))))))</f>
        <v>True Pattern</v>
      </c>
      <c r="Q702" s="13" t="str">
        <f>IF(NOT(ISERR(SEARCH("*_Buggy",$A702))), "Buggy", IF(NOT(ISERR(SEARCH("*_Fixed",$A702))), "Fixed", IF(NOT(ISERR(SEARCH("*_Repaired",$A702))), "Repaired", "")))</f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v>1</v>
      </c>
      <c r="W702" s="13" t="str">
        <f>MID(A702, SEARCH("_", A702) +1, SEARCH("_", A702, SEARCH("_", A702) +1) - SEARCH("_", A702) -1)</f>
        <v>Closure-38</v>
      </c>
    </row>
    <row r="703" spans="1:23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>LEFT($A703,FIND("_",$A703)-1)</f>
        <v>FixMiner</v>
      </c>
      <c r="P703" s="13" t="str">
        <f>IF($O703="ACS", "True Search", IF($O703="Arja", "Evolutionary Search", IF($O703="AVATAR", "True Pattern", IF($O703="CapGen", "Search Like Pattern", IF($O703="Cardumen", "True Semantic", IF($O703="DynaMoth", "True Semantic", IF($O703="FixMiner", "True Pattern", IF($O703="GenProg-A", "Evolutionary Search", IF($O703="Hercules", "Learning Pattern", IF($O703="Jaid", "True Semantic",
IF($O703="Kali-A", "True Search", IF($O703="kPAR", "True Pattern", IF($O703="Nopol", "True Semantic", IF($O703="RSRepair-A", "Evolutionary Search", IF($O703="SequenceR", "Deep Learning", IF($O703="SimFix", "Search Like Pattern", IF($O703="SketchFix", "True Pattern", IF($O703="SOFix", "True Pattern", IF($O703="ssFix", "Search Like Pattern", IF($O703="TBar", "True Pattern", ""))))))))))))))))))))</f>
        <v>True Pattern</v>
      </c>
      <c r="Q703" s="13" t="str">
        <f>IF(NOT(ISERR(SEARCH("*_Buggy",$A703))), "Buggy", IF(NOT(ISERR(SEARCH("*_Fixed",$A703))), "Fixed", IF(NOT(ISERR(SEARCH("*_Repaired",$A703))), "Repaired", "")))</f>
        <v>Fixed</v>
      </c>
      <c r="R703" s="13" t="s">
        <v>1668</v>
      </c>
      <c r="S703" s="25">
        <v>1</v>
      </c>
      <c r="T703" s="25">
        <v>0</v>
      </c>
      <c r="U703" s="13">
        <v>16</v>
      </c>
      <c r="V703" s="13">
        <v>16</v>
      </c>
      <c r="W703" s="13" t="str">
        <f>MID(A703, SEARCH("_", A703) +1, SEARCH("_", A703, SEARCH("_", A703) +1) - SEARCH("_", A703) -1)</f>
        <v>Closure-46</v>
      </c>
    </row>
    <row r="704" spans="1:23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>LEFT($A704,FIND("_",$A704)-1)</f>
        <v>FixMiner</v>
      </c>
      <c r="P704" s="13" t="str">
        <f>IF($O704="ACS", "True Search", IF($O704="Arja", "Evolutionary Search", IF($O704="AVATAR", "True Pattern", IF($O704="CapGen", "Search Like Pattern", IF($O704="Cardumen", "True Semantic", IF($O704="DynaMoth", "True Semantic", IF($O704="FixMiner", "True Pattern", IF($O704="GenProg-A", "Evolutionary Search", IF($O704="Hercules", "Learning Pattern", IF($O704="Jaid", "True Semantic",
IF($O704="Kali-A", "True Search", IF($O704="kPAR", "True Pattern", IF($O704="Nopol", "True Semantic", IF($O704="RSRepair-A", "Evolutionary Search", IF($O704="SequenceR", "Deep Learning", IF($O704="SimFix", "Search Like Pattern", IF($O704="SketchFix", "True Pattern", IF($O704="SOFix", "True Pattern", IF($O704="ssFix", "Search Like Pattern", IF($O704="TBar", "True Pattern", ""))))))))))))))))))))</f>
        <v>True Pattern</v>
      </c>
      <c r="Q704" s="13" t="str">
        <f>IF(NOT(ISERR(SEARCH("*_Buggy",$A704))), "Buggy", IF(NOT(ISERR(SEARCH("*_Fixed",$A704))), "Fixed", IF(NOT(ISERR(SEARCH("*_Repaired",$A704))), "Repaired", "")))</f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v>1</v>
      </c>
      <c r="W704" s="13" t="str">
        <f>MID(A704, SEARCH("_", A704) +1, SEARCH("_", A704, SEARCH("_", A704) +1) - SEARCH("_", A704) -1)</f>
        <v>Closure-62</v>
      </c>
    </row>
    <row r="705" spans="1:23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>LEFT($A705,FIND("_",$A705)-1)</f>
        <v>FixMiner</v>
      </c>
      <c r="P705" s="13" t="str">
        <f>IF($O705="ACS", "True Search", IF($O705="Arja", "Evolutionary Search", IF($O705="AVATAR", "True Pattern", IF($O705="CapGen", "Search Like Pattern", IF($O705="Cardumen", "True Semantic", IF($O705="DynaMoth", "True Semantic", IF($O705="FixMiner", "True Pattern", IF($O705="GenProg-A", "Evolutionary Search", IF($O705="Hercules", "Learning Pattern", IF($O705="Jaid", "True Semantic",
IF($O705="Kali-A", "True Search", IF($O705="kPAR", "True Pattern", IF($O705="Nopol", "True Semantic", IF($O705="RSRepair-A", "Evolutionary Search", IF($O705="SequenceR", "Deep Learning", IF($O705="SimFix", "Search Like Pattern", IF($O705="SketchFix", "True Pattern", IF($O705="SOFix", "True Pattern", IF($O705="ssFix", "Search Like Pattern", IF($O705="TBar", "True Pattern", ""))))))))))))))))))))</f>
        <v>True Pattern</v>
      </c>
      <c r="Q705" s="13" t="str">
        <f>IF(NOT(ISERR(SEARCH("*_Buggy",$A705))), "Buggy", IF(NOT(ISERR(SEARCH("*_Fixed",$A705))), "Fixed", IF(NOT(ISERR(SEARCH("*_Repaired",$A705))), "Repaired", "")))</f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v>1</v>
      </c>
      <c r="W705" s="13" t="str">
        <f>MID(A705, SEARCH("_", A705) +1, SEARCH("_", A705, SEARCH("_", A705) +1) - SEARCH("_", A705) -1)</f>
        <v>Closure-73</v>
      </c>
    </row>
    <row r="706" spans="1:23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>LEFT($A706,FIND("_",$A706)-1)</f>
        <v>FixMiner</v>
      </c>
      <c r="P706" s="13" t="str">
        <f>IF($O706="ACS", "True Search", IF($O706="Arja", "Evolutionary Search", IF($O706="AVATAR", "True Pattern", IF($O706="CapGen", "Search Like Pattern", IF($O706="Cardumen", "True Semantic", IF($O706="DynaMoth", "True Semantic", IF($O706="FixMiner", "True Pattern", IF($O706="GenProg-A", "Evolutionary Search", IF($O706="Hercules", "Learning Pattern", IF($O706="Jaid", "True Semantic",
IF($O706="Kali-A", "True Search", IF($O706="kPAR", "True Pattern", IF($O706="Nopol", "True Semantic", IF($O706="RSRepair-A", "Evolutionary Search", IF($O706="SequenceR", "Deep Learning", IF($O706="SimFix", "Search Like Pattern", IF($O706="SketchFix", "True Pattern", IF($O706="SOFix", "True Pattern", IF($O706="ssFix", "Search Like Pattern", IF($O706="TBar", "True Pattern", ""))))))))))))))))))))</f>
        <v>True Pattern</v>
      </c>
      <c r="Q706" s="13" t="str">
        <f>IF(NOT(ISERR(SEARCH("*_Buggy",$A706))), "Buggy", IF(NOT(ISERR(SEARCH("*_Fixed",$A706))), "Fixed", IF(NOT(ISERR(SEARCH("*_Repaired",$A706))), "Repaired", "")))</f>
        <v>Fixed</v>
      </c>
      <c r="R706" s="13" t="s">
        <v>1668</v>
      </c>
      <c r="S706" s="25">
        <v>2</v>
      </c>
      <c r="T706" s="25">
        <v>0</v>
      </c>
      <c r="U706" s="13">
        <v>9</v>
      </c>
      <c r="V706" s="13">
        <v>9</v>
      </c>
      <c r="W706" s="13" t="str">
        <f>MID(A706, SEARCH("_", A706) +1, SEARCH("_", A706, SEARCH("_", A706) +1) - SEARCH("_", A706) -1)</f>
        <v>Lang-10</v>
      </c>
    </row>
    <row r="707" spans="1:23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>LEFT($A707,FIND("_",$A707)-1)</f>
        <v>FixMiner</v>
      </c>
      <c r="P707" s="13" t="str">
        <f>IF($O707="ACS", "True Search", IF($O707="Arja", "Evolutionary Search", IF($O707="AVATAR", "True Pattern", IF($O707="CapGen", "Search Like Pattern", IF($O707="Cardumen", "True Semantic", IF($O707="DynaMoth", "True Semantic", IF($O707="FixMiner", "True Pattern", IF($O707="GenProg-A", "Evolutionary Search", IF($O707="Hercules", "Learning Pattern", IF($O707="Jaid", "True Semantic",
IF($O707="Kali-A", "True Search", IF($O707="kPAR", "True Pattern", IF($O707="Nopol", "True Semantic", IF($O707="RSRepair-A", "Evolutionary Search", IF($O707="SequenceR", "Deep Learning", IF($O707="SimFix", "Search Like Pattern", IF($O707="SketchFix", "True Pattern", IF($O707="SOFix", "True Pattern", IF($O707="ssFix", "Search Like Pattern", IF($O707="TBar", "True Pattern", ""))))))))))))))))))))</f>
        <v>True Pattern</v>
      </c>
      <c r="Q707" s="13" t="str">
        <f>IF(NOT(ISERR(SEARCH("*_Buggy",$A707))), "Buggy", IF(NOT(ISERR(SEARCH("*_Fixed",$A707))), "Fixed", IF(NOT(ISERR(SEARCH("*_Repaired",$A707))), "Repaired", "")))</f>
        <v>Fixed</v>
      </c>
      <c r="R707" s="13" t="s">
        <v>1669</v>
      </c>
      <c r="S707" s="25">
        <v>5</v>
      </c>
      <c r="T707" s="25">
        <v>9</v>
      </c>
      <c r="U707" s="25">
        <v>3</v>
      </c>
      <c r="V707" s="13">
        <v>9</v>
      </c>
      <c r="W707" s="13" t="str">
        <f>MID(A707, SEARCH("_", A707) +1, SEARCH("_", A707, SEARCH("_", A707) +1) - SEARCH("_", A707) -1)</f>
        <v>Lang-19</v>
      </c>
    </row>
    <row r="708" spans="1:23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>LEFT($A708,FIND("_",$A708)-1)</f>
        <v>FixMiner</v>
      </c>
      <c r="P708" s="13" t="str">
        <f>IF($O708="ACS", "True Search", IF($O708="Arja", "Evolutionary Search", IF($O708="AVATAR", "True Pattern", IF($O708="CapGen", "Search Like Pattern", IF($O708="Cardumen", "True Semantic", IF($O708="DynaMoth", "True Semantic", IF($O708="FixMiner", "True Pattern", IF($O708="GenProg-A", "Evolutionary Search", IF($O708="Hercules", "Learning Pattern", IF($O708="Jaid", "True Semantic",
IF($O708="Kali-A", "True Search", IF($O708="kPAR", "True Pattern", IF($O708="Nopol", "True Semantic", IF($O708="RSRepair-A", "Evolutionary Search", IF($O708="SequenceR", "Deep Learning", IF($O708="SimFix", "Search Like Pattern", IF($O708="SketchFix", "True Pattern", IF($O708="SOFix", "True Pattern", IF($O708="ssFix", "Search Like Pattern", IF($O708="TBar", "True Pattern", ""))))))))))))))))))))</f>
        <v>True Pattern</v>
      </c>
      <c r="Q708" s="13" t="str">
        <f>IF(NOT(ISERR(SEARCH("*_Buggy",$A708))), "Buggy", IF(NOT(ISERR(SEARCH("*_Fixed",$A708))), "Fixed", IF(NOT(ISERR(SEARCH("*_Repaired",$A708))), "Repaired", "")))</f>
        <v>Fixed</v>
      </c>
      <c r="R708" s="13" t="s">
        <v>1669</v>
      </c>
      <c r="S708" s="25">
        <v>2</v>
      </c>
      <c r="T708" s="25">
        <v>7</v>
      </c>
      <c r="U708" s="25">
        <v>1</v>
      </c>
      <c r="V708" s="13">
        <v>7</v>
      </c>
      <c r="W708" s="13" t="str">
        <f>MID(A708, SEARCH("_", A708) +1, SEARCH("_", A708, SEARCH("_", A708) +1) - SEARCH("_", A708) -1)</f>
        <v>Lang-22</v>
      </c>
    </row>
    <row r="709" spans="1:23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>LEFT($A709,FIND("_",$A709)-1)</f>
        <v>FixMiner</v>
      </c>
      <c r="P709" s="13" t="str">
        <f>IF($O709="ACS", "True Search", IF($O709="Arja", "Evolutionary Search", IF($O709="AVATAR", "True Pattern", IF($O709="CapGen", "Search Like Pattern", IF($O709="Cardumen", "True Semantic", IF($O709="DynaMoth", "True Semantic", IF($O709="FixMiner", "True Pattern", IF($O709="GenProg-A", "Evolutionary Search", IF($O709="Hercules", "Learning Pattern", IF($O709="Jaid", "True Semantic",
IF($O709="Kali-A", "True Search", IF($O709="kPAR", "True Pattern", IF($O709="Nopol", "True Semantic", IF($O709="RSRepair-A", "Evolutionary Search", IF($O709="SequenceR", "Deep Learning", IF($O709="SimFix", "Search Like Pattern", IF($O709="SketchFix", "True Pattern", IF($O709="SOFix", "True Pattern", IF($O709="ssFix", "Search Like Pattern", IF($O709="TBar", "True Pattern", ""))))))))))))))))))))</f>
        <v>True Pattern</v>
      </c>
      <c r="Q709" s="13" t="str">
        <f>IF(NOT(ISERR(SEARCH("*_Buggy",$A709))), "Buggy", IF(NOT(ISERR(SEARCH("*_Fixed",$A709))), "Fixed", IF(NOT(ISERR(SEARCH("*_Repaired",$A709))), "Repaired", "")))</f>
        <v>Fixed</v>
      </c>
      <c r="R709" s="13" t="s">
        <v>1668</v>
      </c>
      <c r="S709" s="25">
        <v>3</v>
      </c>
      <c r="T709" s="25">
        <v>6</v>
      </c>
      <c r="U709" s="25">
        <v>2</v>
      </c>
      <c r="V709" s="13">
        <v>6</v>
      </c>
      <c r="W709" s="13" t="str">
        <f>MID(A709, SEARCH("_", A709) +1, SEARCH("_", A709, SEARCH("_", A709) +1) - SEARCH("_", A709) -1)</f>
        <v>Lang-56</v>
      </c>
    </row>
    <row r="710" spans="1:23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>LEFT($A710,FIND("_",$A710)-1)</f>
        <v>FixMiner</v>
      </c>
      <c r="P710" s="13" t="str">
        <f>IF($O710="ACS", "True Search", IF($O710="Arja", "Evolutionary Search", IF($O710="AVATAR", "True Pattern", IF($O710="CapGen", "Search Like Pattern", IF($O710="Cardumen", "True Semantic", IF($O710="DynaMoth", "True Semantic", IF($O710="FixMiner", "True Pattern", IF($O710="GenProg-A", "Evolutionary Search", IF($O710="Hercules", "Learning Pattern", IF($O710="Jaid", "True Semantic",
IF($O710="Kali-A", "True Search", IF($O710="kPAR", "True Pattern", IF($O710="Nopol", "True Semantic", IF($O710="RSRepair-A", "Evolutionary Search", IF($O710="SequenceR", "Deep Learning", IF($O710="SimFix", "Search Like Pattern", IF($O710="SketchFix", "True Pattern", IF($O710="SOFix", "True Pattern", IF($O710="ssFix", "Search Like Pattern", IF($O710="TBar", "True Pattern", ""))))))))))))))))))))</f>
        <v>True Pattern</v>
      </c>
      <c r="Q710" s="13" t="str">
        <f>IF(NOT(ISERR(SEARCH("*_Buggy",$A710))), "Buggy", IF(NOT(ISERR(SEARCH("*_Fixed",$A710))), "Fixed", IF(NOT(ISERR(SEARCH("*_Repaired",$A710))), "Repaired", "")))</f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v>1</v>
      </c>
      <c r="W710" s="13" t="str">
        <f>MID(A710, SEARCH("_", A710) +1, SEARCH("_", A710, SEARCH("_", A710) +1) - SEARCH("_", A710) -1)</f>
        <v>Lang-57</v>
      </c>
    </row>
    <row r="711" spans="1:23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>LEFT($A711,FIND("_",$A711)-1)</f>
        <v>FixMiner</v>
      </c>
      <c r="P711" s="13" t="str">
        <f>IF($O711="ACS", "True Search", IF($O711="Arja", "Evolutionary Search", IF($O711="AVATAR", "True Pattern", IF($O711="CapGen", "Search Like Pattern", IF($O711="Cardumen", "True Semantic", IF($O711="DynaMoth", "True Semantic", IF($O711="FixMiner", "True Pattern", IF($O711="GenProg-A", "Evolutionary Search", IF($O711="Hercules", "Learning Pattern", IF($O711="Jaid", "True Semantic",
IF($O711="Kali-A", "True Search", IF($O711="kPAR", "True Pattern", IF($O711="Nopol", "True Semantic", IF($O711="RSRepair-A", "Evolutionary Search", IF($O711="SequenceR", "Deep Learning", IF($O711="SimFix", "Search Like Pattern", IF($O711="SketchFix", "True Pattern", IF($O711="SOFix", "True Pattern", IF($O711="ssFix", "Search Like Pattern", IF($O711="TBar", "True Pattern", ""))))))))))))))))))))</f>
        <v>True Pattern</v>
      </c>
      <c r="Q711" s="13" t="str">
        <f>IF(NOT(ISERR(SEARCH("*_Buggy",$A711))), "Buggy", IF(NOT(ISERR(SEARCH("*_Fixed",$A711))), "Fixed", IF(NOT(ISERR(SEARCH("*_Repaired",$A711))), "Repaired", "")))</f>
        <v>Fixed</v>
      </c>
      <c r="R711" s="13" t="s">
        <v>1669</v>
      </c>
      <c r="S711" s="25">
        <v>1</v>
      </c>
      <c r="T711" s="25">
        <v>1</v>
      </c>
      <c r="U711" s="25">
        <v>2</v>
      </c>
      <c r="V711" s="13">
        <v>2</v>
      </c>
      <c r="W711" s="13" t="str">
        <f>MID(A711, SEARCH("_", A711) +1, SEARCH("_", A711, SEARCH("_", A711) +1) - SEARCH("_", A711) -1)</f>
        <v>Lang-58</v>
      </c>
    </row>
    <row r="712" spans="1:23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>LEFT($A712,FIND("_",$A712)-1)</f>
        <v>FixMiner</v>
      </c>
      <c r="P712" s="13" t="str">
        <f>IF($O712="ACS", "True Search", IF($O712="Arja", "Evolutionary Search", IF($O712="AVATAR", "True Pattern", IF($O712="CapGen", "Search Like Pattern", IF($O712="Cardumen", "True Semantic", IF($O712="DynaMoth", "True Semantic", IF($O712="FixMiner", "True Pattern", IF($O712="GenProg-A", "Evolutionary Search", IF($O712="Hercules", "Learning Pattern", IF($O712="Jaid", "True Semantic",
IF($O712="Kali-A", "True Search", IF($O712="kPAR", "True Pattern", IF($O712="Nopol", "True Semantic", IF($O712="RSRepair-A", "Evolutionary Search", IF($O712="SequenceR", "Deep Learning", IF($O712="SimFix", "Search Like Pattern", IF($O712="SketchFix", "True Pattern", IF($O712="SOFix", "True Pattern", IF($O712="ssFix", "Search Like Pattern", IF($O712="TBar", "True Pattern", ""))))))))))))))))))))</f>
        <v>True Pattern</v>
      </c>
      <c r="Q712" s="13" t="str">
        <f>IF(NOT(ISERR(SEARCH("*_Buggy",$A712))), "Buggy", IF(NOT(ISERR(SEARCH("*_Fixed",$A712))), "Fixed", IF(NOT(ISERR(SEARCH("*_Repaired",$A712))), "Repaired", "")))</f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v>1</v>
      </c>
      <c r="W712" s="13" t="str">
        <f>MID(A712, SEARCH("_", A712) +1, SEARCH("_", A712, SEARCH("_", A712) +1) - SEARCH("_", A712) -1)</f>
        <v>Lang-59</v>
      </c>
    </row>
    <row r="713" spans="1:23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>LEFT($A713,FIND("_",$A713)-1)</f>
        <v>FixMiner</v>
      </c>
      <c r="P713" s="13" t="str">
        <f>IF($O713="ACS", "True Search", IF($O713="Arja", "Evolutionary Search", IF($O713="AVATAR", "True Pattern", IF($O713="CapGen", "Search Like Pattern", IF($O713="Cardumen", "True Semantic", IF($O713="DynaMoth", "True Semantic", IF($O713="FixMiner", "True Pattern", IF($O713="GenProg-A", "Evolutionary Search", IF($O713="Hercules", "Learning Pattern", IF($O713="Jaid", "True Semantic",
IF($O713="Kali-A", "True Search", IF($O713="kPAR", "True Pattern", IF($O713="Nopol", "True Semantic", IF($O713="RSRepair-A", "Evolutionary Search", IF($O713="SequenceR", "Deep Learning", IF($O713="SimFix", "Search Like Pattern", IF($O713="SketchFix", "True Pattern", IF($O713="SOFix", "True Pattern", IF($O713="ssFix", "Search Like Pattern", IF($O713="TBar", "True Pattern", ""))))))))))))))))))))</f>
        <v>True Pattern</v>
      </c>
      <c r="Q713" s="13" t="str">
        <f>IF(NOT(ISERR(SEARCH("*_Buggy",$A713))), "Buggy", IF(NOT(ISERR(SEARCH("*_Fixed",$A713))), "Fixed", IF(NOT(ISERR(SEARCH("*_Repaired",$A713))), "Repaired", "")))</f>
        <v>Fixed</v>
      </c>
      <c r="R713" s="13" t="s">
        <v>1669</v>
      </c>
      <c r="S713" s="25">
        <v>4</v>
      </c>
      <c r="T713" s="25">
        <v>3</v>
      </c>
      <c r="U713" s="25">
        <v>20</v>
      </c>
      <c r="V713" s="13">
        <v>22</v>
      </c>
      <c r="W713" s="13" t="str">
        <f>MID(A713, SEARCH("_", A713) +1, SEARCH("_", A713, SEARCH("_", A713) +1) - SEARCH("_", A713) -1)</f>
        <v>Lang-63</v>
      </c>
    </row>
    <row r="714" spans="1:23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>LEFT($A714,FIND("_",$A714)-1)</f>
        <v>FixMiner</v>
      </c>
      <c r="P714" s="13" t="str">
        <f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>IF(NOT(ISERR(SEARCH("*_Buggy",$A714))), "Buggy", IF(NOT(ISERR(SEARCH("*_Fixed",$A714))), "Fixed", IF(NOT(ISERR(SEARCH("*_Repaired",$A714))), "Repaired", "")))</f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v>6</v>
      </c>
      <c r="W714" s="13" t="str">
        <f>MID(A714, SEARCH("_", A714) +1, SEARCH("_", A714, SEARCH("_", A714) +1) - SEARCH("_", A714) -1)</f>
        <v>Lang-7</v>
      </c>
    </row>
    <row r="715" spans="1:23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>LEFT($A715,FIND("_",$A715)-1)</f>
        <v>FixMiner</v>
      </c>
      <c r="P715" s="13" t="str">
        <f>IF($O715="ACS", "True Search", IF($O715="Arja", "Evolutionary Search", IF($O715="AVATAR", "True Pattern", IF($O715="CapGen", "Search Like Pattern", IF($O715="Cardumen", "True Semantic", IF($O715="DynaMoth", "True Semantic", IF($O715="FixMiner", "True Pattern", IF($O715="GenProg-A", "Evolutionary Search", IF($O715="Hercules", "Learning Pattern", IF($O715="Jaid", "True Semantic",
IF($O715="Kali-A", "True Search", IF($O715="kPAR", "True Pattern", IF($O715="Nopol", "True Semantic", IF($O715="RSRepair-A", "Evolutionary Search", IF($O715="SequenceR", "Deep Learning", IF($O715="SimFix", "Search Like Pattern", IF($O715="SketchFix", "True Pattern", IF($O715="SOFix", "True Pattern", IF($O715="ssFix", "Search Like Pattern", IF($O715="TBar", "True Pattern", ""))))))))))))))))))))</f>
        <v>True Pattern</v>
      </c>
      <c r="Q715" s="13" t="str">
        <f>IF(NOT(ISERR(SEARCH("*_Buggy",$A715))), "Buggy", IF(NOT(ISERR(SEARCH("*_Fixed",$A715))), "Fixed", IF(NOT(ISERR(SEARCH("*_Repaired",$A715))), "Repaired", "")))</f>
        <v>Fixed</v>
      </c>
      <c r="R715" s="13" t="s">
        <v>1669</v>
      </c>
      <c r="S715" s="25">
        <v>1</v>
      </c>
      <c r="T715" s="25">
        <v>2</v>
      </c>
      <c r="U715" s="25">
        <v>1</v>
      </c>
      <c r="V715" s="13">
        <v>2</v>
      </c>
      <c r="W715" s="13" t="str">
        <f>MID(A715, SEARCH("_", A715) +1, SEARCH("_", A715, SEARCH("_", A715) +1) - SEARCH("_", A715) -1)</f>
        <v>Math-20</v>
      </c>
    </row>
    <row r="716" spans="1:23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>LEFT($A716,FIND("_",$A716)-1)</f>
        <v>FixMiner</v>
      </c>
      <c r="P716" s="13" t="str">
        <f>IF($O716="ACS", "True Search", IF($O716="Arja", "Evolutionary Search", IF($O716="AVATAR", "True Pattern", IF($O716="CapGen", "Search Like Pattern", IF($O716="Cardumen", "True Semantic", IF($O716="DynaMoth", "True Semantic", IF($O716="FixMiner", "True Pattern", IF($O716="GenProg-A", "Evolutionary Search", IF($O716="Hercules", "Learning Pattern", IF($O716="Jaid", "True Semantic",
IF($O716="Kali-A", "True Search", IF($O716="kPAR", "True Pattern", IF($O716="Nopol", "True Semantic", IF($O716="RSRepair-A", "Evolutionary Search", IF($O716="SequenceR", "Deep Learning", IF($O716="SimFix", "Search Like Pattern", IF($O716="SketchFix", "True Pattern", IF($O716="SOFix", "True Pattern", IF($O716="ssFix", "Search Like Pattern", IF($O716="TBar", "True Pattern", ""))))))))))))))))))))</f>
        <v>True Pattern</v>
      </c>
      <c r="Q716" s="13" t="str">
        <f>IF(NOT(ISERR(SEARCH("*_Buggy",$A716))), "Buggy", IF(NOT(ISERR(SEARCH("*_Fixed",$A716))), "Fixed", IF(NOT(ISERR(SEARCH("*_Repaired",$A716))), "Repaired", "")))</f>
        <v>Fixed</v>
      </c>
      <c r="R716" s="13" t="s">
        <v>1669</v>
      </c>
      <c r="S716" s="25">
        <v>4</v>
      </c>
      <c r="T716" s="13">
        <v>4</v>
      </c>
      <c r="U716" s="25">
        <v>0</v>
      </c>
      <c r="V716" s="13">
        <v>4</v>
      </c>
      <c r="W716" s="13" t="str">
        <f>MID(A716, SEARCH("_", A716) +1, SEARCH("_", A716, SEARCH("_", A716) +1) - SEARCH("_", A716) -1)</f>
        <v>Math-28</v>
      </c>
    </row>
    <row r="717" spans="1:23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>LEFT($A717,FIND("_",$A717)-1)</f>
        <v>FixMiner</v>
      </c>
      <c r="P717" s="13" t="str">
        <f>IF($O717="ACS", "True Search", IF($O717="Arja", "Evolutionary Search", IF($O717="AVATAR", "True Pattern", IF($O717="CapGen", "Search Like Pattern", IF($O717="Cardumen", "True Semantic", IF($O717="DynaMoth", "True Semantic", IF($O717="FixMiner", "True Pattern", IF($O717="GenProg-A", "Evolutionary Search", IF($O717="Hercules", "Learning Pattern", IF($O717="Jaid", "True Semantic",
IF($O717="Kali-A", "True Search", IF($O717="kPAR", "True Pattern", IF($O717="Nopol", "True Semantic", IF($O717="RSRepair-A", "Evolutionary Search", IF($O717="SequenceR", "Deep Learning", IF($O717="SimFix", "Search Like Pattern", IF($O717="SketchFix", "True Pattern", IF($O717="SOFix", "True Pattern", IF($O717="ssFix", "Search Like Pattern", IF($O717="TBar", "True Pattern", ""))))))))))))))))))))</f>
        <v>True Pattern</v>
      </c>
      <c r="Q717" s="13" t="str">
        <f>IF(NOT(ISERR(SEARCH("*_Buggy",$A717))), "Buggy", IF(NOT(ISERR(SEARCH("*_Fixed",$A717))), "Fixed", IF(NOT(ISERR(SEARCH("*_Repaired",$A717))), "Repaired", "")))</f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v>1</v>
      </c>
      <c r="W717" s="13" t="str">
        <f>MID(A717, SEARCH("_", A717) +1, SEARCH("_", A717, SEARCH("_", A717) +1) - SEARCH("_", A717) -1)</f>
        <v>Math-30</v>
      </c>
    </row>
    <row r="718" spans="1:23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>LEFT($A718,FIND("_",$A718)-1)</f>
        <v>FixMiner</v>
      </c>
      <c r="P718" s="13" t="str">
        <f>IF($O718="ACS", "True Search", IF($O718="Arja", "Evolutionary Search", IF($O718="AVATAR", "True Pattern", IF($O718="CapGen", "Search Like Pattern", IF($O718="Cardumen", "True Semantic", IF($O718="DynaMoth", "True Semantic", IF($O718="FixMiner", "True Pattern", IF($O718="GenProg-A", "Evolutionary Search", IF($O718="Hercules", "Learning Pattern", IF($O718="Jaid", "True Semantic",
IF($O718="Kali-A", "True Search", IF($O718="kPAR", "True Pattern", IF($O718="Nopol", "True Semantic", IF($O718="RSRepair-A", "Evolutionary Search", IF($O718="SequenceR", "Deep Learning", IF($O718="SimFix", "Search Like Pattern", IF($O718="SketchFix", "True Pattern", IF($O718="SOFix", "True Pattern", IF($O718="ssFix", "Search Like Pattern", IF($O718="TBar", "True Pattern", ""))))))))))))))))))))</f>
        <v>True Pattern</v>
      </c>
      <c r="Q718" s="13" t="str">
        <f>IF(NOT(ISERR(SEARCH("*_Buggy",$A718))), "Buggy", IF(NOT(ISERR(SEARCH("*_Fixed",$A718))), "Fixed", IF(NOT(ISERR(SEARCH("*_Repaired",$A718))), "Repaired", "")))</f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v>1</v>
      </c>
      <c r="W718" s="13" t="str">
        <f>MID(A718, SEARCH("_", A718) +1, SEARCH("_", A718, SEARCH("_", A718) +1) - SEARCH("_", A718) -1)</f>
        <v>Math-33</v>
      </c>
    </row>
    <row r="719" spans="1:23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>LEFT($A719,FIND("_",$A719)-1)</f>
        <v>FixMiner</v>
      </c>
      <c r="P719" s="13" t="str">
        <f>IF($O719="ACS", "True Search", IF($O719="Arja", "Evolutionary Search", IF($O719="AVATAR", "True Pattern", IF($O719="CapGen", "Search Like Pattern", IF($O719="Cardumen", "True Semantic", IF($O719="DynaMoth", "True Semantic", IF($O719="FixMiner", "True Pattern", IF($O719="GenProg-A", "Evolutionary Search", IF($O719="Hercules", "Learning Pattern", IF($O719="Jaid", "True Semantic",
IF($O719="Kali-A", "True Search", IF($O719="kPAR", "True Pattern", IF($O719="Nopol", "True Semantic", IF($O719="RSRepair-A", "Evolutionary Search", IF($O719="SequenceR", "Deep Learning", IF($O719="SimFix", "Search Like Pattern", IF($O719="SketchFix", "True Pattern", IF($O719="SOFix", "True Pattern", IF($O719="ssFix", "Search Like Pattern", IF($O719="TBar", "True Pattern", ""))))))))))))))))))))</f>
        <v>True Pattern</v>
      </c>
      <c r="Q719" s="13" t="str">
        <f>IF(NOT(ISERR(SEARCH("*_Buggy",$A719))), "Buggy", IF(NOT(ISERR(SEARCH("*_Fixed",$A719))), "Fixed", IF(NOT(ISERR(SEARCH("*_Repaired",$A719))), "Repaired", "")))</f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v>1</v>
      </c>
      <c r="W719" s="13" t="str">
        <f>MID(A719, SEARCH("_", A719) +1, SEARCH("_", A719, SEARCH("_", A719) +1) - SEARCH("_", A719) -1)</f>
        <v>Math-34</v>
      </c>
    </row>
    <row r="720" spans="1:23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>LEFT($A720,FIND("_",$A720)-1)</f>
        <v>FixMiner</v>
      </c>
      <c r="P720" s="13" t="str">
        <f>IF($O720="ACS", "True Search", IF($O720="Arja", "Evolutionary Search", IF($O720="AVATAR", "True Pattern", IF($O720="CapGen", "Search Like Pattern", IF($O720="Cardumen", "True Semantic", IF($O720="DynaMoth", "True Semantic", IF($O720="FixMiner", "True Pattern", IF($O720="GenProg-A", "Evolutionary Search", IF($O720="Hercules", "Learning Pattern", IF($O720="Jaid", "True Semantic",
IF($O720="Kali-A", "True Search", IF($O720="kPAR", "True Pattern", IF($O720="Nopol", "True Semantic", IF($O720="RSRepair-A", "Evolutionary Search", IF($O720="SequenceR", "Deep Learning", IF($O720="SimFix", "Search Like Pattern", IF($O720="SketchFix", "True Pattern", IF($O720="SOFix", "True Pattern", IF($O720="ssFix", "Search Like Pattern", IF($O720="TBar", "True Pattern", ""))))))))))))))))))))</f>
        <v>True Pattern</v>
      </c>
      <c r="Q720" s="13" t="str">
        <f>IF(NOT(ISERR(SEARCH("*_Buggy",$A720))), "Buggy", IF(NOT(ISERR(SEARCH("*_Fixed",$A720))), "Fixed", IF(NOT(ISERR(SEARCH("*_Repaired",$A720))), "Repaired", "")))</f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v>2</v>
      </c>
      <c r="W720" s="13" t="str">
        <f>MID(A720, SEARCH("_", A720) +1, SEARCH("_", A720, SEARCH("_", A720) +1) - SEARCH("_", A720) -1)</f>
        <v>Math-35</v>
      </c>
    </row>
    <row r="721" spans="1:23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>LEFT($A721,FIND("_",$A721)-1)</f>
        <v>FixMiner</v>
      </c>
      <c r="P721" s="13" t="str">
        <f>IF($O721="ACS", "True Search", IF($O721="Arja", "Evolutionary Search", IF($O721="AVATAR", "True Pattern", IF($O721="CapGen", "Search Like Pattern", IF($O721="Cardumen", "True Semantic", IF($O721="DynaMoth", "True Semantic", IF($O721="FixMiner", "True Pattern", IF($O721="GenProg-A", "Evolutionary Search", IF($O721="Hercules", "Learning Pattern", IF($O721="Jaid", "True Semantic",
IF($O721="Kali-A", "True Search", IF($O721="kPAR", "True Pattern", IF($O721="Nopol", "True Semantic", IF($O721="RSRepair-A", "Evolutionary Search", IF($O721="SequenceR", "Deep Learning", IF($O721="SimFix", "Search Like Pattern", IF($O721="SketchFix", "True Pattern", IF($O721="SOFix", "True Pattern", IF($O721="ssFix", "Search Like Pattern", IF($O721="TBar", "True Pattern", ""))))))))))))))))))))</f>
        <v>True Pattern</v>
      </c>
      <c r="Q721" s="13" t="str">
        <f>IF(NOT(ISERR(SEARCH("*_Buggy",$A721))), "Buggy", IF(NOT(ISERR(SEARCH("*_Fixed",$A721))), "Fixed", IF(NOT(ISERR(SEARCH("*_Repaired",$A721))), "Repaired", "")))</f>
        <v>Fixed</v>
      </c>
      <c r="R721" s="13" t="s">
        <v>1669</v>
      </c>
      <c r="S721" s="25">
        <v>1</v>
      </c>
      <c r="T721" s="25">
        <v>0</v>
      </c>
      <c r="U721" s="13">
        <v>4</v>
      </c>
      <c r="V721" s="13">
        <v>4</v>
      </c>
      <c r="W721" s="13" t="str">
        <f>MID(A721, SEARCH("_", A721) +1, SEARCH("_", A721, SEARCH("_", A721) +1) - SEARCH("_", A721) -1)</f>
        <v>Math-50</v>
      </c>
    </row>
    <row r="722" spans="1:23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>LEFT($A722,FIND("_",$A722)-1)</f>
        <v>FixMiner</v>
      </c>
      <c r="P722" s="13" t="str">
        <f>IF($O722="ACS", "True Search", IF($O722="Arja", "Evolutionary Search", IF($O722="AVATAR", "True Pattern", IF($O722="CapGen", "Search Like Pattern", IF($O722="Cardumen", "True Semantic", IF($O722="DynaMoth", "True Semantic", IF($O722="FixMiner", "True Pattern", IF($O722="GenProg-A", "Evolutionary Search", IF($O722="Hercules", "Learning Pattern", IF($O722="Jaid", "True Semantic",
IF($O722="Kali-A", "True Search", IF($O722="kPAR", "True Pattern", IF($O722="Nopol", "True Semantic", IF($O722="RSRepair-A", "Evolutionary Search", IF($O722="SequenceR", "Deep Learning", IF($O722="SimFix", "Search Like Pattern", IF($O722="SketchFix", "True Pattern", IF($O722="SOFix", "True Pattern", IF($O722="ssFix", "Search Like Pattern", IF($O722="TBar", "True Pattern", ""))))))))))))))))))))</f>
        <v>True Pattern</v>
      </c>
      <c r="Q722" s="13" t="str">
        <f>IF(NOT(ISERR(SEARCH("*_Buggy",$A722))), "Buggy", IF(NOT(ISERR(SEARCH("*_Fixed",$A722))), "Fixed", IF(NOT(ISERR(SEARCH("*_Repaired",$A722))), "Repaired", "")))</f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v>1</v>
      </c>
      <c r="W722" s="13" t="str">
        <f>MID(A722, SEARCH("_", A722) +1, SEARCH("_", A722, SEARCH("_", A722) +1) - SEARCH("_", A722) -1)</f>
        <v>Math-57</v>
      </c>
    </row>
    <row r="723" spans="1:23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>LEFT($A723,FIND("_",$A723)-1)</f>
        <v>FixMiner</v>
      </c>
      <c r="P723" s="13" t="str">
        <f>IF($O723="ACS", "True Search", IF($O723="Arja", "Evolutionary Search", IF($O723="AVATAR", "True Pattern", IF($O723="CapGen", "Search Like Pattern", IF($O723="Cardumen", "True Semantic", IF($O723="DynaMoth", "True Semantic", IF($O723="FixMiner", "True Pattern", IF($O723="GenProg-A", "Evolutionary Search", IF($O723="Hercules", "Learning Pattern", IF($O723="Jaid", "True Semantic",
IF($O723="Kali-A", "True Search", IF($O723="kPAR", "True Pattern", IF($O723="Nopol", "True Semantic", IF($O723="RSRepair-A", "Evolutionary Search", IF($O723="SequenceR", "Deep Learning", IF($O723="SimFix", "Search Like Pattern", IF($O723="SketchFix", "True Pattern", IF($O723="SOFix", "True Pattern", IF($O723="ssFix", "Search Like Pattern", IF($O723="TBar", "True Pattern", ""))))))))))))))))))))</f>
        <v>True Pattern</v>
      </c>
      <c r="Q723" s="13" t="str">
        <f>IF(NOT(ISERR(SEARCH("*_Buggy",$A723))), "Buggy", IF(NOT(ISERR(SEARCH("*_Fixed",$A723))), "Fixed", IF(NOT(ISERR(SEARCH("*_Repaired",$A723))), "Repaired", "")))</f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v>1</v>
      </c>
      <c r="W723" s="13" t="str">
        <f>MID(A723, SEARCH("_", A723) +1, SEARCH("_", A723, SEARCH("_", A723) +1) - SEARCH("_", A723) -1)</f>
        <v>Math-63</v>
      </c>
    </row>
    <row r="724" spans="1:23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>LEFT($A724,FIND("_",$A724)-1)</f>
        <v>FixMiner</v>
      </c>
      <c r="P724" s="13" t="str">
        <f>IF($O724="ACS", "True Search", IF($O724="Arja", "Evolutionary Search", IF($O724="AVATAR", "True Pattern", IF($O724="CapGen", "Search Like Pattern", IF($O724="Cardumen", "True Semantic", IF($O724="DynaMoth", "True Semantic", IF($O724="FixMiner", "True Pattern", IF($O724="GenProg-A", "Evolutionary Search", IF($O724="Hercules", "Learning Pattern", IF($O724="Jaid", "True Semantic",
IF($O724="Kali-A", "True Search", IF($O724="kPAR", "True Pattern", IF($O724="Nopol", "True Semantic", IF($O724="RSRepair-A", "Evolutionary Search", IF($O724="SequenceR", "Deep Learning", IF($O724="SimFix", "Search Like Pattern", IF($O724="SketchFix", "True Pattern", IF($O724="SOFix", "True Pattern", IF($O724="ssFix", "Search Like Pattern", IF($O724="TBar", "True Pattern", ""))))))))))))))))))))</f>
        <v>True Pattern</v>
      </c>
      <c r="Q724" s="13" t="str">
        <f>IF(NOT(ISERR(SEARCH("*_Buggy",$A724))), "Buggy", IF(NOT(ISERR(SEARCH("*_Fixed",$A724))), "Fixed", IF(NOT(ISERR(SEARCH("*_Repaired",$A724))), "Repaired", "")))</f>
        <v>Fixed</v>
      </c>
      <c r="R724" s="13" t="s">
        <v>1669</v>
      </c>
      <c r="S724" s="25">
        <v>13</v>
      </c>
      <c r="T724" s="25">
        <v>22</v>
      </c>
      <c r="U724" s="25">
        <v>8</v>
      </c>
      <c r="V724" s="13">
        <v>27</v>
      </c>
      <c r="W724" s="13" t="str">
        <f>MID(A724, SEARCH("_", A724) +1, SEARCH("_", A724, SEARCH("_", A724) +1) - SEARCH("_", A724) -1)</f>
        <v>Math-64</v>
      </c>
    </row>
    <row r="725" spans="1:23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>LEFT($A725,FIND("_",$A725)-1)</f>
        <v>FixMiner</v>
      </c>
      <c r="P725" s="13" t="str">
        <f>IF($O725="ACS", "True Search", IF($O725="Arja", "Evolutionary Search", IF($O725="AVATAR", "True Pattern", IF($O725="CapGen", "Search Like Pattern", IF($O725="Cardumen", "True Semantic", IF($O725="DynaMoth", "True Semantic", IF($O725="FixMiner", "True Pattern", IF($O725="GenProg-A", "Evolutionary Search", IF($O725="Hercules", "Learning Pattern", IF($O725="Jaid", "True Semantic",
IF($O725="Kali-A", "True Search", IF($O725="kPAR", "True Pattern", IF($O725="Nopol", "True Semantic", IF($O725="RSRepair-A", "Evolutionary Search", IF($O725="SequenceR", "Deep Learning", IF($O725="SimFix", "Search Like Pattern", IF($O725="SketchFix", "True Pattern", IF($O725="SOFix", "True Pattern", IF($O725="ssFix", "Search Like Pattern", IF($O725="TBar", "True Pattern", ""))))))))))))))))))))</f>
        <v>True Pattern</v>
      </c>
      <c r="Q725" s="13" t="str">
        <f>IF(NOT(ISERR(SEARCH("*_Buggy",$A725))), "Buggy", IF(NOT(ISERR(SEARCH("*_Fixed",$A725))), "Fixed", IF(NOT(ISERR(SEARCH("*_Repaired",$A725))), "Repaired", "")))</f>
        <v>Fixed</v>
      </c>
      <c r="R725" s="13" t="s">
        <v>1669</v>
      </c>
      <c r="S725" s="25">
        <v>9</v>
      </c>
      <c r="T725" s="25">
        <v>12</v>
      </c>
      <c r="U725" s="25">
        <v>2</v>
      </c>
      <c r="V725" s="13">
        <v>12</v>
      </c>
      <c r="W725" s="13" t="str">
        <f>MID(A725, SEARCH("_", A725) +1, SEARCH("_", A725, SEARCH("_", A725) +1) - SEARCH("_", A725) -1)</f>
        <v>Math-68</v>
      </c>
    </row>
    <row r="726" spans="1:23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>LEFT($A726,FIND("_",$A726)-1)</f>
        <v>FixMiner</v>
      </c>
      <c r="P726" s="13" t="str">
        <f>IF($O726="ACS", "True Search", IF($O726="Arja", "Evolutionary Search", IF($O726="AVATAR", "True Pattern", IF($O726="CapGen", "Search Like Pattern", IF($O726="Cardumen", "True Semantic", IF($O726="DynaMoth", "True Semantic", IF($O726="FixMiner", "True Pattern", IF($O726="GenProg-A", "Evolutionary Search", IF($O726="Hercules", "Learning Pattern", IF($O726="Jaid", "True Semantic",
IF($O726="Kali-A", "True Search", IF($O726="kPAR", "True Pattern", IF($O726="Nopol", "True Semantic", IF($O726="RSRepair-A", "Evolutionary Search", IF($O726="SequenceR", "Deep Learning", IF($O726="SimFix", "Search Like Pattern", IF($O726="SketchFix", "True Pattern", IF($O726="SOFix", "True Pattern", IF($O726="ssFix", "Search Like Pattern", IF($O726="TBar", "True Pattern", ""))))))))))))))))))))</f>
        <v>True Pattern</v>
      </c>
      <c r="Q726" s="13" t="str">
        <f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v>1</v>
      </c>
      <c r="W726" s="13" t="str">
        <f>MID(A726, SEARCH("_", A726) +1, SEARCH("_", A726, SEARCH("_", A726) +1) - SEARCH("_", A726) -1)</f>
        <v>Math-70</v>
      </c>
    </row>
    <row r="727" spans="1:23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>LEFT($A727,FIND("_",$A727)-1)</f>
        <v>FixMiner</v>
      </c>
      <c r="P727" s="13" t="str">
        <f>IF($O727="ACS", "True Search", IF($O727="Arja", "Evolutionary Search", IF($O727="AVATAR", "True Pattern", IF($O727="CapGen", "Search Like Pattern", IF($O727="Cardumen", "True Semantic", IF($O727="DynaMoth", "True Semantic", IF($O727="FixMiner", "True Pattern", IF($O727="GenProg-A", "Evolutionary Search", IF($O727="Hercules", "Learning Pattern", IF($O727="Jaid", "True Semantic",
IF($O727="Kali-A", "True Search", IF($O727="kPAR", "True Pattern", IF($O727="Nopol", "True Semantic", IF($O727="RSRepair-A", "Evolutionary Search", IF($O727="SequenceR", "Deep Learning", IF($O727="SimFix", "Search Like Pattern", IF($O727="SketchFix", "True Pattern", IF($O727="SOFix", "True Pattern", IF($O727="ssFix", "Search Like Pattern", IF($O727="TBar", "True Pattern", ""))))))))))))))))))))</f>
        <v>True Pattern</v>
      </c>
      <c r="Q727" s="13" t="str">
        <f>IF(NOT(ISERR(SEARCH("*_Buggy",$A727))), "Buggy", IF(NOT(ISERR(SEARCH("*_Fixed",$A727))), "Fixed", IF(NOT(ISERR(SEARCH("*_Repaired",$A727))), "Repaired", "")))</f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v>1</v>
      </c>
      <c r="W727" s="13" t="str">
        <f>MID(A727, SEARCH("_", A727) +1, SEARCH("_", A727, SEARCH("_", A727) +1) - SEARCH("_", A727) -1)</f>
        <v>Math-75</v>
      </c>
    </row>
    <row r="728" spans="1:23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>LEFT($A728,FIND("_",$A728)-1)</f>
        <v>FixMiner</v>
      </c>
      <c r="P728" s="13" t="str">
        <f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>IF(NOT(ISERR(SEARCH("*_Buggy",$A728))), "Buggy", IF(NOT(ISERR(SEARCH("*_Fixed",$A728))), "Fixed", IF(NOT(ISERR(SEARCH("*_Repaired",$A728))), "Repaired", "")))</f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v>2</v>
      </c>
      <c r="W728" s="13" t="str">
        <f>MID(A728, SEARCH("_", A728) +1, SEARCH("_", A728, SEARCH("_", A728) +1) - SEARCH("_", A728) -1)</f>
        <v>Math-79</v>
      </c>
    </row>
    <row r="729" spans="1:23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>LEFT($A729,FIND("_",$A729)-1)</f>
        <v>FixMiner</v>
      </c>
      <c r="P729" s="13" t="str">
        <f>IF($O729="ACS", "True Search", IF($O729="Arja", "Evolutionary Search", IF($O729="AVATAR", "True Pattern", IF($O729="CapGen", "Search Like Pattern", IF($O729="Cardumen", "True Semantic", IF($O729="DynaMoth", "True Semantic", IF($O729="FixMiner", "True Pattern", IF($O729="GenProg-A", "Evolutionary Search", IF($O729="Hercules", "Learning Pattern", IF($O729="Jaid", "True Semantic",
IF($O729="Kali-A", "True Search", IF($O729="kPAR", "True Pattern", IF($O729="Nopol", "True Semantic", IF($O729="RSRepair-A", "Evolutionary Search", IF($O729="SequenceR", "Deep Learning", IF($O729="SimFix", "Search Like Pattern", IF($O729="SketchFix", "True Pattern", IF($O729="SOFix", "True Pattern", IF($O729="ssFix", "Search Like Pattern", IF($O729="TBar", "True Pattern", ""))))))))))))))))))))</f>
        <v>True Pattern</v>
      </c>
      <c r="Q729" s="13" t="str">
        <f>IF(NOT(ISERR(SEARCH("*_Buggy",$A729))), "Buggy", IF(NOT(ISERR(SEARCH("*_Fixed",$A729))), "Fixed", IF(NOT(ISERR(SEARCH("*_Repaired",$A729))), "Repaired", "")))</f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v>1</v>
      </c>
      <c r="W729" s="13" t="str">
        <f>MID(A729, SEARCH("_", A729) +1, SEARCH("_", A729, SEARCH("_", A729) +1) - SEARCH("_", A729) -1)</f>
        <v>Math-80</v>
      </c>
    </row>
    <row r="730" spans="1:23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>LEFT($A730,FIND("_",$A730)-1)</f>
        <v>FixMiner</v>
      </c>
      <c r="P730" s="13" t="str">
        <f>IF($O730="ACS", "True Search", IF($O730="Arja", "Evolutionary Search", IF($O730="AVATAR", "True Pattern", IF($O730="CapGen", "Search Like Pattern", IF($O730="Cardumen", "True Semantic", IF($O730="DynaMoth", "True Semantic", IF($O730="FixMiner", "True Pattern", IF($O730="GenProg-A", "Evolutionary Search", IF($O730="Hercules", "Learning Pattern", IF($O730="Jaid", "True Semantic",
IF($O730="Kali-A", "True Search", IF($O730="kPAR", "True Pattern", IF($O730="Nopol", "True Semantic", IF($O730="RSRepair-A", "Evolutionary Search", IF($O730="SequenceR", "Deep Learning", IF($O730="SimFix", "Search Like Pattern", IF($O730="SketchFix", "True Pattern", IF($O730="SOFix", "True Pattern", IF($O730="ssFix", "Search Like Pattern", IF($O730="TBar", "True Pattern", ""))))))))))))))))))))</f>
        <v>True Pattern</v>
      </c>
      <c r="Q730" s="13" t="str">
        <f>IF(NOT(ISERR(SEARCH("*_Buggy",$A730))), "Buggy", IF(NOT(ISERR(SEARCH("*_Fixed",$A730))), "Fixed", IF(NOT(ISERR(SEARCH("*_Repaired",$A730))), "Repaired", "")))</f>
        <v>Fixed</v>
      </c>
      <c r="R730" s="13" t="s">
        <v>1669</v>
      </c>
      <c r="S730" s="25">
        <v>3</v>
      </c>
      <c r="T730" s="25">
        <v>4</v>
      </c>
      <c r="U730" s="25">
        <v>3</v>
      </c>
      <c r="V730" s="13">
        <v>4</v>
      </c>
      <c r="W730" s="13" t="str">
        <f>MID(A730, SEARCH("_", A730) +1, SEARCH("_", A730, SEARCH("_", A730) +1) - SEARCH("_", A730) -1)</f>
        <v>Math-81</v>
      </c>
    </row>
    <row r="731" spans="1:23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>LEFT($A731,FIND("_",$A731)-1)</f>
        <v>FixMiner</v>
      </c>
      <c r="P731" s="13" t="str">
        <f>IF($O731="ACS", "True Search", IF($O731="Arja", "Evolutionary Search", IF($O731="AVATAR", "True Pattern", IF($O731="CapGen", "Search Like Pattern", IF($O731="Cardumen", "True Semantic", IF($O731="DynaMoth", "True Semantic", IF($O731="FixMiner", "True Pattern", IF($O731="GenProg-A", "Evolutionary Search", IF($O731="Hercules", "Learning Pattern", IF($O731="Jaid", "True Semantic",
IF($O731="Kali-A", "True Search", IF($O731="kPAR", "True Pattern", IF($O731="Nopol", "True Semantic", IF($O731="RSRepair-A", "Evolutionary Search", IF($O731="SequenceR", "Deep Learning", IF($O731="SimFix", "Search Like Pattern", IF($O731="SketchFix", "True Pattern", IF($O731="SOFix", "True Pattern", IF($O731="ssFix", "Search Like Pattern", IF($O731="TBar", "True Pattern", ""))))))))))))))))))))</f>
        <v>True Pattern</v>
      </c>
      <c r="Q731" s="13" t="str">
        <f>IF(NOT(ISERR(SEARCH("*_Buggy",$A731))), "Buggy", IF(NOT(ISERR(SEARCH("*_Fixed",$A731))), "Fixed", IF(NOT(ISERR(SEARCH("*_Repaired",$A731))), "Repaired", "")))</f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v>1</v>
      </c>
      <c r="W731" s="13" t="str">
        <f>MID(A731, SEARCH("_", A731) +1, SEARCH("_", A731, SEARCH("_", A731) +1) - SEARCH("_", A731) -1)</f>
        <v>Math-82</v>
      </c>
    </row>
    <row r="732" spans="1:23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>LEFT($A732,FIND("_",$A732)-1)</f>
        <v>FixMiner</v>
      </c>
      <c r="P732" s="13" t="str">
        <f>IF($O732="ACS", "True Search", IF($O732="Arja", "Evolutionary Search", IF($O732="AVATAR", "True Pattern", IF($O732="CapGen", "Search Like Pattern", IF($O732="Cardumen", "True Semantic", IF($O732="DynaMoth", "True Semantic", IF($O732="FixMiner", "True Pattern", IF($O732="GenProg-A", "Evolutionary Search", IF($O732="Hercules", "Learning Pattern", IF($O732="Jaid", "True Semantic",
IF($O732="Kali-A", "True Search", IF($O732="kPAR", "True Pattern", IF($O732="Nopol", "True Semantic", IF($O732="RSRepair-A", "Evolutionary Search", IF($O732="SequenceR", "Deep Learning", IF($O732="SimFix", "Search Like Pattern", IF($O732="SketchFix", "True Pattern", IF($O732="SOFix", "True Pattern", IF($O732="ssFix", "Search Like Pattern", IF($O732="TBar", "True Pattern", ""))))))))))))))))))))</f>
        <v>True Pattern</v>
      </c>
      <c r="Q732" s="13" t="str">
        <f>IF(NOT(ISERR(SEARCH("*_Buggy",$A732))), "Buggy", IF(NOT(ISERR(SEARCH("*_Fixed",$A732))), "Fixed", IF(NOT(ISERR(SEARCH("*_Repaired",$A732))), "Repaired", "")))</f>
        <v>Fixed</v>
      </c>
      <c r="R732" s="13" t="s">
        <v>1669</v>
      </c>
      <c r="S732" s="25">
        <v>3</v>
      </c>
      <c r="T732" s="13">
        <v>9</v>
      </c>
      <c r="U732" s="25">
        <v>0</v>
      </c>
      <c r="V732" s="13">
        <v>9</v>
      </c>
      <c r="W732" s="13" t="str">
        <f>MID(A732, SEARCH("_", A732) +1, SEARCH("_", A732, SEARCH("_", A732) +1) - SEARCH("_", A732) -1)</f>
        <v>Math-84</v>
      </c>
    </row>
    <row r="733" spans="1:23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>LEFT($A733,FIND("_",$A733)-1)</f>
        <v>FixMiner</v>
      </c>
      <c r="P733" s="13" t="str">
        <f>IF($O733="ACS", "True Search", IF($O733="Arja", "Evolutionary Search", IF($O733="AVATAR", "True Pattern", IF($O733="CapGen", "Search Like Pattern", IF($O733="Cardumen", "True Semantic", IF($O733="DynaMoth", "True Semantic", IF($O733="FixMiner", "True Pattern", IF($O733="GenProg-A", "Evolutionary Search", IF($O733="Hercules", "Learning Pattern", IF($O733="Jaid", "True Semantic",
IF($O733="Kali-A", "True Search", IF($O733="kPAR", "True Pattern", IF($O733="Nopol", "True Semantic", IF($O733="RSRepair-A", "Evolutionary Search", IF($O733="SequenceR", "Deep Learning", IF($O733="SimFix", "Search Like Pattern", IF($O733="SketchFix", "True Pattern", IF($O733="SOFix", "True Pattern", IF($O733="ssFix", "Search Like Pattern", IF($O733="TBar", "True Pattern", ""))))))))))))))))))))</f>
        <v>True Pattern</v>
      </c>
      <c r="Q733" s="13" t="str">
        <f>IF(NOT(ISERR(SEARCH("*_Buggy",$A733))), "Buggy", IF(NOT(ISERR(SEARCH("*_Fixed",$A733))), "Fixed", IF(NOT(ISERR(SEARCH("*_Repaired",$A733))), "Repaired", "")))</f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v>1</v>
      </c>
      <c r="W733" s="13" t="str">
        <f>MID(A733, SEARCH("_", A733) +1, SEARCH("_", A733, SEARCH("_", A733) +1) - SEARCH("_", A733) -1)</f>
        <v>Math-85</v>
      </c>
    </row>
    <row r="734" spans="1:23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>LEFT($A734,FIND("_",$A734)-1)</f>
        <v>FixMiner</v>
      </c>
      <c r="P734" s="13" t="str">
        <f>IF($O734="ACS", "True Search", IF($O734="Arja", "Evolutionary Search", IF($O734="AVATAR", "True Pattern", IF($O734="CapGen", "Search Like Pattern", IF($O734="Cardumen", "True Semantic", IF($O734="DynaMoth", "True Semantic", IF($O734="FixMiner", "True Pattern", IF($O734="GenProg-A", "Evolutionary Search", IF($O734="Hercules", "Learning Pattern", IF($O734="Jaid", "True Semantic",
IF($O734="Kali-A", "True Search", IF($O734="kPAR", "True Pattern", IF($O734="Nopol", "True Semantic", IF($O734="RSRepair-A", "Evolutionary Search", IF($O734="SequenceR", "Deep Learning", IF($O734="SimFix", "Search Like Pattern", IF($O734="SketchFix", "True Pattern", IF($O734="SOFix", "True Pattern", IF($O734="ssFix", "Search Like Pattern", IF($O734="TBar", "True Pattern", ""))))))))))))))))))))</f>
        <v>True Pattern</v>
      </c>
      <c r="Q734" s="13" t="str">
        <f>IF(NOT(ISERR(SEARCH("*_Buggy",$A734))), "Buggy", IF(NOT(ISERR(SEARCH("*_Fixed",$A734))), "Fixed", IF(NOT(ISERR(SEARCH("*_Repaired",$A734))), "Repaired", "")))</f>
        <v>Fixed</v>
      </c>
      <c r="R734" s="13" t="s">
        <v>1669</v>
      </c>
      <c r="S734" s="25">
        <v>4</v>
      </c>
      <c r="T734" s="25">
        <v>5</v>
      </c>
      <c r="U734" s="25">
        <v>6</v>
      </c>
      <c r="V734" s="13">
        <v>11</v>
      </c>
      <c r="W734" s="13" t="str">
        <f>MID(A734, SEARCH("_", A734) +1, SEARCH("_", A734, SEARCH("_", A734) +1) - SEARCH("_", A734) -1)</f>
        <v>Math-88</v>
      </c>
    </row>
    <row r="735" spans="1:23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>LEFT($A735,FIND("_",$A735)-1)</f>
        <v>FixMiner</v>
      </c>
      <c r="P735" s="13" t="str">
        <f>IF($O735="ACS", "True Search", IF($O735="Arja", "Evolutionary Search", IF($O735="AVATAR", "True Pattern", IF($O735="CapGen", "Search Like Pattern", IF($O735="Cardumen", "True Semantic", IF($O735="DynaMoth", "True Semantic", IF($O735="FixMiner", "True Pattern", IF($O735="GenProg-A", "Evolutionary Search", IF($O735="Hercules", "Learning Pattern", IF($O735="Jaid", "True Semantic",
IF($O735="Kali-A", "True Search", IF($O735="kPAR", "True Pattern", IF($O735="Nopol", "True Semantic", IF($O735="RSRepair-A", "Evolutionary Search", IF($O735="SequenceR", "Deep Learning", IF($O735="SimFix", "Search Like Pattern", IF($O735="SketchFix", "True Pattern", IF($O735="SOFix", "True Pattern", IF($O735="ssFix", "Search Like Pattern", IF($O735="TBar", "True Pattern", ""))))))))))))))))))))</f>
        <v>True Pattern</v>
      </c>
      <c r="Q735" s="13" t="str">
        <f>IF(NOT(ISERR(SEARCH("*_Buggy",$A735))), "Buggy", IF(NOT(ISERR(SEARCH("*_Fixed",$A735))), "Fixed", IF(NOT(ISERR(SEARCH("*_Repaired",$A735))), "Repaired", "")))</f>
        <v>Fixed</v>
      </c>
      <c r="R735" s="13" t="s">
        <v>1669</v>
      </c>
      <c r="S735" s="25">
        <v>3</v>
      </c>
      <c r="T735" s="25">
        <v>3</v>
      </c>
      <c r="U735" s="25">
        <v>1</v>
      </c>
      <c r="V735" s="13">
        <v>3</v>
      </c>
      <c r="W735" s="13" t="str">
        <f>MID(A735, SEARCH("_", A735) +1, SEARCH("_", A735, SEARCH("_", A735) +1) - SEARCH("_", A735) -1)</f>
        <v>Math-95</v>
      </c>
    </row>
    <row r="736" spans="1:23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>LEFT($A736,FIND("_",$A736)-1)</f>
        <v>FixMiner</v>
      </c>
      <c r="P736" s="13" t="str">
        <f>IF($O736="ACS", "True Search", IF($O736="Arja", "Evolutionary Search", IF($O736="AVATAR", "True Pattern", IF($O736="CapGen", "Search Like Pattern", IF($O736="Cardumen", "True Semantic", IF($O736="DynaMoth", "True Semantic", IF($O736="FixMiner", "True Pattern", IF($O736="GenProg-A", "Evolutionary Search", IF($O736="Hercules", "Learning Pattern", IF($O736="Jaid", "True Semantic",
IF($O736="Kali-A", "True Search", IF($O736="kPAR", "True Pattern", IF($O736="Nopol", "True Semantic", IF($O736="RSRepair-A", "Evolutionary Search", IF($O736="SequenceR", "Deep Learning", IF($O736="SimFix", "Search Like Pattern", IF($O736="SketchFix", "True Pattern", IF($O736="SOFix", "True Pattern", IF($O736="ssFix", "Search Like Pattern", IF($O736="TBar", "True Pattern", ""))))))))))))))))))))</f>
        <v>True Pattern</v>
      </c>
      <c r="Q736" s="13" t="str">
        <f>IF(NOT(ISERR(SEARCH("*_Buggy",$A736))), "Buggy", IF(NOT(ISERR(SEARCH("*_Fixed",$A736))), "Fixed", IF(NOT(ISERR(SEARCH("*_Repaired",$A736))), "Repaired", "")))</f>
        <v>Fixed</v>
      </c>
      <c r="R736" s="13" t="s">
        <v>1669</v>
      </c>
      <c r="S736" s="25">
        <v>5</v>
      </c>
      <c r="T736" s="25">
        <v>16</v>
      </c>
      <c r="U736" s="25">
        <v>2</v>
      </c>
      <c r="V736" s="13">
        <v>16</v>
      </c>
      <c r="W736" s="13" t="str">
        <f>MID(A736, SEARCH("_", A736) +1, SEARCH("_", A736, SEARCH("_", A736) +1) - SEARCH("_", A736) -1)</f>
        <v>Math-97</v>
      </c>
    </row>
    <row r="737" spans="1:23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>LEFT($A737,FIND("_",$A737)-1)</f>
        <v>FixMiner</v>
      </c>
      <c r="P737" s="13" t="str">
        <f>IF($O737="ACS", "True Search", IF($O737="Arja", "Evolutionary Search", IF($O737="AVATAR", "True Pattern", IF($O737="CapGen", "Search Like Pattern", IF($O737="Cardumen", "True Semantic", IF($O737="DynaMoth", "True Semantic", IF($O737="FixMiner", "True Pattern", IF($O737="GenProg-A", "Evolutionary Search", IF($O737="Hercules", "Learning Pattern", IF($O737="Jaid", "True Semantic",
IF($O737="Kali-A", "True Search", IF($O737="kPAR", "True Pattern", IF($O737="Nopol", "True Semantic", IF($O737="RSRepair-A", "Evolutionary Search", IF($O737="SequenceR", "Deep Learning", IF($O737="SimFix", "Search Like Pattern", IF($O737="SketchFix", "True Pattern", IF($O737="SOFix", "True Pattern", IF($O737="ssFix", "Search Like Pattern", IF($O737="TBar", "True Pattern", ""))))))))))))))))))))</f>
        <v>True Pattern</v>
      </c>
      <c r="Q737" s="13" t="str">
        <f>IF(NOT(ISERR(SEARCH("*_Buggy",$A737))), "Buggy", IF(NOT(ISERR(SEARCH("*_Fixed",$A737))), "Fixed", IF(NOT(ISERR(SEARCH("*_Repaired",$A737))), "Repaired", "")))</f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v>1</v>
      </c>
      <c r="W737" s="13" t="str">
        <f>MID(A737, SEARCH("_", A737) +1, SEARCH("_", A737, SEARCH("_", A737) +1) - SEARCH("_", A737) -1)</f>
        <v>Mockito-29</v>
      </c>
    </row>
    <row r="738" spans="1:23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>LEFT($A738,FIND("_",$A738)-1)</f>
        <v>FixMiner</v>
      </c>
      <c r="P738" s="13" t="str">
        <f>IF($O738="ACS", "True Search", IF($O738="Arja", "Evolutionary Search", IF($O738="AVATAR", "True Pattern", IF($O738="CapGen", "Search Like Pattern", IF($O738="Cardumen", "True Semantic", IF($O738="DynaMoth", "True Semantic", IF($O738="FixMiner", "True Pattern", IF($O738="GenProg-A", "Evolutionary Search", IF($O738="Hercules", "Learning Pattern", IF($O738="Jaid", "True Semantic",
IF($O738="Kali-A", "True Search", IF($O738="kPAR", "True Pattern", IF($O738="Nopol", "True Semantic", IF($O738="RSRepair-A", "Evolutionary Search", IF($O738="SequenceR", "Deep Learning", IF($O738="SimFix", "Search Like Pattern", IF($O738="SketchFix", "True Pattern", IF($O738="SOFix", "True Pattern", IF($O738="ssFix", "Search Like Pattern", IF($O738="TBar", "True Pattern", ""))))))))))))))))))))</f>
        <v>True Pattern</v>
      </c>
      <c r="Q738" s="13" t="str">
        <f>IF(NOT(ISERR(SEARCH("*_Buggy",$A738))), "Buggy", IF(NOT(ISERR(SEARCH("*_Fixed",$A738))), "Fixed", IF(NOT(ISERR(SEARCH("*_Repaired",$A738))), "Repaired", "")))</f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v>1</v>
      </c>
      <c r="W738" s="13" t="str">
        <f>MID(A738, SEARCH("_", A738) +1, SEARCH("_", A738, SEARCH("_", A738) +1) - SEARCH("_", A738) -1)</f>
        <v>Mockito-38</v>
      </c>
    </row>
    <row r="739" spans="1:23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>LEFT($A739,FIND("_",$A739)-1)</f>
        <v>GenProg-A</v>
      </c>
      <c r="P739" s="13" t="str">
        <f>IF($O739="ACS", "True Search", IF($O739="Arja", "Evolutionary Search", IF($O739="AVATAR", "True Pattern", IF($O739="CapGen", "Search Like Pattern", IF($O739="Cardumen", "True Semantic", IF($O739="DynaMoth", "True Semantic", IF($O739="FixMiner", "True Pattern", IF($O739="GenProg-A", "Evolutionary Search", IF($O739="Hercules", "Learning Pattern", IF($O739="Jaid", "True Semantic",
IF($O739="Kali-A", "True Search", IF($O739="kPAR", "True Pattern", IF($O739="Nopol", "True Semantic", IF($O739="RSRepair-A", "Evolutionary Search", IF($O739="SequenceR", "Deep Learning", IF($O739="SimFix", "Search Like Pattern", IF($O739="SketchFix", "True Pattern", IF($O739="SOFix", "True Pattern", IF($O739="ssFix", "Search Like Pattern", IF($O739="TBar", "True Pattern", ""))))))))))))))))))))</f>
        <v>Evolutionary Search</v>
      </c>
      <c r="Q739" s="13" t="str">
        <f>IF(NOT(ISERR(SEARCH("*_Buggy",$A739))), "Buggy", IF(NOT(ISERR(SEARCH("*_Fixed",$A739))), "Fixed", IF(NOT(ISERR(SEARCH("*_Repaired",$A739))), "Repaired", "")))</f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v>1</v>
      </c>
      <c r="W739" s="13" t="str">
        <f>MID(A739, SEARCH("_", A739) +1, SEARCH("_", A739, SEARCH("_", A739) +1) - SEARCH("_", A739) -1)</f>
        <v>Chart-1</v>
      </c>
    </row>
    <row r="740" spans="1:23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>LEFT($A740,FIND("_",$A740)-1)</f>
        <v>GenProg-A</v>
      </c>
      <c r="P740" s="13" t="str">
        <f>IF($O740="ACS", "True Search", IF($O740="Arja", "Evolutionary Search", IF($O740="AVATAR", "True Pattern", IF($O740="CapGen", "Search Like Pattern", IF($O740="Cardumen", "True Semantic", IF($O740="DynaMoth", "True Semantic", IF($O740="FixMiner", "True Pattern", IF($O740="GenProg-A", "Evolutionary Search", IF($O740="Hercules", "Learning Pattern", IF($O740="Jaid", "True Semantic",
IF($O740="Kali-A", "True Search", IF($O740="kPAR", "True Pattern", IF($O740="Nopol", "True Semantic", IF($O740="RSRepair-A", "Evolutionary Search", IF($O740="SequenceR", "Deep Learning", IF($O740="SimFix", "Search Like Pattern", IF($O740="SketchFix", "True Pattern", IF($O740="SOFix", "True Pattern", IF($O740="ssFix", "Search Like Pattern", IF($O740="TBar", "True Pattern", ""))))))))))))))))))))</f>
        <v>Evolutionary Search</v>
      </c>
      <c r="Q740" s="13" t="str">
        <f>IF(NOT(ISERR(SEARCH("*_Buggy",$A740))), "Buggy", IF(NOT(ISERR(SEARCH("*_Fixed",$A740))), "Fixed", IF(NOT(ISERR(SEARCH("*_Repaired",$A740))), "Repaired", "")))</f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v>1</v>
      </c>
      <c r="W740" s="13" t="str">
        <f>MID(A740, SEARCH("_", A740) +1, SEARCH("_", A740, SEARCH("_", A740) +1) - SEARCH("_", A740) -1)</f>
        <v>Chart-12</v>
      </c>
    </row>
    <row r="741" spans="1:23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>LEFT($A741,FIND("_",$A741)-1)</f>
        <v>GenProg-A</v>
      </c>
      <c r="P741" s="13" t="str">
        <f>IF($O741="ACS", "True Search", IF($O741="Arja", "Evolutionary Search", IF($O741="AVATAR", "True Pattern", IF($O741="CapGen", "Search Like Pattern", IF($O741="Cardumen", "True Semantic", IF($O741="DynaMoth", "True Semantic", IF($O741="FixMiner", "True Pattern", IF($O741="GenProg-A", "Evolutionary Search", IF($O741="Hercules", "Learning Pattern", IF($O741="Jaid", "True Semantic",
IF($O741="Kali-A", "True Search", IF($O741="kPAR", "True Pattern", IF($O741="Nopol", "True Semantic", IF($O741="RSRepair-A", "Evolutionary Search", IF($O741="SequenceR", "Deep Learning", IF($O741="SimFix", "Search Like Pattern", IF($O741="SketchFix", "True Pattern", IF($O741="SOFix", "True Pattern", IF($O741="ssFix", "Search Like Pattern", IF($O741="TBar", "True Pattern", ""))))))))))))))))))))</f>
        <v>Evolutionary Search</v>
      </c>
      <c r="Q741" s="13" t="str">
        <f>IF(NOT(ISERR(SEARCH("*_Buggy",$A741))), "Buggy", IF(NOT(ISERR(SEARCH("*_Fixed",$A741))), "Fixed", IF(NOT(ISERR(SEARCH("*_Repaired",$A741))), "Repaired", "")))</f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v>1</v>
      </c>
      <c r="W741" s="13" t="str">
        <f>MID(A741, SEARCH("_", A741) +1, SEARCH("_", A741, SEARCH("_", A741) +1) - SEARCH("_", A741) -1)</f>
        <v>Chart-13</v>
      </c>
    </row>
    <row r="742" spans="1:23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>LEFT($A742,FIND("_",$A742)-1)</f>
        <v>GenProg-A</v>
      </c>
      <c r="P742" s="13" t="str">
        <f>IF($O742="ACS", "True Search", IF($O742="Arja", "Evolutionary Search", IF($O742="AVATAR", "True Pattern", IF($O742="CapGen", "Search Like Pattern", IF($O742="Cardumen", "True Semantic", IF($O742="DynaMoth", "True Semantic", IF($O742="FixMiner", "True Pattern", IF($O742="GenProg-A", "Evolutionary Search", IF($O742="Hercules", "Learning Pattern", IF($O742="Jaid", "True Semantic",
IF($O742="Kali-A", "True Search", IF($O742="kPAR", "True Pattern", IF($O742="Nopol", "True Semantic", IF($O742="RSRepair-A", "Evolutionary Search", IF($O742="SequenceR", "Deep Learning", IF($O742="SimFix", "Search Like Pattern", IF($O742="SketchFix", "True Pattern", IF($O742="SOFix", "True Pattern", IF($O742="ssFix", "Search Like Pattern", IF($O742="TBar", "True Pattern", ""))))))))))))))))))))</f>
        <v>Evolutionary Search</v>
      </c>
      <c r="Q742" s="13" t="str">
        <f>IF(NOT(ISERR(SEARCH("*_Buggy",$A742))), "Buggy", IF(NOT(ISERR(SEARCH("*_Fixed",$A742))), "Fixed", IF(NOT(ISERR(SEARCH("*_Repaired",$A742))), "Repaired", "")))</f>
        <v>Fixed</v>
      </c>
      <c r="R742" s="13" t="s">
        <v>1669</v>
      </c>
      <c r="S742" s="25">
        <v>1</v>
      </c>
      <c r="T742" s="13">
        <v>2</v>
      </c>
      <c r="U742" s="25">
        <v>0</v>
      </c>
      <c r="V742" s="13">
        <v>2</v>
      </c>
      <c r="W742" s="13" t="str">
        <f>MID(A742, SEARCH("_", A742) +1, SEARCH("_", A742, SEARCH("_", A742) +1) - SEARCH("_", A742) -1)</f>
        <v>Chart-3</v>
      </c>
    </row>
    <row r="743" spans="1:23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>LEFT($A743,FIND("_",$A743)-1)</f>
        <v>GenProg-A</v>
      </c>
      <c r="P743" s="13" t="str">
        <f>IF($O743="ACS", "True Search", IF($O743="Arja", "Evolutionary Search", IF($O743="AVATAR", "True Pattern", IF($O743="CapGen", "Search Like Pattern", IF($O743="Cardumen", "True Semantic", IF($O743="DynaMoth", "True Semantic", IF($O743="FixMiner", "True Pattern", IF($O743="GenProg-A", "Evolutionary Search", IF($O743="Hercules", "Learning Pattern", IF($O743="Jaid", "True Semantic",
IF($O743="Kali-A", "True Search", IF($O743="kPAR", "True Pattern", IF($O743="Nopol", "True Semantic", IF($O743="RSRepair-A", "Evolutionary Search", IF($O743="SequenceR", "Deep Learning", IF($O743="SimFix", "Search Like Pattern", IF($O743="SketchFix", "True Pattern", IF($O743="SOFix", "True Pattern", IF($O743="ssFix", "Search Like Pattern", IF($O743="TBar", "True Pattern", ""))))))))))))))))))))</f>
        <v>Evolutionary Search</v>
      </c>
      <c r="Q743" s="13" t="str">
        <f>IF(NOT(ISERR(SEARCH("*_Buggy",$A743))), "Buggy", IF(NOT(ISERR(SEARCH("*_Fixed",$A743))), "Fixed", IF(NOT(ISERR(SEARCH("*_Repaired",$A743))), "Repaired", "")))</f>
        <v>Fixed</v>
      </c>
      <c r="R743" s="13" t="s">
        <v>1669</v>
      </c>
      <c r="S743" s="25">
        <v>1</v>
      </c>
      <c r="T743" s="25">
        <v>9</v>
      </c>
      <c r="U743" s="25">
        <v>3</v>
      </c>
      <c r="V743" s="13">
        <v>9</v>
      </c>
      <c r="W743" s="13" t="str">
        <f>MID(A743, SEARCH("_", A743) +1, SEARCH("_", A743, SEARCH("_", A743) +1) - SEARCH("_", A743) -1)</f>
        <v>Closure-112</v>
      </c>
    </row>
    <row r="744" spans="1:23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>LEFT($A744,FIND("_",$A744)-1)</f>
        <v>GenProg-A</v>
      </c>
      <c r="P744" s="13" t="str">
        <f>IF($O744="ACS", "True Search", IF($O744="Arja", "Evolutionary Search", IF($O744="AVATAR", "True Pattern", IF($O744="CapGen", "Search Like Pattern", IF($O744="Cardumen", "True Semantic", IF($O744="DynaMoth", "True Semantic", IF($O744="FixMiner", "True Pattern", IF($O744="GenProg-A", "Evolutionary Search", IF($O744="Hercules", "Learning Pattern", IF($O744="Jaid", "True Semantic",
IF($O744="Kali-A", "True Search", IF($O744="kPAR", "True Pattern", IF($O744="Nopol", "True Semantic", IF($O744="RSRepair-A", "Evolutionary Search", IF($O744="SequenceR", "Deep Learning", IF($O744="SimFix", "Search Like Pattern", IF($O744="SketchFix", "True Pattern", IF($O744="SOFix", "True Pattern", IF($O744="ssFix", "Search Like Pattern", IF($O744="TBar", "True Pattern", ""))))))))))))))))))))</f>
        <v>Evolutionary Search</v>
      </c>
      <c r="Q744" s="13" t="str">
        <f>IF(NOT(ISERR(SEARCH("*_Buggy",$A744))), "Buggy", IF(NOT(ISERR(SEARCH("*_Fixed",$A744))), "Fixed", IF(NOT(ISERR(SEARCH("*_Repaired",$A744))), "Repaired", "")))</f>
        <v>Fixed</v>
      </c>
      <c r="R744" s="13" t="s">
        <v>1668</v>
      </c>
      <c r="S744" s="25">
        <v>2</v>
      </c>
      <c r="T744" s="25">
        <v>0</v>
      </c>
      <c r="U744" s="13">
        <v>11</v>
      </c>
      <c r="V744" s="13">
        <v>11</v>
      </c>
      <c r="W744" s="13" t="str">
        <f>MID(A744, SEARCH("_", A744) +1, SEARCH("_", A744, SEARCH("_", A744) +1) - SEARCH("_", A744) -1)</f>
        <v>Closure-115</v>
      </c>
    </row>
    <row r="745" spans="1:23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>LEFT($A745,FIND("_",$A745)-1)</f>
        <v>GenProg-A</v>
      </c>
      <c r="P745" s="13" t="str">
        <f>IF($O745="ACS", "True Search", IF($O745="Arja", "Evolutionary Search", IF($O745="AVATAR", "True Pattern", IF($O745="CapGen", "Search Like Pattern", IF($O745="Cardumen", "True Semantic", IF($O745="DynaMoth", "True Semantic", IF($O745="FixMiner", "True Pattern", IF($O745="GenProg-A", "Evolutionary Search", IF($O745="Hercules", "Learning Pattern", IF($O745="Jaid", "True Semantic",
IF($O745="Kali-A", "True Search", IF($O745="kPAR", "True Pattern", IF($O745="Nopol", "True Semantic", IF($O745="RSRepair-A", "Evolutionary Search", IF($O745="SequenceR", "Deep Learning", IF($O745="SimFix", "Search Like Pattern", IF($O745="SketchFix", "True Pattern", IF($O745="SOFix", "True Pattern", IF($O745="ssFix", "Search Like Pattern", IF($O745="TBar", "True Pattern", ""))))))))))))))))))))</f>
        <v>Evolutionary Search</v>
      </c>
      <c r="Q745" s="13" t="str">
        <f>IF(NOT(ISERR(SEARCH("*_Buggy",$A745))), "Buggy", IF(NOT(ISERR(SEARCH("*_Fixed",$A745))), "Fixed", IF(NOT(ISERR(SEARCH("*_Repaired",$A745))), "Repaired", "")))</f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v>24</v>
      </c>
      <c r="W745" s="13" t="str">
        <f>MID(A745, SEARCH("_", A745) +1, SEARCH("_", A745, SEARCH("_", A745) +1) - SEARCH("_", A745) -1)</f>
        <v>Closure-117</v>
      </c>
    </row>
    <row r="746" spans="1:23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>LEFT($A746,FIND("_",$A746)-1)</f>
        <v>GenProg-A</v>
      </c>
      <c r="P746" s="13" t="str">
        <f>IF($O746="ACS", "True Search", IF($O746="Arja", "Evolutionary Search", IF($O746="AVATAR", "True Pattern", IF($O746="CapGen", "Search Like Pattern", IF($O746="Cardumen", "True Semantic", IF($O746="DynaMoth", "True Semantic", IF($O746="FixMiner", "True Pattern", IF($O746="GenProg-A", "Evolutionary Search", IF($O746="Hercules", "Learning Pattern", IF($O746="Jaid", "True Semantic",
IF($O746="Kali-A", "True Search", IF($O746="kPAR", "True Pattern", IF($O746="Nopol", "True Semantic", IF($O746="RSRepair-A", "Evolutionary Search", IF($O746="SequenceR", "Deep Learning", IF($O746="SimFix", "Search Like Pattern", IF($O746="SketchFix", "True Pattern", IF($O746="SOFix", "True Pattern", IF($O746="ssFix", "Search Like Pattern", IF($O746="TBar", "True Pattern", ""))))))))))))))))))))</f>
        <v>Evolutionary Search</v>
      </c>
      <c r="Q746" s="13" t="str">
        <f>IF(NOT(ISERR(SEARCH("*_Buggy",$A746))), "Buggy", IF(NOT(ISERR(SEARCH("*_Fixed",$A746))), "Fixed", IF(NOT(ISERR(SEARCH("*_Repaired",$A746))), "Repaired", "")))</f>
        <v>Fixed</v>
      </c>
      <c r="R746" s="13" t="s">
        <v>1669</v>
      </c>
      <c r="S746" s="25">
        <v>2</v>
      </c>
      <c r="T746" s="13">
        <v>2</v>
      </c>
      <c r="U746" s="25">
        <v>0</v>
      </c>
      <c r="V746" s="13">
        <v>2</v>
      </c>
      <c r="W746" s="13" t="str">
        <f>MID(A746, SEARCH("_", A746) +1, SEARCH("_", A746, SEARCH("_", A746) +1) - SEARCH("_", A746) -1)</f>
        <v>Closure-124</v>
      </c>
    </row>
    <row r="747" spans="1:23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>LEFT($A747,FIND("_",$A747)-1)</f>
        <v>GenProg-A</v>
      </c>
      <c r="P747" s="13" t="str">
        <f>IF($O747="ACS", "True Search", IF($O747="Arja", "Evolutionary Search", IF($O747="AVATAR", "True Pattern", IF($O747="CapGen", "Search Like Pattern", IF($O747="Cardumen", "True Semantic", IF($O747="DynaMoth", "True Semantic", IF($O747="FixMiner", "True Pattern", IF($O747="GenProg-A", "Evolutionary Search", IF($O747="Hercules", "Learning Pattern", IF($O747="Jaid", "True Semantic",
IF($O747="Kali-A", "True Search", IF($O747="kPAR", "True Pattern", IF($O747="Nopol", "True Semantic", IF($O747="RSRepair-A", "Evolutionary Search", IF($O747="SequenceR", "Deep Learning", IF($O747="SimFix", "Search Like Pattern", IF($O747="SketchFix", "True Pattern", IF($O747="SOFix", "True Pattern", IF($O747="ssFix", "Search Like Pattern", IF($O747="TBar", "True Pattern", ""))))))))))))))))))))</f>
        <v>Evolutionary Search</v>
      </c>
      <c r="Q747" s="13" t="str">
        <f>IF(NOT(ISERR(SEARCH("*_Buggy",$A747))), "Buggy", IF(NOT(ISERR(SEARCH("*_Fixed",$A747))), "Fixed", IF(NOT(ISERR(SEARCH("*_Repaired",$A747))), "Repaired", "")))</f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v>1</v>
      </c>
      <c r="W747" s="13" t="str">
        <f>MID(A747, SEARCH("_", A747) +1, SEARCH("_", A747, SEARCH("_", A747) +1) - SEARCH("_", A747) -1)</f>
        <v>Closure-125</v>
      </c>
    </row>
    <row r="748" spans="1:23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>LEFT($A748,FIND("_",$A748)-1)</f>
        <v>GenProg-A</v>
      </c>
      <c r="P748" s="13" t="str">
        <f>IF($O748="ACS", "True Search", IF($O748="Arja", "Evolutionary Search", IF($O748="AVATAR", "True Pattern", IF($O748="CapGen", "Search Like Pattern", IF($O748="Cardumen", "True Semantic", IF($O748="DynaMoth", "True Semantic", IF($O748="FixMiner", "True Pattern", IF($O748="GenProg-A", "Evolutionary Search", IF($O748="Hercules", "Learning Pattern", IF($O748="Jaid", "True Semantic",
IF($O748="Kali-A", "True Search", IF($O748="kPAR", "True Pattern", IF($O748="Nopol", "True Semantic", IF($O748="RSRepair-A", "Evolutionary Search", IF($O748="SequenceR", "Deep Learning", IF($O748="SimFix", "Search Like Pattern", IF($O748="SketchFix", "True Pattern", IF($O748="SOFix", "True Pattern", IF($O748="ssFix", "Search Like Pattern", IF($O748="TBar", "True Pattern", ""))))))))))))))))))))</f>
        <v>Evolutionary Search</v>
      </c>
      <c r="Q748" s="13" t="str">
        <f>IF(NOT(ISERR(SEARCH("*_Buggy",$A748))), "Buggy", IF(NOT(ISERR(SEARCH("*_Fixed",$A748))), "Fixed", IF(NOT(ISERR(SEARCH("*_Repaired",$A748))), "Repaired", "")))</f>
        <v>Fixed</v>
      </c>
      <c r="R748" s="13" t="s">
        <v>1668</v>
      </c>
      <c r="S748" s="25">
        <v>2</v>
      </c>
      <c r="T748" s="25">
        <v>2</v>
      </c>
      <c r="U748" s="25">
        <v>19</v>
      </c>
      <c r="V748" s="13">
        <v>19</v>
      </c>
      <c r="W748" s="13" t="str">
        <f>MID(A748, SEARCH("_", A748) +1, SEARCH("_", A748, SEARCH("_", A748) +1) - SEARCH("_", A748) -1)</f>
        <v>Closure-21</v>
      </c>
    </row>
    <row r="749" spans="1:23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>LEFT($A749,FIND("_",$A749)-1)</f>
        <v>GenProg-A</v>
      </c>
      <c r="P749" s="13" t="str">
        <f>IF($O749="ACS", "True Search", IF($O749="Arja", "Evolutionary Search", IF($O749="AVATAR", "True Pattern", IF($O749="CapGen", "Search Like Pattern", IF($O749="Cardumen", "True Semantic", IF($O749="DynaMoth", "True Semantic", IF($O749="FixMiner", "True Pattern", IF($O749="GenProg-A", "Evolutionary Search", IF($O749="Hercules", "Learning Pattern", IF($O749="Jaid", "True Semantic",
IF($O749="Kali-A", "True Search", IF($O749="kPAR", "True Pattern", IF($O749="Nopol", "True Semantic", IF($O749="RSRepair-A", "Evolutionary Search", IF($O749="SequenceR", "Deep Learning", IF($O749="SimFix", "Search Like Pattern", IF($O749="SketchFix", "True Pattern", IF($O749="SOFix", "True Pattern", IF($O749="ssFix", "Search Like Pattern", IF($O749="TBar", "True Pattern", ""))))))))))))))))))))</f>
        <v>Evolutionary Search</v>
      </c>
      <c r="Q749" s="13" t="str">
        <f>IF(NOT(ISERR(SEARCH("*_Buggy",$A749))), "Buggy", IF(NOT(ISERR(SEARCH("*_Fixed",$A749))), "Fixed", IF(NOT(ISERR(SEARCH("*_Repaired",$A749))), "Repaired", "")))</f>
        <v>Fixed</v>
      </c>
      <c r="R749" s="13" t="s">
        <v>1669</v>
      </c>
      <c r="S749" s="25">
        <v>5</v>
      </c>
      <c r="T749" s="25">
        <v>2</v>
      </c>
      <c r="U749" s="25">
        <v>26</v>
      </c>
      <c r="V749" s="13">
        <v>26</v>
      </c>
      <c r="W749" s="13" t="str">
        <f>MID(A749, SEARCH("_", A749) +1, SEARCH("_", A749, SEARCH("_", A749) +1) - SEARCH("_", A749) -1)</f>
        <v>Closure-22</v>
      </c>
    </row>
    <row r="750" spans="1:23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>LEFT($A750,FIND("_",$A750)-1)</f>
        <v>GenProg-A</v>
      </c>
      <c r="P750" s="13" t="str">
        <f>IF($O750="ACS", "True Search", IF($O750="Arja", "Evolutionary Search", IF($O750="AVATAR", "True Pattern", IF($O750="CapGen", "Search Like Pattern", IF($O750="Cardumen", "True Semantic", IF($O750="DynaMoth", "True Semantic", IF($O750="FixMiner", "True Pattern", IF($O750="GenProg-A", "Evolutionary Search", IF($O750="Hercules", "Learning Pattern", IF($O750="Jaid", "True Semantic",
IF($O750="Kali-A", "True Search", IF($O750="kPAR", "True Pattern", IF($O750="Nopol", "True Semantic", IF($O750="RSRepair-A", "Evolutionary Search", IF($O750="SequenceR", "Deep Learning", IF($O750="SimFix", "Search Like Pattern", IF($O750="SketchFix", "True Pattern", IF($O750="SOFix", "True Pattern", IF($O750="ssFix", "Search Like Pattern", IF($O750="TBar", "True Pattern", ""))))))))))))))))))))</f>
        <v>Evolutionary Search</v>
      </c>
      <c r="Q750" s="13" t="str">
        <f>IF(NOT(ISERR(SEARCH("*_Buggy",$A750))), "Buggy", IF(NOT(ISERR(SEARCH("*_Fixed",$A750))), "Fixed", IF(NOT(ISERR(SEARCH("*_Repaired",$A750))), "Repaired", "")))</f>
        <v>Fixed</v>
      </c>
      <c r="R750" s="13" t="s">
        <v>1669</v>
      </c>
      <c r="S750" s="25">
        <v>3</v>
      </c>
      <c r="T750" s="25">
        <v>8</v>
      </c>
      <c r="U750" s="25">
        <v>2</v>
      </c>
      <c r="V750" s="13">
        <v>8</v>
      </c>
      <c r="W750" s="13" t="str">
        <f>MID(A750, SEARCH("_", A750) +1, SEARCH("_", A750, SEARCH("_", A750) +1) - SEARCH("_", A750) -1)</f>
        <v>Closure-3</v>
      </c>
    </row>
    <row r="751" spans="1:23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>LEFT($A751,FIND("_",$A751)-1)</f>
        <v>GenProg-A</v>
      </c>
      <c r="P751" s="13" t="str">
        <f>IF($O751="ACS", "True Search", IF($O751="Arja", "Evolutionary Search", IF($O751="AVATAR", "True Pattern", IF($O751="CapGen", "Search Like Pattern", IF($O751="Cardumen", "True Semantic", IF($O751="DynaMoth", "True Semantic", IF($O751="FixMiner", "True Pattern", IF($O751="GenProg-A", "Evolutionary Search", IF($O751="Hercules", "Learning Pattern", IF($O751="Jaid", "True Semantic",
IF($O751="Kali-A", "True Search", IF($O751="kPAR", "True Pattern", IF($O751="Nopol", "True Semantic", IF($O751="RSRepair-A", "Evolutionary Search", IF($O751="SequenceR", "Deep Learning", IF($O751="SimFix", "Search Like Pattern", IF($O751="SketchFix", "True Pattern", IF($O751="SOFix", "True Pattern", IF($O751="ssFix", "Search Like Pattern", IF($O751="TBar", "True Pattern", ""))))))))))))))))))))</f>
        <v>Evolutionary Search</v>
      </c>
      <c r="Q751" s="13" t="str">
        <f>IF(NOT(ISERR(SEARCH("*_Buggy",$A751))), "Buggy", IF(NOT(ISERR(SEARCH("*_Fixed",$A751))), "Fixed", IF(NOT(ISERR(SEARCH("*_Repaired",$A751))), "Repaired", "")))</f>
        <v>Fixed</v>
      </c>
      <c r="R751" s="13" t="s">
        <v>1669</v>
      </c>
      <c r="S751" s="25">
        <v>1</v>
      </c>
      <c r="T751" s="13">
        <v>3</v>
      </c>
      <c r="U751" s="25">
        <v>0</v>
      </c>
      <c r="V751" s="13">
        <v>3</v>
      </c>
      <c r="W751" s="13" t="str">
        <f>MID(A751, SEARCH("_", A751) +1, SEARCH("_", A751, SEARCH("_", A751) +1) - SEARCH("_", A751) -1)</f>
        <v>Closure-33</v>
      </c>
    </row>
    <row r="752" spans="1:23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>LEFT($A752,FIND("_",$A752)-1)</f>
        <v>GenProg-A</v>
      </c>
      <c r="P752" s="13" t="str">
        <f>IF($O752="ACS", "True Search", IF($O752="Arja", "Evolutionary Search", IF($O752="AVATAR", "True Pattern", IF($O752="CapGen", "Search Like Pattern", IF($O752="Cardumen", "True Semantic", IF($O752="DynaMoth", "True Semantic", IF($O752="FixMiner", "True Pattern", IF($O752="GenProg-A", "Evolutionary Search", IF($O752="Hercules", "Learning Pattern", IF($O752="Jaid", "True Semantic",
IF($O752="Kali-A", "True Search", IF($O752="kPAR", "True Pattern", IF($O752="Nopol", "True Semantic", IF($O752="RSRepair-A", "Evolutionary Search", IF($O752="SequenceR", "Deep Learning", IF($O752="SimFix", "Search Like Pattern", IF($O752="SketchFix", "True Pattern", IF($O752="SOFix", "True Pattern", IF($O752="ssFix", "Search Like Pattern", IF($O752="TBar", "True Pattern", ""))))))))))))))))))))</f>
        <v>Evolutionary Search</v>
      </c>
      <c r="Q752" s="13" t="str">
        <f>IF(NOT(ISERR(SEARCH("*_Buggy",$A752))), "Buggy", IF(NOT(ISERR(SEARCH("*_Fixed",$A752))), "Fixed", IF(NOT(ISERR(SEARCH("*_Repaired",$A752))), "Repaired", "")))</f>
        <v>Fixed</v>
      </c>
      <c r="R752" s="13" t="s">
        <v>1669</v>
      </c>
      <c r="S752" s="25">
        <v>1</v>
      </c>
      <c r="T752" s="25">
        <v>2</v>
      </c>
      <c r="U752" s="25">
        <v>1</v>
      </c>
      <c r="V752" s="13">
        <v>2</v>
      </c>
      <c r="W752" s="13" t="str">
        <f>MID(A752, SEARCH("_", A752) +1, SEARCH("_", A752, SEARCH("_", A752) +1) - SEARCH("_", A752) -1)</f>
        <v>Closure-55</v>
      </c>
    </row>
    <row r="753" spans="1:23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>LEFT($A753,FIND("_",$A753)-1)</f>
        <v>GenProg-A</v>
      </c>
      <c r="P753" s="13" t="str">
        <f>IF($O753="ACS", "True Search", IF($O753="Arja", "Evolutionary Search", IF($O753="AVATAR", "True Pattern", IF($O753="CapGen", "Search Like Pattern", IF($O753="Cardumen", "True Semantic", IF($O753="DynaMoth", "True Semantic", IF($O753="FixMiner", "True Pattern", IF($O753="GenProg-A", "Evolutionary Search", IF($O753="Hercules", "Learning Pattern", IF($O753="Jaid", "True Semantic",
IF($O753="Kali-A", "True Search", IF($O753="kPAR", "True Pattern", IF($O753="Nopol", "True Semantic", IF($O753="RSRepair-A", "Evolutionary Search", IF($O753="SequenceR", "Deep Learning", IF($O753="SimFix", "Search Like Pattern", IF($O753="SketchFix", "True Pattern", IF($O753="SOFix", "True Pattern", IF($O753="ssFix", "Search Like Pattern", IF($O753="TBar", "True Pattern", ""))))))))))))))))))))</f>
        <v>Evolutionary Search</v>
      </c>
      <c r="Q753" s="13" t="str">
        <f>IF(NOT(ISERR(SEARCH("*_Buggy",$A753))), "Buggy", IF(NOT(ISERR(SEARCH("*_Fixed",$A753))), "Fixed", IF(NOT(ISERR(SEARCH("*_Repaired",$A753))), "Repaired", "")))</f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v>1</v>
      </c>
      <c r="W753" s="13" t="str">
        <f>MID(A753, SEARCH("_", A753) +1, SEARCH("_", A753, SEARCH("_", A753) +1) - SEARCH("_", A753) -1)</f>
        <v>Closure-86</v>
      </c>
    </row>
    <row r="754" spans="1:23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>LEFT($A754,FIND("_",$A754)-1)</f>
        <v>GenProg-A</v>
      </c>
      <c r="P754" s="13" t="str">
        <f>IF($O754="ACS", "True Search", IF($O754="Arja", "Evolutionary Search", IF($O754="AVATAR", "True Pattern", IF($O754="CapGen", "Search Like Pattern", IF($O754="Cardumen", "True Semantic", IF($O754="DynaMoth", "True Semantic", IF($O754="FixMiner", "True Pattern", IF($O754="GenProg-A", "Evolutionary Search", IF($O754="Hercules", "Learning Pattern", IF($O754="Jaid", "True Semantic",
IF($O754="Kali-A", "True Search", IF($O754="kPAR", "True Pattern", IF($O754="Nopol", "True Semantic", IF($O754="RSRepair-A", "Evolutionary Search", IF($O754="SequenceR", "Deep Learning", IF($O754="SimFix", "Search Like Pattern", IF($O754="SketchFix", "True Pattern", IF($O754="SOFix", "True Pattern", IF($O754="ssFix", "Search Like Pattern", IF($O754="TBar", "True Pattern", ""))))))))))))))))))))</f>
        <v>Evolutionary Search</v>
      </c>
      <c r="Q754" s="13" t="str">
        <f>IF(NOT(ISERR(SEARCH("*_Buggy",$A754))), "Buggy", IF(NOT(ISERR(SEARCH("*_Fixed",$A754))), "Fixed", IF(NOT(ISERR(SEARCH("*_Repaired",$A754))), "Repaired", "")))</f>
        <v>Fixed</v>
      </c>
      <c r="R754" s="13" t="s">
        <v>1669</v>
      </c>
      <c r="S754" s="25">
        <v>2</v>
      </c>
      <c r="T754" s="13">
        <v>6</v>
      </c>
      <c r="U754" s="25">
        <v>0</v>
      </c>
      <c r="V754" s="13">
        <v>6</v>
      </c>
      <c r="W754" s="13" t="str">
        <f>MID(A754, SEARCH("_", A754) +1, SEARCH("_", A754, SEARCH("_", A754) +1) - SEARCH("_", A754) -1)</f>
        <v>Closure-88</v>
      </c>
    </row>
    <row r="755" spans="1:23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>LEFT($A755,FIND("_",$A755)-1)</f>
        <v>GenProg-A</v>
      </c>
      <c r="P755" s="13" t="str">
        <f>IF($O755="ACS", "True Search", IF($O755="Arja", "Evolutionary Search", IF($O755="AVATAR", "True Pattern", IF($O755="CapGen", "Search Like Pattern", IF($O755="Cardumen", "True Semantic", IF($O755="DynaMoth", "True Semantic", IF($O755="FixMiner", "True Pattern", IF($O755="GenProg-A", "Evolutionary Search", IF($O755="Hercules", "Learning Pattern", IF($O755="Jaid", "True Semantic",
IF($O755="Kali-A", "True Search", IF($O755="kPAR", "True Pattern", IF($O755="Nopol", "True Semantic", IF($O755="RSRepair-A", "Evolutionary Search", IF($O755="SequenceR", "Deep Learning", IF($O755="SimFix", "Search Like Pattern", IF($O755="SketchFix", "True Pattern", IF($O755="SOFix", "True Pattern", IF($O755="ssFix", "Search Like Pattern", IF($O755="TBar", "True Pattern", ""))))))))))))))))))))</f>
        <v>Evolutionary Search</v>
      </c>
      <c r="Q755" s="13" t="str">
        <f>IF(NOT(ISERR(SEARCH("*_Buggy",$A755))), "Buggy", IF(NOT(ISERR(SEARCH("*_Fixed",$A755))), "Fixed", IF(NOT(ISERR(SEARCH("*_Repaired",$A755))), "Repaired", "")))</f>
        <v>Fixed</v>
      </c>
      <c r="R755" s="13" t="s">
        <v>1668</v>
      </c>
      <c r="S755" s="25">
        <v>1</v>
      </c>
      <c r="T755" s="13">
        <v>1</v>
      </c>
      <c r="U755" s="25">
        <v>0</v>
      </c>
      <c r="V755" s="13">
        <v>1</v>
      </c>
      <c r="W755" s="13" t="str">
        <f>MID(A755, SEARCH("_", A755) +1, SEARCH("_", A755, SEARCH("_", A755) +1) - SEARCH("_", A755) -1)</f>
        <v>Lang-43</v>
      </c>
    </row>
    <row r="756" spans="1:23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>LEFT($A756,FIND("_",$A756)-1)</f>
        <v>GenProg-A</v>
      </c>
      <c r="P756" s="13" t="str">
        <f>IF($O756="ACS", "True Search", IF($O756="Arja", "Evolutionary Search", IF($O756="AVATAR", "True Pattern", IF($O756="CapGen", "Search Like Pattern", IF($O756="Cardumen", "True Semantic", IF($O756="DynaMoth", "True Semantic", IF($O756="FixMiner", "True Pattern", IF($O756="GenProg-A", "Evolutionary Search", IF($O756="Hercules", "Learning Pattern", IF($O756="Jaid", "True Semantic",
IF($O756="Kali-A", "True Search", IF($O756="kPAR", "True Pattern", IF($O756="Nopol", "True Semantic", IF($O756="RSRepair-A", "Evolutionary Search", IF($O756="SequenceR", "Deep Learning", IF($O756="SimFix", "Search Like Pattern", IF($O756="SketchFix", "True Pattern", IF($O756="SOFix", "True Pattern", IF($O756="ssFix", "Search Like Pattern", IF($O756="TBar", "True Pattern", ""))))))))))))))))))))</f>
        <v>Evolutionary Search</v>
      </c>
      <c r="Q756" s="13" t="str">
        <f>IF(NOT(ISERR(SEARCH("*_Buggy",$A756))), "Buggy", IF(NOT(ISERR(SEARCH("*_Fixed",$A756))), "Fixed", IF(NOT(ISERR(SEARCH("*_Repaired",$A756))), "Repaired", "")))</f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v>1</v>
      </c>
      <c r="W756" s="13" t="str">
        <f>MID(A756, SEARCH("_", A756) +1, SEARCH("_", A756, SEARCH("_", A756) +1) - SEARCH("_", A756) -1)</f>
        <v>Lang-59</v>
      </c>
    </row>
    <row r="757" spans="1:23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>LEFT($A757,FIND("_",$A757)-1)</f>
        <v>GenProg-A</v>
      </c>
      <c r="P757" s="13" t="str">
        <f>IF($O757="ACS", "True Search", IF($O757="Arja", "Evolutionary Search", IF($O757="AVATAR", "True Pattern", IF($O757="CapGen", "Search Like Pattern", IF($O757="Cardumen", "True Semantic", IF($O757="DynaMoth", "True Semantic", IF($O757="FixMiner", "True Pattern", IF($O757="GenProg-A", "Evolutionary Search", IF($O757="Hercules", "Learning Pattern", IF($O757="Jaid", "True Semantic",
IF($O757="Kali-A", "True Search", IF($O757="kPAR", "True Pattern", IF($O757="Nopol", "True Semantic", IF($O757="RSRepair-A", "Evolutionary Search", IF($O757="SequenceR", "Deep Learning", IF($O757="SimFix", "Search Like Pattern", IF($O757="SketchFix", "True Pattern", IF($O757="SOFix", "True Pattern", IF($O757="ssFix", "Search Like Pattern", IF($O757="TBar", "True Pattern", ""))))))))))))))))))))</f>
        <v>Evolutionary Search</v>
      </c>
      <c r="Q757" s="13" t="str">
        <f>IF(NOT(ISERR(SEARCH("*_Buggy",$A757))), "Buggy", IF(NOT(ISERR(SEARCH("*_Fixed",$A757))), "Fixed", IF(NOT(ISERR(SEARCH("*_Repaired",$A757))), "Repaired", "")))</f>
        <v>Fixed</v>
      </c>
      <c r="R757" s="13" t="s">
        <v>1669</v>
      </c>
      <c r="S757" s="25">
        <v>4</v>
      </c>
      <c r="T757" s="25">
        <v>3</v>
      </c>
      <c r="U757" s="25">
        <v>20</v>
      </c>
      <c r="V757" s="13">
        <v>22</v>
      </c>
      <c r="W757" s="13" t="str">
        <f>MID(A757, SEARCH("_", A757) +1, SEARCH("_", A757, SEARCH("_", A757) +1) - SEARCH("_", A757) -1)</f>
        <v>Lang-63</v>
      </c>
    </row>
    <row r="758" spans="1:23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>LEFT($A758,FIND("_",$A758)-1)</f>
        <v>GenProg-A</v>
      </c>
      <c r="P758" s="13" t="str">
        <f>IF($O758="ACS", "True Search", IF($O758="Arja", "Evolutionary Search", IF($O758="AVATAR", "True Pattern", IF($O758="CapGen", "Search Like Pattern", IF($O758="Cardumen", "True Semantic", IF($O758="DynaMoth", "True Semantic", IF($O758="FixMiner", "True Pattern", IF($O758="GenProg-A", "Evolutionary Search", IF($O758="Hercules", "Learning Pattern", IF($O758="Jaid", "True Semantic",
IF($O758="Kali-A", "True Search", IF($O758="kPAR", "True Pattern", IF($O758="Nopol", "True Semantic", IF($O758="RSRepair-A", "Evolutionary Search", IF($O758="SequenceR", "Deep Learning", IF($O758="SimFix", "Search Like Pattern", IF($O758="SketchFix", "True Pattern", IF($O758="SOFix", "True Pattern", IF($O758="ssFix", "Search Like Pattern", IF($O758="TBar", "True Pattern", ""))))))))))))))))))))</f>
        <v>Evolutionary Search</v>
      </c>
      <c r="Q758" s="13" t="str">
        <f>IF(NOT(ISERR(SEARCH("*_Buggy",$A758))), "Buggy", IF(NOT(ISERR(SEARCH("*_Fixed",$A758))), "Fixed", IF(NOT(ISERR(SEARCH("*_Repaired",$A758))), "Repaired", "")))</f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v>6</v>
      </c>
      <c r="W758" s="13" t="str">
        <f>MID(A758, SEARCH("_", A758) +1, SEARCH("_", A758, SEARCH("_", A758) +1) - SEARCH("_", A758) -1)</f>
        <v>Lang-7</v>
      </c>
    </row>
    <row r="759" spans="1:23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>LEFT($A759,FIND("_",$A759)-1)</f>
        <v>GenProg-A</v>
      </c>
      <c r="P759" s="13" t="str">
        <f>IF($O759="ACS", "True Search", IF($O759="Arja", "Evolutionary Search", IF($O759="AVATAR", "True Pattern", IF($O759="CapGen", "Search Like Pattern", IF($O759="Cardumen", "True Semantic", IF($O759="DynaMoth", "True Semantic", IF($O759="FixMiner", "True Pattern", IF($O759="GenProg-A", "Evolutionary Search", IF($O759="Hercules", "Learning Pattern", IF($O759="Jaid", "True Semantic",
IF($O759="Kali-A", "True Search", IF($O759="kPAR", "True Pattern", IF($O759="Nopol", "True Semantic", IF($O759="RSRepair-A", "Evolutionary Search", IF($O759="SequenceR", "Deep Learning", IF($O759="SimFix", "Search Like Pattern", IF($O759="SketchFix", "True Pattern", IF($O759="SOFix", "True Pattern", IF($O759="ssFix", "Search Like Pattern", IF($O759="TBar", "True Pattern", ""))))))))))))))))))))</f>
        <v>Evolutionary Search</v>
      </c>
      <c r="Q759" s="13" t="str">
        <f>IF(NOT(ISERR(SEARCH("*_Buggy",$A759))), "Buggy", IF(NOT(ISERR(SEARCH("*_Fixed",$A759))), "Fixed", IF(NOT(ISERR(SEARCH("*_Repaired",$A759))), "Repaired", "")))</f>
        <v>Fixed</v>
      </c>
      <c r="R759" s="13" t="s">
        <v>1669</v>
      </c>
      <c r="S759" s="25">
        <v>4</v>
      </c>
      <c r="T759" s="13">
        <v>4</v>
      </c>
      <c r="U759" s="25">
        <v>0</v>
      </c>
      <c r="V759" s="13">
        <v>4</v>
      </c>
      <c r="W759" s="13" t="str">
        <f>MID(A759, SEARCH("_", A759) +1, SEARCH("_", A759, SEARCH("_", A759) +1) - SEARCH("_", A759) -1)</f>
        <v>Math-28</v>
      </c>
    </row>
    <row r="760" spans="1:23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>LEFT($A760,FIND("_",$A760)-1)</f>
        <v>GenProg-A</v>
      </c>
      <c r="P760" s="13" t="str">
        <f>IF($O760="ACS", "True Search", IF($O760="Arja", "Evolutionary Search", IF($O760="AVATAR", "True Pattern", IF($O760="CapGen", "Search Like Pattern", IF($O760="Cardumen", "True Semantic", IF($O760="DynaMoth", "True Semantic", IF($O760="FixMiner", "True Pattern", IF($O760="GenProg-A", "Evolutionary Search", IF($O760="Hercules", "Learning Pattern", IF($O760="Jaid", "True Semantic",
IF($O760="Kali-A", "True Search", IF($O760="kPAR", "True Pattern", IF($O760="Nopol", "True Semantic", IF($O760="RSRepair-A", "Evolutionary Search", IF($O760="SequenceR", "Deep Learning", IF($O760="SimFix", "Search Like Pattern", IF($O760="SketchFix", "True Pattern", IF($O760="SOFix", "True Pattern", IF($O760="ssFix", "Search Like Pattern", IF($O760="TBar", "True Pattern", ""))))))))))))))))))))</f>
        <v>Evolutionary Search</v>
      </c>
      <c r="Q760" s="13" t="str">
        <f>IF(NOT(ISERR(SEARCH("*_Buggy",$A760))), "Buggy", IF(NOT(ISERR(SEARCH("*_Fixed",$A760))), "Fixed", IF(NOT(ISERR(SEARCH("*_Repaired",$A760))), "Repaired", "")))</f>
        <v>Fixed</v>
      </c>
      <c r="R760" s="13" t="s">
        <v>1668</v>
      </c>
      <c r="S760" s="25">
        <v>1</v>
      </c>
      <c r="T760" s="25">
        <v>0</v>
      </c>
      <c r="U760" s="13">
        <v>4</v>
      </c>
      <c r="V760" s="13">
        <v>4</v>
      </c>
      <c r="W760" s="13" t="str">
        <f>MID(A760, SEARCH("_", A760) +1, SEARCH("_", A760, SEARCH("_", A760) +1) - SEARCH("_", A760) -1)</f>
        <v>Math-50</v>
      </c>
    </row>
    <row r="761" spans="1:23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>LEFT($A761,FIND("_",$A761)-1)</f>
        <v>GenProg-A</v>
      </c>
      <c r="P761" s="13" t="str">
        <f>IF($O761="ACS", "True Search", IF($O761="Arja", "Evolutionary Search", IF($O761="AVATAR", "True Pattern", IF($O761="CapGen", "Search Like Pattern", IF($O761="Cardumen", "True Semantic", IF($O761="DynaMoth", "True Semantic", IF($O761="FixMiner", "True Pattern", IF($O761="GenProg-A", "Evolutionary Search", IF($O761="Hercules", "Learning Pattern", IF($O761="Jaid", "True Semantic",
IF($O761="Kali-A", "True Search", IF($O761="kPAR", "True Pattern", IF($O761="Nopol", "True Semantic", IF($O761="RSRepair-A", "Evolutionary Search", IF($O761="SequenceR", "Deep Learning", IF($O761="SimFix", "Search Like Pattern", IF($O761="SketchFix", "True Pattern", IF($O761="SOFix", "True Pattern", IF($O761="ssFix", "Search Like Pattern", IF($O761="TBar", "True Pattern", ""))))))))))))))))))))</f>
        <v>Evolutionary Search</v>
      </c>
      <c r="Q761" s="13" t="str">
        <f>IF(NOT(ISERR(SEARCH("*_Buggy",$A761))), "Buggy", IF(NOT(ISERR(SEARCH("*_Fixed",$A761))), "Fixed", IF(NOT(ISERR(SEARCH("*_Repaired",$A761))), "Repaired", "")))</f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v>1</v>
      </c>
      <c r="W761" s="13" t="str">
        <f>MID(A761, SEARCH("_", A761) +1, SEARCH("_", A761, SEARCH("_", A761) +1) - SEARCH("_", A761) -1)</f>
        <v>Math-70</v>
      </c>
    </row>
    <row r="762" spans="1:23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>LEFT($A762,FIND("_",$A762)-1)</f>
        <v>GenProg-A</v>
      </c>
      <c r="P762" s="13" t="str">
        <f>IF($O762="ACS", "True Search", IF($O762="Arja", "Evolutionary Search", IF($O762="AVATAR", "True Pattern", IF($O762="CapGen", "Search Like Pattern", IF($O762="Cardumen", "True Semantic", IF($O762="DynaMoth", "True Semantic", IF($O762="FixMiner", "True Pattern", IF($O762="GenProg-A", "Evolutionary Search", IF($O762="Hercules", "Learning Pattern", IF($O762="Jaid", "True Semantic",
IF($O762="Kali-A", "True Search", IF($O762="kPAR", "True Pattern", IF($O762="Nopol", "True Semantic", IF($O762="RSRepair-A", "Evolutionary Search", IF($O762="SequenceR", "Deep Learning", IF($O762="SimFix", "Search Like Pattern", IF($O762="SketchFix", "True Pattern", IF($O762="SOFix", "True Pattern", IF($O762="ssFix", "Search Like Pattern", IF($O762="TBar", "True Pattern", ""))))))))))))))))))))</f>
        <v>Evolutionary Search</v>
      </c>
      <c r="Q762" s="13" t="str">
        <f>IF(NOT(ISERR(SEARCH("*_Buggy",$A762))), "Buggy", IF(NOT(ISERR(SEARCH("*_Fixed",$A762))), "Fixed", IF(NOT(ISERR(SEARCH("*_Repaired",$A762))), "Repaired", "")))</f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v>1</v>
      </c>
      <c r="W762" s="13" t="str">
        <f>MID(A762, SEARCH("_", A762) +1, SEARCH("_", A762, SEARCH("_", A762) +1) - SEARCH("_", A762) -1)</f>
        <v>Math-80</v>
      </c>
    </row>
    <row r="763" spans="1:23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>LEFT($A763,FIND("_",$A763)-1)</f>
        <v>GenProg-A</v>
      </c>
      <c r="P763" s="13" t="str">
        <f>IF($O763="ACS", "True Search", IF($O763="Arja", "Evolutionary Search", IF($O763="AVATAR", "True Pattern", IF($O763="CapGen", "Search Like Pattern", IF($O763="Cardumen", "True Semantic", IF($O763="DynaMoth", "True Semantic", IF($O763="FixMiner", "True Pattern", IF($O763="GenProg-A", "Evolutionary Search", IF($O763="Hercules", "Learning Pattern", IF($O763="Jaid", "True Semantic",
IF($O763="Kali-A", "True Search", IF($O763="kPAR", "True Pattern", IF($O763="Nopol", "True Semantic", IF($O763="RSRepair-A", "Evolutionary Search", IF($O763="SequenceR", "Deep Learning", IF($O763="SimFix", "Search Like Pattern", IF($O763="SketchFix", "True Pattern", IF($O763="SOFix", "True Pattern", IF($O763="ssFix", "Search Like Pattern", IF($O763="TBar", "True Pattern", ""))))))))))))))))))))</f>
        <v>Evolutionary Search</v>
      </c>
      <c r="Q763" s="13" t="str">
        <f>IF(NOT(ISERR(SEARCH("*_Buggy",$A763))), "Buggy", IF(NOT(ISERR(SEARCH("*_Fixed",$A763))), "Fixed", IF(NOT(ISERR(SEARCH("*_Repaired",$A763))), "Repaired", "")))</f>
        <v>Fixed</v>
      </c>
      <c r="R763" s="13" t="s">
        <v>1669</v>
      </c>
      <c r="S763" s="25">
        <v>3</v>
      </c>
      <c r="T763" s="25">
        <v>4</v>
      </c>
      <c r="U763" s="25">
        <v>3</v>
      </c>
      <c r="V763" s="13">
        <v>4</v>
      </c>
      <c r="W763" s="13" t="str">
        <f>MID(A763, SEARCH("_", A763) +1, SEARCH("_", A763, SEARCH("_", A763) +1) - SEARCH("_", A763) -1)</f>
        <v>Math-81</v>
      </c>
    </row>
    <row r="764" spans="1:23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>LEFT($A764,FIND("_",$A764)-1)</f>
        <v>GenProg-A</v>
      </c>
      <c r="P764" s="13" t="str">
        <f>IF($O764="ACS", "True Search", IF($O764="Arja", "Evolutionary Search", IF($O764="AVATAR", "True Pattern", IF($O764="CapGen", "Search Like Pattern", IF($O764="Cardumen", "True Semantic", IF($O764="DynaMoth", "True Semantic", IF($O764="FixMiner", "True Pattern", IF($O764="GenProg-A", "Evolutionary Search", IF($O764="Hercules", "Learning Pattern", IF($O764="Jaid", "True Semantic",
IF($O764="Kali-A", "True Search", IF($O764="kPAR", "True Pattern", IF($O764="Nopol", "True Semantic", IF($O764="RSRepair-A", "Evolutionary Search", IF($O764="SequenceR", "Deep Learning", IF($O764="SimFix", "Search Like Pattern", IF($O764="SketchFix", "True Pattern", IF($O764="SOFix", "True Pattern", IF($O764="ssFix", "Search Like Pattern", IF($O764="TBar", "True Pattern", ""))))))))))))))))))))</f>
        <v>Evolutionary Search</v>
      </c>
      <c r="Q764" s="13" t="str">
        <f>IF(NOT(ISERR(SEARCH("*_Buggy",$A764))), "Buggy", IF(NOT(ISERR(SEARCH("*_Fixed",$A764))), "Fixed", IF(NOT(ISERR(SEARCH("*_Repaired",$A764))), "Repaired", "")))</f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v>1</v>
      </c>
      <c r="W764" s="13" t="str">
        <f>MID(A764, SEARCH("_", A764) +1, SEARCH("_", A764, SEARCH("_", A764) +1) - SEARCH("_", A764) -1)</f>
        <v>Math-82</v>
      </c>
    </row>
    <row r="765" spans="1:23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>LEFT($A765,FIND("_",$A765)-1)</f>
        <v>GenProg-A</v>
      </c>
      <c r="P765" s="13" t="str">
        <f>IF($O765="ACS", "True Search", IF($O765="Arja", "Evolutionary Search", IF($O765="AVATAR", "True Pattern", IF($O765="CapGen", "Search Like Pattern", IF($O765="Cardumen", "True Semantic", IF($O765="DynaMoth", "True Semantic", IF($O765="FixMiner", "True Pattern", IF($O765="GenProg-A", "Evolutionary Search", IF($O765="Hercules", "Learning Pattern", IF($O765="Jaid", "True Semantic",
IF($O765="Kali-A", "True Search", IF($O765="kPAR", "True Pattern", IF($O765="Nopol", "True Semantic", IF($O765="RSRepair-A", "Evolutionary Search", IF($O765="SequenceR", "Deep Learning", IF($O765="SimFix", "Search Like Pattern", IF($O765="SketchFix", "True Pattern", IF($O765="SOFix", "True Pattern", IF($O765="ssFix", "Search Like Pattern", IF($O765="TBar", "True Pattern", ""))))))))))))))))))))</f>
        <v>Evolutionary Search</v>
      </c>
      <c r="Q765" s="13" t="str">
        <f>IF(NOT(ISERR(SEARCH("*_Buggy",$A765))), "Buggy", IF(NOT(ISERR(SEARCH("*_Fixed",$A765))), "Fixed", IF(NOT(ISERR(SEARCH("*_Repaired",$A765))), "Repaired", "")))</f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v>1</v>
      </c>
      <c r="W765" s="13" t="str">
        <f>MID(A765, SEARCH("_", A765) +1, SEARCH("_", A765, SEARCH("_", A765) +1) - SEARCH("_", A765) -1)</f>
        <v>Math-85</v>
      </c>
    </row>
    <row r="766" spans="1:23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>LEFT($A766,FIND("_",$A766)-1)</f>
        <v>GenProg-A</v>
      </c>
      <c r="P766" s="13" t="str">
        <f>IF($O766="ACS", "True Search", IF($O766="Arja", "Evolutionary Search", IF($O766="AVATAR", "True Pattern", IF($O766="CapGen", "Search Like Pattern", IF($O766="Cardumen", "True Semantic", IF($O766="DynaMoth", "True Semantic", IF($O766="FixMiner", "True Pattern", IF($O766="GenProg-A", "Evolutionary Search", IF($O766="Hercules", "Learning Pattern", IF($O766="Jaid", "True Semantic",
IF($O766="Kali-A", "True Search", IF($O766="kPAR", "True Pattern", IF($O766="Nopol", "True Semantic", IF($O766="RSRepair-A", "Evolutionary Search", IF($O766="SequenceR", "Deep Learning", IF($O766="SimFix", "Search Like Pattern", IF($O766="SketchFix", "True Pattern", IF($O766="SOFix", "True Pattern", IF($O766="ssFix", "Search Like Pattern", IF($O766="TBar", "True Pattern", ""))))))))))))))))))))</f>
        <v>Evolutionary Search</v>
      </c>
      <c r="Q766" s="13" t="str">
        <f>IF(NOT(ISERR(SEARCH("*_Buggy",$A766))), "Buggy", IF(NOT(ISERR(SEARCH("*_Fixed",$A766))), "Fixed", IF(NOT(ISERR(SEARCH("*_Repaired",$A766))), "Repaired", "")))</f>
        <v>Fixed</v>
      </c>
      <c r="R766" s="13" t="s">
        <v>1669</v>
      </c>
      <c r="S766" s="25">
        <v>3</v>
      </c>
      <c r="T766" s="25">
        <v>3</v>
      </c>
      <c r="U766" s="25">
        <v>1</v>
      </c>
      <c r="V766" s="13">
        <v>3</v>
      </c>
      <c r="W766" s="13" t="str">
        <f>MID(A766, SEARCH("_", A766) +1, SEARCH("_", A766, SEARCH("_", A766) +1) - SEARCH("_", A766) -1)</f>
        <v>Math-95</v>
      </c>
    </row>
    <row r="767" spans="1:23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>LEFT($A767,FIND("_",$A767)-1)</f>
        <v>Kali-A</v>
      </c>
      <c r="P767" s="13" t="str">
        <f>IF($O767="ACS", "True Search", IF($O767="Arja", "Evolutionary Search", IF($O767="AVATAR", "True Pattern", IF($O767="CapGen", "Search Like Pattern", IF($O767="Cardumen", "True Semantic", IF($O767="DynaMoth", "True Semantic", IF($O767="FixMiner", "True Pattern", IF($O767="GenProg-A", "Evolutionary Search", IF($O767="Hercules", "Learning Pattern", IF($O767="Jaid", "True Semantic",
IF($O767="Kali-A", "True Search", IF($O767="kPAR", "True Pattern", IF($O767="Nopol", "True Semantic", IF($O767="RSRepair-A", "Evolutionary Search", IF($O767="SequenceR", "Deep Learning", IF($O767="SimFix", "Search Like Pattern", IF($O767="SketchFix", "True Pattern", IF($O767="SOFix", "True Pattern", IF($O767="ssFix", "Search Like Pattern", IF($O767="TBar", "True Pattern", ""))))))))))))))))))))</f>
        <v>True Search</v>
      </c>
      <c r="Q767" s="13" t="str">
        <f>IF(NOT(ISERR(SEARCH("*_Buggy",$A767))), "Buggy", IF(NOT(ISERR(SEARCH("*_Fixed",$A767))), "Fixed", IF(NOT(ISERR(SEARCH("*_Repaired",$A767))), "Repaired", "")))</f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v>1</v>
      </c>
      <c r="W767" s="13" t="str">
        <f>MID(A767, SEARCH("_", A767) +1, SEARCH("_", A767, SEARCH("_", A767) +1) - SEARCH("_", A767) -1)</f>
        <v>Chart-1</v>
      </c>
    </row>
    <row r="768" spans="1:23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>LEFT($A768,FIND("_",$A768)-1)</f>
        <v>Kali-A</v>
      </c>
      <c r="P768" s="13" t="str">
        <f>IF($O768="ACS", "True Search", IF($O768="Arja", "Evolutionary Search", IF($O768="AVATAR", "True Pattern", IF($O768="CapGen", "Search Like Pattern", IF($O768="Cardumen", "True Semantic", IF($O768="DynaMoth", "True Semantic", IF($O768="FixMiner", "True Pattern", IF($O768="GenProg-A", "Evolutionary Search", IF($O768="Hercules", "Learning Pattern", IF($O768="Jaid", "True Semantic",
IF($O768="Kali-A", "True Search", IF($O768="kPAR", "True Pattern", IF($O768="Nopol", "True Semantic", IF($O768="RSRepair-A", "Evolutionary Search", IF($O768="SequenceR", "Deep Learning", IF($O768="SimFix", "Search Like Pattern", IF($O768="SketchFix", "True Pattern", IF($O768="SOFix", "True Pattern", IF($O768="ssFix", "Search Like Pattern", IF($O768="TBar", "True Pattern", ""))))))))))))))))))))</f>
        <v>True Search</v>
      </c>
      <c r="Q768" s="13" t="str">
        <f>IF(NOT(ISERR(SEARCH("*_Buggy",$A768))), "Buggy", IF(NOT(ISERR(SEARCH("*_Fixed",$A768))), "Fixed", IF(NOT(ISERR(SEARCH("*_Repaired",$A768))), "Repaired", "")))</f>
        <v>Fixed</v>
      </c>
      <c r="R768" s="13" t="s">
        <v>1669</v>
      </c>
      <c r="S768" s="25">
        <v>2</v>
      </c>
      <c r="T768" s="25">
        <v>5</v>
      </c>
      <c r="U768" s="25">
        <v>1</v>
      </c>
      <c r="V768" s="13">
        <v>5</v>
      </c>
      <c r="W768" s="13" t="str">
        <f>MID(A768, SEARCH("_", A768) +1, SEARCH("_", A768, SEARCH("_", A768) +1) - SEARCH("_", A768) -1)</f>
        <v>Chart-5</v>
      </c>
    </row>
    <row r="769" spans="1:23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>LEFT($A769,FIND("_",$A769)-1)</f>
        <v>Kali-A</v>
      </c>
      <c r="P769" s="13" t="str">
        <f>IF($O769="ACS", "True Search", IF($O769="Arja", "Evolutionary Search", IF($O769="AVATAR", "True Pattern", IF($O769="CapGen", "Search Like Pattern", IF($O769="Cardumen", "True Semantic", IF($O769="DynaMoth", "True Semantic", IF($O769="FixMiner", "True Pattern", IF($O769="GenProg-A", "Evolutionary Search", IF($O769="Hercules", "Learning Pattern", IF($O769="Jaid", "True Semantic",
IF($O769="Kali-A", "True Search", IF($O769="kPAR", "True Pattern", IF($O769="Nopol", "True Semantic", IF($O769="RSRepair-A", "Evolutionary Search", IF($O769="SequenceR", "Deep Learning", IF($O769="SimFix", "Search Like Pattern", IF($O769="SketchFix", "True Pattern", IF($O769="SOFix", "True Pattern", IF($O769="ssFix", "Search Like Pattern", IF($O769="TBar", "True Pattern", ""))))))))))))))))))))</f>
        <v>True Search</v>
      </c>
      <c r="Q769" s="13" t="str">
        <f>IF(NOT(ISERR(SEARCH("*_Buggy",$A769))), "Buggy", IF(NOT(ISERR(SEARCH("*_Fixed",$A769))), "Fixed", IF(NOT(ISERR(SEARCH("*_Repaired",$A769))), "Repaired", "")))</f>
        <v>Fixed</v>
      </c>
      <c r="R769" s="13" t="s">
        <v>1669</v>
      </c>
      <c r="S769" s="25">
        <v>1</v>
      </c>
      <c r="T769" s="13">
        <v>3</v>
      </c>
      <c r="U769" s="25">
        <v>0</v>
      </c>
      <c r="V769" s="13">
        <v>3</v>
      </c>
      <c r="W769" s="13" t="str">
        <f>MID(A769, SEARCH("_", A769) +1, SEARCH("_", A769, SEARCH("_", A769) +1) - SEARCH("_", A769) -1)</f>
        <v>Closure-1</v>
      </c>
    </row>
    <row r="770" spans="1:23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>LEFT($A770,FIND("_",$A770)-1)</f>
        <v>Kali-A</v>
      </c>
      <c r="P770" s="13" t="str">
        <f>IF($O770="ACS", "True Search", IF($O770="Arja", "Evolutionary Search", IF($O770="AVATAR", "True Pattern", IF($O770="CapGen", "Search Like Pattern", IF($O770="Cardumen", "True Semantic", IF($O770="DynaMoth", "True Semantic", IF($O770="FixMiner", "True Pattern", IF($O770="GenProg-A", "Evolutionary Search", IF($O770="Hercules", "Learning Pattern", IF($O770="Jaid", "True Semantic",
IF($O770="Kali-A", "True Search", IF($O770="kPAR", "True Pattern", IF($O770="Nopol", "True Semantic", IF($O770="RSRepair-A", "Evolutionary Search", IF($O770="SequenceR", "Deep Learning", IF($O770="SimFix", "Search Like Pattern", IF($O770="SketchFix", "True Pattern", IF($O770="SOFix", "True Pattern", IF($O770="ssFix", "Search Like Pattern", IF($O770="TBar", "True Pattern", ""))))))))))))))))))))</f>
        <v>True Search</v>
      </c>
      <c r="Q770" s="13" t="str">
        <f>IF(NOT(ISERR(SEARCH("*_Buggy",$A770))), "Buggy", IF(NOT(ISERR(SEARCH("*_Fixed",$A770))), "Fixed", IF(NOT(ISERR(SEARCH("*_Repaired",$A770))), "Repaired", "")))</f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v>1</v>
      </c>
      <c r="W770" s="13" t="str">
        <f>MID(A770, SEARCH("_", A770) +1, SEARCH("_", A770, SEARCH("_", A770) +1) - SEARCH("_", A770) -1)</f>
        <v>Closure-10</v>
      </c>
    </row>
    <row r="771" spans="1:23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>LEFT($A771,FIND("_",$A771)-1)</f>
        <v>Kali-A</v>
      </c>
      <c r="P771" s="13" t="str">
        <f>IF($O771="ACS", "True Search", IF($O771="Arja", "Evolutionary Search", IF($O771="AVATAR", "True Pattern", IF($O771="CapGen", "Search Like Pattern", IF($O771="Cardumen", "True Semantic", IF($O771="DynaMoth", "True Semantic", IF($O771="FixMiner", "True Pattern", IF($O771="GenProg-A", "Evolutionary Search", IF($O771="Hercules", "Learning Pattern", IF($O771="Jaid", "True Semantic",
IF($O771="Kali-A", "True Search", IF($O771="kPAR", "True Pattern", IF($O771="Nopol", "True Semantic", IF($O771="RSRepair-A", "Evolutionary Search", IF($O771="SequenceR", "Deep Learning", IF($O771="SimFix", "Search Like Pattern", IF($O771="SketchFix", "True Pattern", IF($O771="SOFix", "True Pattern", IF($O771="ssFix", "Search Like Pattern", IF($O771="TBar", "True Pattern", ""))))))))))))))))))))</f>
        <v>True Search</v>
      </c>
      <c r="Q771" s="13" t="str">
        <f>IF(NOT(ISERR(SEARCH("*_Buggy",$A771))), "Buggy", IF(NOT(ISERR(SEARCH("*_Fixed",$A771))), "Fixed", IF(NOT(ISERR(SEARCH("*_Repaired",$A771))), "Repaired", "")))</f>
        <v>Fixed</v>
      </c>
      <c r="R771" s="13" t="s">
        <v>1669</v>
      </c>
      <c r="S771" s="25">
        <v>1</v>
      </c>
      <c r="T771" s="25">
        <v>9</v>
      </c>
      <c r="U771" s="25">
        <v>3</v>
      </c>
      <c r="V771" s="13">
        <v>9</v>
      </c>
      <c r="W771" s="13" t="str">
        <f>MID(A771, SEARCH("_", A771) +1, SEARCH("_", A771, SEARCH("_", A771) +1) - SEARCH("_", A771) -1)</f>
        <v>Closure-112</v>
      </c>
    </row>
    <row r="772" spans="1:23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>LEFT($A772,FIND("_",$A772)-1)</f>
        <v>Kali-A</v>
      </c>
      <c r="P772" s="13" t="str">
        <f>IF($O772="ACS", "True Search", IF($O772="Arja", "Evolutionary Search", IF($O772="AVATAR", "True Pattern", IF($O772="CapGen", "Search Like Pattern", IF($O772="Cardumen", "True Semantic", IF($O772="DynaMoth", "True Semantic", IF($O772="FixMiner", "True Pattern", IF($O772="GenProg-A", "Evolutionary Search", IF($O772="Hercules", "Learning Pattern", IF($O772="Jaid", "True Semantic",
IF($O772="Kali-A", "True Search", IF($O772="kPAR", "True Pattern", IF($O772="Nopol", "True Semantic", IF($O772="RSRepair-A", "Evolutionary Search", IF($O772="SequenceR", "Deep Learning", IF($O772="SimFix", "Search Like Pattern", IF($O772="SketchFix", "True Pattern", IF($O772="SOFix", "True Pattern", IF($O772="ssFix", "Search Like Pattern", IF($O772="TBar", "True Pattern", ""))))))))))))))))))))</f>
        <v>True Search</v>
      </c>
      <c r="Q772" s="13" t="str">
        <f>IF(NOT(ISERR(SEARCH("*_Buggy",$A772))), "Buggy", IF(NOT(ISERR(SEARCH("*_Fixed",$A772))), "Fixed", IF(NOT(ISERR(SEARCH("*_Repaired",$A772))), "Repaired", "")))</f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v>1</v>
      </c>
      <c r="W772" s="13" t="str">
        <f>MID(A772, SEARCH("_", A772) +1, SEARCH("_", A772, SEARCH("_", A772) +1) - SEARCH("_", A772) -1)</f>
        <v>Closure-113</v>
      </c>
    </row>
    <row r="773" spans="1:23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>LEFT($A773,FIND("_",$A773)-1)</f>
        <v>Kali-A</v>
      </c>
      <c r="P773" s="13" t="str">
        <f>IF($O773="ACS", "True Search", IF($O773="Arja", "Evolutionary Search", IF($O773="AVATAR", "True Pattern", IF($O773="CapGen", "Search Like Pattern", IF($O773="Cardumen", "True Semantic", IF($O773="DynaMoth", "True Semantic", IF($O773="FixMiner", "True Pattern", IF($O773="GenProg-A", "Evolutionary Search", IF($O773="Hercules", "Learning Pattern", IF($O773="Jaid", "True Semantic",
IF($O773="Kali-A", "True Search", IF($O773="kPAR", "True Pattern", IF($O773="Nopol", "True Semantic", IF($O773="RSRepair-A", "Evolutionary Search", IF($O773="SequenceR", "Deep Learning", IF($O773="SimFix", "Search Like Pattern", IF($O773="SketchFix", "True Pattern", IF($O773="SOFix", "True Pattern", IF($O773="ssFix", "Search Like Pattern", IF($O773="TBar", "True Pattern", ""))))))))))))))))))))</f>
        <v>True Search</v>
      </c>
      <c r="Q773" s="13" t="str">
        <f>IF(NOT(ISERR(SEARCH("*_Buggy",$A773))), "Buggy", IF(NOT(ISERR(SEARCH("*_Fixed",$A773))), "Fixed", IF(NOT(ISERR(SEARCH("*_Repaired",$A773))), "Repaired", "")))</f>
        <v>Fixed</v>
      </c>
      <c r="R773" s="13" t="s">
        <v>1668</v>
      </c>
      <c r="S773" s="25">
        <v>2</v>
      </c>
      <c r="T773" s="25">
        <v>0</v>
      </c>
      <c r="U773" s="13">
        <v>11</v>
      </c>
      <c r="V773" s="13">
        <v>11</v>
      </c>
      <c r="W773" s="13" t="str">
        <f>MID(A773, SEARCH("_", A773) +1, SEARCH("_", A773, SEARCH("_", A773) +1) - SEARCH("_", A773) -1)</f>
        <v>Closure-115</v>
      </c>
    </row>
    <row r="774" spans="1:23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>LEFT($A774,FIND("_",$A774)-1)</f>
        <v>Kali-A</v>
      </c>
      <c r="P774" s="13" t="str">
        <f>IF($O774="ACS", "True Search", IF($O774="Arja", "Evolutionary Search", IF($O774="AVATAR", "True Pattern", IF($O774="CapGen", "Search Like Pattern", IF($O774="Cardumen", "True Semantic", IF($O774="DynaMoth", "True Semantic", IF($O774="FixMiner", "True Pattern", IF($O774="GenProg-A", "Evolutionary Search", IF($O774="Hercules", "Learning Pattern", IF($O774="Jaid", "True Semantic",
IF($O774="Kali-A", "True Search", IF($O774="kPAR", "True Pattern", IF($O774="Nopol", "True Semantic", IF($O774="RSRepair-A", "Evolutionary Search", IF($O774="SequenceR", "Deep Learning", IF($O774="SimFix", "Search Like Pattern", IF($O774="SketchFix", "True Pattern", IF($O774="SOFix", "True Pattern", IF($O774="ssFix", "Search Like Pattern", IF($O774="TBar", "True Pattern", ""))))))))))))))))))))</f>
        <v>True Search</v>
      </c>
      <c r="Q774" s="13" t="str">
        <f>IF(NOT(ISERR(SEARCH("*_Buggy",$A774))), "Buggy", IF(NOT(ISERR(SEARCH("*_Fixed",$A774))), "Fixed", IF(NOT(ISERR(SEARCH("*_Repaired",$A774))), "Repaired", "")))</f>
        <v>Fixed</v>
      </c>
      <c r="R774" s="13" t="s">
        <v>1669</v>
      </c>
      <c r="S774" s="25">
        <v>2</v>
      </c>
      <c r="T774" s="13">
        <v>2</v>
      </c>
      <c r="U774" s="25">
        <v>0</v>
      </c>
      <c r="V774" s="13">
        <v>2</v>
      </c>
      <c r="W774" s="13" t="str">
        <f>MID(A774, SEARCH("_", A774) +1, SEARCH("_", A774, SEARCH("_", A774) +1) - SEARCH("_", A774) -1)</f>
        <v>Closure-124</v>
      </c>
    </row>
    <row r="775" spans="1:23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>LEFT($A775,FIND("_",$A775)-1)</f>
        <v>Kali-A</v>
      </c>
      <c r="P775" s="13" t="str">
        <f>IF($O775="ACS", "True Search", IF($O775="Arja", "Evolutionary Search", IF($O775="AVATAR", "True Pattern", IF($O775="CapGen", "Search Like Pattern", IF($O775="Cardumen", "True Semantic", IF($O775="DynaMoth", "True Semantic", IF($O775="FixMiner", "True Pattern", IF($O775="GenProg-A", "Evolutionary Search", IF($O775="Hercules", "Learning Pattern", IF($O775="Jaid", "True Semantic",
IF($O775="Kali-A", "True Search", IF($O775="kPAR", "True Pattern", IF($O775="Nopol", "True Semantic", IF($O775="RSRepair-A", "Evolutionary Search", IF($O775="SequenceR", "Deep Learning", IF($O775="SimFix", "Search Like Pattern", IF($O775="SketchFix", "True Pattern", IF($O775="SOFix", "True Pattern", IF($O775="ssFix", "Search Like Pattern", IF($O775="TBar", "True Pattern", ""))))))))))))))))))))</f>
        <v>True Search</v>
      </c>
      <c r="Q775" s="13" t="str">
        <f>IF(NOT(ISERR(SEARCH("*_Buggy",$A775))), "Buggy", IF(NOT(ISERR(SEARCH("*_Fixed",$A775))), "Fixed", IF(NOT(ISERR(SEARCH("*_Repaired",$A775))), "Repaired", "")))</f>
        <v>Fixed</v>
      </c>
      <c r="R775" s="13" t="s">
        <v>1669</v>
      </c>
      <c r="S775" s="25">
        <v>1</v>
      </c>
      <c r="T775" s="13">
        <v>3</v>
      </c>
      <c r="U775" s="25">
        <v>0</v>
      </c>
      <c r="V775" s="13">
        <v>3</v>
      </c>
      <c r="W775" s="13" t="str">
        <f>MID(A775, SEARCH("_", A775) +1, SEARCH("_", A775, SEARCH("_", A775) +1) - SEARCH("_", A775) -1)</f>
        <v>Closure-15</v>
      </c>
    </row>
    <row r="776" spans="1:23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>LEFT($A776,FIND("_",$A776)-1)</f>
        <v>Kali-A</v>
      </c>
      <c r="P776" s="13" t="str">
        <f>IF($O776="ACS", "True Search", IF($O776="Arja", "Evolutionary Search", IF($O776="AVATAR", "True Pattern", IF($O776="CapGen", "Search Like Pattern", IF($O776="Cardumen", "True Semantic", IF($O776="DynaMoth", "True Semantic", IF($O776="FixMiner", "True Pattern", IF($O776="GenProg-A", "Evolutionary Search", IF($O776="Hercules", "Learning Pattern", IF($O776="Jaid", "True Semantic",
IF($O776="Kali-A", "True Search", IF($O776="kPAR", "True Pattern", IF($O776="Nopol", "True Semantic", IF($O776="RSRepair-A", "Evolutionary Search", IF($O776="SequenceR", "Deep Learning", IF($O776="SimFix", "Search Like Pattern", IF($O776="SketchFix", "True Pattern", IF($O776="SOFix", "True Pattern", IF($O776="ssFix", "Search Like Pattern", IF($O776="TBar", "True Pattern", ""))))))))))))))))))))</f>
        <v>True Search</v>
      </c>
      <c r="Q776" s="13" t="str">
        <f>IF(NOT(ISERR(SEARCH("*_Buggy",$A776))), "Buggy", IF(NOT(ISERR(SEARCH("*_Fixed",$A776))), "Fixed", IF(NOT(ISERR(SEARCH("*_Repaired",$A776))), "Repaired", "")))</f>
        <v>Fixed</v>
      </c>
      <c r="R776" s="13" t="s">
        <v>1669</v>
      </c>
      <c r="S776" s="25">
        <v>3</v>
      </c>
      <c r="T776" s="13">
        <v>4</v>
      </c>
      <c r="U776" s="25">
        <v>0</v>
      </c>
      <c r="V776" s="13">
        <v>4</v>
      </c>
      <c r="W776" s="13" t="str">
        <f>MID(A776, SEARCH("_", A776) +1, SEARCH("_", A776, SEARCH("_", A776) +1) - SEARCH("_", A776) -1)</f>
        <v>Closure-2</v>
      </c>
    </row>
    <row r="777" spans="1:23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>LEFT($A777,FIND("_",$A777)-1)</f>
        <v>Kali-A</v>
      </c>
      <c r="P777" s="13" t="str">
        <f>IF($O777="ACS", "True Search", IF($O777="Arja", "Evolutionary Search", IF($O777="AVATAR", "True Pattern", IF($O777="CapGen", "Search Like Pattern", IF($O777="Cardumen", "True Semantic", IF($O777="DynaMoth", "True Semantic", IF($O777="FixMiner", "True Pattern", IF($O777="GenProg-A", "Evolutionary Search", IF($O777="Hercules", "Learning Pattern", IF($O777="Jaid", "True Semantic",
IF($O777="Kali-A", "True Search", IF($O777="kPAR", "True Pattern", IF($O777="Nopol", "True Semantic", IF($O777="RSRepair-A", "Evolutionary Search", IF($O777="SequenceR", "Deep Learning", IF($O777="SimFix", "Search Like Pattern", IF($O777="SketchFix", "True Pattern", IF($O777="SOFix", "True Pattern", IF($O777="ssFix", "Search Like Pattern", IF($O777="TBar", "True Pattern", ""))))))))))))))))))))</f>
        <v>True Search</v>
      </c>
      <c r="Q777" s="13" t="str">
        <f>IF(NOT(ISERR(SEARCH("*_Buggy",$A777))), "Buggy", IF(NOT(ISERR(SEARCH("*_Fixed",$A777))), "Fixed", IF(NOT(ISERR(SEARCH("*_Repaired",$A777))), "Repaired", "")))</f>
        <v>Fixed</v>
      </c>
      <c r="R777" s="13" t="s">
        <v>1669</v>
      </c>
      <c r="S777" s="25">
        <v>2</v>
      </c>
      <c r="T777" s="25">
        <v>2</v>
      </c>
      <c r="U777" s="25">
        <v>19</v>
      </c>
      <c r="V777" s="13">
        <v>19</v>
      </c>
      <c r="W777" s="13" t="str">
        <f>MID(A777, SEARCH("_", A777) +1, SEARCH("_", A777, SEARCH("_", A777) +1) - SEARCH("_", A777) -1)</f>
        <v>Closure-21</v>
      </c>
    </row>
    <row r="778" spans="1:23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>LEFT($A778,FIND("_",$A778)-1)</f>
        <v>Kali-A</v>
      </c>
      <c r="P778" s="13" t="str">
        <f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>IF(NOT(ISERR(SEARCH("*_Buggy",$A778))), "Buggy", IF(NOT(ISERR(SEARCH("*_Fixed",$A778))), "Fixed", IF(NOT(ISERR(SEARCH("*_Repaired",$A778))), "Repaired", "")))</f>
        <v>Fixed</v>
      </c>
      <c r="R778" s="13" t="s">
        <v>1669</v>
      </c>
      <c r="S778" s="25">
        <v>5</v>
      </c>
      <c r="T778" s="25">
        <v>2</v>
      </c>
      <c r="U778" s="25">
        <v>26</v>
      </c>
      <c r="V778" s="13">
        <v>26</v>
      </c>
      <c r="W778" s="13" t="str">
        <f>MID(A778, SEARCH("_", A778) +1, SEARCH("_", A778, SEARCH("_", A778) +1) - SEARCH("_", A778) -1)</f>
        <v>Closure-22</v>
      </c>
    </row>
    <row r="779" spans="1:23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>LEFT($A779,FIND("_",$A779)-1)</f>
        <v>Kali-A</v>
      </c>
      <c r="P779" s="13" t="str">
        <f>IF($O779="ACS", "True Search", IF($O779="Arja", "Evolutionary Search", IF($O779="AVATAR", "True Pattern", IF($O779="CapGen", "Search Like Pattern", IF($O779="Cardumen", "True Semantic", IF($O779="DynaMoth", "True Semantic", IF($O779="FixMiner", "True Pattern", IF($O779="GenProg-A", "Evolutionary Search", IF($O779="Hercules", "Learning Pattern", IF($O779="Jaid", "True Semantic",
IF($O779="Kali-A", "True Search", IF($O779="kPAR", "True Pattern", IF($O779="Nopol", "True Semantic", IF($O779="RSRepair-A", "Evolutionary Search", IF($O779="SequenceR", "Deep Learning", IF($O779="SimFix", "Search Like Pattern", IF($O779="SketchFix", "True Pattern", IF($O779="SOFix", "True Pattern", IF($O779="ssFix", "Search Like Pattern", IF($O779="TBar", "True Pattern", ""))))))))))))))))))))</f>
        <v>True Search</v>
      </c>
      <c r="Q779" s="13" t="str">
        <f>IF(NOT(ISERR(SEARCH("*_Buggy",$A779))), "Buggy", IF(NOT(ISERR(SEARCH("*_Fixed",$A779))), "Fixed", IF(NOT(ISERR(SEARCH("*_Repaired",$A779))), "Repaired", "")))</f>
        <v>Fixed</v>
      </c>
      <c r="R779" s="13" t="s">
        <v>1669</v>
      </c>
      <c r="S779" s="25">
        <v>3</v>
      </c>
      <c r="T779" s="25">
        <v>8</v>
      </c>
      <c r="U779" s="25">
        <v>2</v>
      </c>
      <c r="V779" s="13">
        <v>8</v>
      </c>
      <c r="W779" s="13" t="str">
        <f>MID(A779, SEARCH("_", A779) +1, SEARCH("_", A779, SEARCH("_", A779) +1) - SEARCH("_", A779) -1)</f>
        <v>Closure-3</v>
      </c>
    </row>
    <row r="780" spans="1:23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>LEFT($A780,FIND("_",$A780)-1)</f>
        <v>Kali-A</v>
      </c>
      <c r="P780" s="13" t="str">
        <f>IF($O780="ACS", "True Search", IF($O780="Arja", "Evolutionary Search", IF($O780="AVATAR", "True Pattern", IF($O780="CapGen", "Search Like Pattern", IF($O780="Cardumen", "True Semantic", IF($O780="DynaMoth", "True Semantic", IF($O780="FixMiner", "True Pattern", IF($O780="GenProg-A", "Evolutionary Search", IF($O780="Hercules", "Learning Pattern", IF($O780="Jaid", "True Semantic",
IF($O780="Kali-A", "True Search", IF($O780="kPAR", "True Pattern", IF($O780="Nopol", "True Semantic", IF($O780="RSRepair-A", "Evolutionary Search", IF($O780="SequenceR", "Deep Learning", IF($O780="SimFix", "Search Like Pattern", IF($O780="SketchFix", "True Pattern", IF($O780="SOFix", "True Pattern", IF($O780="ssFix", "Search Like Pattern", IF($O780="TBar", "True Pattern", ""))))))))))))))))))))</f>
        <v>True Search</v>
      </c>
      <c r="Q780" s="13" t="str">
        <f>IF(NOT(ISERR(SEARCH("*_Buggy",$A780))), "Buggy", IF(NOT(ISERR(SEARCH("*_Fixed",$A780))), "Fixed", IF(NOT(ISERR(SEARCH("*_Repaired",$A780))), "Repaired", "")))</f>
        <v>Fixed</v>
      </c>
      <c r="R780" s="13" t="s">
        <v>1669</v>
      </c>
      <c r="S780" s="25">
        <v>1</v>
      </c>
      <c r="T780" s="13">
        <v>3</v>
      </c>
      <c r="U780" s="25">
        <v>0</v>
      </c>
      <c r="V780" s="13">
        <v>3</v>
      </c>
      <c r="W780" s="13" t="str">
        <f>MID(A780, SEARCH("_", A780) +1, SEARCH("_", A780, SEARCH("_", A780) +1) - SEARCH("_", A780) -1)</f>
        <v>Closure-33</v>
      </c>
    </row>
    <row r="781" spans="1:23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>LEFT($A781,FIND("_",$A781)-1)</f>
        <v>Kali-A</v>
      </c>
      <c r="P781" s="13" t="str">
        <f>IF($O781="ACS", "True Search", IF($O781="Arja", "Evolutionary Search", IF($O781="AVATAR", "True Pattern", IF($O781="CapGen", "Search Like Pattern", IF($O781="Cardumen", "True Semantic", IF($O781="DynaMoth", "True Semantic", IF($O781="FixMiner", "True Pattern", IF($O781="GenProg-A", "Evolutionary Search", IF($O781="Hercules", "Learning Pattern", IF($O781="Jaid", "True Semantic",
IF($O781="Kali-A", "True Search", IF($O781="kPAR", "True Pattern", IF($O781="Nopol", "True Semantic", IF($O781="RSRepair-A", "Evolutionary Search", IF($O781="SequenceR", "Deep Learning", IF($O781="SimFix", "Search Like Pattern", IF($O781="SketchFix", "True Pattern", IF($O781="SOFix", "True Pattern", IF($O781="ssFix", "Search Like Pattern", IF($O781="TBar", "True Pattern", ""))))))))))))))))))))</f>
        <v>True Search</v>
      </c>
      <c r="Q781" s="13" t="str">
        <f>IF(NOT(ISERR(SEARCH("*_Buggy",$A781))), "Buggy", IF(NOT(ISERR(SEARCH("*_Fixed",$A781))), "Fixed", IF(NOT(ISERR(SEARCH("*_Repaired",$A781))), "Repaired", "")))</f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v>1</v>
      </c>
      <c r="W781" s="13" t="str">
        <f>MID(A781, SEARCH("_", A781) +1, SEARCH("_", A781, SEARCH("_", A781) +1) - SEARCH("_", A781) -1)</f>
        <v>Closure-38</v>
      </c>
    </row>
    <row r="782" spans="1:23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>LEFT($A782,FIND("_",$A782)-1)</f>
        <v>Kali-A</v>
      </c>
      <c r="P782" s="13" t="str">
        <f>IF($O782="ACS", "True Search", IF($O782="Arja", "Evolutionary Search", IF($O782="AVATAR", "True Pattern", IF($O782="CapGen", "Search Like Pattern", IF($O782="Cardumen", "True Semantic", IF($O782="DynaMoth", "True Semantic", IF($O782="FixMiner", "True Pattern", IF($O782="GenProg-A", "Evolutionary Search", IF($O782="Hercules", "Learning Pattern", IF($O782="Jaid", "True Semantic",
IF($O782="Kali-A", "True Search", IF($O782="kPAR", "True Pattern", IF($O782="Nopol", "True Semantic", IF($O782="RSRepair-A", "Evolutionary Search", IF($O782="SequenceR", "Deep Learning", IF($O782="SimFix", "Search Like Pattern", IF($O782="SketchFix", "True Pattern", IF($O782="SOFix", "True Pattern", IF($O782="ssFix", "Search Like Pattern", IF($O782="TBar", "True Pattern", ""))))))))))))))))))))</f>
        <v>True Search</v>
      </c>
      <c r="Q782" s="13" t="str">
        <f>IF(NOT(ISERR(SEARCH("*_Buggy",$A782))), "Buggy", IF(NOT(ISERR(SEARCH("*_Fixed",$A782))), "Fixed", IF(NOT(ISERR(SEARCH("*_Repaired",$A782))), "Repaired", "")))</f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v>2</v>
      </c>
      <c r="W782" s="13" t="str">
        <f>MID(A782, SEARCH("_", A782) +1, SEARCH("_", A782, SEARCH("_", A782) +1) - SEARCH("_", A782) -1)</f>
        <v>Closure-4</v>
      </c>
    </row>
    <row r="783" spans="1:23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>LEFT($A783,FIND("_",$A783)-1)</f>
        <v>Kali-A</v>
      </c>
      <c r="P783" s="13" t="str">
        <f>IF($O783="ACS", "True Search", IF($O783="Arja", "Evolutionary Search", IF($O783="AVATAR", "True Pattern", IF($O783="CapGen", "Search Like Pattern", IF($O783="Cardumen", "True Semantic", IF($O783="DynaMoth", "True Semantic", IF($O783="FixMiner", "True Pattern", IF($O783="GenProg-A", "Evolutionary Search", IF($O783="Hercules", "Learning Pattern", IF($O783="Jaid", "True Semantic",
IF($O783="Kali-A", "True Search", IF($O783="kPAR", "True Pattern", IF($O783="Nopol", "True Semantic", IF($O783="RSRepair-A", "Evolutionary Search", IF($O783="SequenceR", "Deep Learning", IF($O783="SimFix", "Search Like Pattern", IF($O783="SketchFix", "True Pattern", IF($O783="SOFix", "True Pattern", IF($O783="ssFix", "Search Like Pattern", IF($O783="TBar", "True Pattern", ""))))))))))))))))))))</f>
        <v>True Search</v>
      </c>
      <c r="Q783" s="13" t="str">
        <f>IF(NOT(ISERR(SEARCH("*_Buggy",$A783))), "Buggy", IF(NOT(ISERR(SEARCH("*_Fixed",$A783))), "Fixed", IF(NOT(ISERR(SEARCH("*_Repaired",$A783))), "Repaired", "")))</f>
        <v>Fixed</v>
      </c>
      <c r="R783" s="13" t="s">
        <v>1669</v>
      </c>
      <c r="S783" s="25">
        <v>1</v>
      </c>
      <c r="T783" s="25">
        <v>0</v>
      </c>
      <c r="U783" s="13">
        <v>16</v>
      </c>
      <c r="V783" s="13">
        <v>16</v>
      </c>
      <c r="W783" s="13" t="str">
        <f>MID(A783, SEARCH("_", A783) +1, SEARCH("_", A783, SEARCH("_", A783) +1) - SEARCH("_", A783) -1)</f>
        <v>Closure-46</v>
      </c>
    </row>
    <row r="784" spans="1:23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>LEFT($A784,FIND("_",$A784)-1)</f>
        <v>Kali-A</v>
      </c>
      <c r="P784" s="13" t="str">
        <f>IF($O784="ACS", "True Search", IF($O784="Arja", "Evolutionary Search", IF($O784="AVATAR", "True Pattern", IF($O784="CapGen", "Search Like Pattern", IF($O784="Cardumen", "True Semantic", IF($O784="DynaMoth", "True Semantic", IF($O784="FixMiner", "True Pattern", IF($O784="GenProg-A", "Evolutionary Search", IF($O784="Hercules", "Learning Pattern", IF($O784="Jaid", "True Semantic",
IF($O784="Kali-A", "True Search", IF($O784="kPAR", "True Pattern", IF($O784="Nopol", "True Semantic", IF($O784="RSRepair-A", "Evolutionary Search", IF($O784="SequenceR", "Deep Learning", IF($O784="SimFix", "Search Like Pattern", IF($O784="SketchFix", "True Pattern", IF($O784="SOFix", "True Pattern", IF($O784="ssFix", "Search Like Pattern", IF($O784="TBar", "True Pattern", ""))))))))))))))))))))</f>
        <v>True Search</v>
      </c>
      <c r="Q784" s="13" t="str">
        <f>IF(NOT(ISERR(SEARCH("*_Buggy",$A784))), "Buggy", IF(NOT(ISERR(SEARCH("*_Fixed",$A784))), "Fixed", IF(NOT(ISERR(SEARCH("*_Repaired",$A784))), "Repaired", "")))</f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v>1</v>
      </c>
      <c r="W784" s="13" t="str">
        <f>MID(A784, SEARCH("_", A784) +1, SEARCH("_", A784, SEARCH("_", A784) +1) - SEARCH("_", A784) -1)</f>
        <v>Closure-51</v>
      </c>
    </row>
    <row r="785" spans="1:23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>LEFT($A785,FIND("_",$A785)-1)</f>
        <v>Kali-A</v>
      </c>
      <c r="P785" s="13" t="str">
        <f>IF($O785="ACS", "True Search", IF($O785="Arja", "Evolutionary Search", IF($O785="AVATAR", "True Pattern", IF($O785="CapGen", "Search Like Pattern", IF($O785="Cardumen", "True Semantic", IF($O785="DynaMoth", "True Semantic", IF($O785="FixMiner", "True Pattern", IF($O785="GenProg-A", "Evolutionary Search", IF($O785="Hercules", "Learning Pattern", IF($O785="Jaid", "True Semantic",
IF($O785="Kali-A", "True Search", IF($O785="kPAR", "True Pattern", IF($O785="Nopol", "True Semantic", IF($O785="RSRepair-A", "Evolutionary Search", IF($O785="SequenceR", "Deep Learning", IF($O785="SimFix", "Search Like Pattern", IF($O785="SketchFix", "True Pattern", IF($O785="SOFix", "True Pattern", IF($O785="ssFix", "Search Like Pattern", IF($O785="TBar", "True Pattern", ""))))))))))))))))))))</f>
        <v>True Search</v>
      </c>
      <c r="Q785" s="13" t="str">
        <f>IF(NOT(ISERR(SEARCH("*_Buggy",$A785))), "Buggy", IF(NOT(ISERR(SEARCH("*_Fixed",$A785))), "Fixed", IF(NOT(ISERR(SEARCH("*_Repaired",$A785))), "Repaired", "")))</f>
        <v>Fixed</v>
      </c>
      <c r="R785" s="13" t="s">
        <v>1669</v>
      </c>
      <c r="S785" s="25">
        <v>1</v>
      </c>
      <c r="T785" s="25">
        <v>2</v>
      </c>
      <c r="U785" s="25">
        <v>1</v>
      </c>
      <c r="V785" s="13">
        <v>2</v>
      </c>
      <c r="W785" s="13" t="str">
        <f>MID(A785, SEARCH("_", A785) +1, SEARCH("_", A785, SEARCH("_", A785) +1) - SEARCH("_", A785) -1)</f>
        <v>Closure-55</v>
      </c>
    </row>
    <row r="786" spans="1:23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>LEFT($A786,FIND("_",$A786)-1)</f>
        <v>Kali-A</v>
      </c>
      <c r="P786" s="13" t="str">
        <f>IF($O786="ACS", "True Search", IF($O786="Arja", "Evolutionary Search", IF($O786="AVATAR", "True Pattern", IF($O786="CapGen", "Search Like Pattern", IF($O786="Cardumen", "True Semantic", IF($O786="DynaMoth", "True Semantic", IF($O786="FixMiner", "True Pattern", IF($O786="GenProg-A", "Evolutionary Search", IF($O786="Hercules", "Learning Pattern", IF($O786="Jaid", "True Semantic",
IF($O786="Kali-A", "True Search", IF($O786="kPAR", "True Pattern", IF($O786="Nopol", "True Semantic", IF($O786="RSRepair-A", "Evolutionary Search", IF($O786="SequenceR", "Deep Learning", IF($O786="SimFix", "Search Like Pattern", IF($O786="SketchFix", "True Pattern", IF($O786="SOFix", "True Pattern", IF($O786="ssFix", "Search Like Pattern", IF($O786="TBar", "True Pattern", ""))))))))))))))))))))</f>
        <v>True Search</v>
      </c>
      <c r="Q786" s="13" t="str">
        <f>IF(NOT(ISERR(SEARCH("*_Buggy",$A786))), "Buggy", IF(NOT(ISERR(SEARCH("*_Fixed",$A786))), "Fixed", IF(NOT(ISERR(SEARCH("*_Repaired",$A786))), "Repaired", "")))</f>
        <v>Fixed</v>
      </c>
      <c r="R786" s="13" t="s">
        <v>1669</v>
      </c>
      <c r="S786" s="25">
        <v>2</v>
      </c>
      <c r="T786" s="13">
        <v>2</v>
      </c>
      <c r="U786" s="25">
        <v>0</v>
      </c>
      <c r="V786" s="13">
        <v>2</v>
      </c>
      <c r="W786" s="13" t="str">
        <f>MID(A786, SEARCH("_", A786) +1, SEARCH("_", A786, SEARCH("_", A786) +1) - SEARCH("_", A786) -1)</f>
        <v>Closure-66</v>
      </c>
    </row>
    <row r="787" spans="1:23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>LEFT($A787,FIND("_",$A787)-1)</f>
        <v>Kali-A</v>
      </c>
      <c r="P787" s="13" t="str">
        <f>IF($O787="ACS", "True Search", IF($O787="Arja", "Evolutionary Search", IF($O787="AVATAR", "True Pattern", IF($O787="CapGen", "Search Like Pattern", IF($O787="Cardumen", "True Semantic", IF($O787="DynaMoth", "True Semantic", IF($O787="FixMiner", "True Pattern", IF($O787="GenProg-A", "Evolutionary Search", IF($O787="Hercules", "Learning Pattern", IF($O787="Jaid", "True Semantic",
IF($O787="Kali-A", "True Search", IF($O787="kPAR", "True Pattern", IF($O787="Nopol", "True Semantic", IF($O787="RSRepair-A", "Evolutionary Search", IF($O787="SequenceR", "Deep Learning", IF($O787="SimFix", "Search Like Pattern", IF($O787="SketchFix", "True Pattern", IF($O787="SOFix", "True Pattern", IF($O787="ssFix", "Search Like Pattern", IF($O787="TBar", "True Pattern", ""))))))))))))))))))))</f>
        <v>True Search</v>
      </c>
      <c r="Q787" s="13" t="str">
        <f>IF(NOT(ISERR(SEARCH("*_Buggy",$A787))), "Buggy", IF(NOT(ISERR(SEARCH("*_Fixed",$A787))), "Fixed", IF(NOT(ISERR(SEARCH("*_Repaired",$A787))), "Repaired", "")))</f>
        <v>Fixed</v>
      </c>
      <c r="R787" s="13" t="s">
        <v>1669</v>
      </c>
      <c r="S787" s="25">
        <v>3</v>
      </c>
      <c r="T787" s="25">
        <v>5</v>
      </c>
      <c r="U787" s="25">
        <v>1</v>
      </c>
      <c r="V787" s="13">
        <v>5</v>
      </c>
      <c r="W787" s="13" t="str">
        <f>MID(A787, SEARCH("_", A787) +1, SEARCH("_", A787, SEARCH("_", A787) +1) - SEARCH("_", A787) -1)</f>
        <v>Closure-7</v>
      </c>
    </row>
    <row r="788" spans="1:23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>LEFT($A788,FIND("_",$A788)-1)</f>
        <v>Kali-A</v>
      </c>
      <c r="P788" s="13" t="str">
        <f>IF($O788="ACS", "True Search", IF($O788="Arja", "Evolutionary Search", IF($O788="AVATAR", "True Pattern", IF($O788="CapGen", "Search Like Pattern", IF($O788="Cardumen", "True Semantic", IF($O788="DynaMoth", "True Semantic", IF($O788="FixMiner", "True Pattern", IF($O788="GenProg-A", "Evolutionary Search", IF($O788="Hercules", "Learning Pattern", IF($O788="Jaid", "True Semantic",
IF($O788="Kali-A", "True Search", IF($O788="kPAR", "True Pattern", IF($O788="Nopol", "True Semantic", IF($O788="RSRepair-A", "Evolutionary Search", IF($O788="SequenceR", "Deep Learning", IF($O788="SimFix", "Search Like Pattern", IF($O788="SketchFix", "True Pattern", IF($O788="SOFix", "True Pattern", IF($O788="ssFix", "Search Like Pattern", IF($O788="TBar", "True Pattern", ""))))))))))))))))))))</f>
        <v>True Search</v>
      </c>
      <c r="Q788" s="13" t="str">
        <f>IF(NOT(ISERR(SEARCH("*_Buggy",$A788))), "Buggy", IF(NOT(ISERR(SEARCH("*_Fixed",$A788))), "Fixed", IF(NOT(ISERR(SEARCH("*_Repaired",$A788))), "Repaired", "")))</f>
        <v>Fixed</v>
      </c>
      <c r="R788" s="13" t="s">
        <v>1669</v>
      </c>
      <c r="S788" s="25">
        <v>3</v>
      </c>
      <c r="T788" s="25">
        <v>4</v>
      </c>
      <c r="U788" s="25">
        <v>1</v>
      </c>
      <c r="V788" s="13">
        <v>4</v>
      </c>
      <c r="W788" s="13" t="str">
        <f>MID(A788, SEARCH("_", A788) +1, SEARCH("_", A788, SEARCH("_", A788) +1) - SEARCH("_", A788) -1)</f>
        <v>Closure-75</v>
      </c>
    </row>
    <row r="789" spans="1:23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>LEFT($A789,FIND("_",$A789)-1)</f>
        <v>Kali-A</v>
      </c>
      <c r="P789" s="13" t="str">
        <f>IF($O789="ACS", "True Search", IF($O789="Arja", "Evolutionary Search", IF($O789="AVATAR", "True Pattern", IF($O789="CapGen", "Search Like Pattern", IF($O789="Cardumen", "True Semantic", IF($O789="DynaMoth", "True Semantic", IF($O789="FixMiner", "True Pattern", IF($O789="GenProg-A", "Evolutionary Search", IF($O789="Hercules", "Learning Pattern", IF($O789="Jaid", "True Semantic",
IF($O789="Kali-A", "True Search", IF($O789="kPAR", "True Pattern", IF($O789="Nopol", "True Semantic", IF($O789="RSRepair-A", "Evolutionary Search", IF($O789="SequenceR", "Deep Learning", IF($O789="SimFix", "Search Like Pattern", IF($O789="SketchFix", "True Pattern", IF($O789="SOFix", "True Pattern", IF($O789="ssFix", "Search Like Pattern", IF($O789="TBar", "True Pattern", ""))))))))))))))))))))</f>
        <v>True Search</v>
      </c>
      <c r="Q789" s="13" t="str">
        <f>IF(NOT(ISERR(SEARCH("*_Buggy",$A789))), "Buggy", IF(NOT(ISERR(SEARCH("*_Fixed",$A789))), "Fixed", IF(NOT(ISERR(SEARCH("*_Repaired",$A789))), "Repaired", "")))</f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v>1</v>
      </c>
      <c r="W789" s="13" t="str">
        <f>MID(A789, SEARCH("_", A789) +1, SEARCH("_", A789, SEARCH("_", A789) +1) - SEARCH("_", A789) -1)</f>
        <v>Closure-86</v>
      </c>
    </row>
    <row r="790" spans="1:23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>LEFT($A790,FIND("_",$A790)-1)</f>
        <v>Kali-A</v>
      </c>
      <c r="P790" s="13" t="str">
        <f>IF($O790="ACS", "True Search", IF($O790="Arja", "Evolutionary Search", IF($O790="AVATAR", "True Pattern", IF($O790="CapGen", "Search Like Pattern", IF($O790="Cardumen", "True Semantic", IF($O790="DynaMoth", "True Semantic", IF($O790="FixMiner", "True Pattern", IF($O790="GenProg-A", "Evolutionary Search", IF($O790="Hercules", "Learning Pattern", IF($O790="Jaid", "True Semantic",
IF($O790="Kali-A", "True Search", IF($O790="kPAR", "True Pattern", IF($O790="Nopol", "True Semantic", IF($O790="RSRepair-A", "Evolutionary Search", IF($O790="SequenceR", "Deep Learning", IF($O790="SimFix", "Search Like Pattern", IF($O790="SketchFix", "True Pattern", IF($O790="SOFix", "True Pattern", IF($O790="ssFix", "Search Like Pattern", IF($O790="TBar", "True Pattern", ""))))))))))))))))))))</f>
        <v>True Search</v>
      </c>
      <c r="Q790" s="13" t="str">
        <f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1</v>
      </c>
      <c r="U790" s="25">
        <v>2</v>
      </c>
      <c r="V790" s="13">
        <v>2</v>
      </c>
      <c r="W790" s="13" t="str">
        <f>MID(A790, SEARCH("_", A790) +1, SEARCH("_", A790, SEARCH("_", A790) +1) - SEARCH("_", A790) -1)</f>
        <v>Lang-58</v>
      </c>
    </row>
    <row r="791" spans="1:23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>LEFT($A791,FIND("_",$A791)-1)</f>
        <v>Kali-A</v>
      </c>
      <c r="P791" s="13" t="str">
        <f>IF($O791="ACS", "True Search", IF($O791="Arja", "Evolutionary Search", IF($O791="AVATAR", "True Pattern", IF($O791="CapGen", "Search Like Pattern", IF($O791="Cardumen", "True Semantic", IF($O791="DynaMoth", "True Semantic", IF($O791="FixMiner", "True Pattern", IF($O791="GenProg-A", "Evolutionary Search", IF($O791="Hercules", "Learning Pattern", IF($O791="Jaid", "True Semantic",
IF($O791="Kali-A", "True Search", IF($O791="kPAR", "True Pattern", IF($O791="Nopol", "True Semantic", IF($O791="RSRepair-A", "Evolutionary Search", IF($O791="SequenceR", "Deep Learning", IF($O791="SimFix", "Search Like Pattern", IF($O791="SketchFix", "True Pattern", IF($O791="SOFix", "True Pattern", IF($O791="ssFix", "Search Like Pattern", IF($O791="TBar", "True Pattern", ""))))))))))))))))))))</f>
        <v>True Search</v>
      </c>
      <c r="Q791" s="13" t="str">
        <f>IF(NOT(ISERR(SEARCH("*_Buggy",$A791))), "Buggy", IF(NOT(ISERR(SEARCH("*_Fixed",$A791))), "Fixed", IF(NOT(ISERR(SEARCH("*_Repaired",$A791))), "Repaired", "")))</f>
        <v>Fixed</v>
      </c>
      <c r="R791" s="13" t="s">
        <v>1669</v>
      </c>
      <c r="S791" s="25">
        <v>4</v>
      </c>
      <c r="T791" s="25">
        <v>3</v>
      </c>
      <c r="U791" s="25">
        <v>20</v>
      </c>
      <c r="V791" s="13">
        <v>22</v>
      </c>
      <c r="W791" s="13" t="str">
        <f>MID(A791, SEARCH("_", A791) +1, SEARCH("_", A791, SEARCH("_", A791) +1) - SEARCH("_", A791) -1)</f>
        <v>Lang-63</v>
      </c>
    </row>
    <row r="792" spans="1:23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>LEFT($A792,FIND("_",$A792)-1)</f>
        <v>Kali-A</v>
      </c>
      <c r="P792" s="13" t="str">
        <f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>IF(NOT(ISERR(SEARCH("*_Buggy",$A792))), "Buggy", IF(NOT(ISERR(SEARCH("*_Fixed",$A792))), "Fixed", IF(NOT(ISERR(SEARCH("*_Repaired",$A792))), "Repaired", "")))</f>
        <v>Fixed</v>
      </c>
      <c r="R792" s="13" t="s">
        <v>1669</v>
      </c>
      <c r="S792" s="25">
        <v>4</v>
      </c>
      <c r="T792" s="13">
        <v>4</v>
      </c>
      <c r="U792" s="25">
        <v>0</v>
      </c>
      <c r="V792" s="13">
        <v>4</v>
      </c>
      <c r="W792" s="13" t="str">
        <f>MID(A792, SEARCH("_", A792) +1, SEARCH("_", A792, SEARCH("_", A792) +1) - SEARCH("_", A792) -1)</f>
        <v>Math-28</v>
      </c>
    </row>
    <row r="793" spans="1:23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>LEFT($A793,FIND("_",$A793)-1)</f>
        <v>Kali-A</v>
      </c>
      <c r="P793" s="13" t="str">
        <f>IF($O793="ACS", "True Search", IF($O793="Arja", "Evolutionary Search", IF($O793="AVATAR", "True Pattern", IF($O793="CapGen", "Search Like Pattern", IF($O793="Cardumen", "True Semantic", IF($O793="DynaMoth", "True Semantic", IF($O793="FixMiner", "True Pattern", IF($O793="GenProg-A", "Evolutionary Search", IF($O793="Hercules", "Learning Pattern", IF($O793="Jaid", "True Semantic",
IF($O793="Kali-A", "True Search", IF($O793="kPAR", "True Pattern", IF($O793="Nopol", "True Semantic", IF($O793="RSRepair-A", "Evolutionary Search", IF($O793="SequenceR", "Deep Learning", IF($O793="SimFix", "Search Like Pattern", IF($O793="SketchFix", "True Pattern", IF($O793="SOFix", "True Pattern", IF($O793="ssFix", "Search Like Pattern", IF($O793="TBar", "True Pattern", ""))))))))))))))))))))</f>
        <v>True Search</v>
      </c>
      <c r="Q793" s="13" t="str">
        <f>IF(NOT(ISERR(SEARCH("*_Buggy",$A793))), "Buggy", IF(NOT(ISERR(SEARCH("*_Fixed",$A793))), "Fixed", IF(NOT(ISERR(SEARCH("*_Repaired",$A793))), "Repaired", "")))</f>
        <v>Fixed</v>
      </c>
      <c r="R793" s="13" t="s">
        <v>1669</v>
      </c>
      <c r="S793" s="25">
        <v>4</v>
      </c>
      <c r="T793" s="25">
        <v>13</v>
      </c>
      <c r="U793" s="25">
        <v>33</v>
      </c>
      <c r="V793" s="13">
        <v>34</v>
      </c>
      <c r="W793" s="13" t="str">
        <f>MID(A793, SEARCH("_", A793) +1, SEARCH("_", A793, SEARCH("_", A793) +1) - SEARCH("_", A793) -1)</f>
        <v>Math-31</v>
      </c>
    </row>
    <row r="794" spans="1:23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>LEFT($A794,FIND("_",$A794)-1)</f>
        <v>Kali-A</v>
      </c>
      <c r="P794" s="13" t="str">
        <f>IF($O794="ACS", "True Search", IF($O794="Arja", "Evolutionary Search", IF($O794="AVATAR", "True Pattern", IF($O794="CapGen", "Search Like Pattern", IF($O794="Cardumen", "True Semantic", IF($O794="DynaMoth", "True Semantic", IF($O794="FixMiner", "True Pattern", IF($O794="GenProg-A", "Evolutionary Search", IF($O794="Hercules", "Learning Pattern", IF($O794="Jaid", "True Semantic",
IF($O794="Kali-A", "True Search", IF($O794="kPAR", "True Pattern", IF($O794="Nopol", "True Semantic", IF($O794="RSRepair-A", "Evolutionary Search", IF($O794="SequenceR", "Deep Learning", IF($O794="SimFix", "Search Like Pattern", IF($O794="SketchFix", "True Pattern", IF($O794="SOFix", "True Pattern", IF($O794="ssFix", "Search Like Pattern", IF($O794="TBar", "True Pattern", ""))))))))))))))))))))</f>
        <v>True Search</v>
      </c>
      <c r="Q794" s="13" t="str">
        <f>IF(NOT(ISERR(SEARCH("*_Buggy",$A794))), "Buggy", IF(NOT(ISERR(SEARCH("*_Fixed",$A794))), "Fixed", IF(NOT(ISERR(SEARCH("*_Repaired",$A794))), "Repaired", "")))</f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v>1</v>
      </c>
      <c r="W794" s="13" t="str">
        <f>MID(A794, SEARCH("_", A794) +1, SEARCH("_", A794, SEARCH("_", A794) +1) - SEARCH("_", A794) -1)</f>
        <v>Math-32</v>
      </c>
    </row>
    <row r="795" spans="1:23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>LEFT($A795,FIND("_",$A795)-1)</f>
        <v>Kali-A</v>
      </c>
      <c r="P795" s="13" t="str">
        <f>IF($O795="ACS", "True Search", IF($O795="Arja", "Evolutionary Search", IF($O795="AVATAR", "True Pattern", IF($O795="CapGen", "Search Like Pattern", IF($O795="Cardumen", "True Semantic", IF($O795="DynaMoth", "True Semantic", IF($O795="FixMiner", "True Pattern", IF($O795="GenProg-A", "Evolutionary Search", IF($O795="Hercules", "Learning Pattern", IF($O795="Jaid", "True Semantic",
IF($O795="Kali-A", "True Search", IF($O795="kPAR", "True Pattern", IF($O795="Nopol", "True Semantic", IF($O795="RSRepair-A", "Evolutionary Search", IF($O795="SequenceR", "Deep Learning", IF($O795="SimFix", "Search Like Pattern", IF($O795="SketchFix", "True Pattern", IF($O795="SOFix", "True Pattern", IF($O795="ssFix", "Search Like Pattern", IF($O795="TBar", "True Pattern", ""))))))))))))))))))))</f>
        <v>True Search</v>
      </c>
      <c r="Q795" s="13" t="str">
        <f>IF(NOT(ISERR(SEARCH("*_Buggy",$A795))), "Buggy", IF(NOT(ISERR(SEARCH("*_Fixed",$A795))), "Fixed", IF(NOT(ISERR(SEARCH("*_Repaired",$A795))), "Repaired", "")))</f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v>4</v>
      </c>
      <c r="W795" s="13" t="str">
        <f>MID(A795, SEARCH("_", A795) +1, SEARCH("_", A795, SEARCH("_", A795) +1) - SEARCH("_", A795) -1)</f>
        <v>Math-49</v>
      </c>
    </row>
    <row r="796" spans="1:23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>LEFT($A796,FIND("_",$A796)-1)</f>
        <v>Kali-A</v>
      </c>
      <c r="P796" s="13" t="str">
        <f>IF($O796="ACS", "True Search", IF($O796="Arja", "Evolutionary Search", IF($O796="AVATAR", "True Pattern", IF($O796="CapGen", "Search Like Pattern", IF($O796="Cardumen", "True Semantic", IF($O796="DynaMoth", "True Semantic", IF($O796="FixMiner", "True Pattern", IF($O796="GenProg-A", "Evolutionary Search", IF($O796="Hercules", "Learning Pattern", IF($O796="Jaid", "True Semantic",
IF($O796="Kali-A", "True Search", IF($O796="kPAR", "True Pattern", IF($O796="Nopol", "True Semantic", IF($O796="RSRepair-A", "Evolutionary Search", IF($O796="SequenceR", "Deep Learning", IF($O796="SimFix", "Search Like Pattern", IF($O796="SketchFix", "True Pattern", IF($O796="SOFix", "True Pattern", IF($O796="ssFix", "Search Like Pattern", IF($O796="TBar", "True Pattern", ""))))))))))))))))))))</f>
        <v>True Search</v>
      </c>
      <c r="Q796" s="13" t="str">
        <f>IF(NOT(ISERR(SEARCH("*_Buggy",$A796))), "Buggy", IF(NOT(ISERR(SEARCH("*_Fixed",$A796))), "Fixed", IF(NOT(ISERR(SEARCH("*_Repaired",$A796))), "Repaired", "")))</f>
        <v>Fixed</v>
      </c>
      <c r="R796" s="13" t="s">
        <v>1668</v>
      </c>
      <c r="S796" s="25">
        <v>1</v>
      </c>
      <c r="T796" s="25">
        <v>0</v>
      </c>
      <c r="U796" s="13">
        <v>4</v>
      </c>
      <c r="V796" s="13">
        <v>4</v>
      </c>
      <c r="W796" s="13" t="str">
        <f>MID(A796, SEARCH("_", A796) +1, SEARCH("_", A796, SEARCH("_", A796) +1) - SEARCH("_", A796) -1)</f>
        <v>Math-50</v>
      </c>
    </row>
    <row r="797" spans="1:23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>LEFT($A797,FIND("_",$A797)-1)</f>
        <v>Kali-A</v>
      </c>
      <c r="P797" s="13" t="str">
        <f>IF($O797="ACS", "True Search", IF($O797="Arja", "Evolutionary Search", IF($O797="AVATAR", "True Pattern", IF($O797="CapGen", "Search Like Pattern", IF($O797="Cardumen", "True Semantic", IF($O797="DynaMoth", "True Semantic", IF($O797="FixMiner", "True Pattern", IF($O797="GenProg-A", "Evolutionary Search", IF($O797="Hercules", "Learning Pattern", IF($O797="Jaid", "True Semantic",
IF($O797="Kali-A", "True Search", IF($O797="kPAR", "True Pattern", IF($O797="Nopol", "True Semantic", IF($O797="RSRepair-A", "Evolutionary Search", IF($O797="SequenceR", "Deep Learning", IF($O797="SimFix", "Search Like Pattern", IF($O797="SketchFix", "True Pattern", IF($O797="SOFix", "True Pattern", IF($O797="ssFix", "Search Like Pattern", IF($O797="TBar", "True Pattern", ""))))))))))))))))))))</f>
        <v>True Search</v>
      </c>
      <c r="Q797" s="13" t="str">
        <f>IF(NOT(ISERR(SEARCH("*_Buggy",$A797))), "Buggy", IF(NOT(ISERR(SEARCH("*_Fixed",$A797))), "Fixed", IF(NOT(ISERR(SEARCH("*_Repaired",$A797))), "Repaired", "")))</f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v>1</v>
      </c>
      <c r="W797" s="13" t="str">
        <f>MID(A797, SEARCH("_", A797) +1, SEARCH("_", A797, SEARCH("_", A797) +1) - SEARCH("_", A797) -1)</f>
        <v>Math-80</v>
      </c>
    </row>
    <row r="798" spans="1:23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>LEFT($A798,FIND("_",$A798)-1)</f>
        <v>Kali-A</v>
      </c>
      <c r="P798" s="13" t="str">
        <f>IF($O798="ACS", "True Search", IF($O798="Arja", "Evolutionary Search", IF($O798="AVATAR", "True Pattern", IF($O798="CapGen", "Search Like Pattern", IF($O798="Cardumen", "True Semantic", IF($O798="DynaMoth", "True Semantic", IF($O798="FixMiner", "True Pattern", IF($O798="GenProg-A", "Evolutionary Search", IF($O798="Hercules", "Learning Pattern", IF($O798="Jaid", "True Semantic",
IF($O798="Kali-A", "True Search", IF($O798="kPAR", "True Pattern", IF($O798="Nopol", "True Semantic", IF($O798="RSRepair-A", "Evolutionary Search", IF($O798="SequenceR", "Deep Learning", IF($O798="SimFix", "Search Like Pattern", IF($O798="SketchFix", "True Pattern", IF($O798="SOFix", "True Pattern", IF($O798="ssFix", "Search Like Pattern", IF($O798="TBar", "True Pattern", ""))))))))))))))))))))</f>
        <v>True Search</v>
      </c>
      <c r="Q798" s="13" t="str">
        <f>IF(NOT(ISERR(SEARCH("*_Buggy",$A798))), "Buggy", IF(NOT(ISERR(SEARCH("*_Fixed",$A798))), "Fixed", IF(NOT(ISERR(SEARCH("*_Repaired",$A798))), "Repaired", "")))</f>
        <v>Fixed</v>
      </c>
      <c r="R798" s="13" t="s">
        <v>1669</v>
      </c>
      <c r="S798" s="25">
        <v>3</v>
      </c>
      <c r="T798" s="25">
        <v>4</v>
      </c>
      <c r="U798" s="25">
        <v>3</v>
      </c>
      <c r="V798" s="13">
        <v>4</v>
      </c>
      <c r="W798" s="13" t="str">
        <f>MID(A798, SEARCH("_", A798) +1, SEARCH("_", A798, SEARCH("_", A798) +1) - SEARCH("_", A798) -1)</f>
        <v>Math-81</v>
      </c>
    </row>
    <row r="799" spans="1:23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>LEFT($A799,FIND("_",$A799)-1)</f>
        <v>Kali-A</v>
      </c>
      <c r="P799" s="13" t="str">
        <f>IF($O799="ACS", "True Search", IF($O799="Arja", "Evolutionary Search", IF($O799="AVATAR", "True Pattern", IF($O799="CapGen", "Search Like Pattern", IF($O799="Cardumen", "True Semantic", IF($O799="DynaMoth", "True Semantic", IF($O799="FixMiner", "True Pattern", IF($O799="GenProg-A", "Evolutionary Search", IF($O799="Hercules", "Learning Pattern", IF($O799="Jaid", "True Semantic",
IF($O799="Kali-A", "True Search", IF($O799="kPAR", "True Pattern", IF($O799="Nopol", "True Semantic", IF($O799="RSRepair-A", "Evolutionary Search", IF($O799="SequenceR", "Deep Learning", IF($O799="SimFix", "Search Like Pattern", IF($O799="SketchFix", "True Pattern", IF($O799="SOFix", "True Pattern", IF($O799="ssFix", "Search Like Pattern", IF($O799="TBar", "True Pattern", ""))))))))))))))))))))</f>
        <v>True Search</v>
      </c>
      <c r="Q799" s="13" t="str">
        <f>IF(NOT(ISERR(SEARCH("*_Buggy",$A799))), "Buggy", IF(NOT(ISERR(SEARCH("*_Fixed",$A799))), "Fixed", IF(NOT(ISERR(SEARCH("*_Repaired",$A799))), "Repaired", "")))</f>
        <v>Fixed</v>
      </c>
      <c r="R799" s="13" t="s">
        <v>1669</v>
      </c>
      <c r="S799" s="25">
        <v>3</v>
      </c>
      <c r="T799" s="13">
        <v>9</v>
      </c>
      <c r="U799" s="25">
        <v>0</v>
      </c>
      <c r="V799" s="13">
        <v>9</v>
      </c>
      <c r="W799" s="13" t="str">
        <f>MID(A799, SEARCH("_", A799) +1, SEARCH("_", A799, SEARCH("_", A799) +1) - SEARCH("_", A799) -1)</f>
        <v>Math-84</v>
      </c>
    </row>
    <row r="800" spans="1:23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>LEFT($A800,FIND("_",$A800)-1)</f>
        <v>Kali-A</v>
      </c>
      <c r="P800" s="13" t="str">
        <f>IF($O800="ACS", "True Search", IF($O800="Arja", "Evolutionary Search", IF($O800="AVATAR", "True Pattern", IF($O800="CapGen", "Search Like Pattern", IF($O800="Cardumen", "True Semantic", IF($O800="DynaMoth", "True Semantic", IF($O800="FixMiner", "True Pattern", IF($O800="GenProg-A", "Evolutionary Search", IF($O800="Hercules", "Learning Pattern", IF($O800="Jaid", "True Semantic",
IF($O800="Kali-A", "True Search", IF($O800="kPAR", "True Pattern", IF($O800="Nopol", "True Semantic", IF($O800="RSRepair-A", "Evolutionary Search", IF($O800="SequenceR", "Deep Learning", IF($O800="SimFix", "Search Like Pattern", IF($O800="SketchFix", "True Pattern", IF($O800="SOFix", "True Pattern", IF($O800="ssFix", "Search Like Pattern", IF($O800="TBar", "True Pattern", ""))))))))))))))))))))</f>
        <v>True Search</v>
      </c>
      <c r="Q800" s="13" t="str">
        <f>IF(NOT(ISERR(SEARCH("*_Buggy",$A800))), "Buggy", IF(NOT(ISERR(SEARCH("*_Fixed",$A800))), "Fixed", IF(NOT(ISERR(SEARCH("*_Repaired",$A800))), "Repaired", "")))</f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v>1</v>
      </c>
      <c r="W800" s="13" t="str">
        <f>MID(A800, SEARCH("_", A800) +1, SEARCH("_", A800, SEARCH("_", A800) +1) - SEARCH("_", A800) -1)</f>
        <v>Math-85</v>
      </c>
    </row>
    <row r="801" spans="1:23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>LEFT($A801,FIND("_",$A801)-1)</f>
        <v>Kali-A</v>
      </c>
      <c r="P801" s="13" t="str">
        <f>IF($O801="ACS", "True Search", IF($O801="Arja", "Evolutionary Search", IF($O801="AVATAR", "True Pattern", IF($O801="CapGen", "Search Like Pattern", IF($O801="Cardumen", "True Semantic", IF($O801="DynaMoth", "True Semantic", IF($O801="FixMiner", "True Pattern", IF($O801="GenProg-A", "Evolutionary Search", IF($O801="Hercules", "Learning Pattern", IF($O801="Jaid", "True Semantic",
IF($O801="Kali-A", "True Search", IF($O801="kPAR", "True Pattern", IF($O801="Nopol", "True Semantic", IF($O801="RSRepair-A", "Evolutionary Search", IF($O801="SequenceR", "Deep Learning", IF($O801="SimFix", "Search Like Pattern", IF($O801="SketchFix", "True Pattern", IF($O801="SOFix", "True Pattern", IF($O801="ssFix", "Search Like Pattern", IF($O801="TBar", "True Pattern", ""))))))))))))))))))))</f>
        <v>True Search</v>
      </c>
      <c r="Q801" s="13" t="str">
        <f>IF(NOT(ISERR(SEARCH("*_Buggy",$A801))), "Buggy", IF(NOT(ISERR(SEARCH("*_Fixed",$A801))), "Fixed", IF(NOT(ISERR(SEARCH("*_Repaired",$A801))), "Repaired", "")))</f>
        <v>Fixed</v>
      </c>
      <c r="R801" s="13" t="s">
        <v>1669</v>
      </c>
      <c r="S801" s="25">
        <v>3</v>
      </c>
      <c r="T801" s="25">
        <v>3</v>
      </c>
      <c r="U801" s="25">
        <v>1</v>
      </c>
      <c r="V801" s="13">
        <v>3</v>
      </c>
      <c r="W801" s="13" t="str">
        <f>MID(A801, SEARCH("_", A801) +1, SEARCH("_", A801, SEARCH("_", A801) +1) - SEARCH("_", A801) -1)</f>
        <v>Math-95</v>
      </c>
    </row>
    <row r="802" spans="1:23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>LEFT($A802,FIND("_",$A802)-1)</f>
        <v>kPAR</v>
      </c>
      <c r="P802" s="13" t="str">
        <f>IF($O802="ACS", "True Search", IF($O802="Arja", "Evolutionary Search", IF($O802="AVATAR", "True Pattern", IF($O802="CapGen", "Search Like Pattern", IF($O802="Cardumen", "True Semantic", IF($O802="DynaMoth", "True Semantic", IF($O802="FixMiner", "True Pattern", IF($O802="GenProg-A", "Evolutionary Search", IF($O802="Hercules", "Learning Pattern", IF($O802="Jaid", "True Semantic",
IF($O802="Kali-A", "True Search", IF($O802="kPAR", "True Pattern", IF($O802="Nopol", "True Semantic", IF($O802="RSRepair-A", "Evolutionary Search", IF($O802="SequenceR", "Deep Learning", IF($O802="SimFix", "Search Like Pattern", IF($O802="SketchFix", "True Pattern", IF($O802="SOFix", "True Pattern", IF($O802="ssFix", "Search Like Pattern", IF($O802="TBar", "True Pattern", ""))))))))))))))))))))</f>
        <v>True Pattern</v>
      </c>
      <c r="Q802" s="13" t="str">
        <f>IF(NOT(ISERR(SEARCH("*_Buggy",$A802))), "Buggy", IF(NOT(ISERR(SEARCH("*_Fixed",$A802))), "Fixed", IF(NOT(ISERR(SEARCH("*_Repaired",$A802))), "Repaired", "")))</f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v>1</v>
      </c>
      <c r="W802" s="13" t="str">
        <f>MID(A802, SEARCH("_", A802) +1, SEARCH("_", A802, SEARCH("_", A802) +1) - SEARCH("_", A802) -1)</f>
        <v>Chart-1</v>
      </c>
    </row>
    <row r="803" spans="1:23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>LEFT($A803,FIND("_",$A803)-1)</f>
        <v>kPAR</v>
      </c>
      <c r="P803" s="13" t="str">
        <f>IF($O803="ACS", "True Search", IF($O803="Arja", "Evolutionary Search", IF($O803="AVATAR", "True Pattern", IF($O803="CapGen", "Search Like Pattern", IF($O803="Cardumen", "True Semantic", IF($O803="DynaMoth", "True Semantic", IF($O803="FixMiner", "True Pattern", IF($O803="GenProg-A", "Evolutionary Search", IF($O803="Hercules", "Learning Pattern", IF($O803="Jaid", "True Semantic",
IF($O803="Kali-A", "True Search", IF($O803="kPAR", "True Pattern", IF($O803="Nopol", "True Semantic", IF($O803="RSRepair-A", "Evolutionary Search", IF($O803="SequenceR", "Deep Learning", IF($O803="SimFix", "Search Like Pattern", IF($O803="SketchFix", "True Pattern", IF($O803="SOFix", "True Pattern", IF($O803="ssFix", "Search Like Pattern", IF($O803="TBar", "True Pattern", ""))))))))))))))))))))</f>
        <v>True Pattern</v>
      </c>
      <c r="Q803" s="13" t="str">
        <f>IF(NOT(ISERR(SEARCH("*_Buggy",$A803))), "Buggy", IF(NOT(ISERR(SEARCH("*_Fixed",$A803))), "Fixed", IF(NOT(ISERR(SEARCH("*_Repaired",$A803))), "Repaired", "")))</f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v>1</v>
      </c>
      <c r="W803" s="13" t="str">
        <f>MID(A803, SEARCH("_", A803) +1, SEARCH("_", A803, SEARCH("_", A803) +1) - SEARCH("_", A803) -1)</f>
        <v>Chart-13</v>
      </c>
    </row>
    <row r="804" spans="1:23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>LEFT($A804,FIND("_",$A804)-1)</f>
        <v>kPAR</v>
      </c>
      <c r="P804" s="13" t="str">
        <f>IF($O804="ACS", "True Search", IF($O804="Arja", "Evolutionary Search", IF($O804="AVATAR", "True Pattern", IF($O804="CapGen", "Search Like Pattern", IF($O804="Cardumen", "True Semantic", IF($O804="DynaMoth", "True Semantic", IF($O804="FixMiner", "True Pattern", IF($O804="GenProg-A", "Evolutionary Search", IF($O804="Hercules", "Learning Pattern", IF($O804="Jaid", "True Semantic",
IF($O804="Kali-A", "True Search", IF($O804="kPAR", "True Pattern", IF($O804="Nopol", "True Semantic", IF($O804="RSRepair-A", "Evolutionary Search", IF($O804="SequenceR", "Deep Learning", IF($O804="SimFix", "Search Like Pattern", IF($O804="SketchFix", "True Pattern", IF($O804="SOFix", "True Pattern", IF($O804="ssFix", "Search Like Pattern", IF($O804="TBar", "True Pattern", ""))))))))))))))))))))</f>
        <v>True Pattern</v>
      </c>
      <c r="Q804" s="13" t="str">
        <f>IF(NOT(ISERR(SEARCH("*_Buggy",$A804))), "Buggy", IF(NOT(ISERR(SEARCH("*_Fixed",$A804))), "Fixed", IF(NOT(ISERR(SEARCH("*_Repaired",$A804))), "Repaired", "")))</f>
        <v>Fixed</v>
      </c>
      <c r="R804" s="13" t="s">
        <v>1669</v>
      </c>
      <c r="S804" s="25">
        <v>1</v>
      </c>
      <c r="T804" s="25">
        <v>2</v>
      </c>
      <c r="U804" s="25">
        <v>1</v>
      </c>
      <c r="V804" s="13">
        <v>2</v>
      </c>
      <c r="W804" s="13" t="str">
        <f>MID(A804, SEARCH("_", A804) +1, SEARCH("_", A804, SEARCH("_", A804) +1) - SEARCH("_", A804) -1)</f>
        <v>Chart-17</v>
      </c>
    </row>
    <row r="805" spans="1:23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>LEFT($A805,FIND("_",$A805)-1)</f>
        <v>kPAR</v>
      </c>
      <c r="P805" s="13" t="str">
        <f>IF($O805="ACS", "True Search", IF($O805="Arja", "Evolutionary Search", IF($O805="AVATAR", "True Pattern", IF($O805="CapGen", "Search Like Pattern", IF($O805="Cardumen", "True Semantic", IF($O805="DynaMoth", "True Semantic", IF($O805="FixMiner", "True Pattern", IF($O805="GenProg-A", "Evolutionary Search", IF($O805="Hercules", "Learning Pattern", IF($O805="Jaid", "True Semantic",
IF($O805="Kali-A", "True Search", IF($O805="kPAR", "True Pattern", IF($O805="Nopol", "True Semantic", IF($O805="RSRepair-A", "Evolutionary Search", IF($O805="SequenceR", "Deep Learning", IF($O805="SimFix", "Search Like Pattern", IF($O805="SketchFix", "True Pattern", IF($O805="SOFix", "True Pattern", IF($O805="ssFix", "Search Like Pattern", IF($O805="TBar", "True Pattern", ""))))))))))))))))))))</f>
        <v>True Pattern</v>
      </c>
      <c r="Q805" s="13" t="str">
        <f>IF(NOT(ISERR(SEARCH("*_Buggy",$A805))), "Buggy", IF(NOT(ISERR(SEARCH("*_Fixed",$A805))), "Fixed", IF(NOT(ISERR(SEARCH("*_Repaired",$A805))), "Repaired", "")))</f>
        <v>Fixed</v>
      </c>
      <c r="R805" s="13" t="s">
        <v>1668</v>
      </c>
      <c r="S805" s="25">
        <v>2</v>
      </c>
      <c r="T805" s="13">
        <v>6</v>
      </c>
      <c r="U805" s="25">
        <v>0</v>
      </c>
      <c r="V805" s="13">
        <v>6</v>
      </c>
      <c r="W805" s="13" t="str">
        <f>MID(A805, SEARCH("_", A805) +1, SEARCH("_", A805, SEARCH("_", A805) +1) - SEARCH("_", A805) -1)</f>
        <v>Chart-19</v>
      </c>
    </row>
    <row r="806" spans="1:23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>LEFT($A806,FIND("_",$A806)-1)</f>
        <v>kPAR</v>
      </c>
      <c r="P806" s="13" t="str">
        <f>IF($O806="ACS", "True Search", IF($O806="Arja", "Evolutionary Search", IF($O806="AVATAR", "True Pattern", IF($O806="CapGen", "Search Like Pattern", IF($O806="Cardumen", "True Semantic", IF($O806="DynaMoth", "True Semantic", IF($O806="FixMiner", "True Pattern", IF($O806="GenProg-A", "Evolutionary Search", IF($O806="Hercules", "Learning Pattern", IF($O806="Jaid", "True Semantic",
IF($O806="Kali-A", "True Search", IF($O806="kPAR", "True Pattern", IF($O806="Nopol", "True Semantic", IF($O806="RSRepair-A", "Evolutionary Search", IF($O806="SequenceR", "Deep Learning", IF($O806="SimFix", "Search Like Pattern", IF($O806="SketchFix", "True Pattern", IF($O806="SOFix", "True Pattern", IF($O806="ssFix", "Search Like Pattern", IF($O806="TBar", "True Pattern", ""))))))))))))))))))))</f>
        <v>True Pattern</v>
      </c>
      <c r="Q806" s="13" t="str">
        <f>IF(NOT(ISERR(SEARCH("*_Buggy",$A806))), "Buggy", IF(NOT(ISERR(SEARCH("*_Fixed",$A806))), "Fixed", IF(NOT(ISERR(SEARCH("*_Repaired",$A806))), "Repaired", "")))</f>
        <v>Fixed</v>
      </c>
      <c r="R806" s="13" t="s">
        <v>1668</v>
      </c>
      <c r="S806" s="25">
        <v>2</v>
      </c>
      <c r="T806" s="13">
        <v>2</v>
      </c>
      <c r="U806" s="25">
        <v>0</v>
      </c>
      <c r="V806" s="13">
        <v>2</v>
      </c>
      <c r="W806" s="13" t="str">
        <f>MID(A806, SEARCH("_", A806) +1, SEARCH("_", A806, SEARCH("_", A806) +1) - SEARCH("_", A806) -1)</f>
        <v>Chart-26</v>
      </c>
    </row>
    <row r="807" spans="1:23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>LEFT($A807,FIND("_",$A807)-1)</f>
        <v>kPAR</v>
      </c>
      <c r="P807" s="13" t="str">
        <f>IF($O807="ACS", "True Search", IF($O807="Arja", "Evolutionary Search", IF($O807="AVATAR", "True Pattern", IF($O807="CapGen", "Search Like Pattern", IF($O807="Cardumen", "True Semantic", IF($O807="DynaMoth", "True Semantic", IF($O807="FixMiner", "True Pattern", IF($O807="GenProg-A", "Evolutionary Search", IF($O807="Hercules", "Learning Pattern", IF($O807="Jaid", "True Semantic",
IF($O807="Kali-A", "True Search", IF($O807="kPAR", "True Pattern", IF($O807="Nopol", "True Semantic", IF($O807="RSRepair-A", "Evolutionary Search", IF($O807="SequenceR", "Deep Learning", IF($O807="SimFix", "Search Like Pattern", IF($O807="SketchFix", "True Pattern", IF($O807="SOFix", "True Pattern", IF($O807="ssFix", "Search Like Pattern", IF($O807="TBar", "True Pattern", ""))))))))))))))))))))</f>
        <v>True Pattern</v>
      </c>
      <c r="Q807" s="13" t="str">
        <f>IF(NOT(ISERR(SEARCH("*_Buggy",$A807))), "Buggy", IF(NOT(ISERR(SEARCH("*_Fixed",$A807))), "Fixed", IF(NOT(ISERR(SEARCH("*_Repaired",$A807))), "Repaired", "")))</f>
        <v>Fixed</v>
      </c>
      <c r="R807" s="13" t="s">
        <v>1669</v>
      </c>
      <c r="S807" s="25">
        <v>1</v>
      </c>
      <c r="T807" s="13">
        <v>2</v>
      </c>
      <c r="U807" s="25">
        <v>0</v>
      </c>
      <c r="V807" s="13">
        <v>2</v>
      </c>
      <c r="W807" s="13" t="str">
        <f>MID(A807, SEARCH("_", A807) +1, SEARCH("_", A807, SEARCH("_", A807) +1) - SEARCH("_", A807) -1)</f>
        <v>Chart-3</v>
      </c>
    </row>
    <row r="808" spans="1:23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>LEFT($A808,FIND("_",$A808)-1)</f>
        <v>kPAR</v>
      </c>
      <c r="P808" s="13" t="str">
        <f>IF($O808="ACS", "True Search", IF($O808="Arja", "Evolutionary Search", IF($O808="AVATAR", "True Pattern", IF($O808="CapGen", "Search Like Pattern", IF($O808="Cardumen", "True Semantic", IF($O808="DynaMoth", "True Semantic", IF($O808="FixMiner", "True Pattern", IF($O808="GenProg-A", "Evolutionary Search", IF($O808="Hercules", "Learning Pattern", IF($O808="Jaid", "True Semantic",
IF($O808="Kali-A", "True Search", IF($O808="kPAR", "True Pattern", IF($O808="Nopol", "True Semantic", IF($O808="RSRepair-A", "Evolutionary Search", IF($O808="SequenceR", "Deep Learning", IF($O808="SimFix", "Search Like Pattern", IF($O808="SketchFix", "True Pattern", IF($O808="SOFix", "True Pattern", IF($O808="ssFix", "Search Like Pattern", IF($O808="TBar", "True Pattern", ""))))))))))))))))))))</f>
        <v>True Pattern</v>
      </c>
      <c r="Q808" s="13" t="str">
        <f>IF(NOT(ISERR(SEARCH("*_Buggy",$A808))), "Buggy", IF(NOT(ISERR(SEARCH("*_Fixed",$A808))), "Fixed", IF(NOT(ISERR(SEARCH("*_Repaired",$A808))), "Repaired", "")))</f>
        <v>Fixed</v>
      </c>
      <c r="R808" s="13" t="s">
        <v>1668</v>
      </c>
      <c r="S808" s="25">
        <v>2</v>
      </c>
      <c r="T808" s="13">
        <v>2</v>
      </c>
      <c r="U808" s="25">
        <v>0</v>
      </c>
      <c r="V808" s="13">
        <v>2</v>
      </c>
      <c r="W808" s="13" t="str">
        <f>MID(A808, SEARCH("_", A808) +1, SEARCH("_", A808, SEARCH("_", A808) +1) - SEARCH("_", A808) -1)</f>
        <v>Chart-4</v>
      </c>
    </row>
    <row r="809" spans="1:23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>LEFT($A809,FIND("_",$A809)-1)</f>
        <v>kPAR</v>
      </c>
      <c r="P809" s="13" t="str">
        <f>IF($O809="ACS", "True Search", IF($O809="Arja", "Evolutionary Search", IF($O809="AVATAR", "True Pattern", IF($O809="CapGen", "Search Like Pattern", IF($O809="Cardumen", "True Semantic", IF($O809="DynaMoth", "True Semantic", IF($O809="FixMiner", "True Pattern", IF($O809="GenProg-A", "Evolutionary Search", IF($O809="Hercules", "Learning Pattern", IF($O809="Jaid", "True Semantic",
IF($O809="Kali-A", "True Search", IF($O809="kPAR", "True Pattern", IF($O809="Nopol", "True Semantic", IF($O809="RSRepair-A", "Evolutionary Search", IF($O809="SequenceR", "Deep Learning", IF($O809="SimFix", "Search Like Pattern", IF($O809="SketchFix", "True Pattern", IF($O809="SOFix", "True Pattern", IF($O809="ssFix", "Search Like Pattern", IF($O809="TBar", "True Pattern", ""))))))))))))))))))))</f>
        <v>True Pattern</v>
      </c>
      <c r="Q809" s="13" t="str">
        <f>IF(NOT(ISERR(SEARCH("*_Buggy",$A809))), "Buggy", IF(NOT(ISERR(SEARCH("*_Fixed",$A809))), "Fixed", IF(NOT(ISERR(SEARCH("*_Repaired",$A809))), "Repaired", "")))</f>
        <v>Fixed</v>
      </c>
      <c r="R809" s="13" t="s">
        <v>1669</v>
      </c>
      <c r="S809" s="25">
        <v>2</v>
      </c>
      <c r="T809" s="25">
        <v>5</v>
      </c>
      <c r="U809" s="25">
        <v>1</v>
      </c>
      <c r="V809" s="13">
        <v>5</v>
      </c>
      <c r="W809" s="13" t="str">
        <f>MID(A809, SEARCH("_", A809) +1, SEARCH("_", A809, SEARCH("_", A809) +1) - SEARCH("_", A809) -1)</f>
        <v>Chart-5</v>
      </c>
    </row>
    <row r="810" spans="1:23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>LEFT($A810,FIND("_",$A810)-1)</f>
        <v>kPAR</v>
      </c>
      <c r="P810" s="13" t="str">
        <f>IF($O810="ACS", "True Search", IF($O810="Arja", "Evolutionary Search", IF($O810="AVATAR", "True Pattern", IF($O810="CapGen", "Search Like Pattern", IF($O810="Cardumen", "True Semantic", IF($O810="DynaMoth", "True Semantic", IF($O810="FixMiner", "True Pattern", IF($O810="GenProg-A", "Evolutionary Search", IF($O810="Hercules", "Learning Pattern", IF($O810="Jaid", "True Semantic",
IF($O810="Kali-A", "True Search", IF($O810="kPAR", "True Pattern", IF($O810="Nopol", "True Semantic", IF($O810="RSRepair-A", "Evolutionary Search", IF($O810="SequenceR", "Deep Learning", IF($O810="SimFix", "Search Like Pattern", IF($O810="SketchFix", "True Pattern", IF($O810="SOFix", "True Pattern", IF($O810="ssFix", "Search Like Pattern", IF($O810="TBar", "True Pattern", ""))))))))))))))))))))</f>
        <v>True Pattern</v>
      </c>
      <c r="Q810" s="13" t="str">
        <f>IF(NOT(ISERR(SEARCH("*_Buggy",$A810))), "Buggy", IF(NOT(ISERR(SEARCH("*_Fixed",$A810))), "Fixed", IF(NOT(ISERR(SEARCH("*_Repaired",$A810))), "Repaired", "")))</f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v>2</v>
      </c>
      <c r="W810" s="13" t="str">
        <f>MID(A810, SEARCH("_", A810) +1, SEARCH("_", A810, SEARCH("_", A810) +1) - SEARCH("_", A810) -1)</f>
        <v>Chart-7</v>
      </c>
    </row>
    <row r="811" spans="1:23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>LEFT($A811,FIND("_",$A811)-1)</f>
        <v>kPAR</v>
      </c>
      <c r="P811" s="13" t="str">
        <f>IF($O811="ACS", "True Search", IF($O811="Arja", "Evolutionary Search", IF($O811="AVATAR", "True Pattern", IF($O811="CapGen", "Search Like Pattern", IF($O811="Cardumen", "True Semantic", IF($O811="DynaMoth", "True Semantic", IF($O811="FixMiner", "True Pattern", IF($O811="GenProg-A", "Evolutionary Search", IF($O811="Hercules", "Learning Pattern", IF($O811="Jaid", "True Semantic",
IF($O811="Kali-A", "True Search", IF($O811="kPAR", "True Pattern", IF($O811="Nopol", "True Semantic", IF($O811="RSRepair-A", "Evolutionary Search", IF($O811="SequenceR", "Deep Learning", IF($O811="SimFix", "Search Like Pattern", IF($O811="SketchFix", "True Pattern", IF($O811="SOFix", "True Pattern", IF($O811="ssFix", "Search Like Pattern", IF($O811="TBar", "True Pattern", ""))))))))))))))))))))</f>
        <v>True Pattern</v>
      </c>
      <c r="Q811" s="13" t="str">
        <f>IF(NOT(ISERR(SEARCH("*_Buggy",$A811))), "Buggy", IF(NOT(ISERR(SEARCH("*_Fixed",$A811))), "Fixed", IF(NOT(ISERR(SEARCH("*_Repaired",$A811))), "Repaired", "")))</f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v>1</v>
      </c>
      <c r="W811" s="13" t="str">
        <f>MID(A811, SEARCH("_", A811) +1, SEARCH("_", A811, SEARCH("_", A811) +1) - SEARCH("_", A811) -1)</f>
        <v>Chart-8</v>
      </c>
    </row>
    <row r="812" spans="1:23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>LEFT($A812,FIND("_",$A812)-1)</f>
        <v>kPAR</v>
      </c>
      <c r="P812" s="13" t="str">
        <f>IF($O812="ACS", "True Search", IF($O812="Arja", "Evolutionary Search", IF($O812="AVATAR", "True Pattern", IF($O812="CapGen", "Search Like Pattern", IF($O812="Cardumen", "True Semantic", IF($O812="DynaMoth", "True Semantic", IF($O812="FixMiner", "True Pattern", IF($O812="GenProg-A", "Evolutionary Search", IF($O812="Hercules", "Learning Pattern", IF($O812="Jaid", "True Semantic",
IF($O812="Kali-A", "True Search", IF($O812="kPAR", "True Pattern", IF($O812="Nopol", "True Semantic", IF($O812="RSRepair-A", "Evolutionary Search", IF($O812="SequenceR", "Deep Learning", IF($O812="SimFix", "Search Like Pattern", IF($O812="SketchFix", "True Pattern", IF($O812="SOFix", "True Pattern", IF($O812="ssFix", "Search Like Pattern", IF($O812="TBar", "True Pattern", ""))))))))))))))))))))</f>
        <v>True Pattern</v>
      </c>
      <c r="Q812" s="13" t="str">
        <f>IF(NOT(ISERR(SEARCH("*_Buggy",$A812))), "Buggy", IF(NOT(ISERR(SEARCH("*_Fixed",$A812))), "Fixed", IF(NOT(ISERR(SEARCH("*_Repaired",$A812))), "Repaired", "")))</f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v>1</v>
      </c>
      <c r="W812" s="13" t="str">
        <f>MID(A812, SEARCH("_", A812) +1, SEARCH("_", A812, SEARCH("_", A812) +1) - SEARCH("_", A812) -1)</f>
        <v>Closure-10</v>
      </c>
    </row>
    <row r="813" spans="1:23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>LEFT($A813,FIND("_",$A813)-1)</f>
        <v>kPAR</v>
      </c>
      <c r="P813" s="13" t="str">
        <f>IF($O813="ACS", "True Search", IF($O813="Arja", "Evolutionary Search", IF($O813="AVATAR", "True Pattern", IF($O813="CapGen", "Search Like Pattern", IF($O813="Cardumen", "True Semantic", IF($O813="DynaMoth", "True Semantic", IF($O813="FixMiner", "True Pattern", IF($O813="GenProg-A", "Evolutionary Search", IF($O813="Hercules", "Learning Pattern", IF($O813="Jaid", "True Semantic",
IF($O813="Kali-A", "True Search", IF($O813="kPAR", "True Pattern", IF($O813="Nopol", "True Semantic", IF($O813="RSRepair-A", "Evolutionary Search", IF($O813="SequenceR", "Deep Learning", IF($O813="SimFix", "Search Like Pattern", IF($O813="SketchFix", "True Pattern", IF($O813="SOFix", "True Pattern", IF($O813="ssFix", "Search Like Pattern", IF($O813="TBar", "True Pattern", ""))))))))))))))))))))</f>
        <v>True Pattern</v>
      </c>
      <c r="Q813" s="13" t="str">
        <f>IF(NOT(ISERR(SEARCH("*_Buggy",$A813))), "Buggy", IF(NOT(ISERR(SEARCH("*_Fixed",$A813))), "Fixed", IF(NOT(ISERR(SEARCH("*_Repaired",$A813))), "Repaired", "")))</f>
        <v>Fixed</v>
      </c>
      <c r="R813" s="13" t="s">
        <v>1668</v>
      </c>
      <c r="S813" s="25">
        <v>1</v>
      </c>
      <c r="T813" s="25">
        <v>0</v>
      </c>
      <c r="U813" s="13">
        <v>2</v>
      </c>
      <c r="V813" s="13">
        <v>2</v>
      </c>
      <c r="W813" s="13" t="str">
        <f>MID(A813, SEARCH("_", A813) +1, SEARCH("_", A813, SEARCH("_", A813) +1) - SEARCH("_", A813) -1)</f>
        <v>Closure-11</v>
      </c>
    </row>
    <row r="814" spans="1:23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>LEFT($A814,FIND("_",$A814)-1)</f>
        <v>kPAR</v>
      </c>
      <c r="P814" s="13" t="str">
        <f>IF($O814="ACS", "True Search", IF($O814="Arja", "Evolutionary Search", IF($O814="AVATAR", "True Pattern", IF($O814="CapGen", "Search Like Pattern", IF($O814="Cardumen", "True Semantic", IF($O814="DynaMoth", "True Semantic", IF($O814="FixMiner", "True Pattern", IF($O814="GenProg-A", "Evolutionary Search", IF($O814="Hercules", "Learning Pattern", IF($O814="Jaid", "True Semantic",
IF($O814="Kali-A", "True Search", IF($O814="kPAR", "True Pattern", IF($O814="Nopol", "True Semantic", IF($O814="RSRepair-A", "Evolutionary Search", IF($O814="SequenceR", "Deep Learning", IF($O814="SimFix", "Search Like Pattern", IF($O814="SketchFix", "True Pattern", IF($O814="SOFix", "True Pattern", IF($O814="ssFix", "Search Like Pattern", IF($O814="TBar", "True Pattern", ""))))))))))))))))))))</f>
        <v>True Pattern</v>
      </c>
      <c r="Q814" s="13" t="str">
        <f>IF(NOT(ISERR(SEARCH("*_Buggy",$A814))), "Buggy", IF(NOT(ISERR(SEARCH("*_Fixed",$A814))), "Fixed", IF(NOT(ISERR(SEARCH("*_Repaired",$A814))), "Repaired", "")))</f>
        <v>Fixed</v>
      </c>
      <c r="R814" s="13" t="s">
        <v>1668</v>
      </c>
      <c r="S814" s="25">
        <v>2</v>
      </c>
      <c r="T814" s="25">
        <v>0</v>
      </c>
      <c r="U814" s="13">
        <v>11</v>
      </c>
      <c r="V814" s="13">
        <v>11</v>
      </c>
      <c r="W814" s="13" t="str">
        <f>MID(A814, SEARCH("_", A814) +1, SEARCH("_", A814, SEARCH("_", A814) +1) - SEARCH("_", A814) -1)</f>
        <v>Closure-115</v>
      </c>
    </row>
    <row r="815" spans="1:23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>LEFT($A815,FIND("_",$A815)-1)</f>
        <v>kPAR</v>
      </c>
      <c r="P815" s="13" t="str">
        <f>IF($O815="ACS", "True Search", IF($O815="Arja", "Evolutionary Search", IF($O815="AVATAR", "True Pattern", IF($O815="CapGen", "Search Like Pattern", IF($O815="Cardumen", "True Semantic", IF($O815="DynaMoth", "True Semantic", IF($O815="FixMiner", "True Pattern", IF($O815="GenProg-A", "Evolutionary Search", IF($O815="Hercules", "Learning Pattern", IF($O815="Jaid", "True Semantic",
IF($O815="Kali-A", "True Search", IF($O815="kPAR", "True Pattern", IF($O815="Nopol", "True Semantic", IF($O815="RSRepair-A", "Evolutionary Search", IF($O815="SequenceR", "Deep Learning", IF($O815="SimFix", "Search Like Pattern", IF($O815="SketchFix", "True Pattern", IF($O815="SOFix", "True Pattern", IF($O815="ssFix", "Search Like Pattern", IF($O815="TBar", "True Pattern", ""))))))))))))))))))))</f>
        <v>True Pattern</v>
      </c>
      <c r="Q815" s="13" t="str">
        <f>IF(NOT(ISERR(SEARCH("*_Buggy",$A815))), "Buggy", IF(NOT(ISERR(SEARCH("*_Fixed",$A815))), "Fixed", IF(NOT(ISERR(SEARCH("*_Repaired",$A815))), "Repaired", "")))</f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v>1</v>
      </c>
      <c r="W815" s="13" t="str">
        <f>MID(A815, SEARCH("_", A815) +1, SEARCH("_", A815, SEARCH("_", A815) +1) - SEARCH("_", A815) -1)</f>
        <v>Closure-125</v>
      </c>
    </row>
    <row r="816" spans="1:23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>LEFT($A816,FIND("_",$A816)-1)</f>
        <v>kPAR</v>
      </c>
      <c r="P816" s="13" t="str">
        <f>IF($O816="ACS", "True Search", IF($O816="Arja", "Evolutionary Search", IF($O816="AVATAR", "True Pattern", IF($O816="CapGen", "Search Like Pattern", IF($O816="Cardumen", "True Semantic", IF($O816="DynaMoth", "True Semantic", IF($O816="FixMiner", "True Pattern", IF($O816="GenProg-A", "Evolutionary Search", IF($O816="Hercules", "Learning Pattern", IF($O816="Jaid", "True Semantic",
IF($O816="Kali-A", "True Search", IF($O816="kPAR", "True Pattern", IF($O816="Nopol", "True Semantic", IF($O816="RSRepair-A", "Evolutionary Search", IF($O816="SequenceR", "Deep Learning", IF($O816="SimFix", "Search Like Pattern", IF($O816="SketchFix", "True Pattern", IF($O816="SOFix", "True Pattern", IF($O816="ssFix", "Search Like Pattern", IF($O816="TBar", "True Pattern", ""))))))))))))))))))))</f>
        <v>True Pattern</v>
      </c>
      <c r="Q816" s="13" t="str">
        <f>IF(NOT(ISERR(SEARCH("*_Buggy",$A816))), "Buggy", IF(NOT(ISERR(SEARCH("*_Fixed",$A816))), "Fixed", IF(NOT(ISERR(SEARCH("*_Repaired",$A816))), "Repaired", "")))</f>
        <v>Fixed</v>
      </c>
      <c r="R816" s="13" t="s">
        <v>1668</v>
      </c>
      <c r="S816" s="25">
        <v>3</v>
      </c>
      <c r="T816" s="13">
        <v>4</v>
      </c>
      <c r="U816" s="25">
        <v>0</v>
      </c>
      <c r="V816" s="13">
        <v>4</v>
      </c>
      <c r="W816" s="13" t="str">
        <f>MID(A816, SEARCH("_", A816) +1, SEARCH("_", A816, SEARCH("_", A816) +1) - SEARCH("_", A816) -1)</f>
        <v>Closure-2</v>
      </c>
    </row>
    <row r="817" spans="1:23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>LEFT($A817,FIND("_",$A817)-1)</f>
        <v>kPAR</v>
      </c>
      <c r="P817" s="13" t="str">
        <f>IF($O817="ACS", "True Search", IF($O817="Arja", "Evolutionary Search", IF($O817="AVATAR", "True Pattern", IF($O817="CapGen", "Search Like Pattern", IF($O817="Cardumen", "True Semantic", IF($O817="DynaMoth", "True Semantic", IF($O817="FixMiner", "True Pattern", IF($O817="GenProg-A", "Evolutionary Search", IF($O817="Hercules", "Learning Pattern", IF($O817="Jaid", "True Semantic",
IF($O817="Kali-A", "True Search", IF($O817="kPAR", "True Pattern", IF($O817="Nopol", "True Semantic", IF($O817="RSRepair-A", "Evolutionary Search", IF($O817="SequenceR", "Deep Learning", IF($O817="SimFix", "Search Like Pattern", IF($O817="SketchFix", "True Pattern", IF($O817="SOFix", "True Pattern", IF($O817="ssFix", "Search Like Pattern", IF($O817="TBar", "True Pattern", ""))))))))))))))))))))</f>
        <v>True Pattern</v>
      </c>
      <c r="Q817" s="13" t="str">
        <f>IF(NOT(ISERR(SEARCH("*_Buggy",$A817))), "Buggy", IF(NOT(ISERR(SEARCH("*_Fixed",$A817))), "Fixed", IF(NOT(ISERR(SEARCH("*_Repaired",$A817))), "Repaired", "")))</f>
        <v>Fixed</v>
      </c>
      <c r="R817" s="13" t="s">
        <v>1669</v>
      </c>
      <c r="S817" s="25">
        <v>2</v>
      </c>
      <c r="T817" s="25">
        <v>2</v>
      </c>
      <c r="U817" s="25">
        <v>19</v>
      </c>
      <c r="V817" s="13">
        <v>19</v>
      </c>
      <c r="W817" s="13" t="str">
        <f>MID(A817, SEARCH("_", A817) +1, SEARCH("_", A817, SEARCH("_", A817) +1) - SEARCH("_", A817) -1)</f>
        <v>Closure-21</v>
      </c>
    </row>
    <row r="818" spans="1:23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>LEFT($A818,FIND("_",$A818)-1)</f>
        <v>kPAR</v>
      </c>
      <c r="P818" s="13" t="str">
        <f>IF($O818="ACS", "True Search", IF($O818="Arja", "Evolutionary Search", IF($O818="AVATAR", "True Pattern", IF($O818="CapGen", "Search Like Pattern", IF($O818="Cardumen", "True Semantic", IF($O818="DynaMoth", "True Semantic", IF($O818="FixMiner", "True Pattern", IF($O818="GenProg-A", "Evolutionary Search", IF($O818="Hercules", "Learning Pattern", IF($O818="Jaid", "True Semantic",
IF($O818="Kali-A", "True Search", IF($O818="kPAR", "True Pattern", IF($O818="Nopol", "True Semantic", IF($O818="RSRepair-A", "Evolutionary Search", IF($O818="SequenceR", "Deep Learning", IF($O818="SimFix", "Search Like Pattern", IF($O818="SketchFix", "True Pattern", IF($O818="SOFix", "True Pattern", IF($O818="ssFix", "Search Like Pattern", IF($O818="TBar", "True Pattern", ""))))))))))))))))))))</f>
        <v>True Pattern</v>
      </c>
      <c r="Q818" s="13" t="str">
        <f>IF(NOT(ISERR(SEARCH("*_Buggy",$A818))), "Buggy", IF(NOT(ISERR(SEARCH("*_Fixed",$A818))), "Fixed", IF(NOT(ISERR(SEARCH("*_Repaired",$A818))), "Repaired", "")))</f>
        <v>Fixed</v>
      </c>
      <c r="R818" s="13" t="s">
        <v>1669</v>
      </c>
      <c r="S818" s="25">
        <v>5</v>
      </c>
      <c r="T818" s="25">
        <v>2</v>
      </c>
      <c r="U818" s="25">
        <v>26</v>
      </c>
      <c r="V818" s="13">
        <v>26</v>
      </c>
      <c r="W818" s="13" t="str">
        <f>MID(A818, SEARCH("_", A818) +1, SEARCH("_", A818, SEARCH("_", A818) +1) - SEARCH("_", A818) -1)</f>
        <v>Closure-22</v>
      </c>
    </row>
    <row r="819" spans="1:23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>LEFT($A819,FIND("_",$A819)-1)</f>
        <v>kPAR</v>
      </c>
      <c r="P819" s="13" t="str">
        <f>IF($O819="ACS", "True Search", IF($O819="Arja", "Evolutionary Search", IF($O819="AVATAR", "True Pattern", IF($O819="CapGen", "Search Like Pattern", IF($O819="Cardumen", "True Semantic", IF($O819="DynaMoth", "True Semantic", IF($O819="FixMiner", "True Pattern", IF($O819="GenProg-A", "Evolutionary Search", IF($O819="Hercules", "Learning Pattern", IF($O819="Jaid", "True Semantic",
IF($O819="Kali-A", "True Search", IF($O819="kPAR", "True Pattern", IF($O819="Nopol", "True Semantic", IF($O819="RSRepair-A", "Evolutionary Search", IF($O819="SequenceR", "Deep Learning", IF($O819="SimFix", "Search Like Pattern", IF($O819="SketchFix", "True Pattern", IF($O819="SOFix", "True Pattern", IF($O819="ssFix", "Search Like Pattern", IF($O819="TBar", "True Pattern", ""))))))))))))))))))))</f>
        <v>True Pattern</v>
      </c>
      <c r="Q819" s="13" t="str">
        <f>IF(NOT(ISERR(SEARCH("*_Buggy",$A819))), "Buggy", IF(NOT(ISERR(SEARCH("*_Fixed",$A819))), "Fixed", IF(NOT(ISERR(SEARCH("*_Repaired",$A819))), "Repaired", "")))</f>
        <v>Fixed</v>
      </c>
      <c r="R819" s="13" t="s">
        <v>1669</v>
      </c>
      <c r="S819" s="25">
        <v>1</v>
      </c>
      <c r="T819" s="25">
        <v>2</v>
      </c>
      <c r="U819" s="25">
        <v>15</v>
      </c>
      <c r="V819" s="13">
        <v>15</v>
      </c>
      <c r="W819" s="13" t="str">
        <f>MID(A819, SEARCH("_", A819) +1, SEARCH("_", A819, SEARCH("_", A819) +1) - SEARCH("_", A819) -1)</f>
        <v>Closure-35</v>
      </c>
    </row>
    <row r="820" spans="1:23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>LEFT($A820,FIND("_",$A820)-1)</f>
        <v>kPAR</v>
      </c>
      <c r="P820" s="13" t="str">
        <f>IF($O820="ACS", "True Search", IF($O820="Arja", "Evolutionary Search", IF($O820="AVATAR", "True Pattern", IF($O820="CapGen", "Search Like Pattern", IF($O820="Cardumen", "True Semantic", IF($O820="DynaMoth", "True Semantic", IF($O820="FixMiner", "True Pattern", IF($O820="GenProg-A", "Evolutionary Search", IF($O820="Hercules", "Learning Pattern", IF($O820="Jaid", "True Semantic",
IF($O820="Kali-A", "True Search", IF($O820="kPAR", "True Pattern", IF($O820="Nopol", "True Semantic", IF($O820="RSRepair-A", "Evolutionary Search", IF($O820="SequenceR", "Deep Learning", IF($O820="SimFix", "Search Like Pattern", IF($O820="SketchFix", "True Pattern", IF($O820="SOFix", "True Pattern", IF($O820="ssFix", "Search Like Pattern", IF($O820="TBar", "True Pattern", ""))))))))))))))))))))</f>
        <v>True Pattern</v>
      </c>
      <c r="Q820" s="13" t="str">
        <f>IF(NOT(ISERR(SEARCH("*_Buggy",$A820))), "Buggy", IF(NOT(ISERR(SEARCH("*_Fixed",$A820))), "Fixed", IF(NOT(ISERR(SEARCH("*_Repaired",$A820))), "Repaired", "")))</f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v>1</v>
      </c>
      <c r="W820" s="13" t="str">
        <f>MID(A820, SEARCH("_", A820) +1, SEARCH("_", A820, SEARCH("_", A820) +1) - SEARCH("_", A820) -1)</f>
        <v>Closure-38</v>
      </c>
    </row>
    <row r="821" spans="1:23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>LEFT($A821,FIND("_",$A821)-1)</f>
        <v>kPAR</v>
      </c>
      <c r="P821" s="13" t="str">
        <f>IF($O821="ACS", "True Search", IF($O821="Arja", "Evolutionary Search", IF($O821="AVATAR", "True Pattern", IF($O821="CapGen", "Search Like Pattern", IF($O821="Cardumen", "True Semantic", IF($O821="DynaMoth", "True Semantic", IF($O821="FixMiner", "True Pattern", IF($O821="GenProg-A", "Evolutionary Search", IF($O821="Hercules", "Learning Pattern", IF($O821="Jaid", "True Semantic",
IF($O821="Kali-A", "True Search", IF($O821="kPAR", "True Pattern", IF($O821="Nopol", "True Semantic", IF($O821="RSRepair-A", "Evolutionary Search", IF($O821="SequenceR", "Deep Learning", IF($O821="SimFix", "Search Like Pattern", IF($O821="SketchFix", "True Pattern", IF($O821="SOFix", "True Pattern", IF($O821="ssFix", "Search Like Pattern", IF($O821="TBar", "True Pattern", ""))))))))))))))))))))</f>
        <v>True Pattern</v>
      </c>
      <c r="Q821" s="13" t="str">
        <f>IF(NOT(ISERR(SEARCH("*_Buggy",$A821))), "Buggy", IF(NOT(ISERR(SEARCH("*_Fixed",$A821))), "Fixed", IF(NOT(ISERR(SEARCH("*_Repaired",$A821))), "Repaired", "")))</f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v>2</v>
      </c>
      <c r="W821" s="13" t="str">
        <f>MID(A821, SEARCH("_", A821) +1, SEARCH("_", A821, SEARCH("_", A821) +1) - SEARCH("_", A821) -1)</f>
        <v>Closure-4</v>
      </c>
    </row>
    <row r="822" spans="1:23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>LEFT($A822,FIND("_",$A822)-1)</f>
        <v>kPAR</v>
      </c>
      <c r="P822" s="13" t="str">
        <f>IF($O822="ACS", "True Search", IF($O822="Arja", "Evolutionary Search", IF($O822="AVATAR", "True Pattern", IF($O822="CapGen", "Search Like Pattern", IF($O822="Cardumen", "True Semantic", IF($O822="DynaMoth", "True Semantic", IF($O822="FixMiner", "True Pattern", IF($O822="GenProg-A", "Evolutionary Search", IF($O822="Hercules", "Learning Pattern", IF($O822="Jaid", "True Semantic",
IF($O822="Kali-A", "True Search", IF($O822="kPAR", "True Pattern", IF($O822="Nopol", "True Semantic", IF($O822="RSRepair-A", "Evolutionary Search", IF($O822="SequenceR", "Deep Learning", IF($O822="SimFix", "Search Like Pattern", IF($O822="SketchFix", "True Pattern", IF($O822="SOFix", "True Pattern", IF($O822="ssFix", "Search Like Pattern", IF($O822="TBar", "True Pattern", ""))))))))))))))))))))</f>
        <v>True Pattern</v>
      </c>
      <c r="Q822" s="13" t="str">
        <f>IF(NOT(ISERR(SEARCH("*_Buggy",$A822))), "Buggy", IF(NOT(ISERR(SEARCH("*_Fixed",$A822))), "Fixed", IF(NOT(ISERR(SEARCH("*_Repaired",$A822))), "Repaired", "")))</f>
        <v>Fixed</v>
      </c>
      <c r="R822" s="13" t="s">
        <v>1668</v>
      </c>
      <c r="S822" s="25">
        <v>2</v>
      </c>
      <c r="T822" s="25">
        <v>1</v>
      </c>
      <c r="U822" s="25">
        <v>3</v>
      </c>
      <c r="V822" s="13">
        <v>3</v>
      </c>
      <c r="W822" s="13" t="str">
        <f>MID(A822, SEARCH("_", A822) +1, SEARCH("_", A822, SEARCH("_", A822) +1) - SEARCH("_", A822) -1)</f>
        <v>Closure-40</v>
      </c>
    </row>
    <row r="823" spans="1:23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>LEFT($A823,FIND("_",$A823)-1)</f>
        <v>kPAR</v>
      </c>
      <c r="P823" s="13" t="str">
        <f>IF($O823="ACS", "True Search", IF($O823="Arja", "Evolutionary Search", IF($O823="AVATAR", "True Pattern", IF($O823="CapGen", "Search Like Pattern", IF($O823="Cardumen", "True Semantic", IF($O823="DynaMoth", "True Semantic", IF($O823="FixMiner", "True Pattern", IF($O823="GenProg-A", "Evolutionary Search", IF($O823="Hercules", "Learning Pattern", IF($O823="Jaid", "True Semantic",
IF($O823="Kali-A", "True Search", IF($O823="kPAR", "True Pattern", IF($O823="Nopol", "True Semantic", IF($O823="RSRepair-A", "Evolutionary Search", IF($O823="SequenceR", "Deep Learning", IF($O823="SimFix", "Search Like Pattern", IF($O823="SketchFix", "True Pattern", IF($O823="SOFix", "True Pattern", IF($O823="ssFix", "Search Like Pattern", IF($O823="TBar", "True Pattern", ""))))))))))))))))))))</f>
        <v>True Pattern</v>
      </c>
      <c r="Q823" s="13" t="str">
        <f>IF(NOT(ISERR(SEARCH("*_Buggy",$A823))), "Buggy", IF(NOT(ISERR(SEARCH("*_Fixed",$A823))), "Fixed", IF(NOT(ISERR(SEARCH("*_Repaired",$A823))), "Repaired", "")))</f>
        <v>Fixed</v>
      </c>
      <c r="R823" s="13" t="s">
        <v>1669</v>
      </c>
      <c r="S823" s="25">
        <v>1</v>
      </c>
      <c r="T823" s="25">
        <v>0</v>
      </c>
      <c r="U823" s="13">
        <v>16</v>
      </c>
      <c r="V823" s="13">
        <v>16</v>
      </c>
      <c r="W823" s="13" t="str">
        <f>MID(A823, SEARCH("_", A823) +1, SEARCH("_", A823, SEARCH("_", A823) +1) - SEARCH("_", A823) -1)</f>
        <v>Closure-46</v>
      </c>
    </row>
    <row r="824" spans="1:23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>LEFT($A824,FIND("_",$A824)-1)</f>
        <v>kPAR</v>
      </c>
      <c r="P824" s="13" t="str">
        <f>IF($O824="ACS", "True Search", IF($O824="Arja", "Evolutionary Search", IF($O824="AVATAR", "True Pattern", IF($O824="CapGen", "Search Like Pattern", IF($O824="Cardumen", "True Semantic", IF($O824="DynaMoth", "True Semantic", IF($O824="FixMiner", "True Pattern", IF($O824="GenProg-A", "Evolutionary Search", IF($O824="Hercules", "Learning Pattern", IF($O824="Jaid", "True Semantic",
IF($O824="Kali-A", "True Search", IF($O824="kPAR", "True Pattern", IF($O824="Nopol", "True Semantic", IF($O824="RSRepair-A", "Evolutionary Search", IF($O824="SequenceR", "Deep Learning", IF($O824="SimFix", "Search Like Pattern", IF($O824="SketchFix", "True Pattern", IF($O824="SOFix", "True Pattern", IF($O824="ssFix", "Search Like Pattern", IF($O824="TBar", "True Pattern", ""))))))))))))))))))))</f>
        <v>True Pattern</v>
      </c>
      <c r="Q824" s="13" t="str">
        <f>IF(NOT(ISERR(SEARCH("*_Buggy",$A824))), "Buggy", IF(NOT(ISERR(SEARCH("*_Fixed",$A824))), "Fixed", IF(NOT(ISERR(SEARCH("*_Repaired",$A824))), "Repaired", "")))</f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v>1</v>
      </c>
      <c r="W824" s="13" t="str">
        <f>MID(A824, SEARCH("_", A824) +1, SEARCH("_", A824, SEARCH("_", A824) +1) - SEARCH("_", A824) -1)</f>
        <v>Closure-62</v>
      </c>
    </row>
    <row r="825" spans="1:23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>LEFT($A825,FIND("_",$A825)-1)</f>
        <v>kPAR</v>
      </c>
      <c r="P825" s="13" t="str">
        <f>IF($O825="ACS", "True Search", IF($O825="Arja", "Evolutionary Search", IF($O825="AVATAR", "True Pattern", IF($O825="CapGen", "Search Like Pattern", IF($O825="Cardumen", "True Semantic", IF($O825="DynaMoth", "True Semantic", IF($O825="FixMiner", "True Pattern", IF($O825="GenProg-A", "Evolutionary Search", IF($O825="Hercules", "Learning Pattern", IF($O825="Jaid", "True Semantic",
IF($O825="Kali-A", "True Search", IF($O825="kPAR", "True Pattern", IF($O825="Nopol", "True Semantic", IF($O825="RSRepair-A", "Evolutionary Search", IF($O825="SequenceR", "Deep Learning", IF($O825="SimFix", "Search Like Pattern", IF($O825="SketchFix", "True Pattern", IF($O825="SOFix", "True Pattern", IF($O825="ssFix", "Search Like Pattern", IF($O825="TBar", "True Pattern", ""))))))))))))))))))))</f>
        <v>True Pattern</v>
      </c>
      <c r="Q825" s="13" t="str">
        <f>IF(NOT(ISERR(SEARCH("*_Buggy",$A825))), "Buggy", IF(NOT(ISERR(SEARCH("*_Fixed",$A825))), "Fixed", IF(NOT(ISERR(SEARCH("*_Repaired",$A825))), "Repaired", "")))</f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v>1</v>
      </c>
      <c r="W825" s="13" t="str">
        <f>MID(A825, SEARCH("_", A825) +1, SEARCH("_", A825, SEARCH("_", A825) +1) - SEARCH("_", A825) -1)</f>
        <v>Closure-70</v>
      </c>
    </row>
    <row r="826" spans="1:23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>LEFT($A826,FIND("_",$A826)-1)</f>
        <v>kPAR</v>
      </c>
      <c r="P826" s="13" t="str">
        <f>IF($O826="ACS", "True Search", IF($O826="Arja", "Evolutionary Search", IF($O826="AVATAR", "True Pattern", IF($O826="CapGen", "Search Like Pattern", IF($O826="Cardumen", "True Semantic", IF($O826="DynaMoth", "True Semantic", IF($O826="FixMiner", "True Pattern", IF($O826="GenProg-A", "Evolutionary Search", IF($O826="Hercules", "Learning Pattern", IF($O826="Jaid", "True Semantic",
IF($O826="Kali-A", "True Search", IF($O826="kPAR", "True Pattern", IF($O826="Nopol", "True Semantic", IF($O826="RSRepair-A", "Evolutionary Search", IF($O826="SequenceR", "Deep Learning", IF($O826="SimFix", "Search Like Pattern", IF($O826="SketchFix", "True Pattern", IF($O826="SOFix", "True Pattern", IF($O826="ssFix", "Search Like Pattern", IF($O826="TBar", "True Pattern", ""))))))))))))))))))))</f>
        <v>True Pattern</v>
      </c>
      <c r="Q826" s="13" t="str">
        <f>IF(NOT(ISERR(SEARCH("*_Buggy",$A826))), "Buggy", IF(NOT(ISERR(SEARCH("*_Fixed",$A826))), "Fixed", IF(NOT(ISERR(SEARCH("*_Repaired",$A826))), "Repaired", "")))</f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v>1</v>
      </c>
      <c r="W826" s="13" t="str">
        <f>MID(A826, SEARCH("_", A826) +1, SEARCH("_", A826, SEARCH("_", A826) +1) - SEARCH("_", A826) -1)</f>
        <v>Closure-73</v>
      </c>
    </row>
    <row r="827" spans="1:23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>LEFT($A827,FIND("_",$A827)-1)</f>
        <v>kPAR</v>
      </c>
      <c r="P827" s="13" t="str">
        <f>IF($O827="ACS", "True Search", IF($O827="Arja", "Evolutionary Search", IF($O827="AVATAR", "True Pattern", IF($O827="CapGen", "Search Like Pattern", IF($O827="Cardumen", "True Semantic", IF($O827="DynaMoth", "True Semantic", IF($O827="FixMiner", "True Pattern", IF($O827="GenProg-A", "Evolutionary Search", IF($O827="Hercules", "Learning Pattern", IF($O827="Jaid", "True Semantic",
IF($O827="Kali-A", "True Search", IF($O827="kPAR", "True Pattern", IF($O827="Nopol", "True Semantic", IF($O827="RSRepair-A", "Evolutionary Search", IF($O827="SequenceR", "Deep Learning", IF($O827="SimFix", "Search Like Pattern", IF($O827="SketchFix", "True Pattern", IF($O827="SOFix", "True Pattern", IF($O827="ssFix", "Search Like Pattern", IF($O827="TBar", "True Pattern", ""))))))))))))))))))))</f>
        <v>True Pattern</v>
      </c>
      <c r="Q827" s="13" t="str">
        <f>IF(NOT(ISERR(SEARCH("*_Buggy",$A827))), "Buggy", IF(NOT(ISERR(SEARCH("*_Fixed",$A827))), "Fixed", IF(NOT(ISERR(SEARCH("*_Repaired",$A827))), "Repaired", "")))</f>
        <v>Fixed</v>
      </c>
      <c r="R827" s="13" t="s">
        <v>1668</v>
      </c>
      <c r="S827" s="25">
        <v>2</v>
      </c>
      <c r="T827" s="25">
        <v>0</v>
      </c>
      <c r="U827" s="13">
        <v>9</v>
      </c>
      <c r="V827" s="13">
        <v>9</v>
      </c>
      <c r="W827" s="13" t="str">
        <f>MID(A827, SEARCH("_", A827) +1, SEARCH("_", A827, SEARCH("_", A827) +1) - SEARCH("_", A827) -1)</f>
        <v>Lang-10</v>
      </c>
    </row>
    <row r="828" spans="1:23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>LEFT($A828,FIND("_",$A828)-1)</f>
        <v>kPAR</v>
      </c>
      <c r="P828" s="13" t="str">
        <f>IF($O828="ACS", "True Search", IF($O828="Arja", "Evolutionary Search", IF($O828="AVATAR", "True Pattern", IF($O828="CapGen", "Search Like Pattern", IF($O828="Cardumen", "True Semantic", IF($O828="DynaMoth", "True Semantic", IF($O828="FixMiner", "True Pattern", IF($O828="GenProg-A", "Evolutionary Search", IF($O828="Hercules", "Learning Pattern", IF($O828="Jaid", "True Semantic",
IF($O828="Kali-A", "True Search", IF($O828="kPAR", "True Pattern", IF($O828="Nopol", "True Semantic", IF($O828="RSRepair-A", "Evolutionary Search", IF($O828="SequenceR", "Deep Learning", IF($O828="SimFix", "Search Like Pattern", IF($O828="SketchFix", "True Pattern", IF($O828="SOFix", "True Pattern", IF($O828="ssFix", "Search Like Pattern", IF($O828="TBar", "True Pattern", ""))))))))))))))))))))</f>
        <v>True Pattern</v>
      </c>
      <c r="Q828" s="13" t="str">
        <f>IF(NOT(ISERR(SEARCH("*_Buggy",$A828))), "Buggy", IF(NOT(ISERR(SEARCH("*_Fixed",$A828))), "Fixed", IF(NOT(ISERR(SEARCH("*_Repaired",$A828))), "Repaired", "")))</f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v>1</v>
      </c>
      <c r="W828" s="13" t="str">
        <f>MID(A828, SEARCH("_", A828) +1, SEARCH("_", A828, SEARCH("_", A828) +1) - SEARCH("_", A828) -1)</f>
        <v>Lang-16</v>
      </c>
    </row>
    <row r="829" spans="1:23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>LEFT($A829,FIND("_",$A829)-1)</f>
        <v>kPAR</v>
      </c>
      <c r="P829" s="13" t="str">
        <f>IF($O829="ACS", "True Search", IF($O829="Arja", "Evolutionary Search", IF($O829="AVATAR", "True Pattern", IF($O829="CapGen", "Search Like Pattern", IF($O829="Cardumen", "True Semantic", IF($O829="DynaMoth", "True Semantic", IF($O829="FixMiner", "True Pattern", IF($O829="GenProg-A", "Evolutionary Search", IF($O829="Hercules", "Learning Pattern", IF($O829="Jaid", "True Semantic",
IF($O829="Kali-A", "True Search", IF($O829="kPAR", "True Pattern", IF($O829="Nopol", "True Semantic", IF($O829="RSRepair-A", "Evolutionary Search", IF($O829="SequenceR", "Deep Learning", IF($O829="SimFix", "Search Like Pattern", IF($O829="SketchFix", "True Pattern", IF($O829="SOFix", "True Pattern", IF($O829="ssFix", "Search Like Pattern", IF($O829="TBar", "True Pattern", ""))))))))))))))))))))</f>
        <v>True Pattern</v>
      </c>
      <c r="Q829" s="13" t="str">
        <f>IF(NOT(ISERR(SEARCH("*_Buggy",$A829))), "Buggy", IF(NOT(ISERR(SEARCH("*_Fixed",$A829))), "Fixed", IF(NOT(ISERR(SEARCH("*_Repaired",$A829))), "Repaired", "")))</f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v>5</v>
      </c>
      <c r="W829" s="13" t="str">
        <f>MID(A829, SEARCH("_", A829) +1, SEARCH("_", A829, SEARCH("_", A829) +1) - SEARCH("_", A829) -1)</f>
        <v>Lang-18</v>
      </c>
    </row>
    <row r="830" spans="1:23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>LEFT($A830,FIND("_",$A830)-1)</f>
        <v>kPAR</v>
      </c>
      <c r="P830" s="13" t="str">
        <f>IF($O830="ACS", "True Search", IF($O830="Arja", "Evolutionary Search", IF($O830="AVATAR", "True Pattern", IF($O830="CapGen", "Search Like Pattern", IF($O830="Cardumen", "True Semantic", IF($O830="DynaMoth", "True Semantic", IF($O830="FixMiner", "True Pattern", IF($O830="GenProg-A", "Evolutionary Search", IF($O830="Hercules", "Learning Pattern", IF($O830="Jaid", "True Semantic",
IF($O830="Kali-A", "True Search", IF($O830="kPAR", "True Pattern", IF($O830="Nopol", "True Semantic", IF($O830="RSRepair-A", "Evolutionary Search", IF($O830="SequenceR", "Deep Learning", IF($O830="SimFix", "Search Like Pattern", IF($O830="SketchFix", "True Pattern", IF($O830="SOFix", "True Pattern", IF($O830="ssFix", "Search Like Pattern", IF($O830="TBar", "True Pattern", ""))))))))))))))))))))</f>
        <v>True Pattern</v>
      </c>
      <c r="Q830" s="13" t="str">
        <f>IF(NOT(ISERR(SEARCH("*_Buggy",$A830))), "Buggy", IF(NOT(ISERR(SEARCH("*_Fixed",$A830))), "Fixed", IF(NOT(ISERR(SEARCH("*_Repaired",$A830))), "Repaired", "")))</f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v>2</v>
      </c>
      <c r="W830" s="13" t="str">
        <f>MID(A830, SEARCH("_", A830) +1, SEARCH("_", A830, SEARCH("_", A830) +1) - SEARCH("_", A830) -1)</f>
        <v>Lang-20</v>
      </c>
    </row>
    <row r="831" spans="1:23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>LEFT($A831,FIND("_",$A831)-1)</f>
        <v>kPAR</v>
      </c>
      <c r="P831" s="13" t="str">
        <f>IF($O831="ACS", "True Search", IF($O831="Arja", "Evolutionary Search", IF($O831="AVATAR", "True Pattern", IF($O831="CapGen", "Search Like Pattern", IF($O831="Cardumen", "True Semantic", IF($O831="DynaMoth", "True Semantic", IF($O831="FixMiner", "True Pattern", IF($O831="GenProg-A", "Evolutionary Search", IF($O831="Hercules", "Learning Pattern", IF($O831="Jaid", "True Semantic",
IF($O831="Kali-A", "True Search", IF($O831="kPAR", "True Pattern", IF($O831="Nopol", "True Semantic", IF($O831="RSRepair-A", "Evolutionary Search", IF($O831="SequenceR", "Deep Learning", IF($O831="SimFix", "Search Like Pattern", IF($O831="SketchFix", "True Pattern", IF($O831="SOFix", "True Pattern", IF($O831="ssFix", "Search Like Pattern", IF($O831="TBar", "True Pattern", ""))))))))))))))))))))</f>
        <v>True Pattern</v>
      </c>
      <c r="Q831" s="13" t="str">
        <f>IF(NOT(ISERR(SEARCH("*_Buggy",$A831))), "Buggy", IF(NOT(ISERR(SEARCH("*_Fixed",$A831))), "Fixed", IF(NOT(ISERR(SEARCH("*_Repaired",$A831))), "Repaired", "")))</f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v>1</v>
      </c>
      <c r="W831" s="13" t="str">
        <f>MID(A831, SEARCH("_", A831) +1, SEARCH("_", A831, SEARCH("_", A831) +1) - SEARCH("_", A831) -1)</f>
        <v>Lang-21</v>
      </c>
    </row>
    <row r="832" spans="1:23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>LEFT($A832,FIND("_",$A832)-1)</f>
        <v>kPAR</v>
      </c>
      <c r="P832" s="13" t="str">
        <f>IF($O832="ACS", "True Search", IF($O832="Arja", "Evolutionary Search", IF($O832="AVATAR", "True Pattern", IF($O832="CapGen", "Search Like Pattern", IF($O832="Cardumen", "True Semantic", IF($O832="DynaMoth", "True Semantic", IF($O832="FixMiner", "True Pattern", IF($O832="GenProg-A", "Evolutionary Search", IF($O832="Hercules", "Learning Pattern", IF($O832="Jaid", "True Semantic",
IF($O832="Kali-A", "True Search", IF($O832="kPAR", "True Pattern", IF($O832="Nopol", "True Semantic", IF($O832="RSRepair-A", "Evolutionary Search", IF($O832="SequenceR", "Deep Learning", IF($O832="SimFix", "Search Like Pattern", IF($O832="SketchFix", "True Pattern", IF($O832="SOFix", "True Pattern", IF($O832="ssFix", "Search Like Pattern", IF($O832="TBar", "True Pattern", ""))))))))))))))))))))</f>
        <v>True Pattern</v>
      </c>
      <c r="Q832" s="13" t="str">
        <f>IF(NOT(ISERR(SEARCH("*_Buggy",$A832))), "Buggy", IF(NOT(ISERR(SEARCH("*_Fixed",$A832))), "Fixed", IF(NOT(ISERR(SEARCH("*_Repaired",$A832))), "Repaired", "")))</f>
        <v>Fixed</v>
      </c>
      <c r="R832" s="13" t="s">
        <v>1669</v>
      </c>
      <c r="S832" s="25">
        <v>2</v>
      </c>
      <c r="T832" s="25">
        <v>7</v>
      </c>
      <c r="U832" s="25">
        <v>1</v>
      </c>
      <c r="V832" s="13">
        <v>7</v>
      </c>
      <c r="W832" s="13" t="str">
        <f>MID(A832, SEARCH("_", A832) +1, SEARCH("_", A832, SEARCH("_", A832) +1) - SEARCH("_", A832) -1)</f>
        <v>Lang-22</v>
      </c>
    </row>
    <row r="833" spans="1:23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>LEFT($A833,FIND("_",$A833)-1)</f>
        <v>kPAR</v>
      </c>
      <c r="P833" s="13" t="str">
        <f>IF($O833="ACS", "True Search", IF($O833="Arja", "Evolutionary Search", IF($O833="AVATAR", "True Pattern", IF($O833="CapGen", "Search Like Pattern", IF($O833="Cardumen", "True Semantic", IF($O833="DynaMoth", "True Semantic", IF($O833="FixMiner", "True Pattern", IF($O833="GenProg-A", "Evolutionary Search", IF($O833="Hercules", "Learning Pattern", IF($O833="Jaid", "True Semantic",
IF($O833="Kali-A", "True Search", IF($O833="kPAR", "True Pattern", IF($O833="Nopol", "True Semantic", IF($O833="RSRepair-A", "Evolutionary Search", IF($O833="SequenceR", "Deep Learning", IF($O833="SimFix", "Search Like Pattern", IF($O833="SketchFix", "True Pattern", IF($O833="SOFix", "True Pattern", IF($O833="ssFix", "Search Like Pattern", IF($O833="TBar", "True Pattern", ""))))))))))))))))))))</f>
        <v>True Pattern</v>
      </c>
      <c r="Q833" s="13" t="str">
        <f>IF(NOT(ISERR(SEARCH("*_Buggy",$A833))), "Buggy", IF(NOT(ISERR(SEARCH("*_Fixed",$A833))), "Fixed", IF(NOT(ISERR(SEARCH("*_Repaired",$A833))), "Repaired", "")))</f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v>1</v>
      </c>
      <c r="W833" s="13" t="str">
        <f>MID(A833, SEARCH("_", A833) +1, SEARCH("_", A833, SEARCH("_", A833) +1) - SEARCH("_", A833) -1)</f>
        <v>Lang-24</v>
      </c>
    </row>
    <row r="834" spans="1:23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>LEFT($A834,FIND("_",$A834)-1)</f>
        <v>kPAR</v>
      </c>
      <c r="P834" s="13" t="str">
        <f>IF($O834="ACS", "True Search", IF($O834="Arja", "Evolutionary Search", IF($O834="AVATAR", "True Pattern", IF($O834="CapGen", "Search Like Pattern", IF($O834="Cardumen", "True Semantic", IF($O834="DynaMoth", "True Semantic", IF($O834="FixMiner", "True Pattern", IF($O834="GenProg-A", "Evolutionary Search", IF($O834="Hercules", "Learning Pattern", IF($O834="Jaid", "True Semantic",
IF($O834="Kali-A", "True Search", IF($O834="kPAR", "True Pattern", IF($O834="Nopol", "True Semantic", IF($O834="RSRepair-A", "Evolutionary Search", IF($O834="SequenceR", "Deep Learning", IF($O834="SimFix", "Search Like Pattern", IF($O834="SketchFix", "True Pattern", IF($O834="SOFix", "True Pattern", IF($O834="ssFix", "Search Like Pattern", IF($O834="TBar", "True Pattern", ""))))))))))))))))))))</f>
        <v>True Pattern</v>
      </c>
      <c r="Q834" s="13" t="str">
        <f>IF(NOT(ISERR(SEARCH("*_Buggy",$A834))), "Buggy", IF(NOT(ISERR(SEARCH("*_Fixed",$A834))), "Fixed", IF(NOT(ISERR(SEARCH("*_Repaired",$A834))), "Repaired", "")))</f>
        <v>Fixed</v>
      </c>
      <c r="R834" s="13" t="s">
        <v>1669</v>
      </c>
      <c r="S834" s="25">
        <v>2</v>
      </c>
      <c r="T834" s="25">
        <v>4</v>
      </c>
      <c r="U834" s="25">
        <v>1</v>
      </c>
      <c r="V834" s="13">
        <v>4</v>
      </c>
      <c r="W834" s="13" t="str">
        <f>MID(A834, SEARCH("_", A834) +1, SEARCH("_", A834, SEARCH("_", A834) +1) - SEARCH("_", A834) -1)</f>
        <v>Lang-27</v>
      </c>
    </row>
    <row r="835" spans="1:23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>LEFT($A835,FIND("_",$A835)-1)</f>
        <v>kPAR</v>
      </c>
      <c r="P835" s="13" t="str">
        <f>IF($O835="ACS", "True Search", IF($O835="Arja", "Evolutionary Search", IF($O835="AVATAR", "True Pattern", IF($O835="CapGen", "Search Like Pattern", IF($O835="Cardumen", "True Semantic", IF($O835="DynaMoth", "True Semantic", IF($O835="FixMiner", "True Pattern", IF($O835="GenProg-A", "Evolutionary Search", IF($O835="Hercules", "Learning Pattern", IF($O835="Jaid", "True Semantic",
IF($O835="Kali-A", "True Search", IF($O835="kPAR", "True Pattern", IF($O835="Nopol", "True Semantic", IF($O835="RSRepair-A", "Evolutionary Search", IF($O835="SequenceR", "Deep Learning", IF($O835="SimFix", "Search Like Pattern", IF($O835="SketchFix", "True Pattern", IF($O835="SOFix", "True Pattern", IF($O835="ssFix", "Search Like Pattern", IF($O835="TBar", "True Pattern", ""))))))))))))))))))))</f>
        <v>True Pattern</v>
      </c>
      <c r="Q835" s="13" t="str">
        <f>IF(NOT(ISERR(SEARCH("*_Buggy",$A835))), "Buggy", IF(NOT(ISERR(SEARCH("*_Fixed",$A835))), "Fixed", IF(NOT(ISERR(SEARCH("*_Repaired",$A835))), "Repaired", "")))</f>
        <v>Fixed</v>
      </c>
      <c r="R835" s="13" t="s">
        <v>1669</v>
      </c>
      <c r="S835" s="25">
        <v>8</v>
      </c>
      <c r="T835" s="25">
        <v>21</v>
      </c>
      <c r="U835" s="25">
        <v>2</v>
      </c>
      <c r="V835" s="13">
        <v>21</v>
      </c>
      <c r="W835" s="13" t="str">
        <f>MID(A835, SEARCH("_", A835) +1, SEARCH("_", A835, SEARCH("_", A835) +1) - SEARCH("_", A835) -1)</f>
        <v>Lang-41</v>
      </c>
    </row>
    <row r="836" spans="1:23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>LEFT($A836,FIND("_",$A836)-1)</f>
        <v>kPAR</v>
      </c>
      <c r="P836" s="13" t="str">
        <f>IF($O836="ACS", "True Search", IF($O836="Arja", "Evolutionary Search", IF($O836="AVATAR", "True Pattern", IF($O836="CapGen", "Search Like Pattern", IF($O836="Cardumen", "True Semantic", IF($O836="DynaMoth", "True Semantic", IF($O836="FixMiner", "True Pattern", IF($O836="GenProg-A", "Evolutionary Search", IF($O836="Hercules", "Learning Pattern", IF($O836="Jaid", "True Semantic",
IF($O836="Kali-A", "True Search", IF($O836="kPAR", "True Pattern", IF($O836="Nopol", "True Semantic", IF($O836="RSRepair-A", "Evolutionary Search", IF($O836="SequenceR", "Deep Learning", IF($O836="SimFix", "Search Like Pattern", IF($O836="SketchFix", "True Pattern", IF($O836="SOFix", "True Pattern", IF($O836="ssFix", "Search Like Pattern", IF($O836="TBar", "True Pattern", ""))))))))))))))))))))</f>
        <v>True Pattern</v>
      </c>
      <c r="Q836" s="13" t="str">
        <f>IF(NOT(ISERR(SEARCH("*_Buggy",$A836))), "Buggy", IF(NOT(ISERR(SEARCH("*_Fixed",$A836))), "Fixed", IF(NOT(ISERR(SEARCH("*_Repaired",$A836))), "Repaired", "")))</f>
        <v>Fixed</v>
      </c>
      <c r="R836" s="13" t="s">
        <v>1669</v>
      </c>
      <c r="S836" s="25">
        <v>1</v>
      </c>
      <c r="T836" s="13">
        <v>1</v>
      </c>
      <c r="U836" s="25">
        <v>0</v>
      </c>
      <c r="V836" s="13">
        <v>1</v>
      </c>
      <c r="W836" s="13" t="str">
        <f>MID(A836, SEARCH("_", A836) +1, SEARCH("_", A836, SEARCH("_", A836) +1) - SEARCH("_", A836) -1)</f>
        <v>Lang-43</v>
      </c>
    </row>
    <row r="837" spans="1:23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>LEFT($A837,FIND("_",$A837)-1)</f>
        <v>kPAR</v>
      </c>
      <c r="P837" s="13" t="str">
        <f>IF($O837="ACS", "True Search", IF($O837="Arja", "Evolutionary Search", IF($O837="AVATAR", "True Pattern", IF($O837="CapGen", "Search Like Pattern", IF($O837="Cardumen", "True Semantic", IF($O837="DynaMoth", "True Semantic", IF($O837="FixMiner", "True Pattern", IF($O837="GenProg-A", "Evolutionary Search", IF($O837="Hercules", "Learning Pattern", IF($O837="Jaid", "True Semantic",
IF($O837="Kali-A", "True Search", IF($O837="kPAR", "True Pattern", IF($O837="Nopol", "True Semantic", IF($O837="RSRepair-A", "Evolutionary Search", IF($O837="SequenceR", "Deep Learning", IF($O837="SimFix", "Search Like Pattern", IF($O837="SketchFix", "True Pattern", IF($O837="SOFix", "True Pattern", IF($O837="ssFix", "Search Like Pattern", IF($O837="TBar", "True Pattern", ""))))))))))))))))))))</f>
        <v>True Pattern</v>
      </c>
      <c r="Q837" s="13" t="str">
        <f>IF(NOT(ISERR(SEARCH("*_Buggy",$A837))), "Buggy", IF(NOT(ISERR(SEARCH("*_Fixed",$A837))), "Fixed", IF(NOT(ISERR(SEARCH("*_Repaired",$A837))), "Repaired", "")))</f>
        <v>Fixed</v>
      </c>
      <c r="R837" s="13" t="s">
        <v>1669</v>
      </c>
      <c r="S837" s="25">
        <v>1</v>
      </c>
      <c r="T837" s="13">
        <v>3</v>
      </c>
      <c r="U837" s="25">
        <v>0</v>
      </c>
      <c r="V837" s="13">
        <v>3</v>
      </c>
      <c r="W837" s="13" t="str">
        <f>MID(A837, SEARCH("_", A837) +1, SEARCH("_", A837, SEARCH("_", A837) +1) - SEARCH("_", A837) -1)</f>
        <v>Lang-44</v>
      </c>
    </row>
    <row r="838" spans="1:23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>LEFT($A838,FIND("_",$A838)-1)</f>
        <v>kPAR</v>
      </c>
      <c r="P838" s="13" t="str">
        <f>IF($O838="ACS", "True Search", IF($O838="Arja", "Evolutionary Search", IF($O838="AVATAR", "True Pattern", IF($O838="CapGen", "Search Like Pattern", IF($O838="Cardumen", "True Semantic", IF($O838="DynaMoth", "True Semantic", IF($O838="FixMiner", "True Pattern", IF($O838="GenProg-A", "Evolutionary Search", IF($O838="Hercules", "Learning Pattern", IF($O838="Jaid", "True Semantic",
IF($O838="Kali-A", "True Search", IF($O838="kPAR", "True Pattern", IF($O838="Nopol", "True Semantic", IF($O838="RSRepair-A", "Evolutionary Search", IF($O838="SequenceR", "Deep Learning", IF($O838="SimFix", "Search Like Pattern", IF($O838="SketchFix", "True Pattern", IF($O838="SOFix", "True Pattern", IF($O838="ssFix", "Search Like Pattern", IF($O838="TBar", "True Pattern", ""))))))))))))))))))))</f>
        <v>True Pattern</v>
      </c>
      <c r="Q838" s="13" t="str">
        <f>IF(NOT(ISERR(SEARCH("*_Buggy",$A838))), "Buggy", IF(NOT(ISERR(SEARCH("*_Fixed",$A838))), "Fixed", IF(NOT(ISERR(SEARCH("*_Repaired",$A838))), "Repaired", "")))</f>
        <v>Fixed</v>
      </c>
      <c r="R838" s="13" t="s">
        <v>1669</v>
      </c>
      <c r="S838" s="25">
        <v>1</v>
      </c>
      <c r="T838" s="13">
        <v>3</v>
      </c>
      <c r="U838" s="25">
        <v>0</v>
      </c>
      <c r="V838" s="13">
        <v>3</v>
      </c>
      <c r="W838" s="13" t="str">
        <f>MID(A838, SEARCH("_", A838) +1, SEARCH("_", A838, SEARCH("_", A838) +1) - SEARCH("_", A838) -1)</f>
        <v>Lang-45</v>
      </c>
    </row>
    <row r="839" spans="1:23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>LEFT($A839,FIND("_",$A839)-1)</f>
        <v>kPAR</v>
      </c>
      <c r="P839" s="13" t="str">
        <f>IF($O839="ACS", "True Search", IF($O839="Arja", "Evolutionary Search", IF($O839="AVATAR", "True Pattern", IF($O839="CapGen", "Search Like Pattern", IF($O839="Cardumen", "True Semantic", IF($O839="DynaMoth", "True Semantic", IF($O839="FixMiner", "True Pattern", IF($O839="GenProg-A", "Evolutionary Search", IF($O839="Hercules", "Learning Pattern", IF($O839="Jaid", "True Semantic",
IF($O839="Kali-A", "True Search", IF($O839="kPAR", "True Pattern", IF($O839="Nopol", "True Semantic", IF($O839="RSRepair-A", "Evolutionary Search", IF($O839="SequenceR", "Deep Learning", IF($O839="SimFix", "Search Like Pattern", IF($O839="SketchFix", "True Pattern", IF($O839="SOFix", "True Pattern", IF($O839="ssFix", "Search Like Pattern", IF($O839="TBar", "True Pattern", ""))))))))))))))))))))</f>
        <v>True Pattern</v>
      </c>
      <c r="Q839" s="13" t="str">
        <f>IF(NOT(ISERR(SEARCH("*_Buggy",$A839))), "Buggy", IF(NOT(ISERR(SEARCH("*_Fixed",$A839))), "Fixed", IF(NOT(ISERR(SEARCH("*_Repaired",$A839))), "Repaired", "")))</f>
        <v>Fixed</v>
      </c>
      <c r="R839" s="13" t="s">
        <v>1669</v>
      </c>
      <c r="S839" s="25">
        <v>1</v>
      </c>
      <c r="T839" s="13">
        <v>1</v>
      </c>
      <c r="U839" s="25">
        <v>0</v>
      </c>
      <c r="V839" s="13">
        <v>1</v>
      </c>
      <c r="W839" s="13" t="str">
        <f>MID(A839, SEARCH("_", A839) +1, SEARCH("_", A839, SEARCH("_", A839) +1) - SEARCH("_", A839) -1)</f>
        <v>Lang-51</v>
      </c>
    </row>
    <row r="840" spans="1:23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>LEFT($A840,FIND("_",$A840)-1)</f>
        <v>kPAR</v>
      </c>
      <c r="P840" s="13" t="str">
        <f>IF($O840="ACS", "True Search", IF($O840="Arja", "Evolutionary Search", IF($O840="AVATAR", "True Pattern", IF($O840="CapGen", "Search Like Pattern", IF($O840="Cardumen", "True Semantic", IF($O840="DynaMoth", "True Semantic", IF($O840="FixMiner", "True Pattern", IF($O840="GenProg-A", "Evolutionary Search", IF($O840="Hercules", "Learning Pattern", IF($O840="Jaid", "True Semantic",
IF($O840="Kali-A", "True Search", IF($O840="kPAR", "True Pattern", IF($O840="Nopol", "True Semantic", IF($O840="RSRepair-A", "Evolutionary Search", IF($O840="SequenceR", "Deep Learning", IF($O840="SimFix", "Search Like Pattern", IF($O840="SketchFix", "True Pattern", IF($O840="SOFix", "True Pattern", IF($O840="ssFix", "Search Like Pattern", IF($O840="TBar", "True Pattern", ""))))))))))))))))))))</f>
        <v>True Pattern</v>
      </c>
      <c r="Q840" s="13" t="str">
        <f>IF(NOT(ISERR(SEARCH("*_Buggy",$A840))), "Buggy", IF(NOT(ISERR(SEARCH("*_Fixed",$A840))), "Fixed", IF(NOT(ISERR(SEARCH("*_Repaired",$A840))), "Repaired", "")))</f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v>4</v>
      </c>
      <c r="W840" s="13" t="str">
        <f>MID(A840, SEARCH("_", A840) +1, SEARCH("_", A840, SEARCH("_", A840) +1) - SEARCH("_", A840) -1)</f>
        <v>Lang-53</v>
      </c>
    </row>
    <row r="841" spans="1:23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>LEFT($A841,FIND("_",$A841)-1)</f>
        <v>kPAR</v>
      </c>
      <c r="P841" s="13" t="str">
        <f>IF($O841="ACS", "True Search", IF($O841="Arja", "Evolutionary Search", IF($O841="AVATAR", "True Pattern", IF($O841="CapGen", "Search Like Pattern", IF($O841="Cardumen", "True Semantic", IF($O841="DynaMoth", "True Semantic", IF($O841="FixMiner", "True Pattern", IF($O841="GenProg-A", "Evolutionary Search", IF($O841="Hercules", "Learning Pattern", IF($O841="Jaid", "True Semantic",
IF($O841="Kali-A", "True Search", IF($O841="kPAR", "True Pattern", IF($O841="Nopol", "True Semantic", IF($O841="RSRepair-A", "Evolutionary Search", IF($O841="SequenceR", "Deep Learning", IF($O841="SimFix", "Search Like Pattern", IF($O841="SketchFix", "True Pattern", IF($O841="SOFix", "True Pattern", IF($O841="ssFix", "Search Like Pattern", IF($O841="TBar", "True Pattern", ""))))))))))))))))))))</f>
        <v>True Pattern</v>
      </c>
      <c r="Q841" s="13" t="str">
        <f>IF(NOT(ISERR(SEARCH("*_Buggy",$A841))), "Buggy", IF(NOT(ISERR(SEARCH("*_Fixed",$A841))), "Fixed", IF(NOT(ISERR(SEARCH("*_Repaired",$A841))), "Repaired", "")))</f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v>1</v>
      </c>
      <c r="W841" s="13" t="str">
        <f>MID(A841, SEARCH("_", A841) +1, SEARCH("_", A841, SEARCH("_", A841) +1) - SEARCH("_", A841) -1)</f>
        <v>Lang-57</v>
      </c>
    </row>
    <row r="842" spans="1:23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>LEFT($A842,FIND("_",$A842)-1)</f>
        <v>kPAR</v>
      </c>
      <c r="P842" s="13" t="str">
        <f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>IF(NOT(ISERR(SEARCH("*_Buggy",$A842))), "Buggy", IF(NOT(ISERR(SEARCH("*_Fixed",$A842))), "Fixed", IF(NOT(ISERR(SEARCH("*_Repaired",$A842))), "Repaired", "")))</f>
        <v>Fixed</v>
      </c>
      <c r="R842" s="13" t="s">
        <v>1669</v>
      </c>
      <c r="S842" s="25">
        <v>1</v>
      </c>
      <c r="T842" s="25">
        <v>1</v>
      </c>
      <c r="U842" s="25">
        <v>2</v>
      </c>
      <c r="V842" s="13">
        <v>2</v>
      </c>
      <c r="W842" s="13" t="str">
        <f>MID(A842, SEARCH("_", A842) +1, SEARCH("_", A842, SEARCH("_", A842) +1) - SEARCH("_", A842) -1)</f>
        <v>Lang-58</v>
      </c>
    </row>
    <row r="843" spans="1:23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>LEFT($A843,FIND("_",$A843)-1)</f>
        <v>kPAR</v>
      </c>
      <c r="P843" s="13" t="str">
        <f>IF($O843="ACS", "True Search", IF($O843="Arja", "Evolutionary Search", IF($O843="AVATAR", "True Pattern", IF($O843="CapGen", "Search Like Pattern", IF($O843="Cardumen", "True Semantic", IF($O843="DynaMoth", "True Semantic", IF($O843="FixMiner", "True Pattern", IF($O843="GenProg-A", "Evolutionary Search", IF($O843="Hercules", "Learning Pattern", IF($O843="Jaid", "True Semantic",
IF($O843="Kali-A", "True Search", IF($O843="kPAR", "True Pattern", IF($O843="Nopol", "True Semantic", IF($O843="RSRepair-A", "Evolutionary Search", IF($O843="SequenceR", "Deep Learning", IF($O843="SimFix", "Search Like Pattern", IF($O843="SketchFix", "True Pattern", IF($O843="SOFix", "True Pattern", IF($O843="ssFix", "Search Like Pattern", IF($O843="TBar", "True Pattern", ""))))))))))))))))))))</f>
        <v>True Pattern</v>
      </c>
      <c r="Q843" s="13" t="str">
        <f>IF(NOT(ISERR(SEARCH("*_Buggy",$A843))), "Buggy", IF(NOT(ISERR(SEARCH("*_Fixed",$A843))), "Fixed", IF(NOT(ISERR(SEARCH("*_Repaired",$A843))), "Repaired", "")))</f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v>1</v>
      </c>
      <c r="W843" s="13" t="str">
        <f>MID(A843, SEARCH("_", A843) +1, SEARCH("_", A843, SEARCH("_", A843) +1) - SEARCH("_", A843) -1)</f>
        <v>Lang-59</v>
      </c>
    </row>
    <row r="844" spans="1:23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>LEFT($A844,FIND("_",$A844)-1)</f>
        <v>kPAR</v>
      </c>
      <c r="P844" s="13" t="str">
        <f>IF($O844="ACS", "True Search", IF($O844="Arja", "Evolutionary Search", IF($O844="AVATAR", "True Pattern", IF($O844="CapGen", "Search Like Pattern", IF($O844="Cardumen", "True Semantic", IF($O844="DynaMoth", "True Semantic", IF($O844="FixMiner", "True Pattern", IF($O844="GenProg-A", "Evolutionary Search", IF($O844="Hercules", "Learning Pattern", IF($O844="Jaid", "True Semantic",
IF($O844="Kali-A", "True Search", IF($O844="kPAR", "True Pattern", IF($O844="Nopol", "True Semantic", IF($O844="RSRepair-A", "Evolutionary Search", IF($O844="SequenceR", "Deep Learning", IF($O844="SimFix", "Search Like Pattern", IF($O844="SketchFix", "True Pattern", IF($O844="SOFix", "True Pattern", IF($O844="ssFix", "Search Like Pattern", IF($O844="TBar", "True Pattern", ""))))))))))))))))))))</f>
        <v>True Pattern</v>
      </c>
      <c r="Q844" s="13" t="str">
        <f>IF(NOT(ISERR(SEARCH("*_Buggy",$A844))), "Buggy", IF(NOT(ISERR(SEARCH("*_Fixed",$A844))), "Fixed", IF(NOT(ISERR(SEARCH("*_Repaired",$A844))), "Repaired", "")))</f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v>1</v>
      </c>
      <c r="W844" s="13" t="str">
        <f>MID(A844, SEARCH("_", A844) +1, SEARCH("_", A844, SEARCH("_", A844) +1) - SEARCH("_", A844) -1)</f>
        <v>Lang-6</v>
      </c>
    </row>
    <row r="845" spans="1:23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>LEFT($A845,FIND("_",$A845)-1)</f>
        <v>kPAR</v>
      </c>
      <c r="P845" s="13" t="str">
        <f>IF($O845="ACS", "True Search", IF($O845="Arja", "Evolutionary Search", IF($O845="AVATAR", "True Pattern", IF($O845="CapGen", "Search Like Pattern", IF($O845="Cardumen", "True Semantic", IF($O845="DynaMoth", "True Semantic", IF($O845="FixMiner", "True Pattern", IF($O845="GenProg-A", "Evolutionary Search", IF($O845="Hercules", "Learning Pattern", IF($O845="Jaid", "True Semantic",
IF($O845="Kali-A", "True Search", IF($O845="kPAR", "True Pattern", IF($O845="Nopol", "True Semantic", IF($O845="RSRepair-A", "Evolutionary Search", IF($O845="SequenceR", "Deep Learning", IF($O845="SimFix", "Search Like Pattern", IF($O845="SketchFix", "True Pattern", IF($O845="SOFix", "True Pattern", IF($O845="ssFix", "Search Like Pattern", IF($O845="TBar", "True Pattern", ""))))))))))))))))))))</f>
        <v>True Pattern</v>
      </c>
      <c r="Q845" s="13" t="str">
        <f>IF(NOT(ISERR(SEARCH("*_Buggy",$A845))), "Buggy", IF(NOT(ISERR(SEARCH("*_Fixed",$A845))), "Fixed", IF(NOT(ISERR(SEARCH("*_Repaired",$A845))), "Repaired", "")))</f>
        <v>Fixed</v>
      </c>
      <c r="R845" s="13" t="s">
        <v>1669</v>
      </c>
      <c r="S845" s="25">
        <v>4</v>
      </c>
      <c r="T845" s="25">
        <v>3</v>
      </c>
      <c r="U845" s="25">
        <v>20</v>
      </c>
      <c r="V845" s="13">
        <v>22</v>
      </c>
      <c r="W845" s="13" t="str">
        <f>MID(A845, SEARCH("_", A845) +1, SEARCH("_", A845, SEARCH("_", A845) +1) - SEARCH("_", A845) -1)</f>
        <v>Lang-63</v>
      </c>
    </row>
    <row r="846" spans="1:23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>LEFT($A846,FIND("_",$A846)-1)</f>
        <v>kPAR</v>
      </c>
      <c r="P846" s="13" t="str">
        <f>IF($O846="ACS", "True Search", IF($O846="Arja", "Evolutionary Search", IF($O846="AVATAR", "True Pattern", IF($O846="CapGen", "Search Like Pattern", IF($O846="Cardumen", "True Semantic", IF($O846="DynaMoth", "True Semantic", IF($O846="FixMiner", "True Pattern", IF($O846="GenProg-A", "Evolutionary Search", IF($O846="Hercules", "Learning Pattern", IF($O846="Jaid", "True Semantic",
IF($O846="Kali-A", "True Search", IF($O846="kPAR", "True Pattern", IF($O846="Nopol", "True Semantic", IF($O846="RSRepair-A", "Evolutionary Search", IF($O846="SequenceR", "Deep Learning", IF($O846="SimFix", "Search Like Pattern", IF($O846="SketchFix", "True Pattern", IF($O846="SOFix", "True Pattern", IF($O846="ssFix", "Search Like Pattern", IF($O846="TBar", "True Pattern", ""))))))))))))))))))))</f>
        <v>True Pattern</v>
      </c>
      <c r="Q846" s="13" t="str">
        <f>IF(NOT(ISERR(SEARCH("*_Buggy",$A846))), "Buggy", IF(NOT(ISERR(SEARCH("*_Fixed",$A846))), "Fixed", IF(NOT(ISERR(SEARCH("*_Repaired",$A846))), "Repaired", "")))</f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v>6</v>
      </c>
      <c r="W846" s="13" t="str">
        <f>MID(A846, SEARCH("_", A846) +1, SEARCH("_", A846, SEARCH("_", A846) +1) - SEARCH("_", A846) -1)</f>
        <v>Lang-7</v>
      </c>
    </row>
    <row r="847" spans="1:23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>LEFT($A847,FIND("_",$A847)-1)</f>
        <v>kPAR</v>
      </c>
      <c r="P847" s="13" t="str">
        <f>IF($O847="ACS", "True Search", IF($O847="Arja", "Evolutionary Search", IF($O847="AVATAR", "True Pattern", IF($O847="CapGen", "Search Like Pattern", IF($O847="Cardumen", "True Semantic", IF($O847="DynaMoth", "True Semantic", IF($O847="FixMiner", "True Pattern", IF($O847="GenProg-A", "Evolutionary Search", IF($O847="Hercules", "Learning Pattern", IF($O847="Jaid", "True Semantic",
IF($O847="Kali-A", "True Search", IF($O847="kPAR", "True Pattern", IF($O847="Nopol", "True Semantic", IF($O847="RSRepair-A", "Evolutionary Search", IF($O847="SequenceR", "Deep Learning", IF($O847="SimFix", "Search Like Pattern", IF($O847="SketchFix", "True Pattern", IF($O847="SOFix", "True Pattern", IF($O847="ssFix", "Search Like Pattern", IF($O847="TBar", "True Pattern", ""))))))))))))))))))))</f>
        <v>True Pattern</v>
      </c>
      <c r="Q847" s="13" t="str">
        <f>IF(NOT(ISERR(SEARCH("*_Buggy",$A847))), "Buggy", IF(NOT(ISERR(SEARCH("*_Fixed",$A847))), "Fixed", IF(NOT(ISERR(SEARCH("*_Repaired",$A847))), "Repaired", "")))</f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v>1</v>
      </c>
      <c r="W847" s="13" t="str">
        <f>MID(A847, SEARCH("_", A847) +1, SEARCH("_", A847, SEARCH("_", A847) +1) - SEARCH("_", A847) -1)</f>
        <v>Math-104</v>
      </c>
    </row>
    <row r="848" spans="1:23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>LEFT($A848,FIND("_",$A848)-1)</f>
        <v>kPAR</v>
      </c>
      <c r="P848" s="13" t="str">
        <f>IF($O848="ACS", "True Search", IF($O848="Arja", "Evolutionary Search", IF($O848="AVATAR", "True Pattern", IF($O848="CapGen", "Search Like Pattern", IF($O848="Cardumen", "True Semantic", IF($O848="DynaMoth", "True Semantic", IF($O848="FixMiner", "True Pattern", IF($O848="GenProg-A", "Evolutionary Search", IF($O848="Hercules", "Learning Pattern", IF($O848="Jaid", "True Semantic",
IF($O848="Kali-A", "True Search", IF($O848="kPAR", "True Pattern", IF($O848="Nopol", "True Semantic", IF($O848="RSRepair-A", "Evolutionary Search", IF($O848="SequenceR", "Deep Learning", IF($O848="SimFix", "Search Like Pattern", IF($O848="SketchFix", "True Pattern", IF($O848="SOFix", "True Pattern", IF($O848="ssFix", "Search Like Pattern", IF($O848="TBar", "True Pattern", ""))))))))))))))))))))</f>
        <v>True Pattern</v>
      </c>
      <c r="Q848" s="13" t="str">
        <f>IF(NOT(ISERR(SEARCH("*_Buggy",$A848))), "Buggy", IF(NOT(ISERR(SEARCH("*_Fixed",$A848))), "Fixed", IF(NOT(ISERR(SEARCH("*_Repaired",$A848))), "Repaired", "")))</f>
        <v>Fixed</v>
      </c>
      <c r="R848" s="13" t="s">
        <v>1669</v>
      </c>
      <c r="S848" s="25">
        <v>2</v>
      </c>
      <c r="T848" s="25">
        <v>2</v>
      </c>
      <c r="U848" s="25">
        <v>1</v>
      </c>
      <c r="V848" s="13">
        <v>2</v>
      </c>
      <c r="W848" s="13" t="str">
        <f>MID(A848, SEARCH("_", A848) +1, SEARCH("_", A848, SEARCH("_", A848) +1) - SEARCH("_", A848) -1)</f>
        <v>Math-15</v>
      </c>
    </row>
    <row r="849" spans="1:23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>LEFT($A849,FIND("_",$A849)-1)</f>
        <v>kPAR</v>
      </c>
      <c r="P849" s="13" t="str">
        <f>IF($O849="ACS", "True Search", IF($O849="Arja", "Evolutionary Search", IF($O849="AVATAR", "True Pattern", IF($O849="CapGen", "Search Like Pattern", IF($O849="Cardumen", "True Semantic", IF($O849="DynaMoth", "True Semantic", IF($O849="FixMiner", "True Pattern", IF($O849="GenProg-A", "Evolutionary Search", IF($O849="Hercules", "Learning Pattern", IF($O849="Jaid", "True Semantic",
IF($O849="Kali-A", "True Search", IF($O849="kPAR", "True Pattern", IF($O849="Nopol", "True Semantic", IF($O849="RSRepair-A", "Evolutionary Search", IF($O849="SequenceR", "Deep Learning", IF($O849="SimFix", "Search Like Pattern", IF($O849="SketchFix", "True Pattern", IF($O849="SOFix", "True Pattern", IF($O849="ssFix", "Search Like Pattern", IF($O849="TBar", "True Pattern", ""))))))))))))))))))))</f>
        <v>True Pattern</v>
      </c>
      <c r="Q849" s="13" t="str">
        <f>IF(NOT(ISERR(SEARCH("*_Buggy",$A849))), "Buggy", IF(NOT(ISERR(SEARCH("*_Fixed",$A849))), "Fixed", IF(NOT(ISERR(SEARCH("*_Repaired",$A849))), "Repaired", "")))</f>
        <v>Fixed</v>
      </c>
      <c r="R849" s="13" t="s">
        <v>1669</v>
      </c>
      <c r="S849" s="25">
        <v>2</v>
      </c>
      <c r="T849" s="25">
        <v>8</v>
      </c>
      <c r="U849" s="25">
        <v>2</v>
      </c>
      <c r="V849" s="13">
        <v>8</v>
      </c>
      <c r="W849" s="13" t="str">
        <f>MID(A849, SEARCH("_", A849) +1, SEARCH("_", A849, SEARCH("_", A849) +1) - SEARCH("_", A849) -1)</f>
        <v>Math-40</v>
      </c>
    </row>
    <row r="850" spans="1:23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>LEFT($A850,FIND("_",$A850)-1)</f>
        <v>kPAR</v>
      </c>
      <c r="P850" s="13" t="str">
        <f>IF($O850="ACS", "True Search", IF($O850="Arja", "Evolutionary Search", IF($O850="AVATAR", "True Pattern", IF($O850="CapGen", "Search Like Pattern", IF($O850="Cardumen", "True Semantic", IF($O850="DynaMoth", "True Semantic", IF($O850="FixMiner", "True Pattern", IF($O850="GenProg-A", "Evolutionary Search", IF($O850="Hercules", "Learning Pattern", IF($O850="Jaid", "True Semantic",
IF($O850="Kali-A", "True Search", IF($O850="kPAR", "True Pattern", IF($O850="Nopol", "True Semantic", IF($O850="RSRepair-A", "Evolutionary Search", IF($O850="SequenceR", "Deep Learning", IF($O850="SimFix", "Search Like Pattern", IF($O850="SketchFix", "True Pattern", IF($O850="SOFix", "True Pattern", IF($O850="ssFix", "Search Like Pattern", IF($O850="TBar", "True Pattern", ""))))))))))))))))))))</f>
        <v>True Pattern</v>
      </c>
      <c r="Q850" s="13" t="str">
        <f>IF(NOT(ISERR(SEARCH("*_Buggy",$A850))), "Buggy", IF(NOT(ISERR(SEARCH("*_Fixed",$A850))), "Fixed", IF(NOT(ISERR(SEARCH("*_Repaired",$A850))), "Repaired", "")))</f>
        <v>Fixed</v>
      </c>
      <c r="R850" s="13" t="s">
        <v>1669</v>
      </c>
      <c r="S850" s="25">
        <v>2</v>
      </c>
      <c r="T850" s="25">
        <v>3</v>
      </c>
      <c r="U850" s="25">
        <v>1</v>
      </c>
      <c r="V850" s="13">
        <v>3</v>
      </c>
      <c r="W850" s="13" t="str">
        <f>MID(A850, SEARCH("_", A850) +1, SEARCH("_", A850, SEARCH("_", A850) +1) - SEARCH("_", A850) -1)</f>
        <v>Math-42</v>
      </c>
    </row>
    <row r="851" spans="1:23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>LEFT($A851,FIND("_",$A851)-1)</f>
        <v>kPAR</v>
      </c>
      <c r="P851" s="13" t="str">
        <f>IF($O851="ACS", "True Search", IF($O851="Arja", "Evolutionary Search", IF($O851="AVATAR", "True Pattern", IF($O851="CapGen", "Search Like Pattern", IF($O851="Cardumen", "True Semantic", IF($O851="DynaMoth", "True Semantic", IF($O851="FixMiner", "True Pattern", IF($O851="GenProg-A", "Evolutionary Search", IF($O851="Hercules", "Learning Pattern", IF($O851="Jaid", "True Semantic",
IF($O851="Kali-A", "True Search", IF($O851="kPAR", "True Pattern", IF($O851="Nopol", "True Semantic", IF($O851="RSRepair-A", "Evolutionary Search", IF($O851="SequenceR", "Deep Learning", IF($O851="SimFix", "Search Like Pattern", IF($O851="SketchFix", "True Pattern", IF($O851="SOFix", "True Pattern", IF($O851="ssFix", "Search Like Pattern", IF($O851="TBar", "True Pattern", ""))))))))))))))))))))</f>
        <v>True Pattern</v>
      </c>
      <c r="Q851" s="13" t="str">
        <f>IF(NOT(ISERR(SEARCH("*_Buggy",$A851))), "Buggy", IF(NOT(ISERR(SEARCH("*_Fixed",$A851))), "Fixed", IF(NOT(ISERR(SEARCH("*_Repaired",$A851))), "Repaired", "")))</f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v>3</v>
      </c>
      <c r="W851" s="13" t="str">
        <f>MID(A851, SEARCH("_", A851) +1, SEARCH("_", A851, SEARCH("_", A851) +1) - SEARCH("_", A851) -1)</f>
        <v>Math-43</v>
      </c>
    </row>
    <row r="852" spans="1:23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>LEFT($A852,FIND("_",$A852)-1)</f>
        <v>kPAR</v>
      </c>
      <c r="P852" s="13" t="str">
        <f>IF($O852="ACS", "True Search", IF($O852="Arja", "Evolutionary Search", IF($O852="AVATAR", "True Pattern", IF($O852="CapGen", "Search Like Pattern", IF($O852="Cardumen", "True Semantic", IF($O852="DynaMoth", "True Semantic", IF($O852="FixMiner", "True Pattern", IF($O852="GenProg-A", "Evolutionary Search", IF($O852="Hercules", "Learning Pattern", IF($O852="Jaid", "True Semantic",
IF($O852="Kali-A", "True Search", IF($O852="kPAR", "True Pattern", IF($O852="Nopol", "True Semantic", IF($O852="RSRepair-A", "Evolutionary Search", IF($O852="SequenceR", "Deep Learning", IF($O852="SimFix", "Search Like Pattern", IF($O852="SketchFix", "True Pattern", IF($O852="SOFix", "True Pattern", IF($O852="ssFix", "Search Like Pattern", IF($O852="TBar", "True Pattern", ""))))))))))))))))))))</f>
        <v>True Pattern</v>
      </c>
      <c r="Q852" s="13" t="str">
        <f>IF(NOT(ISERR(SEARCH("*_Buggy",$A852))), "Buggy", IF(NOT(ISERR(SEARCH("*_Fixed",$A852))), "Fixed", IF(NOT(ISERR(SEARCH("*_Repaired",$A852))), "Repaired", "")))</f>
        <v>Fixed</v>
      </c>
      <c r="R852" s="13" t="s">
        <v>1668</v>
      </c>
      <c r="S852" s="25">
        <v>1</v>
      </c>
      <c r="T852" s="25">
        <v>0</v>
      </c>
      <c r="U852" s="13">
        <v>4</v>
      </c>
      <c r="V852" s="13">
        <v>4</v>
      </c>
      <c r="W852" s="13" t="str">
        <f>MID(A852, SEARCH("_", A852) +1, SEARCH("_", A852, SEARCH("_", A852) +1) - SEARCH("_", A852) -1)</f>
        <v>Math-50</v>
      </c>
    </row>
    <row r="853" spans="1:23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>LEFT($A853,FIND("_",$A853)-1)</f>
        <v>kPAR</v>
      </c>
      <c r="P853" s="13" t="str">
        <f>IF($O853="ACS", "True Search", IF($O853="Arja", "Evolutionary Search", IF($O853="AVATAR", "True Pattern", IF($O853="CapGen", "Search Like Pattern", IF($O853="Cardumen", "True Semantic", IF($O853="DynaMoth", "True Semantic", IF($O853="FixMiner", "True Pattern", IF($O853="GenProg-A", "Evolutionary Search", IF($O853="Hercules", "Learning Pattern", IF($O853="Jaid", "True Semantic",
IF($O853="Kali-A", "True Search", IF($O853="kPAR", "True Pattern", IF($O853="Nopol", "True Semantic", IF($O853="RSRepair-A", "Evolutionary Search", IF($O853="SequenceR", "Deep Learning", IF($O853="SimFix", "Search Like Pattern", IF($O853="SketchFix", "True Pattern", IF($O853="SOFix", "True Pattern", IF($O853="ssFix", "Search Like Pattern", IF($O853="TBar", "True Pattern", ""))))))))))))))))))))</f>
        <v>True Pattern</v>
      </c>
      <c r="Q853" s="13" t="str">
        <f>IF(NOT(ISERR(SEARCH("*_Buggy",$A853))), "Buggy", IF(NOT(ISERR(SEARCH("*_Fixed",$A853))), "Fixed", IF(NOT(ISERR(SEARCH("*_Repaired",$A853))), "Repaired", "")))</f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v>1</v>
      </c>
      <c r="W853" s="13" t="str">
        <f>MID(A853, SEARCH("_", A853) +1, SEARCH("_", A853, SEARCH("_", A853) +1) - SEARCH("_", A853) -1)</f>
        <v>Math-58</v>
      </c>
    </row>
    <row r="854" spans="1:23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>LEFT($A854,FIND("_",$A854)-1)</f>
        <v>kPAR</v>
      </c>
      <c r="P854" s="13" t="str">
        <f>IF($O854="ACS", "True Search", IF($O854="Arja", "Evolutionary Search", IF($O854="AVATAR", "True Pattern", IF($O854="CapGen", "Search Like Pattern", IF($O854="Cardumen", "True Semantic", IF($O854="DynaMoth", "True Semantic", IF($O854="FixMiner", "True Pattern", IF($O854="GenProg-A", "Evolutionary Search", IF($O854="Hercules", "Learning Pattern", IF($O854="Jaid", "True Semantic",
IF($O854="Kali-A", "True Search", IF($O854="kPAR", "True Pattern", IF($O854="Nopol", "True Semantic", IF($O854="RSRepair-A", "Evolutionary Search", IF($O854="SequenceR", "Deep Learning", IF($O854="SimFix", "Search Like Pattern", IF($O854="SketchFix", "True Pattern", IF($O854="SOFix", "True Pattern", IF($O854="ssFix", "Search Like Pattern", IF($O854="TBar", "True Pattern", ""))))))))))))))))))))</f>
        <v>True Pattern</v>
      </c>
      <c r="Q854" s="13" t="str">
        <f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3</v>
      </c>
      <c r="U854" s="25">
        <v>4</v>
      </c>
      <c r="V854" s="13">
        <v>4</v>
      </c>
      <c r="W854" s="13" t="str">
        <f>MID(A854, SEARCH("_", A854) +1, SEARCH("_", A854, SEARCH("_", A854) +1) - SEARCH("_", A854) -1)</f>
        <v>Math-62</v>
      </c>
    </row>
    <row r="855" spans="1:23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>LEFT($A855,FIND("_",$A855)-1)</f>
        <v>kPAR</v>
      </c>
      <c r="P855" s="13" t="str">
        <f>IF($O855="ACS", "True Search", IF($O855="Arja", "Evolutionary Search", IF($O855="AVATAR", "True Pattern", IF($O855="CapGen", "Search Like Pattern", IF($O855="Cardumen", "True Semantic", IF($O855="DynaMoth", "True Semantic", IF($O855="FixMiner", "True Pattern", IF($O855="GenProg-A", "Evolutionary Search", IF($O855="Hercules", "Learning Pattern", IF($O855="Jaid", "True Semantic",
IF($O855="Kali-A", "True Search", IF($O855="kPAR", "True Pattern", IF($O855="Nopol", "True Semantic", IF($O855="RSRepair-A", "Evolutionary Search", IF($O855="SequenceR", "Deep Learning", IF($O855="SimFix", "Search Like Pattern", IF($O855="SketchFix", "True Pattern", IF($O855="SOFix", "True Pattern", IF($O855="ssFix", "Search Like Pattern", IF($O855="TBar", "True Pattern", ""))))))))))))))))))))</f>
        <v>True Pattern</v>
      </c>
      <c r="Q855" s="13" t="str">
        <f>IF(NOT(ISERR(SEARCH("*_Buggy",$A855))), "Buggy", IF(NOT(ISERR(SEARCH("*_Fixed",$A855))), "Fixed", IF(NOT(ISERR(SEARCH("*_Repaired",$A855))), "Repaired", "")))</f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v>1</v>
      </c>
      <c r="W855" s="13" t="str">
        <f>MID(A855, SEARCH("_", A855) +1, SEARCH("_", A855, SEARCH("_", A855) +1) - SEARCH("_", A855) -1)</f>
        <v>Math-63</v>
      </c>
    </row>
    <row r="856" spans="1:23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>LEFT($A856,FIND("_",$A856)-1)</f>
        <v>kPAR</v>
      </c>
      <c r="P856" s="13" t="str">
        <f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>IF(NOT(ISERR(SEARCH("*_Buggy",$A856))), "Buggy", IF(NOT(ISERR(SEARCH("*_Fixed",$A856))), "Fixed", IF(NOT(ISERR(SEARCH("*_Repaired",$A856))), "Repaired", "")))</f>
        <v>Fixed</v>
      </c>
      <c r="R856" s="13" t="s">
        <v>1669</v>
      </c>
      <c r="S856" s="25">
        <v>4</v>
      </c>
      <c r="T856" s="25">
        <v>8</v>
      </c>
      <c r="U856" s="25">
        <v>9</v>
      </c>
      <c r="V856" s="13">
        <v>14</v>
      </c>
      <c r="W856" s="13" t="str">
        <f>MID(A856, SEARCH("_", A856) +1, SEARCH("_", A856, SEARCH("_", A856) +1) - SEARCH("_", A856) -1)</f>
        <v>Math-7</v>
      </c>
    </row>
    <row r="857" spans="1:23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>LEFT($A857,FIND("_",$A857)-1)</f>
        <v>kPAR</v>
      </c>
      <c r="P857" s="13" t="str">
        <f>IF($O857="ACS", "True Search", IF($O857="Arja", "Evolutionary Search", IF($O857="AVATAR", "True Pattern", IF($O857="CapGen", "Search Like Pattern", IF($O857="Cardumen", "True Semantic", IF($O857="DynaMoth", "True Semantic", IF($O857="FixMiner", "True Pattern", IF($O857="GenProg-A", "Evolutionary Search", IF($O857="Hercules", "Learning Pattern", IF($O857="Jaid", "True Semantic",
IF($O857="Kali-A", "True Search", IF($O857="kPAR", "True Pattern", IF($O857="Nopol", "True Semantic", IF($O857="RSRepair-A", "Evolutionary Search", IF($O857="SequenceR", "Deep Learning", IF($O857="SimFix", "Search Like Pattern", IF($O857="SketchFix", "True Pattern", IF($O857="SOFix", "True Pattern", IF($O857="ssFix", "Search Like Pattern", IF($O857="TBar", "True Pattern", ""))))))))))))))))))))</f>
        <v>True Pattern</v>
      </c>
      <c r="Q857" s="13" t="str">
        <f>IF(NOT(ISERR(SEARCH("*_Buggy",$A857))), "Buggy", IF(NOT(ISERR(SEARCH("*_Fixed",$A857))), "Fixed", IF(NOT(ISERR(SEARCH("*_Repaired",$A857))), "Repaired", "")))</f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v>1</v>
      </c>
      <c r="W857" s="13" t="str">
        <f>MID(A857, SEARCH("_", A857) +1, SEARCH("_", A857, SEARCH("_", A857) +1) - SEARCH("_", A857) -1)</f>
        <v>Math-70</v>
      </c>
    </row>
    <row r="858" spans="1:23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>LEFT($A858,FIND("_",$A858)-1)</f>
        <v>kPAR</v>
      </c>
      <c r="P858" s="13" t="str">
        <f>IF($O858="ACS", "True Search", IF($O858="Arja", "Evolutionary Search", IF($O858="AVATAR", "True Pattern", IF($O858="CapGen", "Search Like Pattern", IF($O858="Cardumen", "True Semantic", IF($O858="DynaMoth", "True Semantic", IF($O858="FixMiner", "True Pattern", IF($O858="GenProg-A", "Evolutionary Search", IF($O858="Hercules", "Learning Pattern", IF($O858="Jaid", "True Semantic",
IF($O858="Kali-A", "True Search", IF($O858="kPAR", "True Pattern", IF($O858="Nopol", "True Semantic", IF($O858="RSRepair-A", "Evolutionary Search", IF($O858="SequenceR", "Deep Learning", IF($O858="SimFix", "Search Like Pattern", IF($O858="SketchFix", "True Pattern", IF($O858="SOFix", "True Pattern", IF($O858="ssFix", "Search Like Pattern", IF($O858="TBar", "True Pattern", ""))))))))))))))))))))</f>
        <v>True Pattern</v>
      </c>
      <c r="Q858" s="13" t="str">
        <f>IF(NOT(ISERR(SEARCH("*_Buggy",$A858))), "Buggy", IF(NOT(ISERR(SEARCH("*_Fixed",$A858))), "Fixed", IF(NOT(ISERR(SEARCH("*_Repaired",$A858))), "Repaired", "")))</f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v>1</v>
      </c>
      <c r="W858" s="13" t="str">
        <f>MID(A858, SEARCH("_", A858) +1, SEARCH("_", A858, SEARCH("_", A858) +1) - SEARCH("_", A858) -1)</f>
        <v>Math-75</v>
      </c>
    </row>
    <row r="859" spans="1:23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>LEFT($A859,FIND("_",$A859)-1)</f>
        <v>kPAR</v>
      </c>
      <c r="P859" s="13" t="str">
        <f>IF($O859="ACS", "True Search", IF($O859="Arja", "Evolutionary Search", IF($O859="AVATAR", "True Pattern", IF($O859="CapGen", "Search Like Pattern", IF($O859="Cardumen", "True Semantic", IF($O859="DynaMoth", "True Semantic", IF($O859="FixMiner", "True Pattern", IF($O859="GenProg-A", "Evolutionary Search", IF($O859="Hercules", "Learning Pattern", IF($O859="Jaid", "True Semantic",
IF($O859="Kali-A", "True Search", IF($O859="kPAR", "True Pattern", IF($O859="Nopol", "True Semantic", IF($O859="RSRepair-A", "Evolutionary Search", IF($O859="SequenceR", "Deep Learning", IF($O859="SimFix", "Search Like Pattern", IF($O859="SketchFix", "True Pattern", IF($O859="SOFix", "True Pattern", IF($O859="ssFix", "Search Like Pattern", IF($O859="TBar", "True Pattern", ""))))))))))))))))))))</f>
        <v>True Pattern</v>
      </c>
      <c r="Q859" s="13" t="str">
        <f>IF(NOT(ISERR(SEARCH("*_Buggy",$A859))), "Buggy", IF(NOT(ISERR(SEARCH("*_Fixed",$A859))), "Fixed", IF(NOT(ISERR(SEARCH("*_Repaired",$A859))), "Repaired", "")))</f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v>2</v>
      </c>
      <c r="W859" s="13" t="str">
        <f>MID(A859, SEARCH("_", A859) +1, SEARCH("_", A859, SEARCH("_", A859) +1) - SEARCH("_", A859) -1)</f>
        <v>Math-8</v>
      </c>
    </row>
    <row r="860" spans="1:23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>LEFT($A860,FIND("_",$A860)-1)</f>
        <v>kPAR</v>
      </c>
      <c r="P860" s="13" t="str">
        <f>IF($O860="ACS", "True Search", IF($O860="Arja", "Evolutionary Search", IF($O860="AVATAR", "True Pattern", IF($O860="CapGen", "Search Like Pattern", IF($O860="Cardumen", "True Semantic", IF($O860="DynaMoth", "True Semantic", IF($O860="FixMiner", "True Pattern", IF($O860="GenProg-A", "Evolutionary Search", IF($O860="Hercules", "Learning Pattern", IF($O860="Jaid", "True Semantic",
IF($O860="Kali-A", "True Search", IF($O860="kPAR", "True Pattern", IF($O860="Nopol", "True Semantic", IF($O860="RSRepair-A", "Evolutionary Search", IF($O860="SequenceR", "Deep Learning", IF($O860="SimFix", "Search Like Pattern", IF($O860="SketchFix", "True Pattern", IF($O860="SOFix", "True Pattern", IF($O860="ssFix", "Search Like Pattern", IF($O860="TBar", "True Pattern", ""))))))))))))))))))))</f>
        <v>True Pattern</v>
      </c>
      <c r="Q860" s="13" t="str">
        <f>IF(NOT(ISERR(SEARCH("*_Buggy",$A860))), "Buggy", IF(NOT(ISERR(SEARCH("*_Fixed",$A860))), "Fixed", IF(NOT(ISERR(SEARCH("*_Repaired",$A860))), "Repaired", "")))</f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v>1</v>
      </c>
      <c r="W860" s="13" t="str">
        <f>MID(A860, SEARCH("_", A860) +1, SEARCH("_", A860, SEARCH("_", A860) +1) - SEARCH("_", A860) -1)</f>
        <v>Math-80</v>
      </c>
    </row>
    <row r="861" spans="1:23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>LEFT($A861,FIND("_",$A861)-1)</f>
        <v>kPAR</v>
      </c>
      <c r="P861" s="13" t="str">
        <f>IF($O861="ACS", "True Search", IF($O861="Arja", "Evolutionary Search", IF($O861="AVATAR", "True Pattern", IF($O861="CapGen", "Search Like Pattern", IF($O861="Cardumen", "True Semantic", IF($O861="DynaMoth", "True Semantic", IF($O861="FixMiner", "True Pattern", IF($O861="GenProg-A", "Evolutionary Search", IF($O861="Hercules", "Learning Pattern", IF($O861="Jaid", "True Semantic",
IF($O861="Kali-A", "True Search", IF($O861="kPAR", "True Pattern", IF($O861="Nopol", "True Semantic", IF($O861="RSRepair-A", "Evolutionary Search", IF($O861="SequenceR", "Deep Learning", IF($O861="SimFix", "Search Like Pattern", IF($O861="SketchFix", "True Pattern", IF($O861="SOFix", "True Pattern", IF($O861="ssFix", "Search Like Pattern", IF($O861="TBar", "True Pattern", ""))))))))))))))))))))</f>
        <v>True Pattern</v>
      </c>
      <c r="Q861" s="13" t="str">
        <f>IF(NOT(ISERR(SEARCH("*_Buggy",$A861))), "Buggy", IF(NOT(ISERR(SEARCH("*_Fixed",$A861))), "Fixed", IF(NOT(ISERR(SEARCH("*_Repaired",$A861))), "Repaired", "")))</f>
        <v>Fixed</v>
      </c>
      <c r="R861" s="13" t="s">
        <v>1669</v>
      </c>
      <c r="S861" s="25">
        <v>3</v>
      </c>
      <c r="T861" s="25">
        <v>4</v>
      </c>
      <c r="U861" s="25">
        <v>3</v>
      </c>
      <c r="V861" s="13">
        <v>4</v>
      </c>
      <c r="W861" s="13" t="str">
        <f>MID(A861, SEARCH("_", A861) +1, SEARCH("_", A861, SEARCH("_", A861) +1) - SEARCH("_", A861) -1)</f>
        <v>Math-81</v>
      </c>
    </row>
    <row r="862" spans="1:23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>LEFT($A862,FIND("_",$A862)-1)</f>
        <v>kPAR</v>
      </c>
      <c r="P862" s="13" t="str">
        <f>IF($O862="ACS", "True Search", IF($O862="Arja", "Evolutionary Search", IF($O862="AVATAR", "True Pattern", IF($O862="CapGen", "Search Like Pattern", IF($O862="Cardumen", "True Semantic", IF($O862="DynaMoth", "True Semantic", IF($O862="FixMiner", "True Pattern", IF($O862="GenProg-A", "Evolutionary Search", IF($O862="Hercules", "Learning Pattern", IF($O862="Jaid", "True Semantic",
IF($O862="Kali-A", "True Search", IF($O862="kPAR", "True Pattern", IF($O862="Nopol", "True Semantic", IF($O862="RSRepair-A", "Evolutionary Search", IF($O862="SequenceR", "Deep Learning", IF($O862="SimFix", "Search Like Pattern", IF($O862="SketchFix", "True Pattern", IF($O862="SOFix", "True Pattern", IF($O862="ssFix", "Search Like Pattern", IF($O862="TBar", "True Pattern", ""))))))))))))))))))))</f>
        <v>True Pattern</v>
      </c>
      <c r="Q862" s="13" t="str">
        <f>IF(NOT(ISERR(SEARCH("*_Buggy",$A862))), "Buggy", IF(NOT(ISERR(SEARCH("*_Fixed",$A862))), "Fixed", IF(NOT(ISERR(SEARCH("*_Repaired",$A862))), "Repaired", "")))</f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v>1</v>
      </c>
      <c r="W862" s="13" t="str">
        <f>MID(A862, SEARCH("_", A862) +1, SEARCH("_", A862, SEARCH("_", A862) +1) - SEARCH("_", A862) -1)</f>
        <v>Math-82</v>
      </c>
    </row>
    <row r="863" spans="1:23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>LEFT($A863,FIND("_",$A863)-1)</f>
        <v>kPAR</v>
      </c>
      <c r="P863" s="13" t="str">
        <f>IF($O863="ACS", "True Search", IF($O863="Arja", "Evolutionary Search", IF($O863="AVATAR", "True Pattern", IF($O863="CapGen", "Search Like Pattern", IF($O863="Cardumen", "True Semantic", IF($O863="DynaMoth", "True Semantic", IF($O863="FixMiner", "True Pattern", IF($O863="GenProg-A", "Evolutionary Search", IF($O863="Hercules", "Learning Pattern", IF($O863="Jaid", "True Semantic",
IF($O863="Kali-A", "True Search", IF($O863="kPAR", "True Pattern", IF($O863="Nopol", "True Semantic", IF($O863="RSRepair-A", "Evolutionary Search", IF($O863="SequenceR", "Deep Learning", IF($O863="SimFix", "Search Like Pattern", IF($O863="SketchFix", "True Pattern", IF($O863="SOFix", "True Pattern", IF($O863="ssFix", "Search Like Pattern", IF($O863="TBar", "True Pattern", ""))))))))))))))))))))</f>
        <v>True Pattern</v>
      </c>
      <c r="Q863" s="13" t="str">
        <f>IF(NOT(ISERR(SEARCH("*_Buggy",$A863))), "Buggy", IF(NOT(ISERR(SEARCH("*_Fixed",$A863))), "Fixed", IF(NOT(ISERR(SEARCH("*_Repaired",$A863))), "Repaired", "")))</f>
        <v>Fixed</v>
      </c>
      <c r="R863" s="13" t="s">
        <v>1669</v>
      </c>
      <c r="S863" s="25">
        <v>3</v>
      </c>
      <c r="T863" s="13">
        <v>9</v>
      </c>
      <c r="U863" s="25">
        <v>0</v>
      </c>
      <c r="V863" s="13">
        <v>9</v>
      </c>
      <c r="W863" s="13" t="str">
        <f>MID(A863, SEARCH("_", A863) +1, SEARCH("_", A863, SEARCH("_", A863) +1) - SEARCH("_", A863) -1)</f>
        <v>Math-84</v>
      </c>
    </row>
    <row r="864" spans="1:23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>LEFT($A864,FIND("_",$A864)-1)</f>
        <v>kPAR</v>
      </c>
      <c r="P864" s="13" t="str">
        <f>IF($O864="ACS", "True Search", IF($O864="Arja", "Evolutionary Search", IF($O864="AVATAR", "True Pattern", IF($O864="CapGen", "Search Like Pattern", IF($O864="Cardumen", "True Semantic", IF($O864="DynaMoth", "True Semantic", IF($O864="FixMiner", "True Pattern", IF($O864="GenProg-A", "Evolutionary Search", IF($O864="Hercules", "Learning Pattern", IF($O864="Jaid", "True Semantic",
IF($O864="Kali-A", "True Search", IF($O864="kPAR", "True Pattern", IF($O864="Nopol", "True Semantic", IF($O864="RSRepair-A", "Evolutionary Search", IF($O864="SequenceR", "Deep Learning", IF($O864="SimFix", "Search Like Pattern", IF($O864="SketchFix", "True Pattern", IF($O864="SOFix", "True Pattern", IF($O864="ssFix", "Search Like Pattern", IF($O864="TBar", "True Pattern", ""))))))))))))))))))))</f>
        <v>True Pattern</v>
      </c>
      <c r="Q864" s="13" t="str">
        <f>IF(NOT(ISERR(SEARCH("*_Buggy",$A864))), "Buggy", IF(NOT(ISERR(SEARCH("*_Fixed",$A864))), "Fixed", IF(NOT(ISERR(SEARCH("*_Repaired",$A864))), "Repaired", "")))</f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v>1</v>
      </c>
      <c r="W864" s="13" t="str">
        <f>MID(A864, SEARCH("_", A864) +1, SEARCH("_", A864, SEARCH("_", A864) +1) - SEARCH("_", A864) -1)</f>
        <v>Math-85</v>
      </c>
    </row>
    <row r="865" spans="1:23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>LEFT($A865,FIND("_",$A865)-1)</f>
        <v>kPAR</v>
      </c>
      <c r="P865" s="13" t="str">
        <f>IF($O865="ACS", "True Search", IF($O865="Arja", "Evolutionary Search", IF($O865="AVATAR", "True Pattern", IF($O865="CapGen", "Search Like Pattern", IF($O865="Cardumen", "True Semantic", IF($O865="DynaMoth", "True Semantic", IF($O865="FixMiner", "True Pattern", IF($O865="GenProg-A", "Evolutionary Search", IF($O865="Hercules", "Learning Pattern", IF($O865="Jaid", "True Semantic",
IF($O865="Kali-A", "True Search", IF($O865="kPAR", "True Pattern", IF($O865="Nopol", "True Semantic", IF($O865="RSRepair-A", "Evolutionary Search", IF($O865="SequenceR", "Deep Learning", IF($O865="SimFix", "Search Like Pattern", IF($O865="SketchFix", "True Pattern", IF($O865="SOFix", "True Pattern", IF($O865="ssFix", "Search Like Pattern", IF($O865="TBar", "True Pattern", ""))))))))))))))))))))</f>
        <v>True Pattern</v>
      </c>
      <c r="Q865" s="13" t="str">
        <f>IF(NOT(ISERR(SEARCH("*_Buggy",$A865))), "Buggy", IF(NOT(ISERR(SEARCH("*_Fixed",$A865))), "Fixed", IF(NOT(ISERR(SEARCH("*_Repaired",$A865))), "Repaired", "")))</f>
        <v>Fixed</v>
      </c>
      <c r="R865" s="13" t="s">
        <v>1669</v>
      </c>
      <c r="S865" s="25">
        <v>4</v>
      </c>
      <c r="T865" s="25">
        <v>5</v>
      </c>
      <c r="U865" s="25">
        <v>6</v>
      </c>
      <c r="V865" s="13">
        <v>11</v>
      </c>
      <c r="W865" s="13" t="str">
        <f>MID(A865, SEARCH("_", A865) +1, SEARCH("_", A865, SEARCH("_", A865) +1) - SEARCH("_", A865) -1)</f>
        <v>Math-88</v>
      </c>
    </row>
    <row r="866" spans="1:23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>LEFT($A866,FIND("_",$A866)-1)</f>
        <v>kPAR</v>
      </c>
      <c r="P866" s="13" t="str">
        <f>IF($O866="ACS", "True Search", IF($O866="Arja", "Evolutionary Search", IF($O866="AVATAR", "True Pattern", IF($O866="CapGen", "Search Like Pattern", IF($O866="Cardumen", "True Semantic", IF($O866="DynaMoth", "True Semantic", IF($O866="FixMiner", "True Pattern", IF($O866="GenProg-A", "Evolutionary Search", IF($O866="Hercules", "Learning Pattern", IF($O866="Jaid", "True Semantic",
IF($O866="Kali-A", "True Search", IF($O866="kPAR", "True Pattern", IF($O866="Nopol", "True Semantic", IF($O866="RSRepair-A", "Evolutionary Search", IF($O866="SequenceR", "Deep Learning", IF($O866="SimFix", "Search Like Pattern", IF($O866="SketchFix", "True Pattern", IF($O866="SOFix", "True Pattern", IF($O866="ssFix", "Search Like Pattern", IF($O866="TBar", "True Pattern", ""))))))))))))))))))))</f>
        <v>True Pattern</v>
      </c>
      <c r="Q866" s="13" t="str">
        <f>IF(NOT(ISERR(SEARCH("*_Buggy",$A866))), "Buggy", IF(NOT(ISERR(SEARCH("*_Fixed",$A866))), "Fixed", IF(NOT(ISERR(SEARCH("*_Repaired",$A866))), "Repaired", "")))</f>
        <v>Fixed</v>
      </c>
      <c r="R866" s="13" t="s">
        <v>1668</v>
      </c>
      <c r="S866" s="25">
        <v>2</v>
      </c>
      <c r="T866" s="13">
        <v>4</v>
      </c>
      <c r="U866" s="25">
        <v>0</v>
      </c>
      <c r="V866" s="13">
        <v>4</v>
      </c>
      <c r="W866" s="13" t="str">
        <f>MID(A866, SEARCH("_", A866) +1, SEARCH("_", A866, SEARCH("_", A866) +1) - SEARCH("_", A866) -1)</f>
        <v>Math-89</v>
      </c>
    </row>
    <row r="867" spans="1:23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>LEFT($A867,FIND("_",$A867)-1)</f>
        <v>Nopol</v>
      </c>
      <c r="P867" s="13" t="str">
        <f>IF($O867="ACS", "True Search", IF($O867="Arja", "Evolutionary Search", IF($O867="AVATAR", "True Pattern", IF($O867="CapGen", "Search Like Pattern", IF($O867="Cardumen", "True Semantic", IF($O867="DynaMoth", "True Semantic", IF($O867="FixMiner", "True Pattern", IF($O867="GenProg-A", "Evolutionary Search", IF($O867="Hercules", "Learning Pattern", IF($O867="Jaid", "True Semantic",
IF($O867="Kali-A", "True Search", IF($O867="kPAR", "True Pattern", IF($O867="Nopol", "True Semantic", IF($O867="RSRepair-A", "Evolutionary Search", IF($O867="SequenceR", "Deep Learning", IF($O867="SimFix", "Search Like Pattern", IF($O867="SketchFix", "True Pattern", IF($O867="SOFix", "True Pattern", IF($O867="ssFix", "Search Like Pattern", IF($O867="TBar", "True Pattern", ""))))))))))))))))))))</f>
        <v>True Semantic</v>
      </c>
      <c r="Q867" s="13" t="str">
        <f>IF(NOT(ISERR(SEARCH("*_Buggy",$A867))), "Buggy", IF(NOT(ISERR(SEARCH("*_Fixed",$A867))), "Fixed", IF(NOT(ISERR(SEARCH("*_Repaired",$A867))), "Repaired", "")))</f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v>1</v>
      </c>
      <c r="W867" s="13" t="str">
        <f>MID(A867, SEARCH("_", A867) +1, SEARCH("_", A867, SEARCH("_", A867) +1) - SEARCH("_", A867) -1)</f>
        <v>Chart-13</v>
      </c>
    </row>
    <row r="868" spans="1:23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>LEFT($A868,FIND("_",$A868)-1)</f>
        <v>Nopol</v>
      </c>
      <c r="P868" s="13" t="str">
        <f>IF($O868="ACS", "True Search", IF($O868="Arja", "Evolutionary Search", IF($O868="AVATAR", "True Pattern", IF($O868="CapGen", "Search Like Pattern", IF($O868="Cardumen", "True Semantic", IF($O868="DynaMoth", "True Semantic", IF($O868="FixMiner", "True Pattern", IF($O868="GenProg-A", "Evolutionary Search", IF($O868="Hercules", "Learning Pattern", IF($O868="Jaid", "True Semantic",
IF($O868="Kali-A", "True Search", IF($O868="kPAR", "True Pattern", IF($O868="Nopol", "True Semantic", IF($O868="RSRepair-A", "Evolutionary Search", IF($O868="SequenceR", "Deep Learning", IF($O868="SimFix", "Search Like Pattern", IF($O868="SketchFix", "True Pattern", IF($O868="SOFix", "True Pattern", IF($O868="ssFix", "Search Like Pattern", IF($O868="TBar", "True Pattern", ""))))))))))))))))))))</f>
        <v>True Semantic</v>
      </c>
      <c r="Q868" s="13" t="str">
        <f>IF(NOT(ISERR(SEARCH("*_Buggy",$A868))), "Buggy", IF(NOT(ISERR(SEARCH("*_Fixed",$A868))), "Fixed", IF(NOT(ISERR(SEARCH("*_Repaired",$A868))), "Repaired", "")))</f>
        <v>Fixed</v>
      </c>
      <c r="R868" s="13" t="s">
        <v>1669</v>
      </c>
      <c r="S868" s="25">
        <v>1</v>
      </c>
      <c r="T868" s="25">
        <v>2</v>
      </c>
      <c r="U868" s="25">
        <v>1</v>
      </c>
      <c r="V868" s="13">
        <v>2</v>
      </c>
      <c r="W868" s="13" t="str">
        <f>MID(A868, SEARCH("_", A868) +1, SEARCH("_", A868, SEARCH("_", A868) +1) - SEARCH("_", A868) -1)</f>
        <v>Chart-17</v>
      </c>
    </row>
    <row r="869" spans="1:23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>LEFT($A869,FIND("_",$A869)-1)</f>
        <v>Nopol</v>
      </c>
      <c r="P869" s="13" t="str">
        <f>IF($O869="ACS", "True Search", IF($O869="Arja", "Evolutionary Search", IF($O869="AVATAR", "True Pattern", IF($O869="CapGen", "Search Like Pattern", IF($O869="Cardumen", "True Semantic", IF($O869="DynaMoth", "True Semantic", IF($O869="FixMiner", "True Pattern", IF($O869="GenProg-A", "Evolutionary Search", IF($O869="Hercules", "Learning Pattern", IF($O869="Jaid", "True Semantic",
IF($O869="Kali-A", "True Search", IF($O869="kPAR", "True Pattern", IF($O869="Nopol", "True Semantic", IF($O869="RSRepair-A", "Evolutionary Search", IF($O869="SequenceR", "Deep Learning", IF($O869="SimFix", "Search Like Pattern", IF($O869="SketchFix", "True Pattern", IF($O869="SOFix", "True Pattern", IF($O869="ssFix", "Search Like Pattern", IF($O869="TBar", "True Pattern", ""))))))))))))))))))))</f>
        <v>True Semantic</v>
      </c>
      <c r="Q869" s="13" t="str">
        <f>IF(NOT(ISERR(SEARCH("*_Buggy",$A869))), "Buggy", IF(NOT(ISERR(SEARCH("*_Fixed",$A869))), "Fixed", IF(NOT(ISERR(SEARCH("*_Repaired",$A869))), "Repaired", "")))</f>
        <v>Fixed</v>
      </c>
      <c r="R869" s="13" t="s">
        <v>1669</v>
      </c>
      <c r="S869" s="25">
        <v>6</v>
      </c>
      <c r="T869" s="25">
        <v>14</v>
      </c>
      <c r="U869" s="25">
        <v>2</v>
      </c>
      <c r="V869" s="13">
        <v>14</v>
      </c>
      <c r="W869" s="13" t="str">
        <f>MID(A869, SEARCH("_", A869) +1, SEARCH("_", A869, SEARCH("_", A869) +1) - SEARCH("_", A869) -1)</f>
        <v>Chart-25</v>
      </c>
    </row>
    <row r="870" spans="1:23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>LEFT($A870,FIND("_",$A870)-1)</f>
        <v>Nopol</v>
      </c>
      <c r="P870" s="13" t="str">
        <f>IF($O870="ACS", "True Search", IF($O870="Arja", "Evolutionary Search", IF($O870="AVATAR", "True Pattern", IF($O870="CapGen", "Search Like Pattern", IF($O870="Cardumen", "True Semantic", IF($O870="DynaMoth", "True Semantic", IF($O870="FixMiner", "True Pattern", IF($O870="GenProg-A", "Evolutionary Search", IF($O870="Hercules", "Learning Pattern", IF($O870="Jaid", "True Semantic",
IF($O870="Kali-A", "True Search", IF($O870="kPAR", "True Pattern", IF($O870="Nopol", "True Semantic", IF($O870="RSRepair-A", "Evolutionary Search", IF($O870="SequenceR", "Deep Learning", IF($O870="SimFix", "Search Like Pattern", IF($O870="SketchFix", "True Pattern", IF($O870="SOFix", "True Pattern", IF($O870="ssFix", "Search Like Pattern", IF($O870="TBar", "True Pattern", ""))))))))))))))))))))</f>
        <v>True Semantic</v>
      </c>
      <c r="Q870" s="13" t="str">
        <f>IF(NOT(ISERR(SEARCH("*_Buggy",$A870))), "Buggy", IF(NOT(ISERR(SEARCH("*_Fixed",$A870))), "Fixed", IF(NOT(ISERR(SEARCH("*_Repaired",$A870))), "Repaired", "")))</f>
        <v>Fixed</v>
      </c>
      <c r="R870" s="13" t="s">
        <v>1669</v>
      </c>
      <c r="S870" s="25">
        <v>2</v>
      </c>
      <c r="T870" s="25">
        <v>5</v>
      </c>
      <c r="U870" s="25">
        <v>1</v>
      </c>
      <c r="V870" s="13">
        <v>5</v>
      </c>
      <c r="W870" s="13" t="str">
        <f>MID(A870, SEARCH("_", A870) +1, SEARCH("_", A870, SEARCH("_", A870) +1) - SEARCH("_", A870) -1)</f>
        <v>Chart-5</v>
      </c>
    </row>
    <row r="871" spans="1:23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>LEFT($A871,FIND("_",$A871)-1)</f>
        <v>Nopol</v>
      </c>
      <c r="P871" s="13" t="str">
        <f>IF($O871="ACS", "True Search", IF($O871="Arja", "Evolutionary Search", IF($O871="AVATAR", "True Pattern", IF($O871="CapGen", "Search Like Pattern", IF($O871="Cardumen", "True Semantic", IF($O871="DynaMoth", "True Semantic", IF($O871="FixMiner", "True Pattern", IF($O871="GenProg-A", "Evolutionary Search", IF($O871="Hercules", "Learning Pattern", IF($O871="Jaid", "True Semantic",
IF($O871="Kali-A", "True Search", IF($O871="kPAR", "True Pattern", IF($O871="Nopol", "True Semantic", IF($O871="RSRepair-A", "Evolutionary Search", IF($O871="SequenceR", "Deep Learning", IF($O871="SimFix", "Search Like Pattern", IF($O871="SketchFix", "True Pattern", IF($O871="SOFix", "True Pattern", IF($O871="ssFix", "Search Like Pattern", IF($O871="TBar", "True Pattern", ""))))))))))))))))))))</f>
        <v>True Semantic</v>
      </c>
      <c r="Q871" s="13" t="str">
        <f>IF(NOT(ISERR(SEARCH("*_Buggy",$A871))), "Buggy", IF(NOT(ISERR(SEARCH("*_Fixed",$A871))), "Fixed", IF(NOT(ISERR(SEARCH("*_Repaired",$A871))), "Repaired", "")))</f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v>1</v>
      </c>
      <c r="W871" s="13" t="str">
        <f>MID(A871, SEARCH("_", A871) +1, SEARCH("_", A871, SEARCH("_", A871) +1) - SEARCH("_", A871) -1)</f>
        <v>Chart-9</v>
      </c>
    </row>
    <row r="872" spans="1:23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>LEFT($A872,FIND("_",$A872)-1)</f>
        <v>Nopol</v>
      </c>
      <c r="P872" s="13" t="str">
        <f>IF($O872="ACS", "True Search", IF($O872="Arja", "Evolutionary Search", IF($O872="AVATAR", "True Pattern", IF($O872="CapGen", "Search Like Pattern", IF($O872="Cardumen", "True Semantic", IF($O872="DynaMoth", "True Semantic", IF($O872="FixMiner", "True Pattern", IF($O872="GenProg-A", "Evolutionary Search", IF($O872="Hercules", "Learning Pattern", IF($O872="Jaid", "True Semantic",
IF($O872="Kali-A", "True Search", IF($O872="kPAR", "True Pattern", IF($O872="Nopol", "True Semantic", IF($O872="RSRepair-A", "Evolutionary Search", IF($O872="SequenceR", "Deep Learning", IF($O872="SimFix", "Search Like Pattern", IF($O872="SketchFix", "True Pattern", IF($O872="SOFix", "True Pattern", IF($O872="ssFix", "Search Like Pattern", IF($O872="TBar", "True Pattern", ""))))))))))))))))))))</f>
        <v>True Semantic</v>
      </c>
      <c r="Q872" s="13" t="str">
        <f>IF(NOT(ISERR(SEARCH("*_Buggy",$A872))), "Buggy", IF(NOT(ISERR(SEARCH("*_Fixed",$A872))), "Fixed", IF(NOT(ISERR(SEARCH("*_Repaired",$A872))), "Repaired", "")))</f>
        <v>Fixed</v>
      </c>
      <c r="R872" s="13" t="s">
        <v>1669</v>
      </c>
      <c r="S872" s="25">
        <v>1</v>
      </c>
      <c r="T872" s="13">
        <v>3</v>
      </c>
      <c r="U872" s="25">
        <v>0</v>
      </c>
      <c r="V872" s="13">
        <v>3</v>
      </c>
      <c r="W872" s="13" t="str">
        <f>MID(A872, SEARCH("_", A872) +1, SEARCH("_", A872, SEARCH("_", A872) +1) - SEARCH("_", A872) -1)</f>
        <v>Lang-44</v>
      </c>
    </row>
    <row r="873" spans="1:23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>LEFT($A873,FIND("_",$A873)-1)</f>
        <v>Nopol</v>
      </c>
      <c r="P873" s="13" t="str">
        <f>IF($O873="ACS", "True Search", IF($O873="Arja", "Evolutionary Search", IF($O873="AVATAR", "True Pattern", IF($O873="CapGen", "Search Like Pattern", IF($O873="Cardumen", "True Semantic", IF($O873="DynaMoth", "True Semantic", IF($O873="FixMiner", "True Pattern", IF($O873="GenProg-A", "Evolutionary Search", IF($O873="Hercules", "Learning Pattern", IF($O873="Jaid", "True Semantic",
IF($O873="Kali-A", "True Search", IF($O873="kPAR", "True Pattern", IF($O873="Nopol", "True Semantic", IF($O873="RSRepair-A", "Evolutionary Search", IF($O873="SequenceR", "Deep Learning", IF($O873="SimFix", "Search Like Pattern", IF($O873="SketchFix", "True Pattern", IF($O873="SOFix", "True Pattern", IF($O873="ssFix", "Search Like Pattern", IF($O873="TBar", "True Pattern", ""))))))))))))))))))))</f>
        <v>True Semantic</v>
      </c>
      <c r="Q873" s="13" t="str">
        <f>IF(NOT(ISERR(SEARCH("*_Buggy",$A873))), "Buggy", IF(NOT(ISERR(SEARCH("*_Fixed",$A873))), "Fixed", IF(NOT(ISERR(SEARCH("*_Repaired",$A873))), "Repaired", "")))</f>
        <v>Fixed</v>
      </c>
      <c r="R873" s="13" t="s">
        <v>1668</v>
      </c>
      <c r="S873" s="25">
        <v>9</v>
      </c>
      <c r="T873" s="25">
        <v>10</v>
      </c>
      <c r="U873" s="25">
        <v>7</v>
      </c>
      <c r="V873" s="13">
        <v>10</v>
      </c>
      <c r="W873" s="13" t="str">
        <f>MID(A873, SEARCH("_", A873) +1, SEARCH("_", A873, SEARCH("_", A873) +1) - SEARCH("_", A873) -1)</f>
        <v>Lang-46</v>
      </c>
    </row>
    <row r="874" spans="1:23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>LEFT($A874,FIND("_",$A874)-1)</f>
        <v>Nopol</v>
      </c>
      <c r="P874" s="13" t="str">
        <f>IF($O874="ACS", "True Search", IF($O874="Arja", "Evolutionary Search", IF($O874="AVATAR", "True Pattern", IF($O874="CapGen", "Search Like Pattern", IF($O874="Cardumen", "True Semantic", IF($O874="DynaMoth", "True Semantic", IF($O874="FixMiner", "True Pattern", IF($O874="GenProg-A", "Evolutionary Search", IF($O874="Hercules", "Learning Pattern", IF($O874="Jaid", "True Semantic",
IF($O874="Kali-A", "True Search", IF($O874="kPAR", "True Pattern", IF($O874="Nopol", "True Semantic", IF($O874="RSRepair-A", "Evolutionary Search", IF($O874="SequenceR", "Deep Learning", IF($O874="SimFix", "Search Like Pattern", IF($O874="SketchFix", "True Pattern", IF($O874="SOFix", "True Pattern", IF($O874="ssFix", "Search Like Pattern", IF($O874="TBar", "True Pattern", ""))))))))))))))))))))</f>
        <v>True Semantic</v>
      </c>
      <c r="Q874" s="13" t="str">
        <f>IF(NOT(ISERR(SEARCH("*_Buggy",$A874))), "Buggy", IF(NOT(ISERR(SEARCH("*_Fixed",$A874))), "Fixed", IF(NOT(ISERR(SEARCH("*_Repaired",$A874))), "Repaired", "")))</f>
        <v>Fixed</v>
      </c>
      <c r="R874" s="13" t="s">
        <v>1669</v>
      </c>
      <c r="S874" s="25">
        <v>1</v>
      </c>
      <c r="T874" s="13">
        <v>1</v>
      </c>
      <c r="U874" s="25">
        <v>0</v>
      </c>
      <c r="V874" s="13">
        <v>1</v>
      </c>
      <c r="W874" s="13" t="str">
        <f>MID(A874, SEARCH("_", A874) +1, SEARCH("_", A874, SEARCH("_", A874) +1) - SEARCH("_", A874) -1)</f>
        <v>Lang-51</v>
      </c>
    </row>
    <row r="875" spans="1:23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>LEFT($A875,FIND("_",$A875)-1)</f>
        <v>Nopol</v>
      </c>
      <c r="P875" s="13" t="str">
        <f>IF($O875="ACS", "True Search", IF($O875="Arja", "Evolutionary Search", IF($O875="AVATAR", "True Pattern", IF($O875="CapGen", "Search Like Pattern", IF($O875="Cardumen", "True Semantic", IF($O875="DynaMoth", "True Semantic", IF($O875="FixMiner", "True Pattern", IF($O875="GenProg-A", "Evolutionary Search", IF($O875="Hercules", "Learning Pattern", IF($O875="Jaid", "True Semantic",
IF($O875="Kali-A", "True Search", IF($O875="kPAR", "True Pattern", IF($O875="Nopol", "True Semantic", IF($O875="RSRepair-A", "Evolutionary Search", IF($O875="SequenceR", "Deep Learning", IF($O875="SimFix", "Search Like Pattern", IF($O875="SketchFix", "True Pattern", IF($O875="SOFix", "True Pattern", IF($O875="ssFix", "Search Like Pattern", IF($O875="TBar", "True Pattern", ""))))))))))))))))))))</f>
        <v>True Semantic</v>
      </c>
      <c r="Q875" s="13" t="str">
        <f>IF(NOT(ISERR(SEARCH("*_Buggy",$A875))), "Buggy", IF(NOT(ISERR(SEARCH("*_Fixed",$A875))), "Fixed", IF(NOT(ISERR(SEARCH("*_Repaired",$A875))), "Repaired", "")))</f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v>4</v>
      </c>
      <c r="W875" s="13" t="str">
        <f>MID(A875, SEARCH("_", A875) +1, SEARCH("_", A875, SEARCH("_", A875) +1) - SEARCH("_", A875) -1)</f>
        <v>Lang-53</v>
      </c>
    </row>
    <row r="876" spans="1:23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>LEFT($A876,FIND("_",$A876)-1)</f>
        <v>Nopol</v>
      </c>
      <c r="P876" s="13" t="str">
        <f>IF($O876="ACS", "True Search", IF($O876="Arja", "Evolutionary Search", IF($O876="AVATAR", "True Pattern", IF($O876="CapGen", "Search Like Pattern", IF($O876="Cardumen", "True Semantic", IF($O876="DynaMoth", "True Semantic", IF($O876="FixMiner", "True Pattern", IF($O876="GenProg-A", "Evolutionary Search", IF($O876="Hercules", "Learning Pattern", IF($O876="Jaid", "True Semantic",
IF($O876="Kali-A", "True Search", IF($O876="kPAR", "True Pattern", IF($O876="Nopol", "True Semantic", IF($O876="RSRepair-A", "Evolutionary Search", IF($O876="SequenceR", "Deep Learning", IF($O876="SimFix", "Search Like Pattern", IF($O876="SketchFix", "True Pattern", IF($O876="SOFix", "True Pattern", IF($O876="ssFix", "Search Like Pattern", IF($O876="TBar", "True Pattern", ""))))))))))))))))))))</f>
        <v>True Semantic</v>
      </c>
      <c r="Q876" s="13" t="str">
        <f>IF(NOT(ISERR(SEARCH("*_Buggy",$A876))), "Buggy", IF(NOT(ISERR(SEARCH("*_Fixed",$A876))), "Fixed", IF(NOT(ISERR(SEARCH("*_Repaired",$A876))), "Repaired", "")))</f>
        <v>Fixed</v>
      </c>
      <c r="R876" s="13" t="s">
        <v>1669</v>
      </c>
      <c r="S876" s="25">
        <v>2</v>
      </c>
      <c r="T876" s="13">
        <v>2</v>
      </c>
      <c r="U876" s="25">
        <v>0</v>
      </c>
      <c r="V876" s="13">
        <v>2</v>
      </c>
      <c r="W876" s="13" t="str">
        <f>MID(A876, SEARCH("_", A876) +1, SEARCH("_", A876, SEARCH("_", A876) +1) - SEARCH("_", A876) -1)</f>
        <v>Lang-55</v>
      </c>
    </row>
    <row r="877" spans="1:23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>LEFT($A877,FIND("_",$A877)-1)</f>
        <v>Nopol</v>
      </c>
      <c r="P877" s="13" t="str">
        <f>IF($O877="ACS", "True Search", IF($O877="Arja", "Evolutionary Search", IF($O877="AVATAR", "True Pattern", IF($O877="CapGen", "Search Like Pattern", IF($O877="Cardumen", "True Semantic", IF($O877="DynaMoth", "True Semantic", IF($O877="FixMiner", "True Pattern", IF($O877="GenProg-A", "Evolutionary Search", IF($O877="Hercules", "Learning Pattern", IF($O877="Jaid", "True Semantic",
IF($O877="Kali-A", "True Search", IF($O877="kPAR", "True Pattern", IF($O877="Nopol", "True Semantic", IF($O877="RSRepair-A", "Evolutionary Search", IF($O877="SequenceR", "Deep Learning", IF($O877="SimFix", "Search Like Pattern", IF($O877="SketchFix", "True Pattern", IF($O877="SOFix", "True Pattern", IF($O877="ssFix", "Search Like Pattern", IF($O877="TBar", "True Pattern", ""))))))))))))))))))))</f>
        <v>True Semantic</v>
      </c>
      <c r="Q877" s="13" t="str">
        <f>IF(NOT(ISERR(SEARCH("*_Buggy",$A877))), "Buggy", IF(NOT(ISERR(SEARCH("*_Fixed",$A877))), "Fixed", IF(NOT(ISERR(SEARCH("*_Repaired",$A877))), "Repaired", "")))</f>
        <v>Fixed</v>
      </c>
      <c r="R877" s="13" t="s">
        <v>1669</v>
      </c>
      <c r="S877" s="25">
        <v>1</v>
      </c>
      <c r="T877" s="25">
        <v>1</v>
      </c>
      <c r="U877" s="25">
        <v>2</v>
      </c>
      <c r="V877" s="13">
        <v>2</v>
      </c>
      <c r="W877" s="13" t="str">
        <f>MID(A877, SEARCH("_", A877) +1, SEARCH("_", A877, SEARCH("_", A877) +1) - SEARCH("_", A877) -1)</f>
        <v>Lang-58</v>
      </c>
    </row>
    <row r="878" spans="1:23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>LEFT($A878,FIND("_",$A878)-1)</f>
        <v>Nopol</v>
      </c>
      <c r="P878" s="13" t="str">
        <f>IF($O878="ACS", "True Search", IF($O878="Arja", "Evolutionary Search", IF($O878="AVATAR", "True Pattern", IF($O878="CapGen", "Search Like Pattern", IF($O878="Cardumen", "True Semantic", IF($O878="DynaMoth", "True Semantic", IF($O878="FixMiner", "True Pattern", IF($O878="GenProg-A", "Evolutionary Search", IF($O878="Hercules", "Learning Pattern", IF($O878="Jaid", "True Semantic",
IF($O878="Kali-A", "True Search", IF($O878="kPAR", "True Pattern", IF($O878="Nopol", "True Semantic", IF($O878="RSRepair-A", "Evolutionary Search", IF($O878="SequenceR", "Deep Learning", IF($O878="SimFix", "Search Like Pattern", IF($O878="SketchFix", "True Pattern", IF($O878="SOFix", "True Pattern", IF($O878="ssFix", "Search Like Pattern", IF($O878="TBar", "True Pattern", ""))))))))))))))))))))</f>
        <v>True Semantic</v>
      </c>
      <c r="Q878" s="13" t="str">
        <f>IF(NOT(ISERR(SEARCH("*_Buggy",$A878))), "Buggy", IF(NOT(ISERR(SEARCH("*_Fixed",$A878))), "Fixed", IF(NOT(ISERR(SEARCH("*_Repaired",$A878))), "Repaired", "")))</f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v>1</v>
      </c>
      <c r="W878" s="13" t="str">
        <f>MID(A878, SEARCH("_", A878) +1, SEARCH("_", A878, SEARCH("_", A878) +1) - SEARCH("_", A878) -1)</f>
        <v>Math-105</v>
      </c>
    </row>
    <row r="879" spans="1:23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>LEFT($A879,FIND("_",$A879)-1)</f>
        <v>Nopol</v>
      </c>
      <c r="P879" s="13" t="str">
        <f>IF($O879="ACS", "True Search", IF($O879="Arja", "Evolutionary Search", IF($O879="AVATAR", "True Pattern", IF($O879="CapGen", "Search Like Pattern", IF($O879="Cardumen", "True Semantic", IF($O879="DynaMoth", "True Semantic", IF($O879="FixMiner", "True Pattern", IF($O879="GenProg-A", "Evolutionary Search", IF($O879="Hercules", "Learning Pattern", IF($O879="Jaid", "True Semantic",
IF($O879="Kali-A", "True Search", IF($O879="kPAR", "True Pattern", IF($O879="Nopol", "True Semantic", IF($O879="RSRepair-A", "Evolutionary Search", IF($O879="SequenceR", "Deep Learning", IF($O879="SimFix", "Search Like Pattern", IF($O879="SketchFix", "True Pattern", IF($O879="SOFix", "True Pattern", IF($O879="ssFix", "Search Like Pattern", IF($O879="TBar", "True Pattern", ""))))))))))))))))))))</f>
        <v>True Semantic</v>
      </c>
      <c r="Q879" s="13" t="str">
        <f>IF(NOT(ISERR(SEARCH("*_Buggy",$A879))), "Buggy", IF(NOT(ISERR(SEARCH("*_Fixed",$A879))), "Fixed", IF(NOT(ISERR(SEARCH("*_Repaired",$A879))), "Repaired", "")))</f>
        <v>Fixed</v>
      </c>
      <c r="R879" s="13" t="s">
        <v>1669</v>
      </c>
      <c r="S879" s="25">
        <v>5</v>
      </c>
      <c r="T879" s="25">
        <v>6</v>
      </c>
      <c r="U879" s="25">
        <v>4</v>
      </c>
      <c r="V879" s="13">
        <v>6</v>
      </c>
      <c r="W879" s="13" t="str">
        <f>MID(A879, SEARCH("_", A879) +1, SEARCH("_", A879, SEARCH("_", A879) +1) - SEARCH("_", A879) -1)</f>
        <v>Math-18</v>
      </c>
    </row>
    <row r="880" spans="1:23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>LEFT($A880,FIND("_",$A880)-1)</f>
        <v>Nopol</v>
      </c>
      <c r="P880" s="13" t="str">
        <f>IF($O880="ACS", "True Search", IF($O880="Arja", "Evolutionary Search", IF($O880="AVATAR", "True Pattern", IF($O880="CapGen", "Search Like Pattern", IF($O880="Cardumen", "True Semantic", IF($O880="DynaMoth", "True Semantic", IF($O880="FixMiner", "True Pattern", IF($O880="GenProg-A", "Evolutionary Search", IF($O880="Hercules", "Learning Pattern", IF($O880="Jaid", "True Semantic",
IF($O880="Kali-A", "True Search", IF($O880="kPAR", "True Pattern", IF($O880="Nopol", "True Semantic", IF($O880="RSRepair-A", "Evolutionary Search", IF($O880="SequenceR", "Deep Learning", IF($O880="SimFix", "Search Like Pattern", IF($O880="SketchFix", "True Pattern", IF($O880="SOFix", "True Pattern", IF($O880="ssFix", "Search Like Pattern", IF($O880="TBar", "True Pattern", ""))))))))))))))))))))</f>
        <v>True Semantic</v>
      </c>
      <c r="Q880" s="13" t="str">
        <f>IF(NOT(ISERR(SEARCH("*_Buggy",$A880))), "Buggy", IF(NOT(ISERR(SEARCH("*_Fixed",$A880))), "Fixed", IF(NOT(ISERR(SEARCH("*_Repaired",$A880))), "Repaired", "")))</f>
        <v>Fixed</v>
      </c>
      <c r="R880" s="13" t="s">
        <v>1669</v>
      </c>
      <c r="S880" s="25">
        <v>1</v>
      </c>
      <c r="T880" s="25">
        <v>2</v>
      </c>
      <c r="U880" s="25">
        <v>1</v>
      </c>
      <c r="V880" s="13">
        <v>2</v>
      </c>
      <c r="W880" s="13" t="str">
        <f>MID(A880, SEARCH("_", A880) +1, SEARCH("_", A880, SEARCH("_", A880) +1) - SEARCH("_", A880) -1)</f>
        <v>Math-20</v>
      </c>
    </row>
    <row r="881" spans="1:23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>LEFT($A881,FIND("_",$A881)-1)</f>
        <v>Nopol</v>
      </c>
      <c r="P881" s="13" t="str">
        <f>IF($O881="ACS", "True Search", IF($O881="Arja", "Evolutionary Search", IF($O881="AVATAR", "True Pattern", IF($O881="CapGen", "Search Like Pattern", IF($O881="Cardumen", "True Semantic", IF($O881="DynaMoth", "True Semantic", IF($O881="FixMiner", "True Pattern", IF($O881="GenProg-A", "Evolutionary Search", IF($O881="Hercules", "Learning Pattern", IF($O881="Jaid", "True Semantic",
IF($O881="Kali-A", "True Search", IF($O881="kPAR", "True Pattern", IF($O881="Nopol", "True Semantic", IF($O881="RSRepair-A", "Evolutionary Search", IF($O881="SequenceR", "Deep Learning", IF($O881="SimFix", "Search Like Pattern", IF($O881="SketchFix", "True Pattern", IF($O881="SOFix", "True Pattern", IF($O881="ssFix", "Search Like Pattern", IF($O881="TBar", "True Pattern", ""))))))))))))))))))))</f>
        <v>True Semantic</v>
      </c>
      <c r="Q881" s="13" t="str">
        <f>IF(NOT(ISERR(SEARCH("*_Buggy",$A881))), "Buggy", IF(NOT(ISERR(SEARCH("*_Fixed",$A881))), "Fixed", IF(NOT(ISERR(SEARCH("*_Repaired",$A881))), "Repaired", "")))</f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v>1</v>
      </c>
      <c r="W881" s="13" t="str">
        <f>MID(A881, SEARCH("_", A881) +1, SEARCH("_", A881, SEARCH("_", A881) +1) - SEARCH("_", A881) -1)</f>
        <v>Math-33</v>
      </c>
    </row>
    <row r="882" spans="1:23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>LEFT($A882,FIND("_",$A882)-1)</f>
        <v>Nopol</v>
      </c>
      <c r="P882" s="13" t="str">
        <f>IF($O882="ACS", "True Search", IF($O882="Arja", "Evolutionary Search", IF($O882="AVATAR", "True Pattern", IF($O882="CapGen", "Search Like Pattern", IF($O882="Cardumen", "True Semantic", IF($O882="DynaMoth", "True Semantic", IF($O882="FixMiner", "True Pattern", IF($O882="GenProg-A", "Evolutionary Search", IF($O882="Hercules", "Learning Pattern", IF($O882="Jaid", "True Semantic",
IF($O882="Kali-A", "True Search", IF($O882="kPAR", "True Pattern", IF($O882="Nopol", "True Semantic", IF($O882="RSRepair-A", "Evolutionary Search", IF($O882="SequenceR", "Deep Learning", IF($O882="SimFix", "Search Like Pattern", IF($O882="SketchFix", "True Pattern", IF($O882="SOFix", "True Pattern", IF($O882="ssFix", "Search Like Pattern", IF($O882="TBar", "True Pattern", ""))))))))))))))))))))</f>
        <v>True Semantic</v>
      </c>
      <c r="Q882" s="13" t="str">
        <f>IF(NOT(ISERR(SEARCH("*_Buggy",$A882))), "Buggy", IF(NOT(ISERR(SEARCH("*_Fixed",$A882))), "Fixed", IF(NOT(ISERR(SEARCH("*_Repaired",$A882))), "Repaired", "")))</f>
        <v>Fixed</v>
      </c>
      <c r="R882" s="13" t="s">
        <v>1669</v>
      </c>
      <c r="S882" s="25">
        <v>2</v>
      </c>
      <c r="T882" s="25">
        <v>3</v>
      </c>
      <c r="U882" s="25">
        <v>1</v>
      </c>
      <c r="V882" s="13">
        <v>3</v>
      </c>
      <c r="W882" s="13" t="str">
        <f>MID(A882, SEARCH("_", A882) +1, SEARCH("_", A882, SEARCH("_", A882) +1) - SEARCH("_", A882) -1)</f>
        <v>Math-42</v>
      </c>
    </row>
    <row r="883" spans="1:23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>LEFT($A883,FIND("_",$A883)-1)</f>
        <v>Nopol</v>
      </c>
      <c r="P883" s="13" t="str">
        <f>IF($O883="ACS", "True Search", IF($O883="Arja", "Evolutionary Search", IF($O883="AVATAR", "True Pattern", IF($O883="CapGen", "Search Like Pattern", IF($O883="Cardumen", "True Semantic", IF($O883="DynaMoth", "True Semantic", IF($O883="FixMiner", "True Pattern", IF($O883="GenProg-A", "Evolutionary Search", IF($O883="Hercules", "Learning Pattern", IF($O883="Jaid", "True Semantic",
IF($O883="Kali-A", "True Search", IF($O883="kPAR", "True Pattern", IF($O883="Nopol", "True Semantic", IF($O883="RSRepair-A", "Evolutionary Search", IF($O883="SequenceR", "Deep Learning", IF($O883="SimFix", "Search Like Pattern", IF($O883="SketchFix", "True Pattern", IF($O883="SOFix", "True Pattern", IF($O883="ssFix", "Search Like Pattern", IF($O883="TBar", "True Pattern", ""))))))))))))))))))))</f>
        <v>True Semantic</v>
      </c>
      <c r="Q883" s="13" t="str">
        <f>IF(NOT(ISERR(SEARCH("*_Buggy",$A883))), "Buggy", IF(NOT(ISERR(SEARCH("*_Fixed",$A883))), "Fixed", IF(NOT(ISERR(SEARCH("*_Repaired",$A883))), "Repaired", "")))</f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v>4</v>
      </c>
      <c r="W883" s="13" t="str">
        <f>MID(A883, SEARCH("_", A883) +1, SEARCH("_", A883, SEARCH("_", A883) +1) - SEARCH("_", A883) -1)</f>
        <v>Math-49</v>
      </c>
    </row>
    <row r="884" spans="1:23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>LEFT($A884,FIND("_",$A884)-1)</f>
        <v>Nopol</v>
      </c>
      <c r="P884" s="13" t="str">
        <f>IF($O884="ACS", "True Search", IF($O884="Arja", "Evolutionary Search", IF($O884="AVATAR", "True Pattern", IF($O884="CapGen", "Search Like Pattern", IF($O884="Cardumen", "True Semantic", IF($O884="DynaMoth", "True Semantic", IF($O884="FixMiner", "True Pattern", IF($O884="GenProg-A", "Evolutionary Search", IF($O884="Hercules", "Learning Pattern", IF($O884="Jaid", "True Semantic",
IF($O884="Kali-A", "True Search", IF($O884="kPAR", "True Pattern", IF($O884="Nopol", "True Semantic", IF($O884="RSRepair-A", "Evolutionary Search", IF($O884="SequenceR", "Deep Learning", IF($O884="SimFix", "Search Like Pattern", IF($O884="SketchFix", "True Pattern", IF($O884="SOFix", "True Pattern", IF($O884="ssFix", "Search Like Pattern", IF($O884="TBar", "True Pattern", ""))))))))))))))))))))</f>
        <v>True Semantic</v>
      </c>
      <c r="Q884" s="13" t="str">
        <f>IF(NOT(ISERR(SEARCH("*_Buggy",$A884))), "Buggy", IF(NOT(ISERR(SEARCH("*_Fixed",$A884))), "Fixed", IF(NOT(ISERR(SEARCH("*_Repaired",$A884))), "Repaired", "")))</f>
        <v>Fixed</v>
      </c>
      <c r="R884" s="13" t="s">
        <v>1668</v>
      </c>
      <c r="S884" s="25">
        <v>1</v>
      </c>
      <c r="T884" s="25">
        <v>0</v>
      </c>
      <c r="U884" s="13">
        <v>4</v>
      </c>
      <c r="V884" s="13">
        <v>4</v>
      </c>
      <c r="W884" s="13" t="str">
        <f>MID(A884, SEARCH("_", A884) +1, SEARCH("_", A884, SEARCH("_", A884) +1) - SEARCH("_", A884) -1)</f>
        <v>Math-50</v>
      </c>
    </row>
    <row r="885" spans="1:23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>LEFT($A885,FIND("_",$A885)-1)</f>
        <v>Nopol</v>
      </c>
      <c r="P885" s="13" t="str">
        <f>IF($O885="ACS", "True Search", IF($O885="Arja", "Evolutionary Search", IF($O885="AVATAR", "True Pattern", IF($O885="CapGen", "Search Like Pattern", IF($O885="Cardumen", "True Semantic", IF($O885="DynaMoth", "True Semantic", IF($O885="FixMiner", "True Pattern", IF($O885="GenProg-A", "Evolutionary Search", IF($O885="Hercules", "Learning Pattern", IF($O885="Jaid", "True Semantic",
IF($O885="Kali-A", "True Search", IF($O885="kPAR", "True Pattern", IF($O885="Nopol", "True Semantic", IF($O885="RSRepair-A", "Evolutionary Search", IF($O885="SequenceR", "Deep Learning", IF($O885="SimFix", "Search Like Pattern", IF($O885="SketchFix", "True Pattern", IF($O885="SOFix", "True Pattern", IF($O885="ssFix", "Search Like Pattern", IF($O885="TBar", "True Pattern", ""))))))))))))))))))))</f>
        <v>True Semantic</v>
      </c>
      <c r="Q885" s="13" t="str">
        <f>IF(NOT(ISERR(SEARCH("*_Buggy",$A885))), "Buggy", IF(NOT(ISERR(SEARCH("*_Fixed",$A885))), "Fixed", IF(NOT(ISERR(SEARCH("*_Repaired",$A885))), "Repaired", "")))</f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v>1</v>
      </c>
      <c r="W885" s="13" t="str">
        <f>MID(A885, SEARCH("_", A885) +1, SEARCH("_", A885, SEARCH("_", A885) +1) - SEARCH("_", A885) -1)</f>
        <v>Math-69</v>
      </c>
    </row>
    <row r="886" spans="1:23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>LEFT($A886,FIND("_",$A886)-1)</f>
        <v>Nopol</v>
      </c>
      <c r="P886" s="13" t="str">
        <f>IF($O886="ACS", "True Search", IF($O886="Arja", "Evolutionary Search", IF($O886="AVATAR", "True Pattern", IF($O886="CapGen", "Search Like Pattern", IF($O886="Cardumen", "True Semantic", IF($O886="DynaMoth", "True Semantic", IF($O886="FixMiner", "True Pattern", IF($O886="GenProg-A", "Evolutionary Search", IF($O886="Hercules", "Learning Pattern", IF($O886="Jaid", "True Semantic",
IF($O886="Kali-A", "True Search", IF($O886="kPAR", "True Pattern", IF($O886="Nopol", "True Semantic", IF($O886="RSRepair-A", "Evolutionary Search", IF($O886="SequenceR", "Deep Learning", IF($O886="SimFix", "Search Like Pattern", IF($O886="SketchFix", "True Pattern", IF($O886="SOFix", "True Pattern", IF($O886="ssFix", "Search Like Pattern", IF($O886="TBar", "True Pattern", ""))))))))))))))))))))</f>
        <v>True Semantic</v>
      </c>
      <c r="Q886" s="13" t="str">
        <f>IF(NOT(ISERR(SEARCH("*_Buggy",$A886))), "Buggy", IF(NOT(ISERR(SEARCH("*_Fixed",$A886))), "Fixed", IF(NOT(ISERR(SEARCH("*_Repaired",$A886))), "Repaired", "")))</f>
        <v>Fixed</v>
      </c>
      <c r="R886" s="13" t="s">
        <v>1669</v>
      </c>
      <c r="S886" s="25">
        <v>4</v>
      </c>
      <c r="T886" s="25">
        <v>8</v>
      </c>
      <c r="U886" s="25">
        <v>9</v>
      </c>
      <c r="V886" s="13">
        <v>14</v>
      </c>
      <c r="W886" s="13" t="str">
        <f>MID(A886, SEARCH("_", A886) +1, SEARCH("_", A886, SEARCH("_", A886) +1) - SEARCH("_", A886) -1)</f>
        <v>Math-7</v>
      </c>
    </row>
    <row r="887" spans="1:23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>LEFT($A887,FIND("_",$A887)-1)</f>
        <v>Nopol</v>
      </c>
      <c r="P887" s="13" t="str">
        <f>IF($O887="ACS", "True Search", IF($O887="Arja", "Evolutionary Search", IF($O887="AVATAR", "True Pattern", IF($O887="CapGen", "Search Like Pattern", IF($O887="Cardumen", "True Semantic", IF($O887="DynaMoth", "True Semantic", IF($O887="FixMiner", "True Pattern", IF($O887="GenProg-A", "Evolutionary Search", IF($O887="Hercules", "Learning Pattern", IF($O887="Jaid", "True Semantic",
IF($O887="Kali-A", "True Search", IF($O887="kPAR", "True Pattern", IF($O887="Nopol", "True Semantic", IF($O887="RSRepair-A", "Evolutionary Search", IF($O887="SequenceR", "Deep Learning", IF($O887="SimFix", "Search Like Pattern", IF($O887="SketchFix", "True Pattern", IF($O887="SOFix", "True Pattern", IF($O887="ssFix", "Search Like Pattern", IF($O887="TBar", "True Pattern", ""))))))))))))))))))))</f>
        <v>True Semantic</v>
      </c>
      <c r="Q887" s="13" t="str">
        <f>IF(NOT(ISERR(SEARCH("*_Buggy",$A887))), "Buggy", IF(NOT(ISERR(SEARCH("*_Fixed",$A887))), "Fixed", IF(NOT(ISERR(SEARCH("*_Repaired",$A887))), "Repaired", "")))</f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v>1</v>
      </c>
      <c r="W887" s="13" t="str">
        <f>MID(A887, SEARCH("_", A887) +1, SEARCH("_", A887, SEARCH("_", A887) +1) - SEARCH("_", A887) -1)</f>
        <v>Math-80</v>
      </c>
    </row>
    <row r="888" spans="1:23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>LEFT($A888,FIND("_",$A888)-1)</f>
        <v>Nopol</v>
      </c>
      <c r="P888" s="13" t="str">
        <f>IF($O888="ACS", "True Search", IF($O888="Arja", "Evolutionary Search", IF($O888="AVATAR", "True Pattern", IF($O888="CapGen", "Search Like Pattern", IF($O888="Cardumen", "True Semantic", IF($O888="DynaMoth", "True Semantic", IF($O888="FixMiner", "True Pattern", IF($O888="GenProg-A", "Evolutionary Search", IF($O888="Hercules", "Learning Pattern", IF($O888="Jaid", "True Semantic",
IF($O888="Kali-A", "True Search", IF($O888="kPAR", "True Pattern", IF($O888="Nopol", "True Semantic", IF($O888="RSRepair-A", "Evolutionary Search", IF($O888="SequenceR", "Deep Learning", IF($O888="SimFix", "Search Like Pattern", IF($O888="SketchFix", "True Pattern", IF($O888="SOFix", "True Pattern", IF($O888="ssFix", "Search Like Pattern", IF($O888="TBar", "True Pattern", ""))))))))))))))))))))</f>
        <v>True Semantic</v>
      </c>
      <c r="Q888" s="13" t="str">
        <f>IF(NOT(ISERR(SEARCH("*_Buggy",$A888))), "Buggy", IF(NOT(ISERR(SEARCH("*_Fixed",$A888))), "Fixed", IF(NOT(ISERR(SEARCH("*_Repaired",$A888))), "Repaired", "")))</f>
        <v>Fixed</v>
      </c>
      <c r="R888" s="13" t="s">
        <v>1669</v>
      </c>
      <c r="S888" s="25">
        <v>3</v>
      </c>
      <c r="T888" s="25">
        <v>4</v>
      </c>
      <c r="U888" s="25">
        <v>3</v>
      </c>
      <c r="V888" s="13">
        <v>4</v>
      </c>
      <c r="W888" s="13" t="str">
        <f>MID(A888, SEARCH("_", A888) +1, SEARCH("_", A888, SEARCH("_", A888) +1) - SEARCH("_", A888) -1)</f>
        <v>Math-81</v>
      </c>
    </row>
    <row r="889" spans="1:23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>LEFT($A889,FIND("_",$A889)-1)</f>
        <v>Nopol</v>
      </c>
      <c r="P889" s="13" t="str">
        <f>IF($O889="ACS", "True Search", IF($O889="Arja", "Evolutionary Search", IF($O889="AVATAR", "True Pattern", IF($O889="CapGen", "Search Like Pattern", IF($O889="Cardumen", "True Semantic", IF($O889="DynaMoth", "True Semantic", IF($O889="FixMiner", "True Pattern", IF($O889="GenProg-A", "Evolutionary Search", IF($O889="Hercules", "Learning Pattern", IF($O889="Jaid", "True Semantic",
IF($O889="Kali-A", "True Search", IF($O889="kPAR", "True Pattern", IF($O889="Nopol", "True Semantic", IF($O889="RSRepair-A", "Evolutionary Search", IF($O889="SequenceR", "Deep Learning", IF($O889="SimFix", "Search Like Pattern", IF($O889="SketchFix", "True Pattern", IF($O889="SOFix", "True Pattern", IF($O889="ssFix", "Search Like Pattern", IF($O889="TBar", "True Pattern", ""))))))))))))))))))))</f>
        <v>True Semantic</v>
      </c>
      <c r="Q889" s="13" t="str">
        <f>IF(NOT(ISERR(SEARCH("*_Buggy",$A889))), "Buggy", IF(NOT(ISERR(SEARCH("*_Fixed",$A889))), "Fixed", IF(NOT(ISERR(SEARCH("*_Repaired",$A889))), "Repaired", "")))</f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v>1</v>
      </c>
      <c r="W889" s="13" t="str">
        <f>MID(A889, SEARCH("_", A889) +1, SEARCH("_", A889, SEARCH("_", A889) +1) - SEARCH("_", A889) -1)</f>
        <v>Math-82</v>
      </c>
    </row>
    <row r="890" spans="1:23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>LEFT($A890,FIND("_",$A890)-1)</f>
        <v>Nopol</v>
      </c>
      <c r="P890" s="13" t="str">
        <f>IF($O890="ACS", "True Search", IF($O890="Arja", "Evolutionary Search", IF($O890="AVATAR", "True Pattern", IF($O890="CapGen", "Search Like Pattern", IF($O890="Cardumen", "True Semantic", IF($O890="DynaMoth", "True Semantic", IF($O890="FixMiner", "True Pattern", IF($O890="GenProg-A", "Evolutionary Search", IF($O890="Hercules", "Learning Pattern", IF($O890="Jaid", "True Semantic",
IF($O890="Kali-A", "True Search", IF($O890="kPAR", "True Pattern", IF($O890="Nopol", "True Semantic", IF($O890="RSRepair-A", "Evolutionary Search", IF($O890="SequenceR", "Deep Learning", IF($O890="SimFix", "Search Like Pattern", IF($O890="SketchFix", "True Pattern", IF($O890="SOFix", "True Pattern", IF($O890="ssFix", "Search Like Pattern", IF($O890="TBar", "True Pattern", ""))))))))))))))))))))</f>
        <v>True Semantic</v>
      </c>
      <c r="Q890" s="13" t="str">
        <f>IF(NOT(ISERR(SEARCH("*_Buggy",$A890))), "Buggy", IF(NOT(ISERR(SEARCH("*_Fixed",$A890))), "Fixed", IF(NOT(ISERR(SEARCH("*_Repaired",$A890))), "Repaired", "")))</f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v>1</v>
      </c>
      <c r="W890" s="13" t="str">
        <f>MID(A890, SEARCH("_", A890) +1, SEARCH("_", A890, SEARCH("_", A890) +1) - SEARCH("_", A890) -1)</f>
        <v>Math-85</v>
      </c>
    </row>
    <row r="891" spans="1:23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>LEFT($A891,FIND("_",$A891)-1)</f>
        <v>Nopol</v>
      </c>
      <c r="P891" s="13" t="str">
        <f>IF($O891="ACS", "True Search", IF($O891="Arja", "Evolutionary Search", IF($O891="AVATAR", "True Pattern", IF($O891="CapGen", "Search Like Pattern", IF($O891="Cardumen", "True Semantic", IF($O891="DynaMoth", "True Semantic", IF($O891="FixMiner", "True Pattern", IF($O891="GenProg-A", "Evolutionary Search", IF($O891="Hercules", "Learning Pattern", IF($O891="Jaid", "True Semantic",
IF($O891="Kali-A", "True Search", IF($O891="kPAR", "True Pattern", IF($O891="Nopol", "True Semantic", IF($O891="RSRepair-A", "Evolutionary Search", IF($O891="SequenceR", "Deep Learning", IF($O891="SimFix", "Search Like Pattern", IF($O891="SketchFix", "True Pattern", IF($O891="SOFix", "True Pattern", IF($O891="ssFix", "Search Like Pattern", IF($O891="TBar", "True Pattern", ""))))))))))))))))))))</f>
        <v>True Semantic</v>
      </c>
      <c r="Q891" s="13" t="str">
        <f>IF(NOT(ISERR(SEARCH("*_Buggy",$A891))), "Buggy", IF(NOT(ISERR(SEARCH("*_Fixed",$A891))), "Fixed", IF(NOT(ISERR(SEARCH("*_Repaired",$A891))), "Repaired", "")))</f>
        <v>Fixed</v>
      </c>
      <c r="R891" s="13" t="s">
        <v>1669</v>
      </c>
      <c r="S891" s="25">
        <v>3</v>
      </c>
      <c r="T891" s="25">
        <v>2</v>
      </c>
      <c r="U891" s="25">
        <v>4</v>
      </c>
      <c r="V891" s="13">
        <v>4</v>
      </c>
      <c r="W891" s="13" t="str">
        <f>MID(A891, SEARCH("_", A891) +1, SEARCH("_", A891, SEARCH("_", A891) +1) - SEARCH("_", A891) -1)</f>
        <v>Math-87</v>
      </c>
    </row>
    <row r="892" spans="1:23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>LEFT($A892,FIND("_",$A892)-1)</f>
        <v>Nopol</v>
      </c>
      <c r="P892" s="13" t="str">
        <f>IF($O892="ACS", "True Search", IF($O892="Arja", "Evolutionary Search", IF($O892="AVATAR", "True Pattern", IF($O892="CapGen", "Search Like Pattern", IF($O892="Cardumen", "True Semantic", IF($O892="DynaMoth", "True Semantic", IF($O892="FixMiner", "True Pattern", IF($O892="GenProg-A", "Evolutionary Search", IF($O892="Hercules", "Learning Pattern", IF($O892="Jaid", "True Semantic",
IF($O892="Kali-A", "True Search", IF($O892="kPAR", "True Pattern", IF($O892="Nopol", "True Semantic", IF($O892="RSRepair-A", "Evolutionary Search", IF($O892="SequenceR", "Deep Learning", IF($O892="SimFix", "Search Like Pattern", IF($O892="SketchFix", "True Pattern", IF($O892="SOFix", "True Pattern", IF($O892="ssFix", "Search Like Pattern", IF($O892="TBar", "True Pattern", ""))))))))))))))))))))</f>
        <v>True Semantic</v>
      </c>
      <c r="Q892" s="13" t="str">
        <f>IF(NOT(ISERR(SEARCH("*_Buggy",$A892))), "Buggy", IF(NOT(ISERR(SEARCH("*_Fixed",$A892))), "Fixed", IF(NOT(ISERR(SEARCH("*_Repaired",$A892))), "Repaired", "")))</f>
        <v>Fixed</v>
      </c>
      <c r="R892" s="13" t="s">
        <v>1669</v>
      </c>
      <c r="S892" s="25">
        <v>4</v>
      </c>
      <c r="T892" s="25">
        <v>5</v>
      </c>
      <c r="U892" s="25">
        <v>6</v>
      </c>
      <c r="V892" s="13">
        <v>11</v>
      </c>
      <c r="W892" s="13" t="str">
        <f>MID(A892, SEARCH("_", A892) +1, SEARCH("_", A892, SEARCH("_", A892) +1) - SEARCH("_", A892) -1)</f>
        <v>Math-88</v>
      </c>
    </row>
    <row r="893" spans="1:23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>LEFT($A893,FIND("_",$A893)-1)</f>
        <v>Nopol</v>
      </c>
      <c r="P893" s="13" t="str">
        <f>IF($O893="ACS", "True Search", IF($O893="Arja", "Evolutionary Search", IF($O893="AVATAR", "True Pattern", IF($O893="CapGen", "Search Like Pattern", IF($O893="Cardumen", "True Semantic", IF($O893="DynaMoth", "True Semantic", IF($O893="FixMiner", "True Pattern", IF($O893="GenProg-A", "Evolutionary Search", IF($O893="Hercules", "Learning Pattern", IF($O893="Jaid", "True Semantic",
IF($O893="Kali-A", "True Search", IF($O893="kPAR", "True Pattern", IF($O893="Nopol", "True Semantic", IF($O893="RSRepair-A", "Evolutionary Search", IF($O893="SequenceR", "Deep Learning", IF($O893="SimFix", "Search Like Pattern", IF($O893="SketchFix", "True Pattern", IF($O893="SOFix", "True Pattern", IF($O893="ssFix", "Search Like Pattern", IF($O893="TBar", "True Pattern", ""))))))))))))))))))))</f>
        <v>True Semantic</v>
      </c>
      <c r="Q893" s="13" t="str">
        <f>IF(NOT(ISERR(SEARCH("*_Buggy",$A893))), "Buggy", IF(NOT(ISERR(SEARCH("*_Fixed",$A893))), "Fixed", IF(NOT(ISERR(SEARCH("*_Repaired",$A893))), "Repaired", "")))</f>
        <v>Fixed</v>
      </c>
      <c r="R893" s="13" t="s">
        <v>1669</v>
      </c>
      <c r="S893" s="25">
        <v>2</v>
      </c>
      <c r="T893" s="13">
        <v>5</v>
      </c>
      <c r="U893" s="25">
        <v>0</v>
      </c>
      <c r="V893" s="13">
        <v>5</v>
      </c>
      <c r="W893" s="13" t="str">
        <f>MID(A893, SEARCH("_", A893) +1, SEARCH("_", A893, SEARCH("_", A893) +1) - SEARCH("_", A893) -1)</f>
        <v>Time-14</v>
      </c>
    </row>
    <row r="894" spans="1:23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>LEFT($A894,FIND("_",$A894)-1)</f>
        <v>RSRepair-A</v>
      </c>
      <c r="P894" s="13" t="str">
        <f>IF($O894="ACS", "True Search", IF($O894="Arja", "Evolutionary Search", IF($O894="AVATAR", "True Pattern", IF($O894="CapGen", "Search Like Pattern", IF($O894="Cardumen", "True Semantic", IF($O894="DynaMoth", "True Semantic", IF($O894="FixMiner", "True Pattern", IF($O894="GenProg-A", "Evolutionary Search", IF($O894="Hercules", "Learning Pattern", IF($O894="Jaid", "True Semantic",
IF($O894="Kali-A", "True Search", IF($O894="kPAR", "True Pattern", IF($O894="Nopol", "True Semantic", IF($O894="RSRepair-A", "Evolutionary Search", IF($O894="SequenceR", "Deep Learning", IF($O894="SimFix", "Search Like Pattern", IF($O894="SketchFix", "True Pattern", IF($O894="SOFix", "True Pattern", IF($O894="ssFix", "Search Like Pattern", IF($O894="TBar", "True Pattern", ""))))))))))))))))))))</f>
        <v>Evolutionary Search</v>
      </c>
      <c r="Q894" s="13" t="str">
        <f>IF(NOT(ISERR(SEARCH("*_Buggy",$A894))), "Buggy", IF(NOT(ISERR(SEARCH("*_Fixed",$A894))), "Fixed", IF(NOT(ISERR(SEARCH("*_Repaired",$A894))), "Repaired", "")))</f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v>1</v>
      </c>
      <c r="W894" s="13" t="str">
        <f>MID(A894, SEARCH("_", A894) +1, SEARCH("_", A894, SEARCH("_", A894) +1) - SEARCH("_", A894) -1)</f>
        <v>Chart-1</v>
      </c>
    </row>
    <row r="895" spans="1:23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>LEFT($A895,FIND("_",$A895)-1)</f>
        <v>RSRepair-A</v>
      </c>
      <c r="P895" s="13" t="str">
        <f>IF($O895="ACS", "True Search", IF($O895="Arja", "Evolutionary Search", IF($O895="AVATAR", "True Pattern", IF($O895="CapGen", "Search Like Pattern", IF($O895="Cardumen", "True Semantic", IF($O895="DynaMoth", "True Semantic", IF($O895="FixMiner", "True Pattern", IF($O895="GenProg-A", "Evolutionary Search", IF($O895="Hercules", "Learning Pattern", IF($O895="Jaid", "True Semantic",
IF($O895="Kali-A", "True Search", IF($O895="kPAR", "True Pattern", IF($O895="Nopol", "True Semantic", IF($O895="RSRepair-A", "Evolutionary Search", IF($O895="SequenceR", "Deep Learning", IF($O895="SimFix", "Search Like Pattern", IF($O895="SketchFix", "True Pattern", IF($O895="SOFix", "True Pattern", IF($O895="ssFix", "Search Like Pattern", IF($O895="TBar", "True Pattern", ""))))))))))))))))))))</f>
        <v>Evolutionary Search</v>
      </c>
      <c r="Q895" s="13" t="str">
        <f>IF(NOT(ISERR(SEARCH("*_Buggy",$A895))), "Buggy", IF(NOT(ISERR(SEARCH("*_Fixed",$A895))), "Fixed", IF(NOT(ISERR(SEARCH("*_Repaired",$A895))), "Repaired", "")))</f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v>1</v>
      </c>
      <c r="W895" s="13" t="str">
        <f>MID(A895, SEARCH("_", A895) +1, SEARCH("_", A895, SEARCH("_", A895) +1) - SEARCH("_", A895) -1)</f>
        <v>Chart-12</v>
      </c>
    </row>
    <row r="896" spans="1:23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>LEFT($A896,FIND("_",$A896)-1)</f>
        <v>RSRepair-A</v>
      </c>
      <c r="P896" s="13" t="str">
        <f>IF($O896="ACS", "True Search", IF($O896="Arja", "Evolutionary Search", IF($O896="AVATAR", "True Pattern", IF($O896="CapGen", "Search Like Pattern", IF($O896="Cardumen", "True Semantic", IF($O896="DynaMoth", "True Semantic", IF($O896="FixMiner", "True Pattern", IF($O896="GenProg-A", "Evolutionary Search", IF($O896="Hercules", "Learning Pattern", IF($O896="Jaid", "True Semantic",
IF($O896="Kali-A", "True Search", IF($O896="kPAR", "True Pattern", IF($O896="Nopol", "True Semantic", IF($O896="RSRepair-A", "Evolutionary Search", IF($O896="SequenceR", "Deep Learning", IF($O896="SimFix", "Search Like Pattern", IF($O896="SketchFix", "True Pattern", IF($O896="SOFix", "True Pattern", IF($O896="ssFix", "Search Like Pattern", IF($O896="TBar", "True Pattern", ""))))))))))))))))))))</f>
        <v>Evolutionary Search</v>
      </c>
      <c r="Q896" s="13" t="str">
        <f>IF(NOT(ISERR(SEARCH("*_Buggy",$A896))), "Buggy", IF(NOT(ISERR(SEARCH("*_Fixed",$A896))), "Fixed", IF(NOT(ISERR(SEARCH("*_Repaired",$A896))), "Repaired", "")))</f>
        <v>Fixed</v>
      </c>
      <c r="R896" s="13" t="s">
        <v>1669</v>
      </c>
      <c r="S896" s="25">
        <v>2</v>
      </c>
      <c r="T896" s="25">
        <v>5</v>
      </c>
      <c r="U896" s="25">
        <v>1</v>
      </c>
      <c r="V896" s="13">
        <v>5</v>
      </c>
      <c r="W896" s="13" t="str">
        <f>MID(A896, SEARCH("_", A896) +1, SEARCH("_", A896, SEARCH("_", A896) +1) - SEARCH("_", A896) -1)</f>
        <v>Chart-5</v>
      </c>
    </row>
    <row r="897" spans="1:23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>LEFT($A897,FIND("_",$A897)-1)</f>
        <v>RSRepair-A</v>
      </c>
      <c r="P897" s="13" t="str">
        <f>IF($O897="ACS", "True Search", IF($O897="Arja", "Evolutionary Search", IF($O897="AVATAR", "True Pattern", IF($O897="CapGen", "Search Like Pattern", IF($O897="Cardumen", "True Semantic", IF($O897="DynaMoth", "True Semantic", IF($O897="FixMiner", "True Pattern", IF($O897="GenProg-A", "Evolutionary Search", IF($O897="Hercules", "Learning Pattern", IF($O897="Jaid", "True Semantic",
IF($O897="Kali-A", "True Search", IF($O897="kPAR", "True Pattern", IF($O897="Nopol", "True Semantic", IF($O897="RSRepair-A", "Evolutionary Search", IF($O897="SequenceR", "Deep Learning", IF($O897="SimFix", "Search Like Pattern", IF($O897="SketchFix", "True Pattern", IF($O897="SOFix", "True Pattern", IF($O897="ssFix", "Search Like Pattern", IF($O897="TBar", "True Pattern", ""))))))))))))))))))))</f>
        <v>Evolutionary Search</v>
      </c>
      <c r="Q897" s="13" t="str">
        <f>IF(NOT(ISERR(SEARCH("*_Buggy",$A897))), "Buggy", IF(NOT(ISERR(SEARCH("*_Fixed",$A897))), "Fixed", IF(NOT(ISERR(SEARCH("*_Repaired",$A897))), "Repaired", "")))</f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v>1</v>
      </c>
      <c r="W897" s="13" t="str">
        <f>MID(A897, SEARCH("_", A897) +1, SEARCH("_", A897, SEARCH("_", A897) +1) - SEARCH("_", A897) -1)</f>
        <v>Closure-10</v>
      </c>
    </row>
    <row r="898" spans="1:23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>LEFT($A898,FIND("_",$A898)-1)</f>
        <v>RSRepair-A</v>
      </c>
      <c r="P898" s="13" t="str">
        <f>IF($O898="ACS", "True Search", IF($O898="Arja", "Evolutionary Search", IF($O898="AVATAR", "True Pattern", IF($O898="CapGen", "Search Like Pattern", IF($O898="Cardumen", "True Semantic", IF($O898="DynaMoth", "True Semantic", IF($O898="FixMiner", "True Pattern", IF($O898="GenProg-A", "Evolutionary Search", IF($O898="Hercules", "Learning Pattern", IF($O898="Jaid", "True Semantic",
IF($O898="Kali-A", "True Search", IF($O898="kPAR", "True Pattern", IF($O898="Nopol", "True Semantic", IF($O898="RSRepair-A", "Evolutionary Search", IF($O898="SequenceR", "Deep Learning", IF($O898="SimFix", "Search Like Pattern", IF($O898="SketchFix", "True Pattern", IF($O898="SOFix", "True Pattern", IF($O898="ssFix", "Search Like Pattern", IF($O898="TBar", "True Pattern", ""))))))))))))))))))))</f>
        <v>Evolutionary Search</v>
      </c>
      <c r="Q898" s="13" t="str">
        <f>IF(NOT(ISERR(SEARCH("*_Buggy",$A898))), "Buggy", IF(NOT(ISERR(SEARCH("*_Fixed",$A898))), "Fixed", IF(NOT(ISERR(SEARCH("*_Repaired",$A898))), "Repaired", "")))</f>
        <v>Fixed</v>
      </c>
      <c r="R898" s="13" t="s">
        <v>1669</v>
      </c>
      <c r="S898" s="25">
        <v>1</v>
      </c>
      <c r="T898" s="25">
        <v>9</v>
      </c>
      <c r="U898" s="25">
        <v>3</v>
      </c>
      <c r="V898" s="13">
        <v>9</v>
      </c>
      <c r="W898" s="13" t="str">
        <f>MID(A898, SEARCH("_", A898) +1, SEARCH("_", A898, SEARCH("_", A898) +1) - SEARCH("_", A898) -1)</f>
        <v>Closure-112</v>
      </c>
    </row>
    <row r="899" spans="1:23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>LEFT($A899,FIND("_",$A899)-1)</f>
        <v>RSRepair-A</v>
      </c>
      <c r="P899" s="13" t="str">
        <f>IF($O899="ACS", "True Search", IF($O899="Arja", "Evolutionary Search", IF($O899="AVATAR", "True Pattern", IF($O899="CapGen", "Search Like Pattern", IF($O899="Cardumen", "True Semantic", IF($O899="DynaMoth", "True Semantic", IF($O899="FixMiner", "True Pattern", IF($O899="GenProg-A", "Evolutionary Search", IF($O899="Hercules", "Learning Pattern", IF($O899="Jaid", "True Semantic",
IF($O899="Kali-A", "True Search", IF($O899="kPAR", "True Pattern", IF($O899="Nopol", "True Semantic", IF($O899="RSRepair-A", "Evolutionary Search", IF($O899="SequenceR", "Deep Learning", IF($O899="SimFix", "Search Like Pattern", IF($O899="SketchFix", "True Pattern", IF($O899="SOFix", "True Pattern", IF($O899="ssFix", "Search Like Pattern", IF($O899="TBar", "True Pattern", ""))))))))))))))))))))</f>
        <v>Evolutionary Search</v>
      </c>
      <c r="Q899" s="13" t="str">
        <f>IF(NOT(ISERR(SEARCH("*_Buggy",$A899))), "Buggy", IF(NOT(ISERR(SEARCH("*_Fixed",$A899))), "Fixed", IF(NOT(ISERR(SEARCH("*_Repaired",$A899))), "Repaired", "")))</f>
        <v>Fixed</v>
      </c>
      <c r="R899" s="13" t="s">
        <v>1668</v>
      </c>
      <c r="S899" s="25">
        <v>2</v>
      </c>
      <c r="T899" s="25">
        <v>0</v>
      </c>
      <c r="U899" s="13">
        <v>11</v>
      </c>
      <c r="V899" s="13">
        <v>11</v>
      </c>
      <c r="W899" s="13" t="str">
        <f>MID(A899, SEARCH("_", A899) +1, SEARCH("_", A899, SEARCH("_", A899) +1) - SEARCH("_", A899) -1)</f>
        <v>Closure-115</v>
      </c>
    </row>
    <row r="900" spans="1:23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>LEFT($A900,FIND("_",$A900)-1)</f>
        <v>RSRepair-A</v>
      </c>
      <c r="P900" s="13" t="str">
        <f>IF($O900="ACS", "True Search", IF($O900="Arja", "Evolutionary Search", IF($O900="AVATAR", "True Pattern", IF($O900="CapGen", "Search Like Pattern", IF($O900="Cardumen", "True Semantic", IF($O900="DynaMoth", "True Semantic", IF($O900="FixMiner", "True Pattern", IF($O900="GenProg-A", "Evolutionary Search", IF($O900="Hercules", "Learning Pattern", IF($O900="Jaid", "True Semantic",
IF($O900="Kali-A", "True Search", IF($O900="kPAR", "True Pattern", IF($O900="Nopol", "True Semantic", IF($O900="RSRepair-A", "Evolutionary Search", IF($O900="SequenceR", "Deep Learning", IF($O900="SimFix", "Search Like Pattern", IF($O900="SketchFix", "True Pattern", IF($O900="SOFix", "True Pattern", IF($O900="ssFix", "Search Like Pattern", IF($O900="TBar", "True Pattern", ""))))))))))))))))))))</f>
        <v>Evolutionary Search</v>
      </c>
      <c r="Q900" s="13" t="str">
        <f>IF(NOT(ISERR(SEARCH("*_Buggy",$A900))), "Buggy", IF(NOT(ISERR(SEARCH("*_Fixed",$A900))), "Fixed", IF(NOT(ISERR(SEARCH("*_Repaired",$A900))), "Repaired", "")))</f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v>24</v>
      </c>
      <c r="W900" s="13" t="str">
        <f>MID(A900, SEARCH("_", A900) +1, SEARCH("_", A900, SEARCH("_", A900) +1) - SEARCH("_", A900) -1)</f>
        <v>Closure-117</v>
      </c>
    </row>
    <row r="901" spans="1:23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>LEFT($A901,FIND("_",$A901)-1)</f>
        <v>RSRepair-A</v>
      </c>
      <c r="P901" s="13" t="str">
        <f>IF($O901="ACS", "True Search", IF($O901="Arja", "Evolutionary Search", IF($O901="AVATAR", "True Pattern", IF($O901="CapGen", "Search Like Pattern", IF($O901="Cardumen", "True Semantic", IF($O901="DynaMoth", "True Semantic", IF($O901="FixMiner", "True Pattern", IF($O901="GenProg-A", "Evolutionary Search", IF($O901="Hercules", "Learning Pattern", IF($O901="Jaid", "True Semantic",
IF($O901="Kali-A", "True Search", IF($O901="kPAR", "True Pattern", IF($O901="Nopol", "True Semantic", IF($O901="RSRepair-A", "Evolutionary Search", IF($O901="SequenceR", "Deep Learning", IF($O901="SimFix", "Search Like Pattern", IF($O901="SketchFix", "True Pattern", IF($O901="SOFix", "True Pattern", IF($O901="ssFix", "Search Like Pattern", IF($O901="TBar", "True Pattern", ""))))))))))))))))))))</f>
        <v>Evolutionary Search</v>
      </c>
      <c r="Q901" s="13" t="str">
        <f>IF(NOT(ISERR(SEARCH("*_Buggy",$A901))), "Buggy", IF(NOT(ISERR(SEARCH("*_Fixed",$A901))), "Fixed", IF(NOT(ISERR(SEARCH("*_Repaired",$A901))), "Repaired", "")))</f>
        <v>Fixed</v>
      </c>
      <c r="R901" s="13" t="s">
        <v>1669</v>
      </c>
      <c r="S901" s="25">
        <v>1</v>
      </c>
      <c r="T901" s="13">
        <v>3</v>
      </c>
      <c r="U901" s="25">
        <v>0</v>
      </c>
      <c r="V901" s="13">
        <v>3</v>
      </c>
      <c r="W901" s="13" t="str">
        <f>MID(A901, SEARCH("_", A901) +1, SEARCH("_", A901, SEARCH("_", A901) +1) - SEARCH("_", A901) -1)</f>
        <v>Closure-120</v>
      </c>
    </row>
    <row r="902" spans="1:23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>LEFT($A902,FIND("_",$A902)-1)</f>
        <v>RSRepair-A</v>
      </c>
      <c r="P902" s="13" t="str">
        <f>IF($O902="ACS", "True Search", IF($O902="Arja", "Evolutionary Search", IF($O902="AVATAR", "True Pattern", IF($O902="CapGen", "Search Like Pattern", IF($O902="Cardumen", "True Semantic", IF($O902="DynaMoth", "True Semantic", IF($O902="FixMiner", "True Pattern", IF($O902="GenProg-A", "Evolutionary Search", IF($O902="Hercules", "Learning Pattern", IF($O902="Jaid", "True Semantic",
IF($O902="Kali-A", "True Search", IF($O902="kPAR", "True Pattern", IF($O902="Nopol", "True Semantic", IF($O902="RSRepair-A", "Evolutionary Search", IF($O902="SequenceR", "Deep Learning", IF($O902="SimFix", "Search Like Pattern", IF($O902="SketchFix", "True Pattern", IF($O902="SOFix", "True Pattern", IF($O902="ssFix", "Search Like Pattern", IF($O902="TBar", "True Pattern", ""))))))))))))))))))))</f>
        <v>Evolutionary Search</v>
      </c>
      <c r="Q902" s="13" t="str">
        <f>IF(NOT(ISERR(SEARCH("*_Buggy",$A902))), "Buggy", IF(NOT(ISERR(SEARCH("*_Fixed",$A902))), "Fixed", IF(NOT(ISERR(SEARCH("*_Repaired",$A902))), "Repaired", "")))</f>
        <v>Fixed</v>
      </c>
      <c r="R902" s="13" t="s">
        <v>1669</v>
      </c>
      <c r="S902" s="25">
        <v>2</v>
      </c>
      <c r="T902" s="25">
        <v>3</v>
      </c>
      <c r="U902" s="25">
        <v>1</v>
      </c>
      <c r="V902" s="13">
        <v>3</v>
      </c>
      <c r="W902" s="13" t="str">
        <f>MID(A902, SEARCH("_", A902) +1, SEARCH("_", A902, SEARCH("_", A902) +1) - SEARCH("_", A902) -1)</f>
        <v>Closure-121</v>
      </c>
    </row>
    <row r="903" spans="1:23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>LEFT($A903,FIND("_",$A903)-1)</f>
        <v>RSRepair-A</v>
      </c>
      <c r="P903" s="13" t="str">
        <f>IF($O903="ACS", "True Search", IF($O903="Arja", "Evolutionary Search", IF($O903="AVATAR", "True Pattern", IF($O903="CapGen", "Search Like Pattern", IF($O903="Cardumen", "True Semantic", IF($O903="DynaMoth", "True Semantic", IF($O903="FixMiner", "True Pattern", IF($O903="GenProg-A", "Evolutionary Search", IF($O903="Hercules", "Learning Pattern", IF($O903="Jaid", "True Semantic",
IF($O903="Kali-A", "True Search", IF($O903="kPAR", "True Pattern", IF($O903="Nopol", "True Semantic", IF($O903="RSRepair-A", "Evolutionary Search", IF($O903="SequenceR", "Deep Learning", IF($O903="SimFix", "Search Like Pattern", IF($O903="SketchFix", "True Pattern", IF($O903="SOFix", "True Pattern", IF($O903="ssFix", "Search Like Pattern", IF($O903="TBar", "True Pattern", ""))))))))))))))))))))</f>
        <v>Evolutionary Search</v>
      </c>
      <c r="Q903" s="13" t="str">
        <f>IF(NOT(ISERR(SEARCH("*_Buggy",$A903))), "Buggy", IF(NOT(ISERR(SEARCH("*_Fixed",$A903))), "Fixed", IF(NOT(ISERR(SEARCH("*_Repaired",$A903))), "Repaired", "")))</f>
        <v>Fixed</v>
      </c>
      <c r="R903" s="13" t="s">
        <v>1669</v>
      </c>
      <c r="S903" s="25">
        <v>2</v>
      </c>
      <c r="T903" s="13">
        <v>2</v>
      </c>
      <c r="U903" s="25">
        <v>0</v>
      </c>
      <c r="V903" s="13">
        <v>2</v>
      </c>
      <c r="W903" s="13" t="str">
        <f>MID(A903, SEARCH("_", A903) +1, SEARCH("_", A903, SEARCH("_", A903) +1) - SEARCH("_", A903) -1)</f>
        <v>Closure-124</v>
      </c>
    </row>
    <row r="904" spans="1:23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>LEFT($A904,FIND("_",$A904)-1)</f>
        <v>RSRepair-A</v>
      </c>
      <c r="P904" s="13" t="str">
        <f>IF($O904="ACS", "True Search", IF($O904="Arja", "Evolutionary Search", IF($O904="AVATAR", "True Pattern", IF($O904="CapGen", "Search Like Pattern", IF($O904="Cardumen", "True Semantic", IF($O904="DynaMoth", "True Semantic", IF($O904="FixMiner", "True Pattern", IF($O904="GenProg-A", "Evolutionary Search", IF($O904="Hercules", "Learning Pattern", IF($O904="Jaid", "True Semantic",
IF($O904="Kali-A", "True Search", IF($O904="kPAR", "True Pattern", IF($O904="Nopol", "True Semantic", IF($O904="RSRepair-A", "Evolutionary Search", IF($O904="SequenceR", "Deep Learning", IF($O904="SimFix", "Search Like Pattern", IF($O904="SketchFix", "True Pattern", IF($O904="SOFix", "True Pattern", IF($O904="ssFix", "Search Like Pattern", IF($O904="TBar", "True Pattern", ""))))))))))))))))))))</f>
        <v>Evolutionary Search</v>
      </c>
      <c r="Q904" s="13" t="str">
        <f>IF(NOT(ISERR(SEARCH("*_Buggy",$A904))), "Buggy", IF(NOT(ISERR(SEARCH("*_Fixed",$A904))), "Fixed", IF(NOT(ISERR(SEARCH("*_Repaired",$A904))), "Repaired", "")))</f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v>1</v>
      </c>
      <c r="W904" s="13" t="str">
        <f>MID(A904, SEARCH("_", A904) +1, SEARCH("_", A904, SEARCH("_", A904) +1) - SEARCH("_", A904) -1)</f>
        <v>Closure-125</v>
      </c>
    </row>
    <row r="905" spans="1:23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>LEFT($A905,FIND("_",$A905)-1)</f>
        <v>RSRepair-A</v>
      </c>
      <c r="P905" s="13" t="str">
        <f>IF($O905="ACS", "True Search", IF($O905="Arja", "Evolutionary Search", IF($O905="AVATAR", "True Pattern", IF($O905="CapGen", "Search Like Pattern", IF($O905="Cardumen", "True Semantic", IF($O905="DynaMoth", "True Semantic", IF($O905="FixMiner", "True Pattern", IF($O905="GenProg-A", "Evolutionary Search", IF($O905="Hercules", "Learning Pattern", IF($O905="Jaid", "True Semantic",
IF($O905="Kali-A", "True Search", IF($O905="kPAR", "True Pattern", IF($O905="Nopol", "True Semantic", IF($O905="RSRepair-A", "Evolutionary Search", IF($O905="SequenceR", "Deep Learning", IF($O905="SimFix", "Search Like Pattern", IF($O905="SketchFix", "True Pattern", IF($O905="SOFix", "True Pattern", IF($O905="ssFix", "Search Like Pattern", IF($O905="TBar", "True Pattern", ""))))))))))))))))))))</f>
        <v>Evolutionary Search</v>
      </c>
      <c r="Q905" s="13" t="str">
        <f>IF(NOT(ISERR(SEARCH("*_Buggy",$A905))), "Buggy", IF(NOT(ISERR(SEARCH("*_Fixed",$A905))), "Fixed", IF(NOT(ISERR(SEARCH("*_Repaired",$A905))), "Repaired", "")))</f>
        <v>Fixed</v>
      </c>
      <c r="R905" s="13" t="s">
        <v>1668</v>
      </c>
      <c r="S905" s="25">
        <v>2</v>
      </c>
      <c r="T905" s="25">
        <v>2</v>
      </c>
      <c r="U905" s="25">
        <v>19</v>
      </c>
      <c r="V905" s="13">
        <v>19</v>
      </c>
      <c r="W905" s="13" t="str">
        <f>MID(A905, SEARCH("_", A905) +1, SEARCH("_", A905, SEARCH("_", A905) +1) - SEARCH("_", A905) -1)</f>
        <v>Closure-21</v>
      </c>
    </row>
    <row r="906" spans="1:23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>LEFT($A906,FIND("_",$A906)-1)</f>
        <v>RSRepair-A</v>
      </c>
      <c r="P906" s="13" t="str">
        <f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>IF(NOT(ISERR(SEARCH("*_Buggy",$A906))), "Buggy", IF(NOT(ISERR(SEARCH("*_Fixed",$A906))), "Fixed", IF(NOT(ISERR(SEARCH("*_Repaired",$A906))), "Repaired", "")))</f>
        <v>Fixed</v>
      </c>
      <c r="R906" s="13" t="s">
        <v>1668</v>
      </c>
      <c r="S906" s="25">
        <v>5</v>
      </c>
      <c r="T906" s="25">
        <v>2</v>
      </c>
      <c r="U906" s="25">
        <v>26</v>
      </c>
      <c r="V906" s="13">
        <v>26</v>
      </c>
      <c r="W906" s="13" t="str">
        <f>MID(A906, SEARCH("_", A906) +1, SEARCH("_", A906, SEARCH("_", A906) +1) - SEARCH("_", A906) -1)</f>
        <v>Closure-22</v>
      </c>
    </row>
    <row r="907" spans="1:23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>LEFT($A907,FIND("_",$A907)-1)</f>
        <v>RSRepair-A</v>
      </c>
      <c r="P907" s="13" t="str">
        <f>IF($O907="ACS", "True Search", IF($O907="Arja", "Evolutionary Search", IF($O907="AVATAR", "True Pattern", IF($O907="CapGen", "Search Like Pattern", IF($O907="Cardumen", "True Semantic", IF($O907="DynaMoth", "True Semantic", IF($O907="FixMiner", "True Pattern", IF($O907="GenProg-A", "Evolutionary Search", IF($O907="Hercules", "Learning Pattern", IF($O907="Jaid", "True Semantic",
IF($O907="Kali-A", "True Search", IF($O907="kPAR", "True Pattern", IF($O907="Nopol", "True Semantic", IF($O907="RSRepair-A", "Evolutionary Search", IF($O907="SequenceR", "Deep Learning", IF($O907="SimFix", "Search Like Pattern", IF($O907="SketchFix", "True Pattern", IF($O907="SOFix", "True Pattern", IF($O907="ssFix", "Search Like Pattern", IF($O907="TBar", "True Pattern", ""))))))))))))))))))))</f>
        <v>Evolutionary Search</v>
      </c>
      <c r="Q907" s="13" t="str">
        <f>IF(NOT(ISERR(SEARCH("*_Buggy",$A907))), "Buggy", IF(NOT(ISERR(SEARCH("*_Fixed",$A907))), "Fixed", IF(NOT(ISERR(SEARCH("*_Repaired",$A907))), "Repaired", "")))</f>
        <v>Fixed</v>
      </c>
      <c r="R907" s="13" t="s">
        <v>1669</v>
      </c>
      <c r="S907" s="25">
        <v>3</v>
      </c>
      <c r="T907" s="25">
        <v>8</v>
      </c>
      <c r="U907" s="25">
        <v>2</v>
      </c>
      <c r="V907" s="13">
        <v>8</v>
      </c>
      <c r="W907" s="13" t="str">
        <f>MID(A907, SEARCH("_", A907) +1, SEARCH("_", A907, SEARCH("_", A907) +1) - SEARCH("_", A907) -1)</f>
        <v>Closure-3</v>
      </c>
    </row>
    <row r="908" spans="1:23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>LEFT($A908,FIND("_",$A908)-1)</f>
        <v>RSRepair-A</v>
      </c>
      <c r="P908" s="13" t="str">
        <f>IF($O908="ACS", "True Search", IF($O908="Arja", "Evolutionary Search", IF($O908="AVATAR", "True Pattern", IF($O908="CapGen", "Search Like Pattern", IF($O908="Cardumen", "True Semantic", IF($O908="DynaMoth", "True Semantic", IF($O908="FixMiner", "True Pattern", IF($O908="GenProg-A", "Evolutionary Search", IF($O908="Hercules", "Learning Pattern", IF($O908="Jaid", "True Semantic",
IF($O908="Kali-A", "True Search", IF($O908="kPAR", "True Pattern", IF($O908="Nopol", "True Semantic", IF($O908="RSRepair-A", "Evolutionary Search", IF($O908="SequenceR", "Deep Learning", IF($O908="SimFix", "Search Like Pattern", IF($O908="SketchFix", "True Pattern", IF($O908="SOFix", "True Pattern", IF($O908="ssFix", "Search Like Pattern", IF($O908="TBar", "True Pattern", ""))))))))))))))))))))</f>
        <v>Evolutionary Search</v>
      </c>
      <c r="Q908" s="13" t="str">
        <f>IF(NOT(ISERR(SEARCH("*_Buggy",$A908))), "Buggy", IF(NOT(ISERR(SEARCH("*_Fixed",$A908))), "Fixed", IF(NOT(ISERR(SEARCH("*_Repaired",$A908))), "Repaired", "")))</f>
        <v>Fixed</v>
      </c>
      <c r="R908" s="13" t="s">
        <v>1669</v>
      </c>
      <c r="S908" s="25">
        <v>1</v>
      </c>
      <c r="T908" s="13">
        <v>3</v>
      </c>
      <c r="U908" s="25">
        <v>0</v>
      </c>
      <c r="V908" s="13">
        <v>3</v>
      </c>
      <c r="W908" s="13" t="str">
        <f>MID(A908, SEARCH("_", A908) +1, SEARCH("_", A908, SEARCH("_", A908) +1) - SEARCH("_", A908) -1)</f>
        <v>Closure-33</v>
      </c>
    </row>
    <row r="909" spans="1:23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>LEFT($A909,FIND("_",$A909)-1)</f>
        <v>RSRepair-A</v>
      </c>
      <c r="P909" s="13" t="str">
        <f>IF($O909="ACS", "True Search", IF($O909="Arja", "Evolutionary Search", IF($O909="AVATAR", "True Pattern", IF($O909="CapGen", "Search Like Pattern", IF($O909="Cardumen", "True Semantic", IF($O909="DynaMoth", "True Semantic", IF($O909="FixMiner", "True Pattern", IF($O909="GenProg-A", "Evolutionary Search", IF($O909="Hercules", "Learning Pattern", IF($O909="Jaid", "True Semantic",
IF($O909="Kali-A", "True Search", IF($O909="kPAR", "True Pattern", IF($O909="Nopol", "True Semantic", IF($O909="RSRepair-A", "Evolutionary Search", IF($O909="SequenceR", "Deep Learning", IF($O909="SimFix", "Search Like Pattern", IF($O909="SketchFix", "True Pattern", IF($O909="SOFix", "True Pattern", IF($O909="ssFix", "Search Like Pattern", IF($O909="TBar", "True Pattern", ""))))))))))))))))))))</f>
        <v>Evolutionary Search</v>
      </c>
      <c r="Q909" s="13" t="str">
        <f>IF(NOT(ISERR(SEARCH("*_Buggy",$A909))), "Buggy", IF(NOT(ISERR(SEARCH("*_Fixed",$A909))), "Fixed", IF(NOT(ISERR(SEARCH("*_Repaired",$A909))), "Repaired", "")))</f>
        <v>Fixed</v>
      </c>
      <c r="R909" s="13" t="s">
        <v>1669</v>
      </c>
      <c r="S909" s="25">
        <v>1</v>
      </c>
      <c r="T909" s="25">
        <v>2</v>
      </c>
      <c r="U909" s="25">
        <v>1</v>
      </c>
      <c r="V909" s="13">
        <v>2</v>
      </c>
      <c r="W909" s="13" t="str">
        <f>MID(A909, SEARCH("_", A909) +1, SEARCH("_", A909, SEARCH("_", A909) +1) - SEARCH("_", A909) -1)</f>
        <v>Closure-55</v>
      </c>
    </row>
    <row r="910" spans="1:23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>LEFT($A910,FIND("_",$A910)-1)</f>
        <v>RSRepair-A</v>
      </c>
      <c r="P910" s="13" t="str">
        <f>IF($O910="ACS", "True Search", IF($O910="Arja", "Evolutionary Search", IF($O910="AVATAR", "True Pattern", IF($O910="CapGen", "Search Like Pattern", IF($O910="Cardumen", "True Semantic", IF($O910="DynaMoth", "True Semantic", IF($O910="FixMiner", "True Pattern", IF($O910="GenProg-A", "Evolutionary Search", IF($O910="Hercules", "Learning Pattern", IF($O910="Jaid", "True Semantic",
IF($O910="Kali-A", "True Search", IF($O910="kPAR", "True Pattern", IF($O910="Nopol", "True Semantic", IF($O910="RSRepair-A", "Evolutionary Search", IF($O910="SequenceR", "Deep Learning", IF($O910="SimFix", "Search Like Pattern", IF($O910="SketchFix", "True Pattern", IF($O910="SOFix", "True Pattern", IF($O910="ssFix", "Search Like Pattern", IF($O910="TBar", "True Pattern", ""))))))))))))))))))))</f>
        <v>Evolutionary Search</v>
      </c>
      <c r="Q910" s="13" t="str">
        <f>IF(NOT(ISERR(SEARCH("*_Buggy",$A910))), "Buggy", IF(NOT(ISERR(SEARCH("*_Fixed",$A910))), "Fixed", IF(NOT(ISERR(SEARCH("*_Repaired",$A910))), "Repaired", "")))</f>
        <v>Fixed</v>
      </c>
      <c r="R910" s="13" t="s">
        <v>1669</v>
      </c>
      <c r="S910" s="25">
        <v>3</v>
      </c>
      <c r="T910" s="25">
        <v>4</v>
      </c>
      <c r="U910" s="25">
        <v>1</v>
      </c>
      <c r="V910" s="13">
        <v>4</v>
      </c>
      <c r="W910" s="13" t="str">
        <f>MID(A910, SEARCH("_", A910) +1, SEARCH("_", A910, SEARCH("_", A910) +1) - SEARCH("_", A910) -1)</f>
        <v>Closure-75</v>
      </c>
    </row>
    <row r="911" spans="1:23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>LEFT($A911,FIND("_",$A911)-1)</f>
        <v>RSRepair-A</v>
      </c>
      <c r="P911" s="13" t="str">
        <f>IF($O911="ACS", "True Search", IF($O911="Arja", "Evolutionary Search", IF($O911="AVATAR", "True Pattern", IF($O911="CapGen", "Search Like Pattern", IF($O911="Cardumen", "True Semantic", IF($O911="DynaMoth", "True Semantic", IF($O911="FixMiner", "True Pattern", IF($O911="GenProg-A", "Evolutionary Search", IF($O911="Hercules", "Learning Pattern", IF($O911="Jaid", "True Semantic",
IF($O911="Kali-A", "True Search", IF($O911="kPAR", "True Pattern", IF($O911="Nopol", "True Semantic", IF($O911="RSRepair-A", "Evolutionary Search", IF($O911="SequenceR", "Deep Learning", IF($O911="SimFix", "Search Like Pattern", IF($O911="SketchFix", "True Pattern", IF($O911="SOFix", "True Pattern", IF($O911="ssFix", "Search Like Pattern", IF($O911="TBar", "True Pattern", ""))))))))))))))))))))</f>
        <v>Evolutionary Search</v>
      </c>
      <c r="Q911" s="13" t="str">
        <f>IF(NOT(ISERR(SEARCH("*_Buggy",$A911))), "Buggy", IF(NOT(ISERR(SEARCH("*_Fixed",$A911))), "Fixed", IF(NOT(ISERR(SEARCH("*_Repaired",$A911))), "Repaired", "")))</f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v>1</v>
      </c>
      <c r="W911" s="13" t="str">
        <f>MID(A911, SEARCH("_", A911) +1, SEARCH("_", A911, SEARCH("_", A911) +1) - SEARCH("_", A911) -1)</f>
        <v>Closure-86</v>
      </c>
    </row>
    <row r="912" spans="1:23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>LEFT($A912,FIND("_",$A912)-1)</f>
        <v>RSRepair-A</v>
      </c>
      <c r="P912" s="13" t="str">
        <f>IF($O912="ACS", "True Search", IF($O912="Arja", "Evolutionary Search", IF($O912="AVATAR", "True Pattern", IF($O912="CapGen", "Search Like Pattern", IF($O912="Cardumen", "True Semantic", IF($O912="DynaMoth", "True Semantic", IF($O912="FixMiner", "True Pattern", IF($O912="GenProg-A", "Evolutionary Search", IF($O912="Hercules", "Learning Pattern", IF($O912="Jaid", "True Semantic",
IF($O912="Kali-A", "True Search", IF($O912="kPAR", "True Pattern", IF($O912="Nopol", "True Semantic", IF($O912="RSRepair-A", "Evolutionary Search", IF($O912="SequenceR", "Deep Learning", IF($O912="SimFix", "Search Like Pattern", IF($O912="SketchFix", "True Pattern", IF($O912="SOFix", "True Pattern", IF($O912="ssFix", "Search Like Pattern", IF($O912="TBar", "True Pattern", ""))))))))))))))))))))</f>
        <v>Evolutionary Search</v>
      </c>
      <c r="Q912" s="13" t="str">
        <f>IF(NOT(ISERR(SEARCH("*_Buggy",$A912))), "Buggy", IF(NOT(ISERR(SEARCH("*_Fixed",$A912))), "Fixed", IF(NOT(ISERR(SEARCH("*_Repaired",$A912))), "Repaired", "")))</f>
        <v>Fixed</v>
      </c>
      <c r="R912" s="13" t="s">
        <v>1669</v>
      </c>
      <c r="S912" s="25">
        <v>2</v>
      </c>
      <c r="T912" s="13">
        <v>6</v>
      </c>
      <c r="U912" s="25">
        <v>0</v>
      </c>
      <c r="V912" s="13">
        <v>6</v>
      </c>
      <c r="W912" s="13" t="str">
        <f>MID(A912, SEARCH("_", A912) +1, SEARCH("_", A912, SEARCH("_", A912) +1) - SEARCH("_", A912) -1)</f>
        <v>Closure-88</v>
      </c>
    </row>
    <row r="913" spans="1:23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>LEFT($A913,FIND("_",$A913)-1)</f>
        <v>RSRepair-A</v>
      </c>
      <c r="P913" s="13" t="str">
        <f>IF($O913="ACS", "True Search", IF($O913="Arja", "Evolutionary Search", IF($O913="AVATAR", "True Pattern", IF($O913="CapGen", "Search Like Pattern", IF($O913="Cardumen", "True Semantic", IF($O913="DynaMoth", "True Semantic", IF($O913="FixMiner", "True Pattern", IF($O913="GenProg-A", "Evolutionary Search", IF($O913="Hercules", "Learning Pattern", IF($O913="Jaid", "True Semantic",
IF($O913="Kali-A", "True Search", IF($O913="kPAR", "True Pattern", IF($O913="Nopol", "True Semantic", IF($O913="RSRepair-A", "Evolutionary Search", IF($O913="SequenceR", "Deep Learning", IF($O913="SimFix", "Search Like Pattern", IF($O913="SketchFix", "True Pattern", IF($O913="SOFix", "True Pattern", IF($O913="ssFix", "Search Like Pattern", IF($O913="TBar", "True Pattern", ""))))))))))))))))))))</f>
        <v>Evolutionary Search</v>
      </c>
      <c r="Q913" s="13" t="str">
        <f>IF(NOT(ISERR(SEARCH("*_Buggy",$A913))), "Buggy", IF(NOT(ISERR(SEARCH("*_Fixed",$A913))), "Fixed", IF(NOT(ISERR(SEARCH("*_Repaired",$A913))), "Repaired", "")))</f>
        <v>Fixed</v>
      </c>
      <c r="R913" s="13" t="s">
        <v>1669</v>
      </c>
      <c r="S913" s="25">
        <v>4</v>
      </c>
      <c r="T913" s="13">
        <v>19</v>
      </c>
      <c r="U913" s="25">
        <v>0</v>
      </c>
      <c r="V913" s="13">
        <v>19</v>
      </c>
      <c r="W913" s="13" t="str">
        <f>MID(A913, SEARCH("_", A913) +1, SEARCH("_", A913, SEARCH("_", A913) +1) - SEARCH("_", A913) -1)</f>
        <v>Lang-13</v>
      </c>
    </row>
    <row r="914" spans="1:23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>LEFT($A914,FIND("_",$A914)-1)</f>
        <v>RSRepair-A</v>
      </c>
      <c r="P914" s="13" t="str">
        <f>IF($O914="ACS", "True Search", IF($O914="Arja", "Evolutionary Search", IF($O914="AVATAR", "True Pattern", IF($O914="CapGen", "Search Like Pattern", IF($O914="Cardumen", "True Semantic", IF($O914="DynaMoth", "True Semantic", IF($O914="FixMiner", "True Pattern", IF($O914="GenProg-A", "Evolutionary Search", IF($O914="Hercules", "Learning Pattern", IF($O914="Jaid", "True Semantic",
IF($O914="Kali-A", "True Search", IF($O914="kPAR", "True Pattern", IF($O914="Nopol", "True Semantic", IF($O914="RSRepair-A", "Evolutionary Search", IF($O914="SequenceR", "Deep Learning", IF($O914="SimFix", "Search Like Pattern", IF($O914="SketchFix", "True Pattern", IF($O914="SOFix", "True Pattern", IF($O914="ssFix", "Search Like Pattern", IF($O914="TBar", "True Pattern", ""))))))))))))))))))))</f>
        <v>Evolutionary Search</v>
      </c>
      <c r="Q914" s="13" t="str">
        <f>IF(NOT(ISERR(SEARCH("*_Buggy",$A914))), "Buggy", IF(NOT(ISERR(SEARCH("*_Fixed",$A914))), "Fixed", IF(NOT(ISERR(SEARCH("*_Repaired",$A914))), "Repaired", "")))</f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v>1</v>
      </c>
      <c r="W914" s="13" t="str">
        <f>MID(A914, SEARCH("_", A914) +1, SEARCH("_", A914, SEARCH("_", A914) +1) - SEARCH("_", A914) -1)</f>
        <v>Lang-16</v>
      </c>
    </row>
    <row r="915" spans="1:23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>LEFT($A915,FIND("_",$A915)-1)</f>
        <v>RSRepair-A</v>
      </c>
      <c r="P915" s="13" t="str">
        <f>IF($O915="ACS", "True Search", IF($O915="Arja", "Evolutionary Search", IF($O915="AVATAR", "True Pattern", IF($O915="CapGen", "Search Like Pattern", IF($O915="Cardumen", "True Semantic", IF($O915="DynaMoth", "True Semantic", IF($O915="FixMiner", "True Pattern", IF($O915="GenProg-A", "Evolutionary Search", IF($O915="Hercules", "Learning Pattern", IF($O915="Jaid", "True Semantic",
IF($O915="Kali-A", "True Search", IF($O915="kPAR", "True Pattern", IF($O915="Nopol", "True Semantic", IF($O915="RSRepair-A", "Evolutionary Search", IF($O915="SequenceR", "Deep Learning", IF($O915="SimFix", "Search Like Pattern", IF($O915="SketchFix", "True Pattern", IF($O915="SOFix", "True Pattern", IF($O915="ssFix", "Search Like Pattern", IF($O915="TBar", "True Pattern", ""))))))))))))))))))))</f>
        <v>Evolutionary Search</v>
      </c>
      <c r="Q915" s="13" t="str">
        <f>IF(NOT(ISERR(SEARCH("*_Buggy",$A915))), "Buggy", IF(NOT(ISERR(SEARCH("*_Fixed",$A915))), "Fixed", IF(NOT(ISERR(SEARCH("*_Repaired",$A915))), "Repaired", "")))</f>
        <v>Fixed</v>
      </c>
      <c r="R915" s="13" t="s">
        <v>1669</v>
      </c>
      <c r="S915" s="25">
        <v>1</v>
      </c>
      <c r="T915" s="13">
        <v>1</v>
      </c>
      <c r="U915" s="25">
        <v>0</v>
      </c>
      <c r="V915" s="13">
        <v>1</v>
      </c>
      <c r="W915" s="13" t="str">
        <f>MID(A915, SEARCH("_", A915) +1, SEARCH("_", A915, SEARCH("_", A915) +1) - SEARCH("_", A915) -1)</f>
        <v>Lang-43</v>
      </c>
    </row>
    <row r="916" spans="1:23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>LEFT($A916,FIND("_",$A916)-1)</f>
        <v>RSRepair-A</v>
      </c>
      <c r="P916" s="13" t="str">
        <f>IF($O916="ACS", "True Search", IF($O916="Arja", "Evolutionary Search", IF($O916="AVATAR", "True Pattern", IF($O916="CapGen", "Search Like Pattern", IF($O916="Cardumen", "True Semantic", IF($O916="DynaMoth", "True Semantic", IF($O916="FixMiner", "True Pattern", IF($O916="GenProg-A", "Evolutionary Search", IF($O916="Hercules", "Learning Pattern", IF($O916="Jaid", "True Semantic",
IF($O916="Kali-A", "True Search", IF($O916="kPAR", "True Pattern", IF($O916="Nopol", "True Semantic", IF($O916="RSRepair-A", "Evolutionary Search", IF($O916="SequenceR", "Deep Learning", IF($O916="SimFix", "Search Like Pattern", IF($O916="SketchFix", "True Pattern", IF($O916="SOFix", "True Pattern", IF($O916="ssFix", "Search Like Pattern", IF($O916="TBar", "True Pattern", ""))))))))))))))))))))</f>
        <v>Evolutionary Search</v>
      </c>
      <c r="Q916" s="13" t="str">
        <f>IF(NOT(ISERR(SEARCH("*_Buggy",$A916))), "Buggy", IF(NOT(ISERR(SEARCH("*_Fixed",$A916))), "Fixed", IF(NOT(ISERR(SEARCH("*_Repaired",$A916))), "Repaired", "")))</f>
        <v>Fixed</v>
      </c>
      <c r="R916" s="13" t="s">
        <v>1668</v>
      </c>
      <c r="S916" s="25">
        <v>9</v>
      </c>
      <c r="T916" s="25">
        <v>10</v>
      </c>
      <c r="U916" s="25">
        <v>7</v>
      </c>
      <c r="V916" s="13">
        <v>10</v>
      </c>
      <c r="W916" s="13" t="str">
        <f>MID(A916, SEARCH("_", A916) +1, SEARCH("_", A916, SEARCH("_", A916) +1) - SEARCH("_", A916) -1)</f>
        <v>Lang-46</v>
      </c>
    </row>
    <row r="917" spans="1:23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>LEFT($A917,FIND("_",$A917)-1)</f>
        <v>RSRepair-A</v>
      </c>
      <c r="P917" s="13" t="str">
        <f>IF($O917="ACS", "True Search", IF($O917="Arja", "Evolutionary Search", IF($O917="AVATAR", "True Pattern", IF($O917="CapGen", "Search Like Pattern", IF($O917="Cardumen", "True Semantic", IF($O917="DynaMoth", "True Semantic", IF($O917="FixMiner", "True Pattern", IF($O917="GenProg-A", "Evolutionary Search", IF($O917="Hercules", "Learning Pattern", IF($O917="Jaid", "True Semantic",
IF($O917="Kali-A", "True Search", IF($O917="kPAR", "True Pattern", IF($O917="Nopol", "True Semantic", IF($O917="RSRepair-A", "Evolutionary Search", IF($O917="SequenceR", "Deep Learning", IF($O917="SimFix", "Search Like Pattern", IF($O917="SketchFix", "True Pattern", IF($O917="SOFix", "True Pattern", IF($O917="ssFix", "Search Like Pattern", IF($O917="TBar", "True Pattern", ""))))))))))))))))))))</f>
        <v>Evolutionary Search</v>
      </c>
      <c r="Q917" s="13" t="str">
        <f>IF(NOT(ISERR(SEARCH("*_Buggy",$A917))), "Buggy", IF(NOT(ISERR(SEARCH("*_Fixed",$A917))), "Fixed", IF(NOT(ISERR(SEARCH("*_Repaired",$A917))), "Repaired", "")))</f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v>1</v>
      </c>
      <c r="W917" s="13" t="str">
        <f>MID(A917, SEARCH("_", A917) +1, SEARCH("_", A917, SEARCH("_", A917) +1) - SEARCH("_", A917) -1)</f>
        <v>Lang-59</v>
      </c>
    </row>
    <row r="918" spans="1:23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>LEFT($A918,FIND("_",$A918)-1)</f>
        <v>RSRepair-A</v>
      </c>
      <c r="P918" s="13" t="str">
        <f>IF($O918="ACS", "True Search", IF($O918="Arja", "Evolutionary Search", IF($O918="AVATAR", "True Pattern", IF($O918="CapGen", "Search Like Pattern", IF($O918="Cardumen", "True Semantic", IF($O918="DynaMoth", "True Semantic", IF($O918="FixMiner", "True Pattern", IF($O918="GenProg-A", "Evolutionary Search", IF($O918="Hercules", "Learning Pattern", IF($O918="Jaid", "True Semantic",
IF($O918="Kali-A", "True Search", IF($O918="kPAR", "True Pattern", IF($O918="Nopol", "True Semantic", IF($O918="RSRepair-A", "Evolutionary Search", IF($O918="SequenceR", "Deep Learning", IF($O918="SimFix", "Search Like Pattern", IF($O918="SketchFix", "True Pattern", IF($O918="SOFix", "True Pattern", IF($O918="ssFix", "Search Like Pattern", IF($O918="TBar", "True Pattern", ""))))))))))))))))))))</f>
        <v>Evolutionary Search</v>
      </c>
      <c r="Q918" s="13" t="str">
        <f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3</v>
      </c>
      <c r="U918" s="25">
        <v>20</v>
      </c>
      <c r="V918" s="13">
        <v>22</v>
      </c>
      <c r="W918" s="13" t="str">
        <f>MID(A918, SEARCH("_", A918) +1, SEARCH("_", A918, SEARCH("_", A918) +1) - SEARCH("_", A918) -1)</f>
        <v>Lang-63</v>
      </c>
    </row>
    <row r="919" spans="1:23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>LEFT($A919,FIND("_",$A919)-1)</f>
        <v>RSRepair-A</v>
      </c>
      <c r="P919" s="13" t="str">
        <f>IF($O919="ACS", "True Search", IF($O919="Arja", "Evolutionary Search", IF($O919="AVATAR", "True Pattern", IF($O919="CapGen", "Search Like Pattern", IF($O919="Cardumen", "True Semantic", IF($O919="DynaMoth", "True Semantic", IF($O919="FixMiner", "True Pattern", IF($O919="GenProg-A", "Evolutionary Search", IF($O919="Hercules", "Learning Pattern", IF($O919="Jaid", "True Semantic",
IF($O919="Kali-A", "True Search", IF($O919="kPAR", "True Pattern", IF($O919="Nopol", "True Semantic", IF($O919="RSRepair-A", "Evolutionary Search", IF($O919="SequenceR", "Deep Learning", IF($O919="SimFix", "Search Like Pattern", IF($O919="SketchFix", "True Pattern", IF($O919="SOFix", "True Pattern", IF($O919="ssFix", "Search Like Pattern", IF($O919="TBar", "True Pattern", ""))))))))))))))))))))</f>
        <v>Evolutionary Search</v>
      </c>
      <c r="Q919" s="13" t="str">
        <f>IF(NOT(ISERR(SEARCH("*_Buggy",$A919))), "Buggy", IF(NOT(ISERR(SEARCH("*_Fixed",$A919))), "Fixed", IF(NOT(ISERR(SEARCH("*_Repaired",$A919))), "Repaired", "")))</f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v>6</v>
      </c>
      <c r="W919" s="13" t="str">
        <f>MID(A919, SEARCH("_", A919) +1, SEARCH("_", A919, SEARCH("_", A919) +1) - SEARCH("_", A919) -1)</f>
        <v>Lang-7</v>
      </c>
    </row>
    <row r="920" spans="1:23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>LEFT($A920,FIND("_",$A920)-1)</f>
        <v>RSRepair-A</v>
      </c>
      <c r="P920" s="13" t="str">
        <f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>IF(NOT(ISERR(SEARCH("*_Buggy",$A920))), "Buggy", IF(NOT(ISERR(SEARCH("*_Fixed",$A920))), "Fixed", IF(NOT(ISERR(SEARCH("*_Repaired",$A920))), "Repaired", "")))</f>
        <v>Fixed</v>
      </c>
      <c r="R920" s="13" t="s">
        <v>1669</v>
      </c>
      <c r="S920" s="25">
        <v>4</v>
      </c>
      <c r="T920" s="13">
        <v>4</v>
      </c>
      <c r="U920" s="25">
        <v>0</v>
      </c>
      <c r="V920" s="13">
        <v>4</v>
      </c>
      <c r="W920" s="13" t="str">
        <f>MID(A920, SEARCH("_", A920) +1, SEARCH("_", A920, SEARCH("_", A920) +1) - SEARCH("_", A920) -1)</f>
        <v>Math-28</v>
      </c>
    </row>
    <row r="921" spans="1:23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>LEFT($A921,FIND("_",$A921)-1)</f>
        <v>RSRepair-A</v>
      </c>
      <c r="P921" s="13" t="str">
        <f>IF($O921="ACS", "True Search", IF($O921="Arja", "Evolutionary Search", IF($O921="AVATAR", "True Pattern", IF($O921="CapGen", "Search Like Pattern", IF($O921="Cardumen", "True Semantic", IF($O921="DynaMoth", "True Semantic", IF($O921="FixMiner", "True Pattern", IF($O921="GenProg-A", "Evolutionary Search", IF($O921="Hercules", "Learning Pattern", IF($O921="Jaid", "True Semantic",
IF($O921="Kali-A", "True Search", IF($O921="kPAR", "True Pattern", IF($O921="Nopol", "True Semantic", IF($O921="RSRepair-A", "Evolutionary Search", IF($O921="SequenceR", "Deep Learning", IF($O921="SimFix", "Search Like Pattern", IF($O921="SketchFix", "True Pattern", IF($O921="SOFix", "True Pattern", IF($O921="ssFix", "Search Like Pattern", IF($O921="TBar", "True Pattern", ""))))))))))))))))))))</f>
        <v>Evolutionary Search</v>
      </c>
      <c r="Q921" s="13" t="str">
        <f>IF(NOT(ISERR(SEARCH("*_Buggy",$A921))), "Buggy", IF(NOT(ISERR(SEARCH("*_Fixed",$A921))), "Fixed", IF(NOT(ISERR(SEARCH("*_Repaired",$A921))), "Repaired", "")))</f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v>1</v>
      </c>
      <c r="W921" s="13" t="str">
        <f>MID(A921, SEARCH("_", A921) +1, SEARCH("_", A921, SEARCH("_", A921) +1) - SEARCH("_", A921) -1)</f>
        <v>Math-33</v>
      </c>
    </row>
    <row r="922" spans="1:23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>LEFT($A922,FIND("_",$A922)-1)</f>
        <v>RSRepair-A</v>
      </c>
      <c r="P922" s="13" t="str">
        <f>IF($O922="ACS", "True Search", IF($O922="Arja", "Evolutionary Search", IF($O922="AVATAR", "True Pattern", IF($O922="CapGen", "Search Like Pattern", IF($O922="Cardumen", "True Semantic", IF($O922="DynaMoth", "True Semantic", IF($O922="FixMiner", "True Pattern", IF($O922="GenProg-A", "Evolutionary Search", IF($O922="Hercules", "Learning Pattern", IF($O922="Jaid", "True Semantic",
IF($O922="Kali-A", "True Search", IF($O922="kPAR", "True Pattern", IF($O922="Nopol", "True Semantic", IF($O922="RSRepair-A", "Evolutionary Search", IF($O922="SequenceR", "Deep Learning", IF($O922="SimFix", "Search Like Pattern", IF($O922="SketchFix", "True Pattern", IF($O922="SOFix", "True Pattern", IF($O922="ssFix", "Search Like Pattern", IF($O922="TBar", "True Pattern", ""))))))))))))))))))))</f>
        <v>Evolutionary Search</v>
      </c>
      <c r="Q922" s="13" t="str">
        <f>IF(NOT(ISERR(SEARCH("*_Buggy",$A922))), "Buggy", IF(NOT(ISERR(SEARCH("*_Fixed",$A922))), "Fixed", IF(NOT(ISERR(SEARCH("*_Repaired",$A922))), "Repaired", "")))</f>
        <v>Fixed</v>
      </c>
      <c r="R922" s="13" t="s">
        <v>1669</v>
      </c>
      <c r="S922" s="25">
        <v>2</v>
      </c>
      <c r="T922" s="25">
        <v>8</v>
      </c>
      <c r="U922" s="25">
        <v>2</v>
      </c>
      <c r="V922" s="13">
        <v>8</v>
      </c>
      <c r="W922" s="13" t="str">
        <f>MID(A922, SEARCH("_", A922) +1, SEARCH("_", A922, SEARCH("_", A922) +1) - SEARCH("_", A922) -1)</f>
        <v>Math-40</v>
      </c>
    </row>
    <row r="923" spans="1:23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>LEFT($A923,FIND("_",$A923)-1)</f>
        <v>RSRepair-A</v>
      </c>
      <c r="P923" s="13" t="str">
        <f>IF($O923="ACS", "True Search", IF($O923="Arja", "Evolutionary Search", IF($O923="AVATAR", "True Pattern", IF($O923="CapGen", "Search Like Pattern", IF($O923="Cardumen", "True Semantic", IF($O923="DynaMoth", "True Semantic", IF($O923="FixMiner", "True Pattern", IF($O923="GenProg-A", "Evolutionary Search", IF($O923="Hercules", "Learning Pattern", IF($O923="Jaid", "True Semantic",
IF($O923="Kali-A", "True Search", IF($O923="kPAR", "True Pattern", IF($O923="Nopol", "True Semantic", IF($O923="RSRepair-A", "Evolutionary Search", IF($O923="SequenceR", "Deep Learning", IF($O923="SimFix", "Search Like Pattern", IF($O923="SketchFix", "True Pattern", IF($O923="SOFix", "True Pattern", IF($O923="ssFix", "Search Like Pattern", IF($O923="TBar", "True Pattern", ""))))))))))))))))))))</f>
        <v>Evolutionary Search</v>
      </c>
      <c r="Q923" s="13" t="str">
        <f>IF(NOT(ISERR(SEARCH("*_Buggy",$A923))), "Buggy", IF(NOT(ISERR(SEARCH("*_Fixed",$A923))), "Fixed", IF(NOT(ISERR(SEARCH("*_Repaired",$A923))), "Repaired", "")))</f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v>1</v>
      </c>
      <c r="W923" s="13" t="str">
        <f>MID(A923, SEARCH("_", A923) +1, SEARCH("_", A923, SEARCH("_", A923) +1) - SEARCH("_", A923) -1)</f>
        <v>Math-5</v>
      </c>
    </row>
    <row r="924" spans="1:23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>LEFT($A924,FIND("_",$A924)-1)</f>
        <v>RSRepair-A</v>
      </c>
      <c r="P924" s="13" t="str">
        <f>IF($O924="ACS", "True Search", IF($O924="Arja", "Evolutionary Search", IF($O924="AVATAR", "True Pattern", IF($O924="CapGen", "Search Like Pattern", IF($O924="Cardumen", "True Semantic", IF($O924="DynaMoth", "True Semantic", IF($O924="FixMiner", "True Pattern", IF($O924="GenProg-A", "Evolutionary Search", IF($O924="Hercules", "Learning Pattern", IF($O924="Jaid", "True Semantic",
IF($O924="Kali-A", "True Search", IF($O924="kPAR", "True Pattern", IF($O924="Nopol", "True Semantic", IF($O924="RSRepair-A", "Evolutionary Search", IF($O924="SequenceR", "Deep Learning", IF($O924="SimFix", "Search Like Pattern", IF($O924="SketchFix", "True Pattern", IF($O924="SOFix", "True Pattern", IF($O924="ssFix", "Search Like Pattern", IF($O924="TBar", "True Pattern", ""))))))))))))))))))))</f>
        <v>Evolutionary Search</v>
      </c>
      <c r="Q924" s="13" t="str">
        <f>IF(NOT(ISERR(SEARCH("*_Buggy",$A924))), "Buggy", IF(NOT(ISERR(SEARCH("*_Fixed",$A924))), "Fixed", IF(NOT(ISERR(SEARCH("*_Repaired",$A924))), "Repaired", "")))</f>
        <v>Fixed</v>
      </c>
      <c r="R924" s="13" t="s">
        <v>1668</v>
      </c>
      <c r="S924" s="25">
        <v>1</v>
      </c>
      <c r="T924" s="25">
        <v>0</v>
      </c>
      <c r="U924" s="13">
        <v>4</v>
      </c>
      <c r="V924" s="13">
        <v>4</v>
      </c>
      <c r="W924" s="13" t="str">
        <f>MID(A924, SEARCH("_", A924) +1, SEARCH("_", A924, SEARCH("_", A924) +1) - SEARCH("_", A924) -1)</f>
        <v>Math-50</v>
      </c>
    </row>
    <row r="925" spans="1:23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>LEFT($A925,FIND("_",$A925)-1)</f>
        <v>RSRepair-A</v>
      </c>
      <c r="P925" s="13" t="str">
        <f>IF($O925="ACS", "True Search", IF($O925="Arja", "Evolutionary Search", IF($O925="AVATAR", "True Pattern", IF($O925="CapGen", "Search Like Pattern", IF($O925="Cardumen", "True Semantic", IF($O925="DynaMoth", "True Semantic", IF($O925="FixMiner", "True Pattern", IF($O925="GenProg-A", "Evolutionary Search", IF($O925="Hercules", "Learning Pattern", IF($O925="Jaid", "True Semantic",
IF($O925="Kali-A", "True Search", IF($O925="kPAR", "True Pattern", IF($O925="Nopol", "True Semantic", IF($O925="RSRepair-A", "Evolutionary Search", IF($O925="SequenceR", "Deep Learning", IF($O925="SimFix", "Search Like Pattern", IF($O925="SketchFix", "True Pattern", IF($O925="SOFix", "True Pattern", IF($O925="ssFix", "Search Like Pattern", IF($O925="TBar", "True Pattern", ""))))))))))))))))))))</f>
        <v>Evolutionary Search</v>
      </c>
      <c r="Q925" s="13" t="str">
        <f>IF(NOT(ISERR(SEARCH("*_Buggy",$A925))), "Buggy", IF(NOT(ISERR(SEARCH("*_Fixed",$A925))), "Fixed", IF(NOT(ISERR(SEARCH("*_Repaired",$A925))), "Repaired", "")))</f>
        <v>Fixed</v>
      </c>
      <c r="R925" s="13" t="s">
        <v>1669</v>
      </c>
      <c r="S925" s="25">
        <v>1</v>
      </c>
      <c r="T925" s="13">
        <v>3</v>
      </c>
      <c r="U925" s="25">
        <v>0</v>
      </c>
      <c r="V925" s="13">
        <v>3</v>
      </c>
      <c r="W925" s="13" t="str">
        <f>MID(A925, SEARCH("_", A925) +1, SEARCH("_", A925, SEARCH("_", A925) +1) - SEARCH("_", A925) -1)</f>
        <v>Math-53</v>
      </c>
    </row>
    <row r="926" spans="1:23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>LEFT($A926,FIND("_",$A926)-1)</f>
        <v>RSRepair-A</v>
      </c>
      <c r="P926" s="13" t="str">
        <f>IF($O926="ACS", "True Search", IF($O926="Arja", "Evolutionary Search", IF($O926="AVATAR", "True Pattern", IF($O926="CapGen", "Search Like Pattern", IF($O926="Cardumen", "True Semantic", IF($O926="DynaMoth", "True Semantic", IF($O926="FixMiner", "True Pattern", IF($O926="GenProg-A", "Evolutionary Search", IF($O926="Hercules", "Learning Pattern", IF($O926="Jaid", "True Semantic",
IF($O926="Kali-A", "True Search", IF($O926="kPAR", "True Pattern", IF($O926="Nopol", "True Semantic", IF($O926="RSRepair-A", "Evolutionary Search", IF($O926="SequenceR", "Deep Learning", IF($O926="SimFix", "Search Like Pattern", IF($O926="SketchFix", "True Pattern", IF($O926="SOFix", "True Pattern", IF($O926="ssFix", "Search Like Pattern", IF($O926="TBar", "True Pattern", ""))))))))))))))))))))</f>
        <v>Evolutionary Search</v>
      </c>
      <c r="Q926" s="13" t="str">
        <f>IF(NOT(ISERR(SEARCH("*_Buggy",$A926))), "Buggy", IF(NOT(ISERR(SEARCH("*_Fixed",$A926))), "Fixed", IF(NOT(ISERR(SEARCH("*_Repaired",$A926))), "Repaired", "")))</f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v>1</v>
      </c>
      <c r="W926" s="13" t="str">
        <f>MID(A926, SEARCH("_", A926) +1, SEARCH("_", A926, SEARCH("_", A926) +1) - SEARCH("_", A926) -1)</f>
        <v>Math-58</v>
      </c>
    </row>
    <row r="927" spans="1:23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>LEFT($A927,FIND("_",$A927)-1)</f>
        <v>RSRepair-A</v>
      </c>
      <c r="P927" s="13" t="str">
        <f>IF($O927="ACS", "True Search", IF($O927="Arja", "Evolutionary Search", IF($O927="AVATAR", "True Pattern", IF($O927="CapGen", "Search Like Pattern", IF($O927="Cardumen", "True Semantic", IF($O927="DynaMoth", "True Semantic", IF($O927="FixMiner", "True Pattern", IF($O927="GenProg-A", "Evolutionary Search", IF($O927="Hercules", "Learning Pattern", IF($O927="Jaid", "True Semantic",
IF($O927="Kali-A", "True Search", IF($O927="kPAR", "True Pattern", IF($O927="Nopol", "True Semantic", IF($O927="RSRepair-A", "Evolutionary Search", IF($O927="SequenceR", "Deep Learning", IF($O927="SimFix", "Search Like Pattern", IF($O927="SketchFix", "True Pattern", IF($O927="SOFix", "True Pattern", IF($O927="ssFix", "Search Like Pattern", IF($O927="TBar", "True Pattern", ""))))))))))))))))))))</f>
        <v>Evolutionary Search</v>
      </c>
      <c r="Q927" s="13" t="str">
        <f>IF(NOT(ISERR(SEARCH("*_Buggy",$A927))), "Buggy", IF(NOT(ISERR(SEARCH("*_Fixed",$A927))), "Fixed", IF(NOT(ISERR(SEARCH("*_Repaired",$A927))), "Repaired", "")))</f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v>1</v>
      </c>
      <c r="W927" s="13" t="str">
        <f>MID(A927, SEARCH("_", A927) +1, SEARCH("_", A927, SEARCH("_", A927) +1) - SEARCH("_", A927) -1)</f>
        <v>Math-70</v>
      </c>
    </row>
    <row r="928" spans="1:23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>LEFT($A928,FIND("_",$A928)-1)</f>
        <v>RSRepair-A</v>
      </c>
      <c r="P928" s="13" t="str">
        <f>IF($O928="ACS", "True Search", IF($O928="Arja", "Evolutionary Search", IF($O928="AVATAR", "True Pattern", IF($O928="CapGen", "Search Like Pattern", IF($O928="Cardumen", "True Semantic", IF($O928="DynaMoth", "True Semantic", IF($O928="FixMiner", "True Pattern", IF($O928="GenProg-A", "Evolutionary Search", IF($O928="Hercules", "Learning Pattern", IF($O928="Jaid", "True Semantic",
IF($O928="Kali-A", "True Search", IF($O928="kPAR", "True Pattern", IF($O928="Nopol", "True Semantic", IF($O928="RSRepair-A", "Evolutionary Search", IF($O928="SequenceR", "Deep Learning", IF($O928="SimFix", "Search Like Pattern", IF($O928="SketchFix", "True Pattern", IF($O928="SOFix", "True Pattern", IF($O928="ssFix", "Search Like Pattern", IF($O928="TBar", "True Pattern", ""))))))))))))))))))))</f>
        <v>Evolutionary Search</v>
      </c>
      <c r="Q928" s="13" t="str">
        <f>IF(NOT(ISERR(SEARCH("*_Buggy",$A928))), "Buggy", IF(NOT(ISERR(SEARCH("*_Fixed",$A928))), "Fixed", IF(NOT(ISERR(SEARCH("*_Repaired",$A928))), "Repaired", "")))</f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v>1</v>
      </c>
      <c r="W928" s="13" t="str">
        <f>MID(A928, SEARCH("_", A928) +1, SEARCH("_", A928, SEARCH("_", A928) +1) - SEARCH("_", A928) -1)</f>
        <v>Math-80</v>
      </c>
    </row>
    <row r="929" spans="1:23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>LEFT($A929,FIND("_",$A929)-1)</f>
        <v>RSRepair-A</v>
      </c>
      <c r="P929" s="13" t="str">
        <f>IF($O929="ACS", "True Search", IF($O929="Arja", "Evolutionary Search", IF($O929="AVATAR", "True Pattern", IF($O929="CapGen", "Search Like Pattern", IF($O929="Cardumen", "True Semantic", IF($O929="DynaMoth", "True Semantic", IF($O929="FixMiner", "True Pattern", IF($O929="GenProg-A", "Evolutionary Search", IF($O929="Hercules", "Learning Pattern", IF($O929="Jaid", "True Semantic",
IF($O929="Kali-A", "True Search", IF($O929="kPAR", "True Pattern", IF($O929="Nopol", "True Semantic", IF($O929="RSRepair-A", "Evolutionary Search", IF($O929="SequenceR", "Deep Learning", IF($O929="SimFix", "Search Like Pattern", IF($O929="SketchFix", "True Pattern", IF($O929="SOFix", "True Pattern", IF($O929="ssFix", "Search Like Pattern", IF($O929="TBar", "True Pattern", ""))))))))))))))))))))</f>
        <v>Evolutionary Search</v>
      </c>
      <c r="Q929" s="13" t="str">
        <f>IF(NOT(ISERR(SEARCH("*_Buggy",$A929))), "Buggy", IF(NOT(ISERR(SEARCH("*_Fixed",$A929))), "Fixed", IF(NOT(ISERR(SEARCH("*_Repaired",$A929))), "Repaired", "")))</f>
        <v>Fixed</v>
      </c>
      <c r="R929" s="13" t="s">
        <v>1669</v>
      </c>
      <c r="S929" s="25">
        <v>3</v>
      </c>
      <c r="T929" s="25">
        <v>4</v>
      </c>
      <c r="U929" s="25">
        <v>3</v>
      </c>
      <c r="V929" s="13">
        <v>4</v>
      </c>
      <c r="W929" s="13" t="str">
        <f>MID(A929, SEARCH("_", A929) +1, SEARCH("_", A929, SEARCH("_", A929) +1) - SEARCH("_", A929) -1)</f>
        <v>Math-81</v>
      </c>
    </row>
    <row r="930" spans="1:23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>LEFT($A930,FIND("_",$A930)-1)</f>
        <v>RSRepair-A</v>
      </c>
      <c r="P930" s="13" t="str">
        <f>IF($O930="ACS", "True Search", IF($O930="Arja", "Evolutionary Search", IF($O930="AVATAR", "True Pattern", IF($O930="CapGen", "Search Like Pattern", IF($O930="Cardumen", "True Semantic", IF($O930="DynaMoth", "True Semantic", IF($O930="FixMiner", "True Pattern", IF($O930="GenProg-A", "Evolutionary Search", IF($O930="Hercules", "Learning Pattern", IF($O930="Jaid", "True Semantic",
IF($O930="Kali-A", "True Search", IF($O930="kPAR", "True Pattern", IF($O930="Nopol", "True Semantic", IF($O930="RSRepair-A", "Evolutionary Search", IF($O930="SequenceR", "Deep Learning", IF($O930="SimFix", "Search Like Pattern", IF($O930="SketchFix", "True Pattern", IF($O930="SOFix", "True Pattern", IF($O930="ssFix", "Search Like Pattern", IF($O930="TBar", "True Pattern", ""))))))))))))))))))))</f>
        <v>Evolutionary Search</v>
      </c>
      <c r="Q930" s="13" t="str">
        <f>IF(NOT(ISERR(SEARCH("*_Buggy",$A930))), "Buggy", IF(NOT(ISERR(SEARCH("*_Fixed",$A930))), "Fixed", IF(NOT(ISERR(SEARCH("*_Repaired",$A930))), "Repaired", "")))</f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v>1</v>
      </c>
      <c r="W930" s="13" t="str">
        <f>MID(A930, SEARCH("_", A930) +1, SEARCH("_", A930, SEARCH("_", A930) +1) - SEARCH("_", A930) -1)</f>
        <v>Math-82</v>
      </c>
    </row>
    <row r="931" spans="1:23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>LEFT($A931,FIND("_",$A931)-1)</f>
        <v>RSRepair-A</v>
      </c>
      <c r="P931" s="13" t="str">
        <f>IF($O931="ACS", "True Search", IF($O931="Arja", "Evolutionary Search", IF($O931="AVATAR", "True Pattern", IF($O931="CapGen", "Search Like Pattern", IF($O931="Cardumen", "True Semantic", IF($O931="DynaMoth", "True Semantic", IF($O931="FixMiner", "True Pattern", IF($O931="GenProg-A", "Evolutionary Search", IF($O931="Hercules", "Learning Pattern", IF($O931="Jaid", "True Semantic",
IF($O931="Kali-A", "True Search", IF($O931="kPAR", "True Pattern", IF($O931="Nopol", "True Semantic", IF($O931="RSRepair-A", "Evolutionary Search", IF($O931="SequenceR", "Deep Learning", IF($O931="SimFix", "Search Like Pattern", IF($O931="SketchFix", "True Pattern", IF($O931="SOFix", "True Pattern", IF($O931="ssFix", "Search Like Pattern", IF($O931="TBar", "True Pattern", ""))))))))))))))))))))</f>
        <v>Evolutionary Search</v>
      </c>
      <c r="Q931" s="13" t="str">
        <f>IF(NOT(ISERR(SEARCH("*_Buggy",$A931))), "Buggy", IF(NOT(ISERR(SEARCH("*_Fixed",$A931))), "Fixed", IF(NOT(ISERR(SEARCH("*_Repaired",$A931))), "Repaired", "")))</f>
        <v>Fixed</v>
      </c>
      <c r="R931" s="13" t="s">
        <v>1669</v>
      </c>
      <c r="S931" s="25">
        <v>3</v>
      </c>
      <c r="T931" s="13">
        <v>9</v>
      </c>
      <c r="U931" s="25">
        <v>0</v>
      </c>
      <c r="V931" s="13">
        <v>9</v>
      </c>
      <c r="W931" s="13" t="str">
        <f>MID(A931, SEARCH("_", A931) +1, SEARCH("_", A931, SEARCH("_", A931) +1) - SEARCH("_", A931) -1)</f>
        <v>Math-84</v>
      </c>
    </row>
    <row r="932" spans="1:23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>LEFT($A932,FIND("_",$A932)-1)</f>
        <v>RSRepair-A</v>
      </c>
      <c r="P932" s="13" t="str">
        <f>IF($O932="ACS", "True Search", IF($O932="Arja", "Evolutionary Search", IF($O932="AVATAR", "True Pattern", IF($O932="CapGen", "Search Like Pattern", IF($O932="Cardumen", "True Semantic", IF($O932="DynaMoth", "True Semantic", IF($O932="FixMiner", "True Pattern", IF($O932="GenProg-A", "Evolutionary Search", IF($O932="Hercules", "Learning Pattern", IF($O932="Jaid", "True Semantic",
IF($O932="Kali-A", "True Search", IF($O932="kPAR", "True Pattern", IF($O932="Nopol", "True Semantic", IF($O932="RSRepair-A", "Evolutionary Search", IF($O932="SequenceR", "Deep Learning", IF($O932="SimFix", "Search Like Pattern", IF($O932="SketchFix", "True Pattern", IF($O932="SOFix", "True Pattern", IF($O932="ssFix", "Search Like Pattern", IF($O932="TBar", "True Pattern", ""))))))))))))))))))))</f>
        <v>Evolutionary Search</v>
      </c>
      <c r="Q932" s="13" t="str">
        <f>IF(NOT(ISERR(SEARCH("*_Buggy",$A932))), "Buggy", IF(NOT(ISERR(SEARCH("*_Fixed",$A932))), "Fixed", IF(NOT(ISERR(SEARCH("*_Repaired",$A932))), "Repaired", "")))</f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v>1</v>
      </c>
      <c r="W932" s="13" t="str">
        <f>MID(A932, SEARCH("_", A932) +1, SEARCH("_", A932, SEARCH("_", A932) +1) - SEARCH("_", A932) -1)</f>
        <v>Math-85</v>
      </c>
    </row>
    <row r="933" spans="1:23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>LEFT($A933,FIND("_",$A933)-1)</f>
        <v>RSRepair-A</v>
      </c>
      <c r="P933" s="13" t="str">
        <f>IF($O933="ACS", "True Search", IF($O933="Arja", "Evolutionary Search", IF($O933="AVATAR", "True Pattern", IF($O933="CapGen", "Search Like Pattern", IF($O933="Cardumen", "True Semantic", IF($O933="DynaMoth", "True Semantic", IF($O933="FixMiner", "True Pattern", IF($O933="GenProg-A", "Evolutionary Search", IF($O933="Hercules", "Learning Pattern", IF($O933="Jaid", "True Semantic",
IF($O933="Kali-A", "True Search", IF($O933="kPAR", "True Pattern", IF($O933="Nopol", "True Semantic", IF($O933="RSRepair-A", "Evolutionary Search", IF($O933="SequenceR", "Deep Learning", IF($O933="SimFix", "Search Like Pattern", IF($O933="SketchFix", "True Pattern", IF($O933="SOFix", "True Pattern", IF($O933="ssFix", "Search Like Pattern", IF($O933="TBar", "True Pattern", ""))))))))))))))))))))</f>
        <v>Evolutionary Search</v>
      </c>
      <c r="Q933" s="13" t="str">
        <f>IF(NOT(ISERR(SEARCH("*_Buggy",$A933))), "Buggy", IF(NOT(ISERR(SEARCH("*_Fixed",$A933))), "Fixed", IF(NOT(ISERR(SEARCH("*_Repaired",$A933))), "Repaired", "")))</f>
        <v>Fixed</v>
      </c>
      <c r="R933" s="13" t="s">
        <v>1669</v>
      </c>
      <c r="S933" s="25">
        <v>4</v>
      </c>
      <c r="T933" s="25">
        <v>5</v>
      </c>
      <c r="U933" s="25">
        <v>6</v>
      </c>
      <c r="V933" s="13">
        <v>11</v>
      </c>
      <c r="W933" s="13" t="str">
        <f>MID(A933, SEARCH("_", A933) +1, SEARCH("_", A933, SEARCH("_", A933) +1) - SEARCH("_", A933) -1)</f>
        <v>Math-88</v>
      </c>
    </row>
    <row r="934" spans="1:23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>LEFT($A934,FIND("_",$A934)-1)</f>
        <v>RSRepair-A</v>
      </c>
      <c r="P934" s="13" t="str">
        <f>IF($O934="ACS", "True Search", IF($O934="Arja", "Evolutionary Search", IF($O934="AVATAR", "True Pattern", IF($O934="CapGen", "Search Like Pattern", IF($O934="Cardumen", "True Semantic", IF($O934="DynaMoth", "True Semantic", IF($O934="FixMiner", "True Pattern", IF($O934="GenProg-A", "Evolutionary Search", IF($O934="Hercules", "Learning Pattern", IF($O934="Jaid", "True Semantic",
IF($O934="Kali-A", "True Search", IF($O934="kPAR", "True Pattern", IF($O934="Nopol", "True Semantic", IF($O934="RSRepair-A", "Evolutionary Search", IF($O934="SequenceR", "Deep Learning", IF($O934="SimFix", "Search Like Pattern", IF($O934="SketchFix", "True Pattern", IF($O934="SOFix", "True Pattern", IF($O934="ssFix", "Search Like Pattern", IF($O934="TBar", "True Pattern", ""))))))))))))))))))))</f>
        <v>Evolutionary Search</v>
      </c>
      <c r="Q934" s="13" t="str">
        <f>IF(NOT(ISERR(SEARCH("*_Buggy",$A934))), "Buggy", IF(NOT(ISERR(SEARCH("*_Fixed",$A934))), "Fixed", IF(NOT(ISERR(SEARCH("*_Repaired",$A934))), "Repaired", "")))</f>
        <v>Fixed</v>
      </c>
      <c r="R934" s="13" t="s">
        <v>1669</v>
      </c>
      <c r="S934" s="25">
        <v>3</v>
      </c>
      <c r="T934" s="25">
        <v>3</v>
      </c>
      <c r="U934" s="25">
        <v>1</v>
      </c>
      <c r="V934" s="13">
        <v>3</v>
      </c>
      <c r="W934" s="13" t="str">
        <f>MID(A934, SEARCH("_", A934) +1, SEARCH("_", A934, SEARCH("_", A934) +1) - SEARCH("_", A934) -1)</f>
        <v>Math-95</v>
      </c>
    </row>
    <row r="935" spans="1:23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>LEFT($A935,FIND("_",$A935)-1)</f>
        <v>SimFix</v>
      </c>
      <c r="P935" s="13" t="str">
        <f>IF($O935="ACS", "True Search", IF($O935="Arja", "Evolutionary Search", IF($O935="AVATAR", "True Pattern", IF($O935="CapGen", "Search Like Pattern", IF($O935="Cardumen", "True Semantic", IF($O935="DynaMoth", "True Semantic", IF($O935="FixMiner", "True Pattern", IF($O935="GenProg-A", "Evolutionary Search", IF($O935="Hercules", "Learning Pattern", IF($O935="Jaid", "True Semantic",
IF($O935="Kali-A", "True Search", IF($O935="kPAR", "True Pattern", IF($O935="Nopol", "True Semantic", IF($O935="RSRepair-A", "Evolutionary Search", IF($O935="SequenceR", "Deep Learning", IF($O935="SimFix", "Search Like Pattern", IF($O935="SketchFix", "True Pattern", IF($O935="SOFix", "True Pattern", IF($O935="ssFix", "Search Like Pattern", IF($O935="TBar", "True Pattern", ""))))))))))))))))))))</f>
        <v>Search Like Pattern</v>
      </c>
      <c r="Q935" s="13" t="str">
        <f>IF(NOT(ISERR(SEARCH("*_Buggy",$A935))), "Buggy", IF(NOT(ISERR(SEARCH("*_Fixed",$A935))), "Fixed", IF(NOT(ISERR(SEARCH("*_Repaired",$A935))), "Repaired", "")))</f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v>1</v>
      </c>
      <c r="W935" s="13" t="str">
        <f>MID(A935, SEARCH("_", A935) +1, SEARCH("_", A935, SEARCH("_", A935) +1) - SEARCH("_", A935) -1)</f>
        <v>Chart-1</v>
      </c>
    </row>
    <row r="936" spans="1:23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>LEFT($A936,FIND("_",$A936)-1)</f>
        <v>SimFix</v>
      </c>
      <c r="P936" s="13" t="str">
        <f>IF($O936="ACS", "True Search", IF($O936="Arja", "Evolutionary Search", IF($O936="AVATAR", "True Pattern", IF($O936="CapGen", "Search Like Pattern", IF($O936="Cardumen", "True Semantic", IF($O936="DynaMoth", "True Semantic", IF($O936="FixMiner", "True Pattern", IF($O936="GenProg-A", "Evolutionary Search", IF($O936="Hercules", "Learning Pattern", IF($O936="Jaid", "True Semantic",
IF($O936="Kali-A", "True Search", IF($O936="kPAR", "True Pattern", IF($O936="Nopol", "True Semantic", IF($O936="RSRepair-A", "Evolutionary Search", IF($O936="SequenceR", "Deep Learning", IF($O936="SimFix", "Search Like Pattern", IF($O936="SketchFix", "True Pattern", IF($O936="SOFix", "True Pattern", IF($O936="ssFix", "Search Like Pattern", IF($O936="TBar", "True Pattern", ""))))))))))))))))))))</f>
        <v>Search Like Pattern</v>
      </c>
      <c r="Q936" s="13" t="str">
        <f>IF(NOT(ISERR(SEARCH("*_Buggy",$A936))), "Buggy", IF(NOT(ISERR(SEARCH("*_Fixed",$A936))), "Fixed", IF(NOT(ISERR(SEARCH("*_Repaired",$A936))), "Repaired", "")))</f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v>1</v>
      </c>
      <c r="W936" s="13" t="str">
        <f>MID(A936, SEARCH("_", A936) +1, SEARCH("_", A936, SEARCH("_", A936) +1) - SEARCH("_", A936) -1)</f>
        <v>Chart-12</v>
      </c>
    </row>
    <row r="937" spans="1:23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>LEFT($A937,FIND("_",$A937)-1)</f>
        <v>SimFix</v>
      </c>
      <c r="P937" s="13" t="str">
        <f>IF($O937="ACS", "True Search", IF($O937="Arja", "Evolutionary Search", IF($O937="AVATAR", "True Pattern", IF($O937="CapGen", "Search Like Pattern", IF($O937="Cardumen", "True Semantic", IF($O937="DynaMoth", "True Semantic", IF($O937="FixMiner", "True Pattern", IF($O937="GenProg-A", "Evolutionary Search", IF($O937="Hercules", "Learning Pattern", IF($O937="Jaid", "True Semantic",
IF($O937="Kali-A", "True Search", IF($O937="kPAR", "True Pattern", IF($O937="Nopol", "True Semantic", IF($O937="RSRepair-A", "Evolutionary Search", IF($O937="SequenceR", "Deep Learning", IF($O937="SimFix", "Search Like Pattern", IF($O937="SketchFix", "True Pattern", IF($O937="SOFix", "True Pattern", IF($O937="ssFix", "Search Like Pattern", IF($O937="TBar", "True Pattern", ""))))))))))))))))))))</f>
        <v>Search Like Pattern</v>
      </c>
      <c r="Q937" s="13" t="str">
        <f>IF(NOT(ISERR(SEARCH("*_Buggy",$A937))), "Buggy", IF(NOT(ISERR(SEARCH("*_Fixed",$A937))), "Fixed", IF(NOT(ISERR(SEARCH("*_Repaired",$A937))), "Repaired", "")))</f>
        <v>Fixed</v>
      </c>
      <c r="R937" s="13" t="s">
        <v>1669</v>
      </c>
      <c r="S937" s="25">
        <v>7</v>
      </c>
      <c r="T937" s="25">
        <v>32</v>
      </c>
      <c r="U937" s="25">
        <v>3</v>
      </c>
      <c r="V937" s="13">
        <v>33</v>
      </c>
      <c r="W937" s="13" t="str">
        <f>MID(A937, SEARCH("_", A937) +1, SEARCH("_", A937, SEARCH("_", A937) +1) - SEARCH("_", A937) -1)</f>
        <v>Chart-22</v>
      </c>
    </row>
    <row r="938" spans="1:23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>LEFT($A938,FIND("_",$A938)-1)</f>
        <v>SimFix</v>
      </c>
      <c r="P938" s="13" t="str">
        <f>IF($O938="ACS", "True Search", IF($O938="Arja", "Evolutionary Search", IF($O938="AVATAR", "True Pattern", IF($O938="CapGen", "Search Like Pattern", IF($O938="Cardumen", "True Semantic", IF($O938="DynaMoth", "True Semantic", IF($O938="FixMiner", "True Pattern", IF($O938="GenProg-A", "Evolutionary Search", IF($O938="Hercules", "Learning Pattern", IF($O938="Jaid", "True Semantic",
IF($O938="Kali-A", "True Search", IF($O938="kPAR", "True Pattern", IF($O938="Nopol", "True Semantic", IF($O938="RSRepair-A", "Evolutionary Search", IF($O938="SequenceR", "Deep Learning", IF($O938="SimFix", "Search Like Pattern", IF($O938="SketchFix", "True Pattern", IF($O938="SOFix", "True Pattern", IF($O938="ssFix", "Search Like Pattern", IF($O938="TBar", "True Pattern", ""))))))))))))))))))))</f>
        <v>Search Like Pattern</v>
      </c>
      <c r="Q938" s="13" t="str">
        <f>IF(NOT(ISERR(SEARCH("*_Buggy",$A938))), "Buggy", IF(NOT(ISERR(SEARCH("*_Fixed",$A938))), "Fixed", IF(NOT(ISERR(SEARCH("*_Repaired",$A938))), "Repaired", "")))</f>
        <v>Fixed</v>
      </c>
      <c r="R938" s="13" t="s">
        <v>1669</v>
      </c>
      <c r="S938" s="25">
        <v>6</v>
      </c>
      <c r="T938" s="25">
        <v>14</v>
      </c>
      <c r="U938" s="25">
        <v>2</v>
      </c>
      <c r="V938" s="13">
        <v>14</v>
      </c>
      <c r="W938" s="13" t="str">
        <f>MID(A938, SEARCH("_", A938) +1, SEARCH("_", A938, SEARCH("_", A938) +1) - SEARCH("_", A938) -1)</f>
        <v>Chart-25</v>
      </c>
    </row>
    <row r="939" spans="1:23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>LEFT($A939,FIND("_",$A939)-1)</f>
        <v>SimFix</v>
      </c>
      <c r="P939" s="13" t="str">
        <f>IF($O939="ACS", "True Search", IF($O939="Arja", "Evolutionary Search", IF($O939="AVATAR", "True Pattern", IF($O939="CapGen", "Search Like Pattern", IF($O939="Cardumen", "True Semantic", IF($O939="DynaMoth", "True Semantic", IF($O939="FixMiner", "True Pattern", IF($O939="GenProg-A", "Evolutionary Search", IF($O939="Hercules", "Learning Pattern", IF($O939="Jaid", "True Semantic",
IF($O939="Kali-A", "True Search", IF($O939="kPAR", "True Pattern", IF($O939="Nopol", "True Semantic", IF($O939="RSRepair-A", "Evolutionary Search", IF($O939="SequenceR", "Deep Learning", IF($O939="SimFix", "Search Like Pattern", IF($O939="SketchFix", "True Pattern", IF($O939="SOFix", "True Pattern", IF($O939="ssFix", "Search Like Pattern", IF($O939="TBar", "True Pattern", ""))))))))))))))))))))</f>
        <v>Search Like Pattern</v>
      </c>
      <c r="Q939" s="13" t="str">
        <f>IF(NOT(ISERR(SEARCH("*_Buggy",$A939))), "Buggy", IF(NOT(ISERR(SEARCH("*_Fixed",$A939))), "Fixed", IF(NOT(ISERR(SEARCH("*_Repaired",$A939))), "Repaired", "")))</f>
        <v>Fixed</v>
      </c>
      <c r="R939" s="13" t="s">
        <v>1669</v>
      </c>
      <c r="S939" s="25">
        <v>1</v>
      </c>
      <c r="T939" s="25">
        <v>0</v>
      </c>
      <c r="U939" s="13">
        <v>2</v>
      </c>
      <c r="V939" s="13">
        <v>2</v>
      </c>
      <c r="W939" s="13" t="str">
        <f>MID(A939, SEARCH("_", A939) +1, SEARCH("_", A939, SEARCH("_", A939) +1) - SEARCH("_", A939) -1)</f>
        <v>Closure-11</v>
      </c>
    </row>
    <row r="940" spans="1:23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>LEFT($A940,FIND("_",$A940)-1)</f>
        <v>SimFix</v>
      </c>
      <c r="P940" s="13" t="str">
        <f>IF($O940="ACS", "True Search", IF($O940="Arja", "Evolutionary Search", IF($O940="AVATAR", "True Pattern", IF($O940="CapGen", "Search Like Pattern", IF($O940="Cardumen", "True Semantic", IF($O940="DynaMoth", "True Semantic", IF($O940="FixMiner", "True Pattern", IF($O940="GenProg-A", "Evolutionary Search", IF($O940="Hercules", "Learning Pattern", IF($O940="Jaid", "True Semantic",
IF($O940="Kali-A", "True Search", IF($O940="kPAR", "True Pattern", IF($O940="Nopol", "True Semantic", IF($O940="RSRepair-A", "Evolutionary Search", IF($O940="SequenceR", "Deep Learning", IF($O940="SimFix", "Search Like Pattern", IF($O940="SketchFix", "True Pattern", IF($O940="SOFix", "True Pattern", IF($O940="ssFix", "Search Like Pattern", IF($O940="TBar", "True Pattern", ""))))))))))))))))))))</f>
        <v>Search Like Pattern</v>
      </c>
      <c r="Q940" s="13" t="str">
        <f>IF(NOT(ISERR(SEARCH("*_Buggy",$A940))), "Buggy", IF(NOT(ISERR(SEARCH("*_Fixed",$A940))), "Fixed", IF(NOT(ISERR(SEARCH("*_Repaired",$A940))), "Repaired", "")))</f>
        <v>Fixed</v>
      </c>
      <c r="R940" s="13" t="s">
        <v>1668</v>
      </c>
      <c r="S940" s="25">
        <v>2</v>
      </c>
      <c r="T940" s="25">
        <v>0</v>
      </c>
      <c r="U940" s="13">
        <v>11</v>
      </c>
      <c r="V940" s="13">
        <v>11</v>
      </c>
      <c r="W940" s="13" t="str">
        <f>MID(A940, SEARCH("_", A940) +1, SEARCH("_", A940, SEARCH("_", A940) +1) - SEARCH("_", A940) -1)</f>
        <v>Closure-115</v>
      </c>
    </row>
    <row r="941" spans="1:23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>LEFT($A941,FIND("_",$A941)-1)</f>
        <v>SimFix</v>
      </c>
      <c r="P941" s="13" t="str">
        <f>IF($O941="ACS", "True Search", IF($O941="Arja", "Evolutionary Search", IF($O941="AVATAR", "True Pattern", IF($O941="CapGen", "Search Like Pattern", IF($O941="Cardumen", "True Semantic", IF($O941="DynaMoth", "True Semantic", IF($O941="FixMiner", "True Pattern", IF($O941="GenProg-A", "Evolutionary Search", IF($O941="Hercules", "Learning Pattern", IF($O941="Jaid", "True Semantic",
IF($O941="Kali-A", "True Search", IF($O941="kPAR", "True Pattern", IF($O941="Nopol", "True Semantic", IF($O941="RSRepair-A", "Evolutionary Search", IF($O941="SequenceR", "Deep Learning", IF($O941="SimFix", "Search Like Pattern", IF($O941="SketchFix", "True Pattern", IF($O941="SOFix", "True Pattern", IF($O941="ssFix", "Search Like Pattern", IF($O941="TBar", "True Pattern", ""))))))))))))))))))))</f>
        <v>Search Like Pattern</v>
      </c>
      <c r="Q941" s="13" t="str">
        <f>IF(NOT(ISERR(SEARCH("*_Buggy",$A941))), "Buggy", IF(NOT(ISERR(SEARCH("*_Fixed",$A941))), "Fixed", IF(NOT(ISERR(SEARCH("*_Repaired",$A941))), "Repaired", "")))</f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v>1</v>
      </c>
      <c r="W941" s="13" t="str">
        <f>MID(A941, SEARCH("_", A941) +1, SEARCH("_", A941, SEARCH("_", A941) +1) - SEARCH("_", A941) -1)</f>
        <v>Closure-125</v>
      </c>
    </row>
    <row r="942" spans="1:23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>LEFT($A942,FIND("_",$A942)-1)</f>
        <v>SimFix</v>
      </c>
      <c r="P942" s="13" t="str">
        <f>IF($O942="ACS", "True Search", IF($O942="Arja", "Evolutionary Search", IF($O942="AVATAR", "True Pattern", IF($O942="CapGen", "Search Like Pattern", IF($O942="Cardumen", "True Semantic", IF($O942="DynaMoth", "True Semantic", IF($O942="FixMiner", "True Pattern", IF($O942="GenProg-A", "Evolutionary Search", IF($O942="Hercules", "Learning Pattern", IF($O942="Jaid", "True Semantic",
IF($O942="Kali-A", "True Search", IF($O942="kPAR", "True Pattern", IF($O942="Nopol", "True Semantic", IF($O942="RSRepair-A", "Evolutionary Search", IF($O942="SequenceR", "Deep Learning", IF($O942="SimFix", "Search Like Pattern", IF($O942="SketchFix", "True Pattern", IF($O942="SOFix", "True Pattern", IF($O942="ssFix", "Search Like Pattern", IF($O942="TBar", "True Pattern", ""))))))))))))))))))))</f>
        <v>Search Like Pattern</v>
      </c>
      <c r="Q942" s="13" t="str">
        <f>IF(NOT(ISERR(SEARCH("*_Buggy",$A942))), "Buggy", IF(NOT(ISERR(SEARCH("*_Fixed",$A942))), "Fixed", IF(NOT(ISERR(SEARCH("*_Repaired",$A942))), "Repaired", "")))</f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v>1</v>
      </c>
      <c r="W942" s="13" t="str">
        <f>MID(A942, SEARCH("_", A942) +1, SEARCH("_", A942, SEARCH("_", A942) +1) - SEARCH("_", A942) -1)</f>
        <v>Closure-14</v>
      </c>
    </row>
    <row r="943" spans="1:23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>LEFT($A943,FIND("_",$A943)-1)</f>
        <v>SimFix</v>
      </c>
      <c r="P943" s="13" t="str">
        <f>IF($O943="ACS", "True Search", IF($O943="Arja", "Evolutionary Search", IF($O943="AVATAR", "True Pattern", IF($O943="CapGen", "Search Like Pattern", IF($O943="Cardumen", "True Semantic", IF($O943="DynaMoth", "True Semantic", IF($O943="FixMiner", "True Pattern", IF($O943="GenProg-A", "Evolutionary Search", IF($O943="Hercules", "Learning Pattern", IF($O943="Jaid", "True Semantic",
IF($O943="Kali-A", "True Search", IF($O943="kPAR", "True Pattern", IF($O943="Nopol", "True Semantic", IF($O943="RSRepair-A", "Evolutionary Search", IF($O943="SequenceR", "Deep Learning", IF($O943="SimFix", "Search Like Pattern", IF($O943="SketchFix", "True Pattern", IF($O943="SOFix", "True Pattern", IF($O943="ssFix", "Search Like Pattern", IF($O943="TBar", "True Pattern", ""))))))))))))))))))))</f>
        <v>Search Like Pattern</v>
      </c>
      <c r="Q943" s="13" t="str">
        <f>IF(NOT(ISERR(SEARCH("*_Buggy",$A943))), "Buggy", IF(NOT(ISERR(SEARCH("*_Fixed",$A943))), "Fixed", IF(NOT(ISERR(SEARCH("*_Repaired",$A943))), "Repaired", "")))</f>
        <v>Fixed</v>
      </c>
      <c r="R943" s="13" t="s">
        <v>1668</v>
      </c>
      <c r="S943" s="25">
        <v>2</v>
      </c>
      <c r="T943" s="13">
        <v>2</v>
      </c>
      <c r="U943" s="25">
        <v>0</v>
      </c>
      <c r="V943" s="13">
        <v>2</v>
      </c>
      <c r="W943" s="13" t="str">
        <f>MID(A943, SEARCH("_", A943) +1, SEARCH("_", A943, SEARCH("_", A943) +1) - SEARCH("_", A943) -1)</f>
        <v>Closure-19</v>
      </c>
    </row>
    <row r="944" spans="1:23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>LEFT($A944,FIND("_",$A944)-1)</f>
        <v>SimFix</v>
      </c>
      <c r="P944" s="13" t="str">
        <f>IF($O944="ACS", "True Search", IF($O944="Arja", "Evolutionary Search", IF($O944="AVATAR", "True Pattern", IF($O944="CapGen", "Search Like Pattern", IF($O944="Cardumen", "True Semantic", IF($O944="DynaMoth", "True Semantic", IF($O944="FixMiner", "True Pattern", IF($O944="GenProg-A", "Evolutionary Search", IF($O944="Hercules", "Learning Pattern", IF($O944="Jaid", "True Semantic",
IF($O944="Kali-A", "True Search", IF($O944="kPAR", "True Pattern", IF($O944="Nopol", "True Semantic", IF($O944="RSRepair-A", "Evolutionary Search", IF($O944="SequenceR", "Deep Learning", IF($O944="SimFix", "Search Like Pattern", IF($O944="SketchFix", "True Pattern", IF($O944="SOFix", "True Pattern", IF($O944="ssFix", "Search Like Pattern", IF($O944="TBar", "True Pattern", ""))))))))))))))))))))</f>
        <v>Search Like Pattern</v>
      </c>
      <c r="Q944" s="13" t="str">
        <f>IF(NOT(ISERR(SEARCH("*_Buggy",$A944))), "Buggy", IF(NOT(ISERR(SEARCH("*_Fixed",$A944))), "Fixed", IF(NOT(ISERR(SEARCH("*_Repaired",$A944))), "Repaired", "")))</f>
        <v>Fixed</v>
      </c>
      <c r="R944" s="13" t="s">
        <v>1669</v>
      </c>
      <c r="S944" s="25">
        <v>2</v>
      </c>
      <c r="T944" s="25">
        <v>2</v>
      </c>
      <c r="U944" s="25">
        <v>19</v>
      </c>
      <c r="V944" s="13">
        <v>19</v>
      </c>
      <c r="W944" s="13" t="str">
        <f>MID(A944, SEARCH("_", A944) +1, SEARCH("_", A944, SEARCH("_", A944) +1) - SEARCH("_", A944) -1)</f>
        <v>Closure-21</v>
      </c>
    </row>
    <row r="945" spans="1:23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>LEFT($A945,FIND("_",$A945)-1)</f>
        <v>SimFix</v>
      </c>
      <c r="P945" s="13" t="str">
        <f>IF($O945="ACS", "True Search", IF($O945="Arja", "Evolutionary Search", IF($O945="AVATAR", "True Pattern", IF($O945="CapGen", "Search Like Pattern", IF($O945="Cardumen", "True Semantic", IF($O945="DynaMoth", "True Semantic", IF($O945="FixMiner", "True Pattern", IF($O945="GenProg-A", "Evolutionary Search", IF($O945="Hercules", "Learning Pattern", IF($O945="Jaid", "True Semantic",
IF($O945="Kali-A", "True Search", IF($O945="kPAR", "True Pattern", IF($O945="Nopol", "True Semantic", IF($O945="RSRepair-A", "Evolutionary Search", IF($O945="SequenceR", "Deep Learning", IF($O945="SimFix", "Search Like Pattern", IF($O945="SketchFix", "True Pattern", IF($O945="SOFix", "True Pattern", IF($O945="ssFix", "Search Like Pattern", IF($O945="TBar", "True Pattern", ""))))))))))))))))))))</f>
        <v>Search Like Pattern</v>
      </c>
      <c r="Q945" s="13" t="str">
        <f>IF(NOT(ISERR(SEARCH("*_Buggy",$A945))), "Buggy", IF(NOT(ISERR(SEARCH("*_Fixed",$A945))), "Fixed", IF(NOT(ISERR(SEARCH("*_Repaired",$A945))), "Repaired", "")))</f>
        <v>Fixed</v>
      </c>
      <c r="R945" s="13" t="s">
        <v>1669</v>
      </c>
      <c r="S945" s="25">
        <v>5</v>
      </c>
      <c r="T945" s="25">
        <v>2</v>
      </c>
      <c r="U945" s="25">
        <v>26</v>
      </c>
      <c r="V945" s="13">
        <v>26</v>
      </c>
      <c r="W945" s="13" t="str">
        <f>MID(A945, SEARCH("_", A945) +1, SEARCH("_", A945, SEARCH("_", A945) +1) - SEARCH("_", A945) -1)</f>
        <v>Closure-22</v>
      </c>
    </row>
    <row r="946" spans="1:23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>LEFT($A946,FIND("_",$A946)-1)</f>
        <v>SimFix</v>
      </c>
      <c r="P946" s="13" t="str">
        <f>IF($O946="ACS", "True Search", IF($O946="Arja", "Evolutionary Search", IF($O946="AVATAR", "True Pattern", IF($O946="CapGen", "Search Like Pattern", IF($O946="Cardumen", "True Semantic", IF($O946="DynaMoth", "True Semantic", IF($O946="FixMiner", "True Pattern", IF($O946="GenProg-A", "Evolutionary Search", IF($O946="Hercules", "Learning Pattern", IF($O946="Jaid", "True Semantic",
IF($O946="Kali-A", "True Search", IF($O946="kPAR", "True Pattern", IF($O946="Nopol", "True Semantic", IF($O946="RSRepair-A", "Evolutionary Search", IF($O946="SequenceR", "Deep Learning", IF($O946="SimFix", "Search Like Pattern", IF($O946="SketchFix", "True Pattern", IF($O946="SOFix", "True Pattern", IF($O946="ssFix", "Search Like Pattern", IF($O946="TBar", "True Pattern", ""))))))))))))))))))))</f>
        <v>Search Like Pattern</v>
      </c>
      <c r="Q946" s="13" t="str">
        <f>IF(NOT(ISERR(SEARCH("*_Buggy",$A946))), "Buggy", IF(NOT(ISERR(SEARCH("*_Fixed",$A946))), "Fixed", IF(NOT(ISERR(SEARCH("*_Repaired",$A946))), "Repaired", "")))</f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v>1</v>
      </c>
      <c r="W946" s="13" t="str">
        <f>MID(A946, SEARCH("_", A946) +1, SEARCH("_", A946, SEARCH("_", A946) +1) - SEARCH("_", A946) -1)</f>
        <v>Closure-38</v>
      </c>
    </row>
    <row r="947" spans="1:23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>LEFT($A947,FIND("_",$A947)-1)</f>
        <v>SimFix</v>
      </c>
      <c r="P947" s="13" t="str">
        <f>IF($O947="ACS", "True Search", IF($O947="Arja", "Evolutionary Search", IF($O947="AVATAR", "True Pattern", IF($O947="CapGen", "Search Like Pattern", IF($O947="Cardumen", "True Semantic", IF($O947="DynaMoth", "True Semantic", IF($O947="FixMiner", "True Pattern", IF($O947="GenProg-A", "Evolutionary Search", IF($O947="Hercules", "Learning Pattern", IF($O947="Jaid", "True Semantic",
IF($O947="Kali-A", "True Search", IF($O947="kPAR", "True Pattern", IF($O947="Nopol", "True Semantic", IF($O947="RSRepair-A", "Evolutionary Search", IF($O947="SequenceR", "Deep Learning", IF($O947="SimFix", "Search Like Pattern", IF($O947="SketchFix", "True Pattern", IF($O947="SOFix", "True Pattern", IF($O947="ssFix", "Search Like Pattern", IF($O947="TBar", "True Pattern", ""))))))))))))))))))))</f>
        <v>Search Like Pattern</v>
      </c>
      <c r="Q947" s="13" t="str">
        <f>IF(NOT(ISERR(SEARCH("*_Buggy",$A947))), "Buggy", IF(NOT(ISERR(SEARCH("*_Fixed",$A947))), "Fixed", IF(NOT(ISERR(SEARCH("*_Repaired",$A947))), "Repaired", "")))</f>
        <v>Fixed</v>
      </c>
      <c r="R947" s="13" t="s">
        <v>1669</v>
      </c>
      <c r="S947" s="25">
        <v>1</v>
      </c>
      <c r="T947" s="25">
        <v>0</v>
      </c>
      <c r="U947" s="13">
        <v>16</v>
      </c>
      <c r="V947" s="13">
        <v>16</v>
      </c>
      <c r="W947" s="13" t="str">
        <f>MID(A947, SEARCH("_", A947) +1, SEARCH("_", A947, SEARCH("_", A947) +1) - SEARCH("_", A947) -1)</f>
        <v>Closure-46</v>
      </c>
    </row>
    <row r="948" spans="1:23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>LEFT($A948,FIND("_",$A948)-1)</f>
        <v>SimFix</v>
      </c>
      <c r="P948" s="13" t="str">
        <f>IF($O948="ACS", "True Search", IF($O948="Arja", "Evolutionary Search", IF($O948="AVATAR", "True Pattern", IF($O948="CapGen", "Search Like Pattern", IF($O948="Cardumen", "True Semantic", IF($O948="DynaMoth", "True Semantic", IF($O948="FixMiner", "True Pattern", IF($O948="GenProg-A", "Evolutionary Search", IF($O948="Hercules", "Learning Pattern", IF($O948="Jaid", "True Semantic",
IF($O948="Kali-A", "True Search", IF($O948="kPAR", "True Pattern", IF($O948="Nopol", "True Semantic", IF($O948="RSRepair-A", "Evolutionary Search", IF($O948="SequenceR", "Deep Learning", IF($O948="SimFix", "Search Like Pattern", IF($O948="SketchFix", "True Pattern", IF($O948="SOFix", "True Pattern", IF($O948="ssFix", "Search Like Pattern", IF($O948="TBar", "True Pattern", ""))))))))))))))))))))</f>
        <v>Search Like Pattern</v>
      </c>
      <c r="Q948" s="13" t="str">
        <f>IF(NOT(ISERR(SEARCH("*_Buggy",$A948))), "Buggy", IF(NOT(ISERR(SEARCH("*_Fixed",$A948))), "Fixed", IF(NOT(ISERR(SEARCH("*_Repaired",$A948))), "Repaired", "")))</f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v>1</v>
      </c>
      <c r="W948" s="13" t="str">
        <f>MID(A948, SEARCH("_", A948) +1, SEARCH("_", A948, SEARCH("_", A948) +1) - SEARCH("_", A948) -1)</f>
        <v>Closure-57</v>
      </c>
    </row>
    <row r="949" spans="1:23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>LEFT($A949,FIND("_",$A949)-1)</f>
        <v>SimFix</v>
      </c>
      <c r="P949" s="13" t="str">
        <f>IF($O949="ACS", "True Search", IF($O949="Arja", "Evolutionary Search", IF($O949="AVATAR", "True Pattern", IF($O949="CapGen", "Search Like Pattern", IF($O949="Cardumen", "True Semantic", IF($O949="DynaMoth", "True Semantic", IF($O949="FixMiner", "True Pattern", IF($O949="GenProg-A", "Evolutionary Search", IF($O949="Hercules", "Learning Pattern", IF($O949="Jaid", "True Semantic",
IF($O949="Kali-A", "True Search", IF($O949="kPAR", "True Pattern", IF($O949="Nopol", "True Semantic", IF($O949="RSRepair-A", "Evolutionary Search", IF($O949="SequenceR", "Deep Learning", IF($O949="SimFix", "Search Like Pattern", IF($O949="SketchFix", "True Pattern", IF($O949="SOFix", "True Pattern", IF($O949="ssFix", "Search Like Pattern", IF($O949="TBar", "True Pattern", ""))))))))))))))))))))</f>
        <v>Search Like Pattern</v>
      </c>
      <c r="Q949" s="13" t="str">
        <f>IF(NOT(ISERR(SEARCH("*_Buggy",$A949))), "Buggy", IF(NOT(ISERR(SEARCH("*_Fixed",$A949))), "Fixed", IF(NOT(ISERR(SEARCH("*_Repaired",$A949))), "Repaired", "")))</f>
        <v>Fixed</v>
      </c>
      <c r="R949" s="13" t="s">
        <v>1669</v>
      </c>
      <c r="S949" s="25">
        <v>4</v>
      </c>
      <c r="T949" s="25">
        <v>0</v>
      </c>
      <c r="U949" s="13">
        <v>8</v>
      </c>
      <c r="V949" s="13">
        <v>8</v>
      </c>
      <c r="W949" s="13" t="str">
        <f>MID(A949, SEARCH("_", A949) +1, SEARCH("_", A949, SEARCH("_", A949) +1) - SEARCH("_", A949) -1)</f>
        <v>Closure-6</v>
      </c>
    </row>
    <row r="950" spans="1:23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>LEFT($A950,FIND("_",$A950)-1)</f>
        <v>SimFix</v>
      </c>
      <c r="P950" s="13" t="str">
        <f>IF($O950="ACS", "True Search", IF($O950="Arja", "Evolutionary Search", IF($O950="AVATAR", "True Pattern", IF($O950="CapGen", "Search Like Pattern", IF($O950="Cardumen", "True Semantic", IF($O950="DynaMoth", "True Semantic", IF($O950="FixMiner", "True Pattern", IF($O950="GenProg-A", "Evolutionary Search", IF($O950="Hercules", "Learning Pattern", IF($O950="Jaid", "True Semantic",
IF($O950="Kali-A", "True Search", IF($O950="kPAR", "True Pattern", IF($O950="Nopol", "True Semantic", IF($O950="RSRepair-A", "Evolutionary Search", IF($O950="SequenceR", "Deep Learning", IF($O950="SimFix", "Search Like Pattern", IF($O950="SketchFix", "True Pattern", IF($O950="SOFix", "True Pattern", IF($O950="ssFix", "Search Like Pattern", IF($O950="TBar", "True Pattern", ""))))))))))))))))))))</f>
        <v>Search Like Pattern</v>
      </c>
      <c r="Q950" s="13" t="str">
        <f>IF(NOT(ISERR(SEARCH("*_Buggy",$A950))), "Buggy", IF(NOT(ISERR(SEARCH("*_Fixed",$A950))), "Fixed", IF(NOT(ISERR(SEARCH("*_Repaired",$A950))), "Repaired", "")))</f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v>1</v>
      </c>
      <c r="W950" s="13" t="str">
        <f>MID(A950, SEARCH("_", A950) +1, SEARCH("_", A950, SEARCH("_", A950) +1) - SEARCH("_", A950) -1)</f>
        <v>Closure-62</v>
      </c>
    </row>
    <row r="951" spans="1:23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>LEFT($A951,FIND("_",$A951)-1)</f>
        <v>SimFix</v>
      </c>
      <c r="P951" s="13" t="str">
        <f>IF($O951="ACS", "True Search", IF($O951="Arja", "Evolutionary Search", IF($O951="AVATAR", "True Pattern", IF($O951="CapGen", "Search Like Pattern", IF($O951="Cardumen", "True Semantic", IF($O951="DynaMoth", "True Semantic", IF($O951="FixMiner", "True Pattern", IF($O951="GenProg-A", "Evolutionary Search", IF($O951="Hercules", "Learning Pattern", IF($O951="Jaid", "True Semantic",
IF($O951="Kali-A", "True Search", IF($O951="kPAR", "True Pattern", IF($O951="Nopol", "True Semantic", IF($O951="RSRepair-A", "Evolutionary Search", IF($O951="SequenceR", "Deep Learning", IF($O951="SimFix", "Search Like Pattern", IF($O951="SketchFix", "True Pattern", IF($O951="SOFix", "True Pattern", IF($O951="ssFix", "Search Like Pattern", IF($O951="TBar", "True Pattern", ""))))))))))))))))))))</f>
        <v>Search Like Pattern</v>
      </c>
      <c r="Q951" s="13" t="str">
        <f>IF(NOT(ISERR(SEARCH("*_Buggy",$A951))), "Buggy", IF(NOT(ISERR(SEARCH("*_Fixed",$A951))), "Fixed", IF(NOT(ISERR(SEARCH("*_Repaired",$A951))), "Repaired", "")))</f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v>1</v>
      </c>
      <c r="W951" s="13" t="str">
        <f>MID(A951, SEARCH("_", A951) +1, SEARCH("_", A951, SEARCH("_", A951) +1) - SEARCH("_", A951) -1)</f>
        <v>Closure-73</v>
      </c>
    </row>
    <row r="952" spans="1:23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>LEFT($A952,FIND("_",$A952)-1)</f>
        <v>SimFix</v>
      </c>
      <c r="P952" s="13" t="str">
        <f>IF($O952="ACS", "True Search", IF($O952="Arja", "Evolutionary Search", IF($O952="AVATAR", "True Pattern", IF($O952="CapGen", "Search Like Pattern", IF($O952="Cardumen", "True Semantic", IF($O952="DynaMoth", "True Semantic", IF($O952="FixMiner", "True Pattern", IF($O952="GenProg-A", "Evolutionary Search", IF($O952="Hercules", "Learning Pattern", IF($O952="Jaid", "True Semantic",
IF($O952="Kali-A", "True Search", IF($O952="kPAR", "True Pattern", IF($O952="Nopol", "True Semantic", IF($O952="RSRepair-A", "Evolutionary Search", IF($O952="SequenceR", "Deep Learning", IF($O952="SimFix", "Search Like Pattern", IF($O952="SketchFix", "True Pattern", IF($O952="SOFix", "True Pattern", IF($O952="ssFix", "Search Like Pattern", IF($O952="TBar", "True Pattern", ""))))))))))))))))))))</f>
        <v>Search Like Pattern</v>
      </c>
      <c r="Q952" s="13" t="str">
        <f>IF(NOT(ISERR(SEARCH("*_Buggy",$A952))), "Buggy", IF(NOT(ISERR(SEARCH("*_Fixed",$A952))), "Fixed", IF(NOT(ISERR(SEARCH("*_Repaired",$A952))), "Repaired", "")))</f>
        <v>Fixed</v>
      </c>
      <c r="R952" s="13" t="s">
        <v>1669</v>
      </c>
      <c r="S952" s="25">
        <v>3</v>
      </c>
      <c r="T952" s="25">
        <v>11</v>
      </c>
      <c r="U952" s="25">
        <v>2</v>
      </c>
      <c r="V952" s="13">
        <v>11</v>
      </c>
      <c r="W952" s="13" t="str">
        <f>MID(A952, SEARCH("_", A952) +1, SEARCH("_", A952, SEARCH("_", A952) +1) - SEARCH("_", A952) -1)</f>
        <v>Lang-1</v>
      </c>
    </row>
    <row r="953" spans="1:23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>LEFT($A953,FIND("_",$A953)-1)</f>
        <v>SimFix</v>
      </c>
      <c r="P953" s="13" t="str">
        <f>IF($O953="ACS", "True Search", IF($O953="Arja", "Evolutionary Search", IF($O953="AVATAR", "True Pattern", IF($O953="CapGen", "Search Like Pattern", IF($O953="Cardumen", "True Semantic", IF($O953="DynaMoth", "True Semantic", IF($O953="FixMiner", "True Pattern", IF($O953="GenProg-A", "Evolutionary Search", IF($O953="Hercules", "Learning Pattern", IF($O953="Jaid", "True Semantic",
IF($O953="Kali-A", "True Search", IF($O953="kPAR", "True Pattern", IF($O953="Nopol", "True Semantic", IF($O953="RSRepair-A", "Evolutionary Search", IF($O953="SequenceR", "Deep Learning", IF($O953="SimFix", "Search Like Pattern", IF($O953="SketchFix", "True Pattern", IF($O953="SOFix", "True Pattern", IF($O953="ssFix", "Search Like Pattern", IF($O953="TBar", "True Pattern", ""))))))))))))))))))))</f>
        <v>Search Like Pattern</v>
      </c>
      <c r="Q953" s="13" t="str">
        <f>IF(NOT(ISERR(SEARCH("*_Buggy",$A953))), "Buggy", IF(NOT(ISERR(SEARCH("*_Fixed",$A953))), "Fixed", IF(NOT(ISERR(SEARCH("*_Repaired",$A953))), "Repaired", "")))</f>
        <v>Fixed</v>
      </c>
      <c r="R953" s="13" t="s">
        <v>1669</v>
      </c>
      <c r="S953" s="25">
        <v>3</v>
      </c>
      <c r="T953" s="13">
        <v>7</v>
      </c>
      <c r="U953" s="25">
        <v>0</v>
      </c>
      <c r="V953" s="13">
        <v>7</v>
      </c>
      <c r="W953" s="13" t="str">
        <f>MID(A953, SEARCH("_", A953) +1, SEARCH("_", A953, SEARCH("_", A953) +1) - SEARCH("_", A953) -1)</f>
        <v>Lang-12</v>
      </c>
    </row>
    <row r="954" spans="1:23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>LEFT($A954,FIND("_",$A954)-1)</f>
        <v>SimFix</v>
      </c>
      <c r="P954" s="13" t="str">
        <f>IF($O954="ACS", "True Search", IF($O954="Arja", "Evolutionary Search", IF($O954="AVATAR", "True Pattern", IF($O954="CapGen", "Search Like Pattern", IF($O954="Cardumen", "True Semantic", IF($O954="DynaMoth", "True Semantic", IF($O954="FixMiner", "True Pattern", IF($O954="GenProg-A", "Evolutionary Search", IF($O954="Hercules", "Learning Pattern", IF($O954="Jaid", "True Semantic",
IF($O954="Kali-A", "True Search", IF($O954="kPAR", "True Pattern", IF($O954="Nopol", "True Semantic", IF($O954="RSRepair-A", "Evolutionary Search", IF($O954="SequenceR", "Deep Learning", IF($O954="SimFix", "Search Like Pattern", IF($O954="SketchFix", "True Pattern", IF($O954="SOFix", "True Pattern", IF($O954="ssFix", "Search Like Pattern", IF($O954="TBar", "True Pattern", ""))))))))))))))))))))</f>
        <v>Search Like Pattern</v>
      </c>
      <c r="Q954" s="13" t="str">
        <f>IF(NOT(ISERR(SEARCH("*_Buggy",$A954))), "Buggy", IF(NOT(ISERR(SEARCH("*_Fixed",$A954))), "Fixed", IF(NOT(ISERR(SEARCH("*_Repaired",$A954))), "Repaired", "")))</f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v>1</v>
      </c>
      <c r="W954" s="13" t="str">
        <f>MID(A954, SEARCH("_", A954) +1, SEARCH("_", A954, SEARCH("_", A954) +1) - SEARCH("_", A954) -1)</f>
        <v>Lang-16</v>
      </c>
    </row>
    <row r="955" spans="1:23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>LEFT($A955,FIND("_",$A955)-1)</f>
        <v>SimFix</v>
      </c>
      <c r="P955" s="13" t="str">
        <f>IF($O955="ACS", "True Search", IF($O955="Arja", "Evolutionary Search", IF($O955="AVATAR", "True Pattern", IF($O955="CapGen", "Search Like Pattern", IF($O955="Cardumen", "True Semantic", IF($O955="DynaMoth", "True Semantic", IF($O955="FixMiner", "True Pattern", IF($O955="GenProg-A", "Evolutionary Search", IF($O955="Hercules", "Learning Pattern", IF($O955="Jaid", "True Semantic",
IF($O955="Kali-A", "True Search", IF($O955="kPAR", "True Pattern", IF($O955="Nopol", "True Semantic", IF($O955="RSRepair-A", "Evolutionary Search", IF($O955="SequenceR", "Deep Learning", IF($O955="SimFix", "Search Like Pattern", IF($O955="SketchFix", "True Pattern", IF($O955="SOFix", "True Pattern", IF($O955="ssFix", "Search Like Pattern", IF($O955="TBar", "True Pattern", ""))))))))))))))))))))</f>
        <v>Search Like Pattern</v>
      </c>
      <c r="Q955" s="13" t="str">
        <f>IF(NOT(ISERR(SEARCH("*_Buggy",$A955))), "Buggy", IF(NOT(ISERR(SEARCH("*_Fixed",$A955))), "Fixed", IF(NOT(ISERR(SEARCH("*_Repaired",$A955))), "Repaired", "")))</f>
        <v>Fixed</v>
      </c>
      <c r="R955" s="13" t="s">
        <v>1669</v>
      </c>
      <c r="S955" s="25">
        <v>2</v>
      </c>
      <c r="T955" s="25">
        <v>4</v>
      </c>
      <c r="U955" s="25">
        <v>1</v>
      </c>
      <c r="V955" s="13">
        <v>4</v>
      </c>
      <c r="W955" s="13" t="str">
        <f>MID(A955, SEARCH("_", A955) +1, SEARCH("_", A955, SEARCH("_", A955) +1) - SEARCH("_", A955) -1)</f>
        <v>Lang-27</v>
      </c>
    </row>
    <row r="956" spans="1:23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>LEFT($A956,FIND("_",$A956)-1)</f>
        <v>SimFix</v>
      </c>
      <c r="P956" s="13" t="str">
        <f>IF($O956="ACS", "True Search", IF($O956="Arja", "Evolutionary Search", IF($O956="AVATAR", "True Pattern", IF($O956="CapGen", "Search Like Pattern", IF($O956="Cardumen", "True Semantic", IF($O956="DynaMoth", "True Semantic", IF($O956="FixMiner", "True Pattern", IF($O956="GenProg-A", "Evolutionary Search", IF($O956="Hercules", "Learning Pattern", IF($O956="Jaid", "True Semantic",
IF($O956="Kali-A", "True Search", IF($O956="kPAR", "True Pattern", IF($O956="Nopol", "True Semantic", IF($O956="RSRepair-A", "Evolutionary Search", IF($O956="SequenceR", "Deep Learning", IF($O956="SimFix", "Search Like Pattern", IF($O956="SketchFix", "True Pattern", IF($O956="SOFix", "True Pattern", IF($O956="ssFix", "Search Like Pattern", IF($O956="TBar", "True Pattern", ""))))))))))))))))))))</f>
        <v>Search Like Pattern</v>
      </c>
      <c r="Q956" s="13" t="str">
        <f>IF(NOT(ISERR(SEARCH("*_Buggy",$A956))), "Buggy", IF(NOT(ISERR(SEARCH("*_Fixed",$A956))), "Fixed", IF(NOT(ISERR(SEARCH("*_Repaired",$A956))), "Repaired", "")))</f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v>1</v>
      </c>
      <c r="W956" s="13" t="str">
        <f>MID(A956, SEARCH("_", A956) +1, SEARCH("_", A956, SEARCH("_", A956) +1) - SEARCH("_", A956) -1)</f>
        <v>Lang-33</v>
      </c>
    </row>
    <row r="957" spans="1:23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>LEFT($A957,FIND("_",$A957)-1)</f>
        <v>SimFix</v>
      </c>
      <c r="P957" s="13" t="str">
        <f>IF($O957="ACS", "True Search", IF($O957="Arja", "Evolutionary Search", IF($O957="AVATAR", "True Pattern", IF($O957="CapGen", "Search Like Pattern", IF($O957="Cardumen", "True Semantic", IF($O957="DynaMoth", "True Semantic", IF($O957="FixMiner", "True Pattern", IF($O957="GenProg-A", "Evolutionary Search", IF($O957="Hercules", "Learning Pattern", IF($O957="Jaid", "True Semantic",
IF($O957="Kali-A", "True Search", IF($O957="kPAR", "True Pattern", IF($O957="Nopol", "True Semantic", IF($O957="RSRepair-A", "Evolutionary Search", IF($O957="SequenceR", "Deep Learning", IF($O957="SimFix", "Search Like Pattern", IF($O957="SketchFix", "True Pattern", IF($O957="SOFix", "True Pattern", IF($O957="ssFix", "Search Like Pattern", IF($O957="TBar", "True Pattern", ""))))))))))))))))))))</f>
        <v>Search Like Pattern</v>
      </c>
      <c r="Q957" s="13" t="str">
        <f>IF(NOT(ISERR(SEARCH("*_Buggy",$A957))), "Buggy", IF(NOT(ISERR(SEARCH("*_Fixed",$A957))), "Fixed", IF(NOT(ISERR(SEARCH("*_Repaired",$A957))), "Repaired", "")))</f>
        <v>Fixed</v>
      </c>
      <c r="R957" s="13" t="s">
        <v>1668</v>
      </c>
      <c r="S957" s="25">
        <v>1</v>
      </c>
      <c r="T957" s="13">
        <v>3</v>
      </c>
      <c r="U957" s="25">
        <v>0</v>
      </c>
      <c r="V957" s="13">
        <v>3</v>
      </c>
      <c r="W957" s="13" t="str">
        <f>MID(A957, SEARCH("_", A957) +1, SEARCH("_", A957, SEARCH("_", A957) +1) - SEARCH("_", A957) -1)</f>
        <v>Lang-39</v>
      </c>
    </row>
    <row r="958" spans="1:23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>LEFT($A958,FIND("_",$A958)-1)</f>
        <v>SimFix</v>
      </c>
      <c r="P958" s="13" t="str">
        <f>IF($O958="ACS", "True Search", IF($O958="Arja", "Evolutionary Search", IF($O958="AVATAR", "True Pattern", IF($O958="CapGen", "Search Like Pattern", IF($O958="Cardumen", "True Semantic", IF($O958="DynaMoth", "True Semantic", IF($O958="FixMiner", "True Pattern", IF($O958="GenProg-A", "Evolutionary Search", IF($O958="Hercules", "Learning Pattern", IF($O958="Jaid", "True Semantic",
IF($O958="Kali-A", "True Search", IF($O958="kPAR", "True Pattern", IF($O958="Nopol", "True Semantic", IF($O958="RSRepair-A", "Evolutionary Search", IF($O958="SequenceR", "Deep Learning", IF($O958="SimFix", "Search Like Pattern", IF($O958="SketchFix", "True Pattern", IF($O958="SOFix", "True Pattern", IF($O958="ssFix", "Search Like Pattern", IF($O958="TBar", "True Pattern", ""))))))))))))))))))))</f>
        <v>Search Like Pattern</v>
      </c>
      <c r="Q958" s="13" t="str">
        <f>IF(NOT(ISERR(SEARCH("*_Buggy",$A958))), "Buggy", IF(NOT(ISERR(SEARCH("*_Fixed",$A958))), "Fixed", IF(NOT(ISERR(SEARCH("*_Repaired",$A958))), "Repaired", "")))</f>
        <v>Fixed</v>
      </c>
      <c r="R958" s="13" t="s">
        <v>1669</v>
      </c>
      <c r="S958" s="25">
        <v>8</v>
      </c>
      <c r="T958" s="25">
        <v>21</v>
      </c>
      <c r="U958" s="25">
        <v>2</v>
      </c>
      <c r="V958" s="13">
        <v>21</v>
      </c>
      <c r="W958" s="13" t="str">
        <f>MID(A958, SEARCH("_", A958) +1, SEARCH("_", A958, SEARCH("_", A958) +1) - SEARCH("_", A958) -1)</f>
        <v>Lang-41</v>
      </c>
    </row>
    <row r="959" spans="1:23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>LEFT($A959,FIND("_",$A959)-1)</f>
        <v>SimFix</v>
      </c>
      <c r="P959" s="13" t="str">
        <f>IF($O959="ACS", "True Search", IF($O959="Arja", "Evolutionary Search", IF($O959="AVATAR", "True Pattern", IF($O959="CapGen", "Search Like Pattern", IF($O959="Cardumen", "True Semantic", IF($O959="DynaMoth", "True Semantic", IF($O959="FixMiner", "True Pattern", IF($O959="GenProg-A", "Evolutionary Search", IF($O959="Hercules", "Learning Pattern", IF($O959="Jaid", "True Semantic",
IF($O959="Kali-A", "True Search", IF($O959="kPAR", "True Pattern", IF($O959="Nopol", "True Semantic", IF($O959="RSRepair-A", "Evolutionary Search", IF($O959="SequenceR", "Deep Learning", IF($O959="SimFix", "Search Like Pattern", IF($O959="SketchFix", "True Pattern", IF($O959="SOFix", "True Pattern", IF($O959="ssFix", "Search Like Pattern", IF($O959="TBar", "True Pattern", ""))))))))))))))))))))</f>
        <v>Search Like Pattern</v>
      </c>
      <c r="Q959" s="13" t="str">
        <f>IF(NOT(ISERR(SEARCH("*_Buggy",$A959))), "Buggy", IF(NOT(ISERR(SEARCH("*_Fixed",$A959))), "Fixed", IF(NOT(ISERR(SEARCH("*_Repaired",$A959))), "Repaired", "")))</f>
        <v>Fixed</v>
      </c>
      <c r="R959" s="13" t="s">
        <v>1668</v>
      </c>
      <c r="S959" s="25">
        <v>1</v>
      </c>
      <c r="T959" s="13">
        <v>1</v>
      </c>
      <c r="U959" s="25">
        <v>0</v>
      </c>
      <c r="V959" s="13">
        <v>1</v>
      </c>
      <c r="W959" s="13" t="str">
        <f>MID(A959, SEARCH("_", A959) +1, SEARCH("_", A959, SEARCH("_", A959) +1) - SEARCH("_", A959) -1)</f>
        <v>Lang-43</v>
      </c>
    </row>
    <row r="960" spans="1:23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>LEFT($A960,FIND("_",$A960)-1)</f>
        <v>SimFix</v>
      </c>
      <c r="P960" s="13" t="str">
        <f>IF($O960="ACS", "True Search", IF($O960="Arja", "Evolutionary Search", IF($O960="AVATAR", "True Pattern", IF($O960="CapGen", "Search Like Pattern", IF($O960="Cardumen", "True Semantic", IF($O960="DynaMoth", "True Semantic", IF($O960="FixMiner", "True Pattern", IF($O960="GenProg-A", "Evolutionary Search", IF($O960="Hercules", "Learning Pattern", IF($O960="Jaid", "True Semantic",
IF($O960="Kali-A", "True Search", IF($O960="kPAR", "True Pattern", IF($O960="Nopol", "True Semantic", IF($O960="RSRepair-A", "Evolutionary Search", IF($O960="SequenceR", "Deep Learning", IF($O960="SimFix", "Search Like Pattern", IF($O960="SketchFix", "True Pattern", IF($O960="SOFix", "True Pattern", IF($O960="ssFix", "Search Like Pattern", IF($O960="TBar", "True Pattern", ""))))))))))))))))))))</f>
        <v>Search Like Pattern</v>
      </c>
      <c r="Q960" s="13" t="str">
        <f>IF(NOT(ISERR(SEARCH("*_Buggy",$A960))), "Buggy", IF(NOT(ISERR(SEARCH("*_Fixed",$A960))), "Fixed", IF(NOT(ISERR(SEARCH("*_Repaired",$A960))), "Repaired", "")))</f>
        <v>Fixed</v>
      </c>
      <c r="R960" s="13" t="s">
        <v>1669</v>
      </c>
      <c r="S960" s="25">
        <v>1</v>
      </c>
      <c r="T960" s="13">
        <v>3</v>
      </c>
      <c r="U960" s="25">
        <v>0</v>
      </c>
      <c r="V960" s="13">
        <v>3</v>
      </c>
      <c r="W960" s="13" t="str">
        <f>MID(A960, SEARCH("_", A960) +1, SEARCH("_", A960, SEARCH("_", A960) +1) - SEARCH("_", A960) -1)</f>
        <v>Lang-45</v>
      </c>
    </row>
    <row r="961" spans="1:23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>LEFT($A961,FIND("_",$A961)-1)</f>
        <v>SimFix</v>
      </c>
      <c r="P961" s="13" t="str">
        <f>IF($O961="ACS", "True Search", IF($O961="Arja", "Evolutionary Search", IF($O961="AVATAR", "True Pattern", IF($O961="CapGen", "Search Like Pattern", IF($O961="Cardumen", "True Semantic", IF($O961="DynaMoth", "True Semantic", IF($O961="FixMiner", "True Pattern", IF($O961="GenProg-A", "Evolutionary Search", IF($O961="Hercules", "Learning Pattern", IF($O961="Jaid", "True Semantic",
IF($O961="Kali-A", "True Search", IF($O961="kPAR", "True Pattern", IF($O961="Nopol", "True Semantic", IF($O961="RSRepair-A", "Evolutionary Search", IF($O961="SequenceR", "Deep Learning", IF($O961="SimFix", "Search Like Pattern", IF($O961="SketchFix", "True Pattern", IF($O961="SOFix", "True Pattern", IF($O961="ssFix", "Search Like Pattern", IF($O961="TBar", "True Pattern", ""))))))))))))))))))))</f>
        <v>Search Like Pattern</v>
      </c>
      <c r="Q961" s="13" t="str">
        <f>IF(NOT(ISERR(SEARCH("*_Buggy",$A961))), "Buggy", IF(NOT(ISERR(SEARCH("*_Fixed",$A961))), "Fixed", IF(NOT(ISERR(SEARCH("*_Repaired",$A961))), "Repaired", "")))</f>
        <v>Fixed</v>
      </c>
      <c r="R961" s="13" t="s">
        <v>1669</v>
      </c>
      <c r="S961" s="25">
        <v>6</v>
      </c>
      <c r="T961" s="25">
        <v>6</v>
      </c>
      <c r="U961" s="25">
        <v>10</v>
      </c>
      <c r="V961" s="13">
        <v>12</v>
      </c>
      <c r="W961" s="13" t="str">
        <f>MID(A961, SEARCH("_", A961) +1, SEARCH("_", A961, SEARCH("_", A961) +1) - SEARCH("_", A961) -1)</f>
        <v>Lang-50</v>
      </c>
    </row>
    <row r="962" spans="1:23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>LEFT($A962,FIND("_",$A962)-1)</f>
        <v>SimFix</v>
      </c>
      <c r="P962" s="13" t="str">
        <f>IF($O962="ACS", "True Search", IF($O962="Arja", "Evolutionary Search", IF($O962="AVATAR", "True Pattern", IF($O962="CapGen", "Search Like Pattern", IF($O962="Cardumen", "True Semantic", IF($O962="DynaMoth", "True Semantic", IF($O962="FixMiner", "True Pattern", IF($O962="GenProg-A", "Evolutionary Search", IF($O962="Hercules", "Learning Pattern", IF($O962="Jaid", "True Semantic",
IF($O962="Kali-A", "True Search", IF($O962="kPAR", "True Pattern", IF($O962="Nopol", "True Semantic", IF($O962="RSRepair-A", "Evolutionary Search", IF($O962="SequenceR", "Deep Learning", IF($O962="SimFix", "Search Like Pattern", IF($O962="SketchFix", "True Pattern", IF($O962="SOFix", "True Pattern", IF($O962="ssFix", "Search Like Pattern", IF($O962="TBar", "True Pattern", ""))))))))))))))))))))</f>
        <v>Search Like Pattern</v>
      </c>
      <c r="Q962" s="13" t="str">
        <f>IF(NOT(ISERR(SEARCH("*_Buggy",$A962))), "Buggy", IF(NOT(ISERR(SEARCH("*_Fixed",$A962))), "Fixed", IF(NOT(ISERR(SEARCH("*_Repaired",$A962))), "Repaired", "")))</f>
        <v>Fixed</v>
      </c>
      <c r="R962" s="13" t="s">
        <v>1668</v>
      </c>
      <c r="S962" s="25">
        <v>1</v>
      </c>
      <c r="T962" s="25">
        <v>1</v>
      </c>
      <c r="U962" s="25">
        <v>2</v>
      </c>
      <c r="V962" s="13">
        <v>2</v>
      </c>
      <c r="W962" s="13" t="str">
        <f>MID(A962, SEARCH("_", A962) +1, SEARCH("_", A962, SEARCH("_", A962) +1) - SEARCH("_", A962) -1)</f>
        <v>Lang-58</v>
      </c>
    </row>
    <row r="963" spans="1:23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>LEFT($A963,FIND("_",$A963)-1)</f>
        <v>SimFix</v>
      </c>
      <c r="P963" s="13" t="str">
        <f>IF($O963="ACS", "True Search", IF($O963="Arja", "Evolutionary Search", IF($O963="AVATAR", "True Pattern", IF($O963="CapGen", "Search Like Pattern", IF($O963="Cardumen", "True Semantic", IF($O963="DynaMoth", "True Semantic", IF($O963="FixMiner", "True Pattern", IF($O963="GenProg-A", "Evolutionary Search", IF($O963="Hercules", "Learning Pattern", IF($O963="Jaid", "True Semantic",
IF($O963="Kali-A", "True Search", IF($O963="kPAR", "True Pattern", IF($O963="Nopol", "True Semantic", IF($O963="RSRepair-A", "Evolutionary Search", IF($O963="SequenceR", "Deep Learning", IF($O963="SimFix", "Search Like Pattern", IF($O963="SketchFix", "True Pattern", IF($O963="SOFix", "True Pattern", IF($O963="ssFix", "Search Like Pattern", IF($O963="TBar", "True Pattern", ""))))))))))))))))))))</f>
        <v>Search Like Pattern</v>
      </c>
      <c r="Q963" s="13" t="str">
        <f>IF(NOT(ISERR(SEARCH("*_Buggy",$A963))), "Buggy", IF(NOT(ISERR(SEARCH("*_Fixed",$A963))), "Fixed", IF(NOT(ISERR(SEARCH("*_Repaired",$A963))), "Repaired", "")))</f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v>2</v>
      </c>
      <c r="W963" s="13" t="str">
        <f>MID(A963, SEARCH("_", A963) +1, SEARCH("_", A963, SEARCH("_", A963) +1) - SEARCH("_", A963) -1)</f>
        <v>Lang-60</v>
      </c>
    </row>
    <row r="964" spans="1:23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>LEFT($A964,FIND("_",$A964)-1)</f>
        <v>SimFix</v>
      </c>
      <c r="P964" s="13" t="str">
        <f>IF($O964="ACS", "True Search", IF($O964="Arja", "Evolutionary Search", IF($O964="AVATAR", "True Pattern", IF($O964="CapGen", "Search Like Pattern", IF($O964="Cardumen", "True Semantic", IF($O964="DynaMoth", "True Semantic", IF($O964="FixMiner", "True Pattern", IF($O964="GenProg-A", "Evolutionary Search", IF($O964="Hercules", "Learning Pattern", IF($O964="Jaid", "True Semantic",
IF($O964="Kali-A", "True Search", IF($O964="kPAR", "True Pattern", IF($O964="Nopol", "True Semantic", IF($O964="RSRepair-A", "Evolutionary Search", IF($O964="SequenceR", "Deep Learning", IF($O964="SimFix", "Search Like Pattern", IF($O964="SketchFix", "True Pattern", IF($O964="SOFix", "True Pattern", IF($O964="ssFix", "Search Like Pattern", IF($O964="TBar", "True Pattern", ""))))))))))))))))))))</f>
        <v>Search Like Pattern</v>
      </c>
      <c r="Q964" s="13" t="str">
        <f>IF(NOT(ISERR(SEARCH("*_Buggy",$A964))), "Buggy", IF(NOT(ISERR(SEARCH("*_Fixed",$A964))), "Fixed", IF(NOT(ISERR(SEARCH("*_Repaired",$A964))), "Repaired", "")))</f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v>1</v>
      </c>
      <c r="W964" s="13" t="str">
        <f>MID(A964, SEARCH("_", A964) +1, SEARCH("_", A964, SEARCH("_", A964) +1) - SEARCH("_", A964) -1)</f>
        <v>Lang-61</v>
      </c>
    </row>
    <row r="965" spans="1:23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>LEFT($A965,FIND("_",$A965)-1)</f>
        <v>SimFix</v>
      </c>
      <c r="P965" s="13" t="str">
        <f>IF($O965="ACS", "True Search", IF($O965="Arja", "Evolutionary Search", IF($O965="AVATAR", "True Pattern", IF($O965="CapGen", "Search Like Pattern", IF($O965="Cardumen", "True Semantic", IF($O965="DynaMoth", "True Semantic", IF($O965="FixMiner", "True Pattern", IF($O965="GenProg-A", "Evolutionary Search", IF($O965="Hercules", "Learning Pattern", IF($O965="Jaid", "True Semantic",
IF($O965="Kali-A", "True Search", IF($O965="kPAR", "True Pattern", IF($O965="Nopol", "True Semantic", IF($O965="RSRepair-A", "Evolutionary Search", IF($O965="SequenceR", "Deep Learning", IF($O965="SimFix", "Search Like Pattern", IF($O965="SketchFix", "True Pattern", IF($O965="SOFix", "True Pattern", IF($O965="ssFix", "Search Like Pattern", IF($O965="TBar", "True Pattern", ""))))))))))))))))))))</f>
        <v>Search Like Pattern</v>
      </c>
      <c r="Q965" s="13" t="str">
        <f>IF(NOT(ISERR(SEARCH("*_Buggy",$A965))), "Buggy", IF(NOT(ISERR(SEARCH("*_Fixed",$A965))), "Fixed", IF(NOT(ISERR(SEARCH("*_Repaired",$A965))), "Repaired", "")))</f>
        <v>Fixed</v>
      </c>
      <c r="R965" s="13" t="s">
        <v>1669</v>
      </c>
      <c r="S965" s="25">
        <v>4</v>
      </c>
      <c r="T965" s="25">
        <v>3</v>
      </c>
      <c r="U965" s="25">
        <v>20</v>
      </c>
      <c r="V965" s="13">
        <v>22</v>
      </c>
      <c r="W965" s="13" t="str">
        <f>MID(A965, SEARCH("_", A965) +1, SEARCH("_", A965, SEARCH("_", A965) +1) - SEARCH("_", A965) -1)</f>
        <v>Lang-63</v>
      </c>
    </row>
    <row r="966" spans="1:23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>LEFT($A966,FIND("_",$A966)-1)</f>
        <v>SimFix</v>
      </c>
      <c r="P966" s="13" t="str">
        <f>IF($O966="ACS", "True Search", IF($O966="Arja", "Evolutionary Search", IF($O966="AVATAR", "True Pattern", IF($O966="CapGen", "Search Like Pattern", IF($O966="Cardumen", "True Semantic", IF($O966="DynaMoth", "True Semantic", IF($O966="FixMiner", "True Pattern", IF($O966="GenProg-A", "Evolutionary Search", IF($O966="Hercules", "Learning Pattern", IF($O966="Jaid", "True Semantic",
IF($O966="Kali-A", "True Search", IF($O966="kPAR", "True Pattern", IF($O966="Nopol", "True Semantic", IF($O966="RSRepair-A", "Evolutionary Search", IF($O966="SequenceR", "Deep Learning", IF($O966="SimFix", "Search Like Pattern", IF($O966="SketchFix", "True Pattern", IF($O966="SOFix", "True Pattern", IF($O966="ssFix", "Search Like Pattern", IF($O966="TBar", "True Pattern", ""))))))))))))))))))))</f>
        <v>Search Like Pattern</v>
      </c>
      <c r="Q966" s="13" t="str">
        <f>IF(NOT(ISERR(SEARCH("*_Buggy",$A966))), "Buggy", IF(NOT(ISERR(SEARCH("*_Fixed",$A966))), "Fixed", IF(NOT(ISERR(SEARCH("*_Repaired",$A966))), "Repaired", "")))</f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v>1</v>
      </c>
      <c r="W966" s="13" t="str">
        <f>MID(A966, SEARCH("_", A966) +1, SEARCH("_", A966, SEARCH("_", A966) +1) - SEARCH("_", A966) -1)</f>
        <v>Math-33</v>
      </c>
    </row>
    <row r="967" spans="1:23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>LEFT($A967,FIND("_",$A967)-1)</f>
        <v>SimFix</v>
      </c>
      <c r="P967" s="13" t="str">
        <f>IF($O967="ACS", "True Search", IF($O967="Arja", "Evolutionary Search", IF($O967="AVATAR", "True Pattern", IF($O967="CapGen", "Search Like Pattern", IF($O967="Cardumen", "True Semantic", IF($O967="DynaMoth", "True Semantic", IF($O967="FixMiner", "True Pattern", IF($O967="GenProg-A", "Evolutionary Search", IF($O967="Hercules", "Learning Pattern", IF($O967="Jaid", "True Semantic",
IF($O967="Kali-A", "True Search", IF($O967="kPAR", "True Pattern", IF($O967="Nopol", "True Semantic", IF($O967="RSRepair-A", "Evolutionary Search", IF($O967="SequenceR", "Deep Learning", IF($O967="SimFix", "Search Like Pattern", IF($O967="SketchFix", "True Pattern", IF($O967="SOFix", "True Pattern", IF($O967="ssFix", "Search Like Pattern", IF($O967="TBar", "True Pattern", ""))))))))))))))))))))</f>
        <v>Search Like Pattern</v>
      </c>
      <c r="Q967" s="13" t="str">
        <f>IF(NOT(ISERR(SEARCH("*_Buggy",$A967))), "Buggy", IF(NOT(ISERR(SEARCH("*_Fixed",$A967))), "Fixed", IF(NOT(ISERR(SEARCH("*_Repaired",$A967))), "Repaired", "")))</f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v>2</v>
      </c>
      <c r="W967" s="13" t="str">
        <f>MID(A967, SEARCH("_", A967) +1, SEARCH("_", A967, SEARCH("_", A967) +1) - SEARCH("_", A967) -1)</f>
        <v>Math-35</v>
      </c>
    </row>
    <row r="968" spans="1:23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>LEFT($A968,FIND("_",$A968)-1)</f>
        <v>SimFix</v>
      </c>
      <c r="P968" s="13" t="str">
        <f>IF($O968="ACS", "True Search", IF($O968="Arja", "Evolutionary Search", IF($O968="AVATAR", "True Pattern", IF($O968="CapGen", "Search Like Pattern", IF($O968="Cardumen", "True Semantic", IF($O968="DynaMoth", "True Semantic", IF($O968="FixMiner", "True Pattern", IF($O968="GenProg-A", "Evolutionary Search", IF($O968="Hercules", "Learning Pattern", IF($O968="Jaid", "True Semantic",
IF($O968="Kali-A", "True Search", IF($O968="kPAR", "True Pattern", IF($O968="Nopol", "True Semantic", IF($O968="RSRepair-A", "Evolutionary Search", IF($O968="SequenceR", "Deep Learning", IF($O968="SimFix", "Search Like Pattern", IF($O968="SketchFix", "True Pattern", IF($O968="SOFix", "True Pattern", IF($O968="ssFix", "Search Like Pattern", IF($O968="TBar", "True Pattern", ""))))))))))))))))))))</f>
        <v>Search Like Pattern</v>
      </c>
      <c r="Q968" s="13" t="str">
        <f>IF(NOT(ISERR(SEARCH("*_Buggy",$A968))), "Buggy", IF(NOT(ISERR(SEARCH("*_Fixed",$A968))), "Fixed", IF(NOT(ISERR(SEARCH("*_Repaired",$A968))), "Repaired", "")))</f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v>1</v>
      </c>
      <c r="W968" s="13" t="str">
        <f>MID(A968, SEARCH("_", A968) +1, SEARCH("_", A968, SEARCH("_", A968) +1) - SEARCH("_", A968) -1)</f>
        <v>Math-41</v>
      </c>
    </row>
    <row r="969" spans="1:23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>LEFT($A969,FIND("_",$A969)-1)</f>
        <v>SimFix</v>
      </c>
      <c r="P969" s="13" t="str">
        <f>IF($O969="ACS", "True Search", IF($O969="Arja", "Evolutionary Search", IF($O969="AVATAR", "True Pattern", IF($O969="CapGen", "Search Like Pattern", IF($O969="Cardumen", "True Semantic", IF($O969="DynaMoth", "True Semantic", IF($O969="FixMiner", "True Pattern", IF($O969="GenProg-A", "Evolutionary Search", IF($O969="Hercules", "Learning Pattern", IF($O969="Jaid", "True Semantic",
IF($O969="Kali-A", "True Search", IF($O969="kPAR", "True Pattern", IF($O969="Nopol", "True Semantic", IF($O969="RSRepair-A", "Evolutionary Search", IF($O969="SequenceR", "Deep Learning", IF($O969="SimFix", "Search Like Pattern", IF($O969="SketchFix", "True Pattern", IF($O969="SOFix", "True Pattern", IF($O969="ssFix", "Search Like Pattern", IF($O969="TBar", "True Pattern", ""))))))))))))))))))))</f>
        <v>Search Like Pattern</v>
      </c>
      <c r="Q969" s="13" t="str">
        <f>IF(NOT(ISERR(SEARCH("*_Buggy",$A969))), "Buggy", IF(NOT(ISERR(SEARCH("*_Fixed",$A969))), "Fixed", IF(NOT(ISERR(SEARCH("*_Repaired",$A969))), "Repaired", "")))</f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v>3</v>
      </c>
      <c r="W969" s="13" t="str">
        <f>MID(A969, SEARCH("_", A969) +1, SEARCH("_", A969, SEARCH("_", A969) +1) - SEARCH("_", A969) -1)</f>
        <v>Math-43</v>
      </c>
    </row>
    <row r="970" spans="1:23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>LEFT($A970,FIND("_",$A970)-1)</f>
        <v>SimFix</v>
      </c>
      <c r="P970" s="13" t="str">
        <f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>IF(NOT(ISERR(SEARCH("*_Buggy",$A970))), "Buggy", IF(NOT(ISERR(SEARCH("*_Fixed",$A970))), "Fixed", IF(NOT(ISERR(SEARCH("*_Repaired",$A970))), "Repaired", "")))</f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v>1</v>
      </c>
      <c r="W970" s="13" t="str">
        <f>MID(A970, SEARCH("_", A970) +1, SEARCH("_", A970, SEARCH("_", A970) +1) - SEARCH("_", A970) -1)</f>
        <v>Math-5</v>
      </c>
    </row>
    <row r="971" spans="1:23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>LEFT($A971,FIND("_",$A971)-1)</f>
        <v>SimFix</v>
      </c>
      <c r="P971" s="13" t="str">
        <f>IF($O971="ACS", "True Search", IF($O971="Arja", "Evolutionary Search", IF($O971="AVATAR", "True Pattern", IF($O971="CapGen", "Search Like Pattern", IF($O971="Cardumen", "True Semantic", IF($O971="DynaMoth", "True Semantic", IF($O971="FixMiner", "True Pattern", IF($O971="GenProg-A", "Evolutionary Search", IF($O971="Hercules", "Learning Pattern", IF($O971="Jaid", "True Semantic",
IF($O971="Kali-A", "True Search", IF($O971="kPAR", "True Pattern", IF($O971="Nopol", "True Semantic", IF($O971="RSRepair-A", "Evolutionary Search", IF($O971="SequenceR", "Deep Learning", IF($O971="SimFix", "Search Like Pattern", IF($O971="SketchFix", "True Pattern", IF($O971="SOFix", "True Pattern", IF($O971="ssFix", "Search Like Pattern", IF($O971="TBar", "True Pattern", ""))))))))))))))))))))</f>
        <v>Search Like Pattern</v>
      </c>
      <c r="Q971" s="13" t="str">
        <f>IF(NOT(ISERR(SEARCH("*_Buggy",$A971))), "Buggy", IF(NOT(ISERR(SEARCH("*_Fixed",$A971))), "Fixed", IF(NOT(ISERR(SEARCH("*_Repaired",$A971))), "Repaired", "")))</f>
        <v>Fixed</v>
      </c>
      <c r="R971" s="13" t="s">
        <v>1669</v>
      </c>
      <c r="S971" s="25">
        <v>1</v>
      </c>
      <c r="T971" s="25">
        <v>0</v>
      </c>
      <c r="U971" s="13">
        <v>4</v>
      </c>
      <c r="V971" s="13">
        <v>4</v>
      </c>
      <c r="W971" s="13" t="str">
        <f>MID(A971, SEARCH("_", A971) +1, SEARCH("_", A971, SEARCH("_", A971) +1) - SEARCH("_", A971) -1)</f>
        <v>Math-50</v>
      </c>
    </row>
    <row r="972" spans="1:23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>LEFT($A972,FIND("_",$A972)-1)</f>
        <v>SimFix</v>
      </c>
      <c r="P972" s="13" t="str">
        <f>IF($O972="ACS", "True Search", IF($O972="Arja", "Evolutionary Search", IF($O972="AVATAR", "True Pattern", IF($O972="CapGen", "Search Like Pattern", IF($O972="Cardumen", "True Semantic", IF($O972="DynaMoth", "True Semantic", IF($O972="FixMiner", "True Pattern", IF($O972="GenProg-A", "Evolutionary Search", IF($O972="Hercules", "Learning Pattern", IF($O972="Jaid", "True Semantic",
IF($O972="Kali-A", "True Search", IF($O972="kPAR", "True Pattern", IF($O972="Nopol", "True Semantic", IF($O972="RSRepair-A", "Evolutionary Search", IF($O972="SequenceR", "Deep Learning", IF($O972="SimFix", "Search Like Pattern", IF($O972="SketchFix", "True Pattern", IF($O972="SOFix", "True Pattern", IF($O972="ssFix", "Search Like Pattern", IF($O972="TBar", "True Pattern", ""))))))))))))))))))))</f>
        <v>Search Like Pattern</v>
      </c>
      <c r="Q972" s="13" t="str">
        <f>IF(NOT(ISERR(SEARCH("*_Buggy",$A972))), "Buggy", IF(NOT(ISERR(SEARCH("*_Fixed",$A972))), "Fixed", IF(NOT(ISERR(SEARCH("*_Repaired",$A972))), "Repaired", "")))</f>
        <v>Fixed</v>
      </c>
      <c r="R972" s="13" t="s">
        <v>1668</v>
      </c>
      <c r="S972" s="25">
        <v>1</v>
      </c>
      <c r="T972" s="13">
        <v>3</v>
      </c>
      <c r="U972" s="25">
        <v>0</v>
      </c>
      <c r="V972" s="13">
        <v>3</v>
      </c>
      <c r="W972" s="13" t="str">
        <f>MID(A972, SEARCH("_", A972) +1, SEARCH("_", A972, SEARCH("_", A972) +1) - SEARCH("_", A972) -1)</f>
        <v>Math-53</v>
      </c>
    </row>
    <row r="973" spans="1:23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>LEFT($A973,FIND("_",$A973)-1)</f>
        <v>SimFix</v>
      </c>
      <c r="P973" s="13" t="str">
        <f>IF($O973="ACS", "True Search", IF($O973="Arja", "Evolutionary Search", IF($O973="AVATAR", "True Pattern", IF($O973="CapGen", "Search Like Pattern", IF($O973="Cardumen", "True Semantic", IF($O973="DynaMoth", "True Semantic", IF($O973="FixMiner", "True Pattern", IF($O973="GenProg-A", "Evolutionary Search", IF($O973="Hercules", "Learning Pattern", IF($O973="Jaid", "True Semantic",
IF($O973="Kali-A", "True Search", IF($O973="kPAR", "True Pattern", IF($O973="Nopol", "True Semantic", IF($O973="RSRepair-A", "Evolutionary Search", IF($O973="SequenceR", "Deep Learning", IF($O973="SimFix", "Search Like Pattern", IF($O973="SketchFix", "True Pattern", IF($O973="SOFix", "True Pattern", IF($O973="ssFix", "Search Like Pattern", IF($O973="TBar", "True Pattern", ""))))))))))))))))))))</f>
        <v>Search Like Pattern</v>
      </c>
      <c r="Q973" s="13" t="str">
        <f>IF(NOT(ISERR(SEARCH("*_Buggy",$A973))), "Buggy", IF(NOT(ISERR(SEARCH("*_Fixed",$A973))), "Fixed", IF(NOT(ISERR(SEARCH("*_Repaired",$A973))), "Repaired", "")))</f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v>1</v>
      </c>
      <c r="W973" s="13" t="str">
        <f>MID(A973, SEARCH("_", A973) +1, SEARCH("_", A973, SEARCH("_", A973) +1) - SEARCH("_", A973) -1)</f>
        <v>Math-57</v>
      </c>
    </row>
    <row r="974" spans="1:23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>LEFT($A974,FIND("_",$A974)-1)</f>
        <v>SimFix</v>
      </c>
      <c r="P974" s="13" t="str">
        <f>IF($O974="ACS", "True Search", IF($O974="Arja", "Evolutionary Search", IF($O974="AVATAR", "True Pattern", IF($O974="CapGen", "Search Like Pattern", IF($O974="Cardumen", "True Semantic", IF($O974="DynaMoth", "True Semantic", IF($O974="FixMiner", "True Pattern", IF($O974="GenProg-A", "Evolutionary Search", IF($O974="Hercules", "Learning Pattern", IF($O974="Jaid", "True Semantic",
IF($O974="Kali-A", "True Search", IF($O974="kPAR", "True Pattern", IF($O974="Nopol", "True Semantic", IF($O974="RSRepair-A", "Evolutionary Search", IF($O974="SequenceR", "Deep Learning", IF($O974="SimFix", "Search Like Pattern", IF($O974="SketchFix", "True Pattern", IF($O974="SOFix", "True Pattern", IF($O974="ssFix", "Search Like Pattern", IF($O974="TBar", "True Pattern", ""))))))))))))))))))))</f>
        <v>Search Like Pattern</v>
      </c>
      <c r="Q974" s="13" t="str">
        <f>IF(NOT(ISERR(SEARCH("*_Buggy",$A974))), "Buggy", IF(NOT(ISERR(SEARCH("*_Fixed",$A974))), "Fixed", IF(NOT(ISERR(SEARCH("*_Repaired",$A974))), "Repaired", "")))</f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v>1</v>
      </c>
      <c r="W974" s="13" t="str">
        <f>MID(A974, SEARCH("_", A974) +1, SEARCH("_", A974, SEARCH("_", A974) +1) - SEARCH("_", A974) -1)</f>
        <v>Math-59</v>
      </c>
    </row>
    <row r="975" spans="1:23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>LEFT($A975,FIND("_",$A975)-1)</f>
        <v>SimFix</v>
      </c>
      <c r="P975" s="13" t="str">
        <f>IF($O975="ACS", "True Search", IF($O975="Arja", "Evolutionary Search", IF($O975="AVATAR", "True Pattern", IF($O975="CapGen", "Search Like Pattern", IF($O975="Cardumen", "True Semantic", IF($O975="DynaMoth", "True Semantic", IF($O975="FixMiner", "True Pattern", IF($O975="GenProg-A", "Evolutionary Search", IF($O975="Hercules", "Learning Pattern", IF($O975="Jaid", "True Semantic",
IF($O975="Kali-A", "True Search", IF($O975="kPAR", "True Pattern", IF($O975="Nopol", "True Semantic", IF($O975="RSRepair-A", "Evolutionary Search", IF($O975="SequenceR", "Deep Learning", IF($O975="SimFix", "Search Like Pattern", IF($O975="SketchFix", "True Pattern", IF($O975="SOFix", "True Pattern", IF($O975="ssFix", "Search Like Pattern", IF($O975="TBar", "True Pattern", ""))))))))))))))))))))</f>
        <v>Search Like Pattern</v>
      </c>
      <c r="Q975" s="13" t="str">
        <f>IF(NOT(ISERR(SEARCH("*_Buggy",$A975))), "Buggy", IF(NOT(ISERR(SEARCH("*_Fixed",$A975))), "Fixed", IF(NOT(ISERR(SEARCH("*_Repaired",$A975))), "Repaired", "")))</f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v>1</v>
      </c>
      <c r="W975" s="13" t="str">
        <f>MID(A975, SEARCH("_", A975) +1, SEARCH("_", A975, SEARCH("_", A975) +1) - SEARCH("_", A975) -1)</f>
        <v>Math-63</v>
      </c>
    </row>
    <row r="976" spans="1:23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>LEFT($A976,FIND("_",$A976)-1)</f>
        <v>SimFix</v>
      </c>
      <c r="P976" s="13" t="str">
        <f>IF($O976="ACS", "True Search", IF($O976="Arja", "Evolutionary Search", IF($O976="AVATAR", "True Pattern", IF($O976="CapGen", "Search Like Pattern", IF($O976="Cardumen", "True Semantic", IF($O976="DynaMoth", "True Semantic", IF($O976="FixMiner", "True Pattern", IF($O976="GenProg-A", "Evolutionary Search", IF($O976="Hercules", "Learning Pattern", IF($O976="Jaid", "True Semantic",
IF($O976="Kali-A", "True Search", IF($O976="kPAR", "True Pattern", IF($O976="Nopol", "True Semantic", IF($O976="RSRepair-A", "Evolutionary Search", IF($O976="SequenceR", "Deep Learning", IF($O976="SimFix", "Search Like Pattern", IF($O976="SketchFix", "True Pattern", IF($O976="SOFix", "True Pattern", IF($O976="ssFix", "Search Like Pattern", IF($O976="TBar", "True Pattern", ""))))))))))))))))))))</f>
        <v>Search Like Pattern</v>
      </c>
      <c r="Q976" s="13" t="str">
        <f>IF(NOT(ISERR(SEARCH("*_Buggy",$A976))), "Buggy", IF(NOT(ISERR(SEARCH("*_Fixed",$A976))), "Fixed", IF(NOT(ISERR(SEARCH("*_Repaired",$A976))), "Repaired", "")))</f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v>1</v>
      </c>
      <c r="W976" s="13" t="str">
        <f>MID(A976, SEARCH("_", A976) +1, SEARCH("_", A976, SEARCH("_", A976) +1) - SEARCH("_", A976) -1)</f>
        <v>Math-69</v>
      </c>
    </row>
    <row r="977" spans="1:23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>LEFT($A977,FIND("_",$A977)-1)</f>
        <v>SimFix</v>
      </c>
      <c r="P977" s="13" t="str">
        <f>IF($O977="ACS", "True Search", IF($O977="Arja", "Evolutionary Search", IF($O977="AVATAR", "True Pattern", IF($O977="CapGen", "Search Like Pattern", IF($O977="Cardumen", "True Semantic", IF($O977="DynaMoth", "True Semantic", IF($O977="FixMiner", "True Pattern", IF($O977="GenProg-A", "Evolutionary Search", IF($O977="Hercules", "Learning Pattern", IF($O977="Jaid", "True Semantic",
IF($O977="Kali-A", "True Search", IF($O977="kPAR", "True Pattern", IF($O977="Nopol", "True Semantic", IF($O977="RSRepair-A", "Evolutionary Search", IF($O977="SequenceR", "Deep Learning", IF($O977="SimFix", "Search Like Pattern", IF($O977="SketchFix", "True Pattern", IF($O977="SOFix", "True Pattern", IF($O977="ssFix", "Search Like Pattern", IF($O977="TBar", "True Pattern", ""))))))))))))))))))))</f>
        <v>Search Like Pattern</v>
      </c>
      <c r="Q977" s="13" t="str">
        <f>IF(NOT(ISERR(SEARCH("*_Buggy",$A977))), "Buggy", IF(NOT(ISERR(SEARCH("*_Fixed",$A977))), "Fixed", IF(NOT(ISERR(SEARCH("*_Repaired",$A977))), "Repaired", "")))</f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v>1</v>
      </c>
      <c r="W977" s="13" t="str">
        <f>MID(A977, SEARCH("_", A977) +1, SEARCH("_", A977, SEARCH("_", A977) +1) - SEARCH("_", A977) -1)</f>
        <v>Math-70</v>
      </c>
    </row>
    <row r="978" spans="1:23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>LEFT($A978,FIND("_",$A978)-1)</f>
        <v>SimFix</v>
      </c>
      <c r="P978" s="13" t="str">
        <f>IF($O978="ACS", "True Search", IF($O978="Arja", "Evolutionary Search", IF($O978="AVATAR", "True Pattern", IF($O978="CapGen", "Search Like Pattern", IF($O978="Cardumen", "True Semantic", IF($O978="DynaMoth", "True Semantic", IF($O978="FixMiner", "True Pattern", IF($O978="GenProg-A", "Evolutionary Search", IF($O978="Hercules", "Learning Pattern", IF($O978="Jaid", "True Semantic",
IF($O978="Kali-A", "True Search", IF($O978="kPAR", "True Pattern", IF($O978="Nopol", "True Semantic", IF($O978="RSRepair-A", "Evolutionary Search", IF($O978="SequenceR", "Deep Learning", IF($O978="SimFix", "Search Like Pattern", IF($O978="SketchFix", "True Pattern", IF($O978="SOFix", "True Pattern", IF($O978="ssFix", "Search Like Pattern", IF($O978="TBar", "True Pattern", ""))))))))))))))))))))</f>
        <v>Search Like Pattern</v>
      </c>
      <c r="Q978" s="13" t="str">
        <f>IF(NOT(ISERR(SEARCH("*_Buggy",$A978))), "Buggy", IF(NOT(ISERR(SEARCH("*_Fixed",$A978))), "Fixed", IF(NOT(ISERR(SEARCH("*_Repaired",$A978))), "Repaired", "")))</f>
        <v>Fixed</v>
      </c>
      <c r="R978" s="13" t="s">
        <v>1668</v>
      </c>
      <c r="S978" s="25">
        <v>1</v>
      </c>
      <c r="T978" s="13">
        <v>3</v>
      </c>
      <c r="U978" s="25">
        <v>0</v>
      </c>
      <c r="V978" s="13">
        <v>3</v>
      </c>
      <c r="W978" s="13" t="str">
        <f>MID(A978, SEARCH("_", A978) +1, SEARCH("_", A978, SEARCH("_", A978) +1) - SEARCH("_", A978) -1)</f>
        <v>Math-71</v>
      </c>
    </row>
    <row r="979" spans="1:23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>LEFT($A979,FIND("_",$A979)-1)</f>
        <v>SimFix</v>
      </c>
      <c r="P979" s="13" t="str">
        <f>IF($O979="ACS", "True Search", IF($O979="Arja", "Evolutionary Search", IF($O979="AVATAR", "True Pattern", IF($O979="CapGen", "Search Like Pattern", IF($O979="Cardumen", "True Semantic", IF($O979="DynaMoth", "True Semantic", IF($O979="FixMiner", "True Pattern", IF($O979="GenProg-A", "Evolutionary Search", IF($O979="Hercules", "Learning Pattern", IF($O979="Jaid", "True Semantic",
IF($O979="Kali-A", "True Search", IF($O979="kPAR", "True Pattern", IF($O979="Nopol", "True Semantic", IF($O979="RSRepair-A", "Evolutionary Search", IF($O979="SequenceR", "Deep Learning", IF($O979="SimFix", "Search Like Pattern", IF($O979="SketchFix", "True Pattern", IF($O979="SOFix", "True Pattern", IF($O979="ssFix", "Search Like Pattern", IF($O979="TBar", "True Pattern", ""))))))))))))))))))))</f>
        <v>Search Like Pattern</v>
      </c>
      <c r="Q979" s="13" t="str">
        <f>IF(NOT(ISERR(SEARCH("*_Buggy",$A979))), "Buggy", IF(NOT(ISERR(SEARCH("*_Fixed",$A979))), "Fixed", IF(NOT(ISERR(SEARCH("*_Repaired",$A979))), "Repaired", "")))</f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v>2</v>
      </c>
      <c r="W979" s="13" t="str">
        <f>MID(A979, SEARCH("_", A979) +1, SEARCH("_", A979, SEARCH("_", A979) +1) - SEARCH("_", A979) -1)</f>
        <v>Math-72</v>
      </c>
    </row>
    <row r="980" spans="1:23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>LEFT($A980,FIND("_",$A980)-1)</f>
        <v>SimFix</v>
      </c>
      <c r="P980" s="13" t="str">
        <f>IF($O980="ACS", "True Search", IF($O980="Arja", "Evolutionary Search", IF($O980="AVATAR", "True Pattern", IF($O980="CapGen", "Search Like Pattern", IF($O980="Cardumen", "True Semantic", IF($O980="DynaMoth", "True Semantic", IF($O980="FixMiner", "True Pattern", IF($O980="GenProg-A", "Evolutionary Search", IF($O980="Hercules", "Learning Pattern", IF($O980="Jaid", "True Semantic",
IF($O980="Kali-A", "True Search", IF($O980="kPAR", "True Pattern", IF($O980="Nopol", "True Semantic", IF($O980="RSRepair-A", "Evolutionary Search", IF($O980="SequenceR", "Deep Learning", IF($O980="SimFix", "Search Like Pattern", IF($O980="SketchFix", "True Pattern", IF($O980="SOFix", "True Pattern", IF($O980="ssFix", "Search Like Pattern", IF($O980="TBar", "True Pattern", ""))))))))))))))))))))</f>
        <v>Search Like Pattern</v>
      </c>
      <c r="Q980" s="13" t="str">
        <f>IF(NOT(ISERR(SEARCH("*_Buggy",$A980))), "Buggy", IF(NOT(ISERR(SEARCH("*_Fixed",$A980))), "Fixed", IF(NOT(ISERR(SEARCH("*_Repaired",$A980))), "Repaired", "")))</f>
        <v>Fixed</v>
      </c>
      <c r="R980" s="13" t="s">
        <v>1669</v>
      </c>
      <c r="S980" s="25">
        <v>1</v>
      </c>
      <c r="T980" s="13">
        <v>4</v>
      </c>
      <c r="U980" s="25">
        <v>0</v>
      </c>
      <c r="V980" s="13">
        <v>4</v>
      </c>
      <c r="W980" s="13" t="str">
        <f>MID(A980, SEARCH("_", A980) +1, SEARCH("_", A980, SEARCH("_", A980) +1) - SEARCH("_", A980) -1)</f>
        <v>Math-73</v>
      </c>
    </row>
    <row r="981" spans="1:23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>LEFT($A981,FIND("_",$A981)-1)</f>
        <v>SimFix</v>
      </c>
      <c r="P981" s="13" t="str">
        <f>IF($O981="ACS", "True Search", IF($O981="Arja", "Evolutionary Search", IF($O981="AVATAR", "True Pattern", IF($O981="CapGen", "Search Like Pattern", IF($O981="Cardumen", "True Semantic", IF($O981="DynaMoth", "True Semantic", IF($O981="FixMiner", "True Pattern", IF($O981="GenProg-A", "Evolutionary Search", IF($O981="Hercules", "Learning Pattern", IF($O981="Jaid", "True Semantic",
IF($O981="Kali-A", "True Search", IF($O981="kPAR", "True Pattern", IF($O981="Nopol", "True Semantic", IF($O981="RSRepair-A", "Evolutionary Search", IF($O981="SequenceR", "Deep Learning", IF($O981="SimFix", "Search Like Pattern", IF($O981="SketchFix", "True Pattern", IF($O981="SOFix", "True Pattern", IF($O981="ssFix", "Search Like Pattern", IF($O981="TBar", "True Pattern", ""))))))))))))))))))))</f>
        <v>Search Like Pattern</v>
      </c>
      <c r="Q981" s="13" t="str">
        <f>IF(NOT(ISERR(SEARCH("*_Buggy",$A981))), "Buggy", IF(NOT(ISERR(SEARCH("*_Fixed",$A981))), "Fixed", IF(NOT(ISERR(SEARCH("*_Repaired",$A981))), "Repaired", "")))</f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v>1</v>
      </c>
      <c r="W981" s="13" t="str">
        <f>MID(A981, SEARCH("_", A981) +1, SEARCH("_", A981, SEARCH("_", A981) +1) - SEARCH("_", A981) -1)</f>
        <v>Math-75</v>
      </c>
    </row>
    <row r="982" spans="1:23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>LEFT($A982,FIND("_",$A982)-1)</f>
        <v>SimFix</v>
      </c>
      <c r="P982" s="13" t="str">
        <f>IF($O982="ACS", "True Search", IF($O982="Arja", "Evolutionary Search", IF($O982="AVATAR", "True Pattern", IF($O982="CapGen", "Search Like Pattern", IF($O982="Cardumen", "True Semantic", IF($O982="DynaMoth", "True Semantic", IF($O982="FixMiner", "True Pattern", IF($O982="GenProg-A", "Evolutionary Search", IF($O982="Hercules", "Learning Pattern", IF($O982="Jaid", "True Semantic",
IF($O982="Kali-A", "True Search", IF($O982="kPAR", "True Pattern", IF($O982="Nopol", "True Semantic", IF($O982="RSRepair-A", "Evolutionary Search", IF($O982="SequenceR", "Deep Learning", IF($O982="SimFix", "Search Like Pattern", IF($O982="SketchFix", "True Pattern", IF($O982="SOFix", "True Pattern", IF($O982="ssFix", "Search Like Pattern", IF($O982="TBar", "True Pattern", ""))))))))))))))))))))</f>
        <v>Search Like Pattern</v>
      </c>
      <c r="Q982" s="13" t="str">
        <f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v>2</v>
      </c>
      <c r="W982" s="13" t="str">
        <f>MID(A982, SEARCH("_", A982) +1, SEARCH("_", A982, SEARCH("_", A982) +1) - SEARCH("_", A982) -1)</f>
        <v>Math-79</v>
      </c>
    </row>
    <row r="983" spans="1:23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>LEFT($A983,FIND("_",$A983)-1)</f>
        <v>SimFix</v>
      </c>
      <c r="P983" s="13" t="str">
        <f>IF($O983="ACS", "True Search", IF($O983="Arja", "Evolutionary Search", IF($O983="AVATAR", "True Pattern", IF($O983="CapGen", "Search Like Pattern", IF($O983="Cardumen", "True Semantic", IF($O983="DynaMoth", "True Semantic", IF($O983="FixMiner", "True Pattern", IF($O983="GenProg-A", "Evolutionary Search", IF($O983="Hercules", "Learning Pattern", IF($O983="Jaid", "True Semantic",
IF($O983="Kali-A", "True Search", IF($O983="kPAR", "True Pattern", IF($O983="Nopol", "True Semantic", IF($O983="RSRepair-A", "Evolutionary Search", IF($O983="SequenceR", "Deep Learning", IF($O983="SimFix", "Search Like Pattern", IF($O983="SketchFix", "True Pattern", IF($O983="SOFix", "True Pattern", IF($O983="ssFix", "Search Like Pattern", IF($O983="TBar", "True Pattern", ""))))))))))))))))))))</f>
        <v>Search Like Pattern</v>
      </c>
      <c r="Q983" s="13" t="str">
        <f>IF(NOT(ISERR(SEARCH("*_Buggy",$A983))), "Buggy", IF(NOT(ISERR(SEARCH("*_Fixed",$A983))), "Fixed", IF(NOT(ISERR(SEARCH("*_Repaired",$A983))), "Repaired", "")))</f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v>2</v>
      </c>
      <c r="W983" s="13" t="str">
        <f>MID(A983, SEARCH("_", A983) +1, SEARCH("_", A983, SEARCH("_", A983) +1) - SEARCH("_", A983) -1)</f>
        <v>Math-8</v>
      </c>
    </row>
    <row r="984" spans="1:23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>LEFT($A984,FIND("_",$A984)-1)</f>
        <v>SimFix</v>
      </c>
      <c r="P984" s="13" t="str">
        <f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>IF(NOT(ISERR(SEARCH("*_Buggy",$A984))), "Buggy", IF(NOT(ISERR(SEARCH("*_Fixed",$A984))), "Fixed", IF(NOT(ISERR(SEARCH("*_Repaired",$A984))), "Repaired", "")))</f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v>1</v>
      </c>
      <c r="W984" s="13" t="str">
        <f>MID(A984, SEARCH("_", A984) +1, SEARCH("_", A984, SEARCH("_", A984) +1) - SEARCH("_", A984) -1)</f>
        <v>Math-80</v>
      </c>
    </row>
    <row r="985" spans="1:23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>LEFT($A985,FIND("_",$A985)-1)</f>
        <v>SimFix</v>
      </c>
      <c r="P985" s="13" t="str">
        <f>IF($O985="ACS", "True Search", IF($O985="Arja", "Evolutionary Search", IF($O985="AVATAR", "True Pattern", IF($O985="CapGen", "Search Like Pattern", IF($O985="Cardumen", "True Semantic", IF($O985="DynaMoth", "True Semantic", IF($O985="FixMiner", "True Pattern", IF($O985="GenProg-A", "Evolutionary Search", IF($O985="Hercules", "Learning Pattern", IF($O985="Jaid", "True Semantic",
IF($O985="Kali-A", "True Search", IF($O985="kPAR", "True Pattern", IF($O985="Nopol", "True Semantic", IF($O985="RSRepair-A", "Evolutionary Search", IF($O985="SequenceR", "Deep Learning", IF($O985="SimFix", "Search Like Pattern", IF($O985="SketchFix", "True Pattern", IF($O985="SOFix", "True Pattern", IF($O985="ssFix", "Search Like Pattern", IF($O985="TBar", "True Pattern", ""))))))))))))))))))))</f>
        <v>Search Like Pattern</v>
      </c>
      <c r="Q985" s="13" t="str">
        <f>IF(NOT(ISERR(SEARCH("*_Buggy",$A985))), "Buggy", IF(NOT(ISERR(SEARCH("*_Fixed",$A985))), "Fixed", IF(NOT(ISERR(SEARCH("*_Repaired",$A985))), "Repaired", "")))</f>
        <v>Fixed</v>
      </c>
      <c r="R985" s="13" t="s">
        <v>1669</v>
      </c>
      <c r="S985" s="25">
        <v>3</v>
      </c>
      <c r="T985" s="25">
        <v>4</v>
      </c>
      <c r="U985" s="25">
        <v>3</v>
      </c>
      <c r="V985" s="13">
        <v>4</v>
      </c>
      <c r="W985" s="13" t="str">
        <f>MID(A985, SEARCH("_", A985) +1, SEARCH("_", A985, SEARCH("_", A985) +1) - SEARCH("_", A985) -1)</f>
        <v>Math-81</v>
      </c>
    </row>
    <row r="986" spans="1:23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>LEFT($A986,FIND("_",$A986)-1)</f>
        <v>SimFix</v>
      </c>
      <c r="P986" s="13" t="str">
        <f>IF($O986="ACS", "True Search", IF($O986="Arja", "Evolutionary Search", IF($O986="AVATAR", "True Pattern", IF($O986="CapGen", "Search Like Pattern", IF($O986="Cardumen", "True Semantic", IF($O986="DynaMoth", "True Semantic", IF($O986="FixMiner", "True Pattern", IF($O986="GenProg-A", "Evolutionary Search", IF($O986="Hercules", "Learning Pattern", IF($O986="Jaid", "True Semantic",
IF($O986="Kali-A", "True Search", IF($O986="kPAR", "True Pattern", IF($O986="Nopol", "True Semantic", IF($O986="RSRepair-A", "Evolutionary Search", IF($O986="SequenceR", "Deep Learning", IF($O986="SimFix", "Search Like Pattern", IF($O986="SketchFix", "True Pattern", IF($O986="SOFix", "True Pattern", IF($O986="ssFix", "Search Like Pattern", IF($O986="TBar", "True Pattern", ""))))))))))))))))))))</f>
        <v>Search Like Pattern</v>
      </c>
      <c r="Q986" s="13" t="str">
        <f>IF(NOT(ISERR(SEARCH("*_Buggy",$A986))), "Buggy", IF(NOT(ISERR(SEARCH("*_Fixed",$A986))), "Fixed", IF(NOT(ISERR(SEARCH("*_Repaired",$A986))), "Repaired", "")))</f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v>1</v>
      </c>
      <c r="W986" s="13" t="str">
        <f>MID(A986, SEARCH("_", A986) +1, SEARCH("_", A986, SEARCH("_", A986) +1) - SEARCH("_", A986) -1)</f>
        <v>Math-82</v>
      </c>
    </row>
    <row r="987" spans="1:23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>LEFT($A987,FIND("_",$A987)-1)</f>
        <v>SimFix</v>
      </c>
      <c r="P987" s="13" t="str">
        <f>IF($O987="ACS", "True Search", IF($O987="Arja", "Evolutionary Search", IF($O987="AVATAR", "True Pattern", IF($O987="CapGen", "Search Like Pattern", IF($O987="Cardumen", "True Semantic", IF($O987="DynaMoth", "True Semantic", IF($O987="FixMiner", "True Pattern", IF($O987="GenProg-A", "Evolutionary Search", IF($O987="Hercules", "Learning Pattern", IF($O987="Jaid", "True Semantic",
IF($O987="Kali-A", "True Search", IF($O987="kPAR", "True Pattern", IF($O987="Nopol", "True Semantic", IF($O987="RSRepair-A", "Evolutionary Search", IF($O987="SequenceR", "Deep Learning", IF($O987="SimFix", "Search Like Pattern", IF($O987="SketchFix", "True Pattern", IF($O987="SOFix", "True Pattern", IF($O987="ssFix", "Search Like Pattern", IF($O987="TBar", "True Pattern", ""))))))))))))))))))))</f>
        <v>Search Like Pattern</v>
      </c>
      <c r="Q987" s="13" t="str">
        <f>IF(NOT(ISERR(SEARCH("*_Buggy",$A987))), "Buggy", IF(NOT(ISERR(SEARCH("*_Fixed",$A987))), "Fixed", IF(NOT(ISERR(SEARCH("*_Repaired",$A987))), "Repaired", "")))</f>
        <v>Fixed</v>
      </c>
      <c r="R987" s="13" t="s">
        <v>1669</v>
      </c>
      <c r="S987" s="25">
        <v>3</v>
      </c>
      <c r="T987" s="13">
        <v>9</v>
      </c>
      <c r="U987" s="25">
        <v>0</v>
      </c>
      <c r="V987" s="13">
        <v>9</v>
      </c>
      <c r="W987" s="13" t="str">
        <f>MID(A987, SEARCH("_", A987) +1, SEARCH("_", A987, SEARCH("_", A987) +1) - SEARCH("_", A987) -1)</f>
        <v>Math-84</v>
      </c>
    </row>
    <row r="988" spans="1:23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>LEFT($A988,FIND("_",$A988)-1)</f>
        <v>SimFix</v>
      </c>
      <c r="P988" s="13" t="str">
        <f>IF($O988="ACS", "True Search", IF($O988="Arja", "Evolutionary Search", IF($O988="AVATAR", "True Pattern", IF($O988="CapGen", "Search Like Pattern", IF($O988="Cardumen", "True Semantic", IF($O988="DynaMoth", "True Semantic", IF($O988="FixMiner", "True Pattern", IF($O988="GenProg-A", "Evolutionary Search", IF($O988="Hercules", "Learning Pattern", IF($O988="Jaid", "True Semantic",
IF($O988="Kali-A", "True Search", IF($O988="kPAR", "True Pattern", IF($O988="Nopol", "True Semantic", IF($O988="RSRepair-A", "Evolutionary Search", IF($O988="SequenceR", "Deep Learning", IF($O988="SimFix", "Search Like Pattern", IF($O988="SketchFix", "True Pattern", IF($O988="SOFix", "True Pattern", IF($O988="ssFix", "Search Like Pattern", IF($O988="TBar", "True Pattern", ""))))))))))))))))))))</f>
        <v>Search Like Pattern</v>
      </c>
      <c r="Q988" s="13" t="str">
        <f>IF(NOT(ISERR(SEARCH("*_Buggy",$A988))), "Buggy", IF(NOT(ISERR(SEARCH("*_Fixed",$A988))), "Fixed", IF(NOT(ISERR(SEARCH("*_Repaired",$A988))), "Repaired", "")))</f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v>1</v>
      </c>
      <c r="W988" s="13" t="str">
        <f>MID(A988, SEARCH("_", A988) +1, SEARCH("_", A988, SEARCH("_", A988) +1) - SEARCH("_", A988) -1)</f>
        <v>Math-85</v>
      </c>
    </row>
    <row r="989" spans="1:23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>LEFT($A989,FIND("_",$A989)-1)</f>
        <v>TBar</v>
      </c>
      <c r="P989" s="13" t="str">
        <f>IF($O989="ACS", "True Search", IF($O989="Arja", "Evolutionary Search", IF($O989="AVATAR", "True Pattern", IF($O989="CapGen", "Search Like Pattern", IF($O989="Cardumen", "True Semantic", IF($O989="DynaMoth", "True Semantic", IF($O989="FixMiner", "True Pattern", IF($O989="GenProg-A", "Evolutionary Search", IF($O989="Hercules", "Learning Pattern", IF($O989="Jaid", "True Semantic",
IF($O989="Kali-A", "True Search", IF($O989="kPAR", "True Pattern", IF($O989="Nopol", "True Semantic", IF($O989="RSRepair-A", "Evolutionary Search", IF($O989="SequenceR", "Deep Learning", IF($O989="SimFix", "Search Like Pattern", IF($O989="SketchFix", "True Pattern", IF($O989="SOFix", "True Pattern", IF($O989="ssFix", "Search Like Pattern", IF($O989="TBar", "True Pattern", ""))))))))))))))))))))</f>
        <v>True Pattern</v>
      </c>
      <c r="Q989" s="13" t="str">
        <f>IF(NOT(ISERR(SEARCH("*_Buggy",$A989))), "Buggy", IF(NOT(ISERR(SEARCH("*_Fixed",$A989))), "Fixed", IF(NOT(ISERR(SEARCH("*_Repaired",$A989))), "Repaired", "")))</f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v>1</v>
      </c>
      <c r="W989" s="13" t="str">
        <f>MID(A989, SEARCH("_", A989) +1, SEARCH("_", A989, SEARCH("_", A989) +1) - SEARCH("_", A989) -1)</f>
        <v>Chart-1</v>
      </c>
    </row>
    <row r="990" spans="1:23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>LEFT($A990,FIND("_",$A990)-1)</f>
        <v>TBar</v>
      </c>
      <c r="P990" s="13" t="str">
        <f>IF($O990="ACS", "True Search", IF($O990="Arja", "Evolutionary Search", IF($O990="AVATAR", "True Pattern", IF($O990="CapGen", "Search Like Pattern", IF($O990="Cardumen", "True Semantic", IF($O990="DynaMoth", "True Semantic", IF($O990="FixMiner", "True Pattern", IF($O990="GenProg-A", "Evolutionary Search", IF($O990="Hercules", "Learning Pattern", IF($O990="Jaid", "True Semantic",
IF($O990="Kali-A", "True Search", IF($O990="kPAR", "True Pattern", IF($O990="Nopol", "True Semantic", IF($O990="RSRepair-A", "Evolutionary Search", IF($O990="SequenceR", "Deep Learning", IF($O990="SimFix", "Search Like Pattern", IF($O990="SketchFix", "True Pattern", IF($O990="SOFix", "True Pattern", IF($O990="ssFix", "Search Like Pattern", IF($O990="TBar", "True Pattern", ""))))))))))))))))))))</f>
        <v>True Pattern</v>
      </c>
      <c r="Q990" s="13" t="str">
        <f>IF(NOT(ISERR(SEARCH("*_Buggy",$A990))), "Buggy", IF(NOT(ISERR(SEARCH("*_Fixed",$A990))), "Fixed", IF(NOT(ISERR(SEARCH("*_Repaired",$A990))), "Repaired", "")))</f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v>1</v>
      </c>
      <c r="W990" s="13" t="str">
        <f>MID(A990, SEARCH("_", A990) +1, SEARCH("_", A990, SEARCH("_", A990) +1) - SEARCH("_", A990) -1)</f>
        <v>Chart-11</v>
      </c>
    </row>
    <row r="991" spans="1:23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>LEFT($A991,FIND("_",$A991)-1)</f>
        <v>TBar</v>
      </c>
      <c r="P991" s="13" t="str">
        <f>IF($O991="ACS", "True Search", IF($O991="Arja", "Evolutionary Search", IF($O991="AVATAR", "True Pattern", IF($O991="CapGen", "Search Like Pattern", IF($O991="Cardumen", "True Semantic", IF($O991="DynaMoth", "True Semantic", IF($O991="FixMiner", "True Pattern", IF($O991="GenProg-A", "Evolutionary Search", IF($O991="Hercules", "Learning Pattern", IF($O991="Jaid", "True Semantic",
IF($O991="Kali-A", "True Search", IF($O991="kPAR", "True Pattern", IF($O991="Nopol", "True Semantic", IF($O991="RSRepair-A", "Evolutionary Search", IF($O991="SequenceR", "Deep Learning", IF($O991="SimFix", "Search Like Pattern", IF($O991="SketchFix", "True Pattern", IF($O991="SOFix", "True Pattern", IF($O991="ssFix", "Search Like Pattern", IF($O991="TBar", "True Pattern", ""))))))))))))))))))))</f>
        <v>True Pattern</v>
      </c>
      <c r="Q991" s="13" t="str">
        <f>IF(NOT(ISERR(SEARCH("*_Buggy",$A991))), "Buggy", IF(NOT(ISERR(SEARCH("*_Fixed",$A991))), "Fixed", IF(NOT(ISERR(SEARCH("*_Repaired",$A991))), "Repaired", "")))</f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v>1</v>
      </c>
      <c r="W991" s="13" t="str">
        <f>MID(A991, SEARCH("_", A991) +1, SEARCH("_", A991, SEARCH("_", A991) +1) - SEARCH("_", A991) -1)</f>
        <v>Chart-12</v>
      </c>
    </row>
    <row r="992" spans="1:23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>LEFT($A992,FIND("_",$A992)-1)</f>
        <v>TBar</v>
      </c>
      <c r="P992" s="13" t="str">
        <f>IF($O992="ACS", "True Search", IF($O992="Arja", "Evolutionary Search", IF($O992="AVATAR", "True Pattern", IF($O992="CapGen", "Search Like Pattern", IF($O992="Cardumen", "True Semantic", IF($O992="DynaMoth", "True Semantic", IF($O992="FixMiner", "True Pattern", IF($O992="GenProg-A", "Evolutionary Search", IF($O992="Hercules", "Learning Pattern", IF($O992="Jaid", "True Semantic",
IF($O992="Kali-A", "True Search", IF($O992="kPAR", "True Pattern", IF($O992="Nopol", "True Semantic", IF($O992="RSRepair-A", "Evolutionary Search", IF($O992="SequenceR", "Deep Learning", IF($O992="SimFix", "Search Like Pattern", IF($O992="SketchFix", "True Pattern", IF($O992="SOFix", "True Pattern", IF($O992="ssFix", "Search Like Pattern", IF($O992="TBar", "True Pattern", ""))))))))))))))))))))</f>
        <v>True Pattern</v>
      </c>
      <c r="Q992" s="13" t="str">
        <f>IF(NOT(ISERR(SEARCH("*_Buggy",$A992))), "Buggy", IF(NOT(ISERR(SEARCH("*_Fixed",$A992))), "Fixed", IF(NOT(ISERR(SEARCH("*_Repaired",$A992))), "Repaired", "")))</f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v>1</v>
      </c>
      <c r="W992" s="13" t="str">
        <f>MID(A992, SEARCH("_", A992) +1, SEARCH("_", A992, SEARCH("_", A992) +1) - SEARCH("_", A992) -1)</f>
        <v>Chart-13</v>
      </c>
    </row>
    <row r="993" spans="1:23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>LEFT($A993,FIND("_",$A993)-1)</f>
        <v>TBar</v>
      </c>
      <c r="P993" s="13" t="str">
        <f>IF($O993="ACS", "True Search", IF($O993="Arja", "Evolutionary Search", IF($O993="AVATAR", "True Pattern", IF($O993="CapGen", "Search Like Pattern", IF($O993="Cardumen", "True Semantic", IF($O993="DynaMoth", "True Semantic", IF($O993="FixMiner", "True Pattern", IF($O993="GenProg-A", "Evolutionary Search", IF($O993="Hercules", "Learning Pattern", IF($O993="Jaid", "True Semantic",
IF($O993="Kali-A", "True Search", IF($O993="kPAR", "True Pattern", IF($O993="Nopol", "True Semantic", IF($O993="RSRepair-A", "Evolutionary Search", IF($O993="SequenceR", "Deep Learning", IF($O993="SimFix", "Search Like Pattern", IF($O993="SketchFix", "True Pattern", IF($O993="SOFix", "True Pattern", IF($O993="ssFix", "Search Like Pattern", IF($O993="TBar", "True Pattern", ""))))))))))))))))))))</f>
        <v>True Pattern</v>
      </c>
      <c r="Q993" s="13" t="str">
        <f>IF(NOT(ISERR(SEARCH("*_Buggy",$A993))), "Buggy", IF(NOT(ISERR(SEARCH("*_Fixed",$A993))), "Fixed", IF(NOT(ISERR(SEARCH("*_Repaired",$A993))), "Repaired", "")))</f>
        <v>Fixed</v>
      </c>
      <c r="R993" s="13" t="s">
        <v>1668</v>
      </c>
      <c r="S993" s="25">
        <v>2</v>
      </c>
      <c r="T993" s="13">
        <v>6</v>
      </c>
      <c r="U993" s="25">
        <v>0</v>
      </c>
      <c r="V993" s="13">
        <v>6</v>
      </c>
      <c r="W993" s="13" t="str">
        <f>MID(A993, SEARCH("_", A993) +1, SEARCH("_", A993, SEARCH("_", A993) +1) - SEARCH("_", A993) -1)</f>
        <v>Chart-19</v>
      </c>
    </row>
    <row r="994" spans="1:23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>LEFT($A994,FIND("_",$A994)-1)</f>
        <v>TBar</v>
      </c>
      <c r="P994" s="13" t="str">
        <f>IF($O994="ACS", "True Search", IF($O994="Arja", "Evolutionary Search", IF($O994="AVATAR", "True Pattern", IF($O994="CapGen", "Search Like Pattern", IF($O994="Cardumen", "True Semantic", IF($O994="DynaMoth", "True Semantic", IF($O994="FixMiner", "True Pattern", IF($O994="GenProg-A", "Evolutionary Search", IF($O994="Hercules", "Learning Pattern", IF($O994="Jaid", "True Semantic",
IF($O994="Kali-A", "True Search", IF($O994="kPAR", "True Pattern", IF($O994="Nopol", "True Semantic", IF($O994="RSRepair-A", "Evolutionary Search", IF($O994="SequenceR", "Deep Learning", IF($O994="SimFix", "Search Like Pattern", IF($O994="SketchFix", "True Pattern", IF($O994="SOFix", "True Pattern", IF($O994="ssFix", "Search Like Pattern", IF($O994="TBar", "True Pattern", ""))))))))))))))))))))</f>
        <v>True Pattern</v>
      </c>
      <c r="Q994" s="13" t="str">
        <f>IF(NOT(ISERR(SEARCH("*_Buggy",$A994))), "Buggy", IF(NOT(ISERR(SEARCH("*_Fixed",$A994))), "Fixed", IF(NOT(ISERR(SEARCH("*_Repaired",$A994))), "Repaired", "")))</f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v>1</v>
      </c>
      <c r="W994" s="13" t="str">
        <f>MID(A994, SEARCH("_", A994) +1, SEARCH("_", A994, SEARCH("_", A994) +1) - SEARCH("_", A994) -1)</f>
        <v>Chart-20</v>
      </c>
    </row>
    <row r="995" spans="1:23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>LEFT($A995,FIND("_",$A995)-1)</f>
        <v>TBar</v>
      </c>
      <c r="P995" s="13" t="str">
        <f>IF($O995="ACS", "True Search", IF($O995="Arja", "Evolutionary Search", IF($O995="AVATAR", "True Pattern", IF($O995="CapGen", "Search Like Pattern", IF($O995="Cardumen", "True Semantic", IF($O995="DynaMoth", "True Semantic", IF($O995="FixMiner", "True Pattern", IF($O995="GenProg-A", "Evolutionary Search", IF($O995="Hercules", "Learning Pattern", IF($O995="Jaid", "True Semantic",
IF($O995="Kali-A", "True Search", IF($O995="kPAR", "True Pattern", IF($O995="Nopol", "True Semantic", IF($O995="RSRepair-A", "Evolutionary Search", IF($O995="SequenceR", "Deep Learning", IF($O995="SimFix", "Search Like Pattern", IF($O995="SketchFix", "True Pattern", IF($O995="SOFix", "True Pattern", IF($O995="ssFix", "Search Like Pattern", IF($O995="TBar", "True Pattern", ""))))))))))))))))))))</f>
        <v>True Pattern</v>
      </c>
      <c r="Q995" s="13" t="str">
        <f>IF(NOT(ISERR(SEARCH("*_Buggy",$A995))), "Buggy", IF(NOT(ISERR(SEARCH("*_Fixed",$A995))), "Fixed", IF(NOT(ISERR(SEARCH("*_Repaired",$A995))), "Repaired", "")))</f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v>1</v>
      </c>
      <c r="W995" s="13" t="str">
        <f>MID(A995, SEARCH("_", A995) +1, SEARCH("_", A995, SEARCH("_", A995) +1) - SEARCH("_", A995) -1)</f>
        <v>Chart-24</v>
      </c>
    </row>
    <row r="996" spans="1:23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>LEFT($A996,FIND("_",$A996)-1)</f>
        <v>TBar</v>
      </c>
      <c r="P996" s="13" t="str">
        <f>IF($O996="ACS", "True Search", IF($O996="Arja", "Evolutionary Search", IF($O996="AVATAR", "True Pattern", IF($O996="CapGen", "Search Like Pattern", IF($O996="Cardumen", "True Semantic", IF($O996="DynaMoth", "True Semantic", IF($O996="FixMiner", "True Pattern", IF($O996="GenProg-A", "Evolutionary Search", IF($O996="Hercules", "Learning Pattern", IF($O996="Jaid", "True Semantic",
IF($O996="Kali-A", "True Search", IF($O996="kPAR", "True Pattern", IF($O996="Nopol", "True Semantic", IF($O996="RSRepair-A", "Evolutionary Search", IF($O996="SequenceR", "Deep Learning", IF($O996="SimFix", "Search Like Pattern", IF($O996="SketchFix", "True Pattern", IF($O996="SOFix", "True Pattern", IF($O996="ssFix", "Search Like Pattern", IF($O996="TBar", "True Pattern", ""))))))))))))))))))))</f>
        <v>True Pattern</v>
      </c>
      <c r="Q996" s="13" t="str">
        <f>IF(NOT(ISERR(SEARCH("*_Buggy",$A996))), "Buggy", IF(NOT(ISERR(SEARCH("*_Fixed",$A996))), "Fixed", IF(NOT(ISERR(SEARCH("*_Repaired",$A996))), "Repaired", "")))</f>
        <v>Fixed</v>
      </c>
      <c r="R996" s="13" t="s">
        <v>1669</v>
      </c>
      <c r="S996" s="25">
        <v>6</v>
      </c>
      <c r="T996" s="25">
        <v>14</v>
      </c>
      <c r="U996" s="25">
        <v>2</v>
      </c>
      <c r="V996" s="13">
        <v>14</v>
      </c>
      <c r="W996" s="13" t="str">
        <f>MID(A996, SEARCH("_", A996) +1, SEARCH("_", A996, SEARCH("_", A996) +1) - SEARCH("_", A996) -1)</f>
        <v>Chart-25</v>
      </c>
    </row>
    <row r="997" spans="1:23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>LEFT($A997,FIND("_",$A997)-1)</f>
        <v>TBar</v>
      </c>
      <c r="P997" s="13" t="str">
        <f>IF($O997="ACS", "True Search", IF($O997="Arja", "Evolutionary Search", IF($O997="AVATAR", "True Pattern", IF($O997="CapGen", "Search Like Pattern", IF($O997="Cardumen", "True Semantic", IF($O997="DynaMoth", "True Semantic", IF($O997="FixMiner", "True Pattern", IF($O997="GenProg-A", "Evolutionary Search", IF($O997="Hercules", "Learning Pattern", IF($O997="Jaid", "True Semantic",
IF($O997="Kali-A", "True Search", IF($O997="kPAR", "True Pattern", IF($O997="Nopol", "True Semantic", IF($O997="RSRepair-A", "Evolutionary Search", IF($O997="SequenceR", "Deep Learning", IF($O997="SimFix", "Search Like Pattern", IF($O997="SketchFix", "True Pattern", IF($O997="SOFix", "True Pattern", IF($O997="ssFix", "Search Like Pattern", IF($O997="TBar", "True Pattern", ""))))))))))))))))))))</f>
        <v>True Pattern</v>
      </c>
      <c r="Q997" s="13" t="str">
        <f>IF(NOT(ISERR(SEARCH("*_Buggy",$A997))), "Buggy", IF(NOT(ISERR(SEARCH("*_Fixed",$A997))), "Fixed", IF(NOT(ISERR(SEARCH("*_Repaired",$A997))), "Repaired", "")))</f>
        <v>Fixed</v>
      </c>
      <c r="R997" s="13" t="s">
        <v>1668</v>
      </c>
      <c r="S997" s="25">
        <v>2</v>
      </c>
      <c r="T997" s="13">
        <v>2</v>
      </c>
      <c r="U997" s="25">
        <v>0</v>
      </c>
      <c r="V997" s="13">
        <v>2</v>
      </c>
      <c r="W997" s="13" t="str">
        <f>MID(A997, SEARCH("_", A997) +1, SEARCH("_", A997, SEARCH("_", A997) +1) - SEARCH("_", A997) -1)</f>
        <v>Chart-26</v>
      </c>
    </row>
    <row r="998" spans="1:23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>LEFT($A998,FIND("_",$A998)-1)</f>
        <v>TBar</v>
      </c>
      <c r="P998" s="13" t="str">
        <f>IF($O998="ACS", "True Search", IF($O998="Arja", "Evolutionary Search", IF($O998="AVATAR", "True Pattern", IF($O998="CapGen", "Search Like Pattern", IF($O998="Cardumen", "True Semantic", IF($O998="DynaMoth", "True Semantic", IF($O998="FixMiner", "True Pattern", IF($O998="GenProg-A", "Evolutionary Search", IF($O998="Hercules", "Learning Pattern", IF($O998="Jaid", "True Semantic",
IF($O998="Kali-A", "True Search", IF($O998="kPAR", "True Pattern", IF($O998="Nopol", "True Semantic", IF($O998="RSRepair-A", "Evolutionary Search", IF($O998="SequenceR", "Deep Learning", IF($O998="SimFix", "Search Like Pattern", IF($O998="SketchFix", "True Pattern", IF($O998="SOFix", "True Pattern", IF($O998="ssFix", "Search Like Pattern", IF($O998="TBar", "True Pattern", ""))))))))))))))))))))</f>
        <v>True Pattern</v>
      </c>
      <c r="Q998" s="13" t="str">
        <f>IF(NOT(ISERR(SEARCH("*_Buggy",$A998))), "Buggy", IF(NOT(ISERR(SEARCH("*_Fixed",$A998))), "Fixed", IF(NOT(ISERR(SEARCH("*_Repaired",$A998))), "Repaired", "")))</f>
        <v>Fixed</v>
      </c>
      <c r="R998" s="13" t="s">
        <v>1669</v>
      </c>
      <c r="S998" s="25">
        <v>1</v>
      </c>
      <c r="T998" s="13">
        <v>2</v>
      </c>
      <c r="U998" s="25">
        <v>0</v>
      </c>
      <c r="V998" s="13">
        <v>2</v>
      </c>
      <c r="W998" s="13" t="str">
        <f>MID(A998, SEARCH("_", A998) +1, SEARCH("_", A998, SEARCH("_", A998) +1) - SEARCH("_", A998) -1)</f>
        <v>Chart-3</v>
      </c>
    </row>
    <row r="999" spans="1:23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>LEFT($A999,FIND("_",$A999)-1)</f>
        <v>TBar</v>
      </c>
      <c r="P999" s="13" t="str">
        <f>IF($O999="ACS", "True Search", IF($O999="Arja", "Evolutionary Search", IF($O999="AVATAR", "True Pattern", IF($O999="CapGen", "Search Like Pattern", IF($O999="Cardumen", "True Semantic", IF($O999="DynaMoth", "True Semantic", IF($O999="FixMiner", "True Pattern", IF($O999="GenProg-A", "Evolutionary Search", IF($O999="Hercules", "Learning Pattern", IF($O999="Jaid", "True Semantic",
IF($O999="Kali-A", "True Search", IF($O999="kPAR", "True Pattern", IF($O999="Nopol", "True Semantic", IF($O999="RSRepair-A", "Evolutionary Search", IF($O999="SequenceR", "Deep Learning", IF($O999="SimFix", "Search Like Pattern", IF($O999="SketchFix", "True Pattern", IF($O999="SOFix", "True Pattern", IF($O999="ssFix", "Search Like Pattern", IF($O999="TBar", "True Pattern", ""))))))))))))))))))))</f>
        <v>True Pattern</v>
      </c>
      <c r="Q999" s="13" t="str">
        <f>IF(NOT(ISERR(SEARCH("*_Buggy",$A999))), "Buggy", IF(NOT(ISERR(SEARCH("*_Fixed",$A999))), "Fixed", IF(NOT(ISERR(SEARCH("*_Repaired",$A999))), "Repaired", "")))</f>
        <v>Fixed</v>
      </c>
      <c r="R999" s="13" t="s">
        <v>1668</v>
      </c>
      <c r="S999" s="25">
        <v>2</v>
      </c>
      <c r="T999" s="13">
        <v>2</v>
      </c>
      <c r="U999" s="25">
        <v>0</v>
      </c>
      <c r="V999" s="13">
        <v>2</v>
      </c>
      <c r="W999" s="13" t="str">
        <f>MID(A999, SEARCH("_", A999) +1, SEARCH("_", A999, SEARCH("_", A999) +1) - SEARCH("_", A999) -1)</f>
        <v>Chart-4</v>
      </c>
    </row>
    <row r="1000" spans="1:23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>LEFT($A1000,FIND("_",$A1000)-1)</f>
        <v>TBar</v>
      </c>
      <c r="P1000" s="13" t="str">
        <f>IF($O1000="ACS", "True Search", IF($O1000="Arja", "Evolutionary Search", IF($O1000="AVATAR", "True Pattern", IF($O1000="CapGen", "Search Like Pattern", IF($O1000="Cardumen", "True Semantic", IF($O1000="DynaMoth", "True Semantic", IF($O1000="FixMiner", "True Pattern", IF($O1000="GenProg-A", "Evolutionary Search", IF($O1000="Hercules", "Learning Pattern", IF($O1000="Jaid", "True Semantic",
IF($O1000="Kali-A", "True Search", IF($O1000="kPAR", "True Pattern", IF($O1000="Nopol", "True Semantic", IF($O1000="RSRepair-A", "Evolutionary Search", IF($O1000="SequenceR", "Deep Learning", IF($O1000="SimFix", "Search Like Pattern", IF($O1000="SketchFix", "True Pattern", IF($O1000="SOFix", "True Pattern", IF($O1000="ssFix", "Search Like Pattern", IF($O1000="TBar", "True Pattern", ""))))))))))))))))))))</f>
        <v>True Pattern</v>
      </c>
      <c r="Q1000" s="13" t="str">
        <f>IF(NOT(ISERR(SEARCH("*_Buggy",$A1000))), "Buggy", IF(NOT(ISERR(SEARCH("*_Fixed",$A1000))), "Fixed", IF(NOT(ISERR(SEARCH("*_Repaired",$A1000))), "Repaired", "")))</f>
        <v>Fixed</v>
      </c>
      <c r="R1000" s="13" t="s">
        <v>1669</v>
      </c>
      <c r="S1000" s="25">
        <v>2</v>
      </c>
      <c r="T1000" s="25">
        <v>5</v>
      </c>
      <c r="U1000" s="25">
        <v>1</v>
      </c>
      <c r="V1000" s="13">
        <v>5</v>
      </c>
      <c r="W1000" s="13" t="str">
        <f>MID(A1000, SEARCH("_", A1000) +1, SEARCH("_", A1000, SEARCH("_", A1000) +1) - SEARCH("_", A1000) -1)</f>
        <v>Chart-5</v>
      </c>
    </row>
    <row r="1001" spans="1:23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>LEFT($A1001,FIND("_",$A1001)-1)</f>
        <v>TBar</v>
      </c>
      <c r="P1001" s="13" t="str">
        <f>IF($O1001="ACS", "True Search", IF($O1001="Arja", "Evolutionary Search", IF($O1001="AVATAR", "True Pattern", IF($O1001="CapGen", "Search Like Pattern", IF($O1001="Cardumen", "True Semantic", IF($O1001="DynaMoth", "True Semantic", IF($O1001="FixMiner", "True Pattern", IF($O1001="GenProg-A", "Evolutionary Search", IF($O1001="Hercules", "Learning Pattern", IF($O1001="Jaid", "True Semantic",
IF($O1001="Kali-A", "True Search", IF($O1001="kPAR", "True Pattern", IF($O1001="Nopol", "True Semantic", IF($O1001="RSRepair-A", "Evolutionary Search", IF($O1001="SequenceR", "Deep Learning", IF($O1001="SimFix", "Search Like Pattern", IF($O1001="SketchFix", "True Pattern", IF($O1001="SOFix", "True Pattern", IF($O1001="ssFix", "Search Like Pattern", IF($O1001="TBar", "True Pattern", ""))))))))))))))))))))</f>
        <v>True Pattern</v>
      </c>
      <c r="Q1001" s="13" t="str">
        <f>IF(NOT(ISERR(SEARCH("*_Buggy",$A1001))), "Buggy", IF(NOT(ISERR(SEARCH("*_Fixed",$A1001))), "Fixed", IF(NOT(ISERR(SEARCH("*_Repaired",$A1001))), "Repaired", "")))</f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v>2</v>
      </c>
      <c r="W1001" s="13" t="str">
        <f>MID(A1001, SEARCH("_", A1001) +1, SEARCH("_", A1001, SEARCH("_", A1001) +1) - SEARCH("_", A1001) -1)</f>
        <v>Chart-7</v>
      </c>
    </row>
    <row r="1002" spans="1:23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>LEFT($A1002,FIND("_",$A1002)-1)</f>
        <v>TBar</v>
      </c>
      <c r="P1002" s="13" t="str">
        <f>IF($O1002="ACS", "True Search", IF($O1002="Arja", "Evolutionary Search", IF($O1002="AVATAR", "True Pattern", IF($O1002="CapGen", "Search Like Pattern", IF($O1002="Cardumen", "True Semantic", IF($O1002="DynaMoth", "True Semantic", IF($O1002="FixMiner", "True Pattern", IF($O1002="GenProg-A", "Evolutionary Search", IF($O1002="Hercules", "Learning Pattern", IF($O1002="Jaid", "True Semantic",
IF($O1002="Kali-A", "True Search", IF($O1002="kPAR", "True Pattern", IF($O1002="Nopol", "True Semantic", IF($O1002="RSRepair-A", "Evolutionary Search", IF($O1002="SequenceR", "Deep Learning", IF($O1002="SimFix", "Search Like Pattern", IF($O1002="SketchFix", "True Pattern", IF($O1002="SOFix", "True Pattern", IF($O1002="ssFix", "Search Like Pattern", IF($O1002="TBar", "True Pattern", ""))))))))))))))))))))</f>
        <v>True Pattern</v>
      </c>
      <c r="Q1002" s="13" t="str">
        <f>IF(NOT(ISERR(SEARCH("*_Buggy",$A1002))), "Buggy", IF(NOT(ISERR(SEARCH("*_Fixed",$A1002))), "Fixed", IF(NOT(ISERR(SEARCH("*_Repaired",$A1002))), "Repaired", "")))</f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v>1</v>
      </c>
      <c r="W1002" s="13" t="str">
        <f>MID(A1002, SEARCH("_", A1002) +1, SEARCH("_", A1002, SEARCH("_", A1002) +1) - SEARCH("_", A1002) -1)</f>
        <v>Chart-8</v>
      </c>
    </row>
    <row r="1003" spans="1:23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>LEFT($A1003,FIND("_",$A1003)-1)</f>
        <v>TBar</v>
      </c>
      <c r="P1003" s="13" t="str">
        <f>IF($O1003="ACS", "True Search", IF($O1003="Arja", "Evolutionary Search", IF($O1003="AVATAR", "True Pattern", IF($O1003="CapGen", "Search Like Pattern", IF($O1003="Cardumen", "True Semantic", IF($O1003="DynaMoth", "True Semantic", IF($O1003="FixMiner", "True Pattern", IF($O1003="GenProg-A", "Evolutionary Search", IF($O1003="Hercules", "Learning Pattern", IF($O1003="Jaid", "True Semantic",
IF($O1003="Kali-A", "True Search", IF($O1003="kPAR", "True Pattern", IF($O1003="Nopol", "True Semantic", IF($O1003="RSRepair-A", "Evolutionary Search", IF($O1003="SequenceR", "Deep Learning", IF($O1003="SimFix", "Search Like Pattern", IF($O1003="SketchFix", "True Pattern", IF($O1003="SOFix", "True Pattern", IF($O1003="ssFix", "Search Like Pattern", IF($O1003="TBar", "True Pattern", ""))))))))))))))))))))</f>
        <v>True Pattern</v>
      </c>
      <c r="Q1003" s="13" t="str">
        <f>IF(NOT(ISERR(SEARCH("*_Buggy",$A1003))), "Buggy", IF(NOT(ISERR(SEARCH("*_Fixed",$A1003))), "Fixed", IF(NOT(ISERR(SEARCH("*_Repaired",$A1003))), "Repaired", "")))</f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v>1</v>
      </c>
      <c r="W1003" s="13" t="str">
        <f>MID(A1003, SEARCH("_", A1003) +1, SEARCH("_", A1003, SEARCH("_", A1003) +1) - SEARCH("_", A1003) -1)</f>
        <v>Chart-9</v>
      </c>
    </row>
    <row r="1004" spans="1:23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>LEFT($A1004,FIND("_",$A1004)-1)</f>
        <v>TBar</v>
      </c>
      <c r="P1004" s="13" t="str">
        <f>IF($O1004="ACS", "True Search", IF($O1004="Arja", "Evolutionary Search", IF($O1004="AVATAR", "True Pattern", IF($O1004="CapGen", "Search Like Pattern", IF($O1004="Cardumen", "True Semantic", IF($O1004="DynaMoth", "True Semantic", IF($O1004="FixMiner", "True Pattern", IF($O1004="GenProg-A", "Evolutionary Search", IF($O1004="Hercules", "Learning Pattern", IF($O1004="Jaid", "True Semantic",
IF($O1004="Kali-A", "True Search", IF($O1004="kPAR", "True Pattern", IF($O1004="Nopol", "True Semantic", IF($O1004="RSRepair-A", "Evolutionary Search", IF($O1004="SequenceR", "Deep Learning", IF($O1004="SimFix", "Search Like Pattern", IF($O1004="SketchFix", "True Pattern", IF($O1004="SOFix", "True Pattern", IF($O1004="ssFix", "Search Like Pattern", IF($O1004="TBar", "True Pattern", ""))))))))))))))))))))</f>
        <v>True Pattern</v>
      </c>
      <c r="Q1004" s="13" t="str">
        <f>IF(NOT(ISERR(SEARCH("*_Buggy",$A1004))), "Buggy", IF(NOT(ISERR(SEARCH("*_Fixed",$A1004))), "Fixed", IF(NOT(ISERR(SEARCH("*_Repaired",$A1004))), "Repaired", "")))</f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v>1</v>
      </c>
      <c r="W1004" s="13" t="str">
        <f>MID(A1004, SEARCH("_", A1004) +1, SEARCH("_", A1004, SEARCH("_", A1004) +1) - SEARCH("_", A1004) -1)</f>
        <v>Closure-10</v>
      </c>
    </row>
    <row r="1005" spans="1:23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>LEFT($A1005,FIND("_",$A1005)-1)</f>
        <v>TBar</v>
      </c>
      <c r="P1005" s="13" t="str">
        <f>IF($O1005="ACS", "True Search", IF($O1005="Arja", "Evolutionary Search", IF($O1005="AVATAR", "True Pattern", IF($O1005="CapGen", "Search Like Pattern", IF($O1005="Cardumen", "True Semantic", IF($O1005="DynaMoth", "True Semantic", IF($O1005="FixMiner", "True Pattern", IF($O1005="GenProg-A", "Evolutionary Search", IF($O1005="Hercules", "Learning Pattern", IF($O1005="Jaid", "True Semantic",
IF($O1005="Kali-A", "True Search", IF($O1005="kPAR", "True Pattern", IF($O1005="Nopol", "True Semantic", IF($O1005="RSRepair-A", "Evolutionary Search", IF($O1005="SequenceR", "Deep Learning", IF($O1005="SimFix", "Search Like Pattern", IF($O1005="SketchFix", "True Pattern", IF($O1005="SOFix", "True Pattern", IF($O1005="ssFix", "Search Like Pattern", IF($O1005="TBar", "True Pattern", ""))))))))))))))))))))</f>
        <v>True Pattern</v>
      </c>
      <c r="Q1005" s="13" t="str">
        <f>IF(NOT(ISERR(SEARCH("*_Buggy",$A1005))), "Buggy", IF(NOT(ISERR(SEARCH("*_Fixed",$A1005))), "Fixed", IF(NOT(ISERR(SEARCH("*_Repaired",$A1005))), "Repaired", "")))</f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v>2</v>
      </c>
      <c r="W1005" s="13" t="str">
        <f>MID(A1005, SEARCH("_", A1005) +1, SEARCH("_", A1005, SEARCH("_", A1005) +1) - SEARCH("_", A1005) -1)</f>
        <v>Closure-102</v>
      </c>
    </row>
    <row r="1006" spans="1:23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>LEFT($A1006,FIND("_",$A1006)-1)</f>
        <v>TBar</v>
      </c>
      <c r="P1006" s="13" t="str">
        <f>IF($O1006="ACS", "True Search", IF($O1006="Arja", "Evolutionary Search", IF($O1006="AVATAR", "True Pattern", IF($O1006="CapGen", "Search Like Pattern", IF($O1006="Cardumen", "True Semantic", IF($O1006="DynaMoth", "True Semantic", IF($O1006="FixMiner", "True Pattern", IF($O1006="GenProg-A", "Evolutionary Search", IF($O1006="Hercules", "Learning Pattern", IF($O1006="Jaid", "True Semantic",
IF($O1006="Kali-A", "True Search", IF($O1006="kPAR", "True Pattern", IF($O1006="Nopol", "True Semantic", IF($O1006="RSRepair-A", "Evolutionary Search", IF($O1006="SequenceR", "Deep Learning", IF($O1006="SimFix", "Search Like Pattern", IF($O1006="SketchFix", "True Pattern", IF($O1006="SOFix", "True Pattern", IF($O1006="ssFix", "Search Like Pattern", IF($O1006="TBar", "True Pattern", ""))))))))))))))))))))</f>
        <v>True Pattern</v>
      </c>
      <c r="Q1006" s="13" t="str">
        <f>IF(NOT(ISERR(SEARCH("*_Buggy",$A1006))), "Buggy", IF(NOT(ISERR(SEARCH("*_Fixed",$A1006))), "Fixed", IF(NOT(ISERR(SEARCH("*_Repaired",$A1006))), "Repaired", "")))</f>
        <v>Fixed</v>
      </c>
      <c r="R1006" s="13" t="s">
        <v>1668</v>
      </c>
      <c r="S1006" s="25">
        <v>1</v>
      </c>
      <c r="T1006" s="25">
        <v>0</v>
      </c>
      <c r="U1006" s="13">
        <v>2</v>
      </c>
      <c r="V1006" s="13">
        <v>2</v>
      </c>
      <c r="W1006" s="13" t="str">
        <f>MID(A1006, SEARCH("_", A1006) +1, SEARCH("_", A1006, SEARCH("_", A1006) +1) - SEARCH("_", A1006) -1)</f>
        <v>Closure-11</v>
      </c>
    </row>
    <row r="1007" spans="1:23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>LEFT($A1007,FIND("_",$A1007)-1)</f>
        <v>TBar</v>
      </c>
      <c r="P1007" s="13" t="str">
        <f>IF($O1007="ACS", "True Search", IF($O1007="Arja", "Evolutionary Search", IF($O1007="AVATAR", "True Pattern", IF($O1007="CapGen", "Search Like Pattern", IF($O1007="Cardumen", "True Semantic", IF($O1007="DynaMoth", "True Semantic", IF($O1007="FixMiner", "True Pattern", IF($O1007="GenProg-A", "Evolutionary Search", IF($O1007="Hercules", "Learning Pattern", IF($O1007="Jaid", "True Semantic",
IF($O1007="Kali-A", "True Search", IF($O1007="kPAR", "True Pattern", IF($O1007="Nopol", "True Semantic", IF($O1007="RSRepair-A", "Evolutionary Search", IF($O1007="SequenceR", "Deep Learning", IF($O1007="SimFix", "Search Like Pattern", IF($O1007="SketchFix", "True Pattern", IF($O1007="SOFix", "True Pattern", IF($O1007="ssFix", "Search Like Pattern", IF($O1007="TBar", "True Pattern", ""))))))))))))))))))))</f>
        <v>True Pattern</v>
      </c>
      <c r="Q1007" s="13" t="str">
        <f>IF(NOT(ISERR(SEARCH("*_Buggy",$A1007))), "Buggy", IF(NOT(ISERR(SEARCH("*_Fixed",$A1007))), "Fixed", IF(NOT(ISERR(SEARCH("*_Repaired",$A1007))), "Repaired", "")))</f>
        <v>Fixed</v>
      </c>
      <c r="R1007" s="13" t="s">
        <v>1668</v>
      </c>
      <c r="S1007" s="25">
        <v>2</v>
      </c>
      <c r="T1007" s="25">
        <v>0</v>
      </c>
      <c r="U1007" s="13">
        <v>11</v>
      </c>
      <c r="V1007" s="13">
        <v>11</v>
      </c>
      <c r="W1007" s="13" t="str">
        <f>MID(A1007, SEARCH("_", A1007) +1, SEARCH("_", A1007, SEARCH("_", A1007) +1) - SEARCH("_", A1007) -1)</f>
        <v>Closure-115</v>
      </c>
    </row>
    <row r="1008" spans="1:23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>LEFT($A1008,FIND("_",$A1008)-1)</f>
        <v>TBar</v>
      </c>
      <c r="P1008" s="13" t="str">
        <f>IF($O1008="ACS", "True Search", IF($O1008="Arja", "Evolutionary Search", IF($O1008="AVATAR", "True Pattern", IF($O1008="CapGen", "Search Like Pattern", IF($O1008="Cardumen", "True Semantic", IF($O1008="DynaMoth", "True Semantic", IF($O1008="FixMiner", "True Pattern", IF($O1008="GenProg-A", "Evolutionary Search", IF($O1008="Hercules", "Learning Pattern", IF($O1008="Jaid", "True Semantic",
IF($O1008="Kali-A", "True Search", IF($O1008="kPAR", "True Pattern", IF($O1008="Nopol", "True Semantic", IF($O1008="RSRepair-A", "Evolutionary Search", IF($O1008="SequenceR", "Deep Learning", IF($O1008="SimFix", "Search Like Pattern", IF($O1008="SketchFix", "True Pattern", IF($O1008="SOFix", "True Pattern", IF($O1008="ssFix", "Search Like Pattern", IF($O1008="TBar", "True Pattern", ""))))))))))))))))))))</f>
        <v>True Pattern</v>
      </c>
      <c r="Q1008" s="13" t="str">
        <f>IF(NOT(ISERR(SEARCH("*_Buggy",$A1008))), "Buggy", IF(NOT(ISERR(SEARCH("*_Fixed",$A1008))), "Fixed", IF(NOT(ISERR(SEARCH("*_Repaired",$A1008))), "Repaired", "")))</f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v>24</v>
      </c>
      <c r="W1008" s="13" t="str">
        <f>MID(A1008, SEARCH("_", A1008) +1, SEARCH("_", A1008, SEARCH("_", A1008) +1) - SEARCH("_", A1008) -1)</f>
        <v>Closure-117</v>
      </c>
    </row>
    <row r="1009" spans="1:23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>LEFT($A1009,FIND("_",$A1009)-1)</f>
        <v>TBar</v>
      </c>
      <c r="P1009" s="13" t="str">
        <f>IF($O1009="ACS", "True Search", IF($O1009="Arja", "Evolutionary Search", IF($O1009="AVATAR", "True Pattern", IF($O1009="CapGen", "Search Like Pattern", IF($O1009="Cardumen", "True Semantic", IF($O1009="DynaMoth", "True Semantic", IF($O1009="FixMiner", "True Pattern", IF($O1009="GenProg-A", "Evolutionary Search", IF($O1009="Hercules", "Learning Pattern", IF($O1009="Jaid", "True Semantic",
IF($O1009="Kali-A", "True Search", IF($O1009="kPAR", "True Pattern", IF($O1009="Nopol", "True Semantic", IF($O1009="RSRepair-A", "Evolutionary Search", IF($O1009="SequenceR", "Deep Learning", IF($O1009="SimFix", "Search Like Pattern", IF($O1009="SketchFix", "True Pattern", IF($O1009="SOFix", "True Pattern", IF($O1009="ssFix", "Search Like Pattern", IF($O1009="TBar", "True Pattern", ""))))))))))))))))))))</f>
        <v>True Pattern</v>
      </c>
      <c r="Q1009" s="13" t="str">
        <f>IF(NOT(ISERR(SEARCH("*_Buggy",$A1009))), "Buggy", IF(NOT(ISERR(SEARCH("*_Fixed",$A1009))), "Fixed", IF(NOT(ISERR(SEARCH("*_Repaired",$A1009))), "Repaired", "")))</f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v>2</v>
      </c>
      <c r="W1009" s="13" t="str">
        <f>MID(A1009, SEARCH("_", A1009) +1, SEARCH("_", A1009, SEARCH("_", A1009) +1) - SEARCH("_", A1009) -1)</f>
        <v>Closure-13</v>
      </c>
    </row>
    <row r="1010" spans="1:23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>LEFT($A1010,FIND("_",$A1010)-1)</f>
        <v>TBar</v>
      </c>
      <c r="P1010" s="13" t="str">
        <f>IF($O1010="ACS", "True Search", IF($O1010="Arja", "Evolutionary Search", IF($O1010="AVATAR", "True Pattern", IF($O1010="CapGen", "Search Like Pattern", IF($O1010="Cardumen", "True Semantic", IF($O1010="DynaMoth", "True Semantic", IF($O1010="FixMiner", "True Pattern", IF($O1010="GenProg-A", "Evolutionary Search", IF($O1010="Hercules", "Learning Pattern", IF($O1010="Jaid", "True Semantic",
IF($O1010="Kali-A", "True Search", IF($O1010="kPAR", "True Pattern", IF($O1010="Nopol", "True Semantic", IF($O1010="RSRepair-A", "Evolutionary Search", IF($O1010="SequenceR", "Deep Learning", IF($O1010="SimFix", "Search Like Pattern", IF($O1010="SketchFix", "True Pattern", IF($O1010="SOFix", "True Pattern", IF($O1010="ssFix", "Search Like Pattern", IF($O1010="TBar", "True Pattern", ""))))))))))))))))))))</f>
        <v>True Pattern</v>
      </c>
      <c r="Q1010" s="13" t="str">
        <f>IF(NOT(ISERR(SEARCH("*_Buggy",$A1010))), "Buggy", IF(NOT(ISERR(SEARCH("*_Fixed",$A1010))), "Fixed", IF(NOT(ISERR(SEARCH("*_Repaired",$A1010))), "Repaired", "")))</f>
        <v>Fixed</v>
      </c>
      <c r="R1010" s="13" t="s">
        <v>1669</v>
      </c>
      <c r="S1010" s="25">
        <v>2</v>
      </c>
      <c r="T1010" s="13">
        <v>2</v>
      </c>
      <c r="U1010" s="25">
        <v>0</v>
      </c>
      <c r="V1010" s="13">
        <v>2</v>
      </c>
      <c r="W1010" s="13" t="str">
        <f>MID(A1010, SEARCH("_", A1010) +1, SEARCH("_", A1010, SEARCH("_", A1010) +1) - SEARCH("_", A1010) -1)</f>
        <v>Closure-19</v>
      </c>
    </row>
    <row r="1011" spans="1:23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>LEFT($A1011,FIND("_",$A1011)-1)</f>
        <v>TBar</v>
      </c>
      <c r="P1011" s="13" t="str">
        <f>IF($O1011="ACS", "True Search", IF($O1011="Arja", "Evolutionary Search", IF($O1011="AVATAR", "True Pattern", IF($O1011="CapGen", "Search Like Pattern", IF($O1011="Cardumen", "True Semantic", IF($O1011="DynaMoth", "True Semantic", IF($O1011="FixMiner", "True Pattern", IF($O1011="GenProg-A", "Evolutionary Search", IF($O1011="Hercules", "Learning Pattern", IF($O1011="Jaid", "True Semantic",
IF($O1011="Kali-A", "True Search", IF($O1011="kPAR", "True Pattern", IF($O1011="Nopol", "True Semantic", IF($O1011="RSRepair-A", "Evolutionary Search", IF($O1011="SequenceR", "Deep Learning", IF($O1011="SimFix", "Search Like Pattern", IF($O1011="SketchFix", "True Pattern", IF($O1011="SOFix", "True Pattern", IF($O1011="ssFix", "Search Like Pattern", IF($O1011="TBar", "True Pattern", ""))))))))))))))))))))</f>
        <v>True Pattern</v>
      </c>
      <c r="Q1011" s="13" t="str">
        <f>IF(NOT(ISERR(SEARCH("*_Buggy",$A1011))), "Buggy", IF(NOT(ISERR(SEARCH("*_Fixed",$A1011))), "Fixed", IF(NOT(ISERR(SEARCH("*_Repaired",$A1011))), "Repaired", "")))</f>
        <v>Fixed</v>
      </c>
      <c r="R1011" s="13" t="s">
        <v>1668</v>
      </c>
      <c r="S1011" s="25">
        <v>3</v>
      </c>
      <c r="T1011" s="13">
        <v>4</v>
      </c>
      <c r="U1011" s="25">
        <v>0</v>
      </c>
      <c r="V1011" s="13">
        <v>4</v>
      </c>
      <c r="W1011" s="13" t="str">
        <f>MID(A1011, SEARCH("_", A1011) +1, SEARCH("_", A1011, SEARCH("_", A1011) +1) - SEARCH("_", A1011) -1)</f>
        <v>Closure-2</v>
      </c>
    </row>
    <row r="1012" spans="1:23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>LEFT($A1012,FIND("_",$A1012)-1)</f>
        <v>TBar</v>
      </c>
      <c r="P1012" s="13" t="str">
        <f>IF($O1012="ACS", "True Search", IF($O1012="Arja", "Evolutionary Search", IF($O1012="AVATAR", "True Pattern", IF($O1012="CapGen", "Search Like Pattern", IF($O1012="Cardumen", "True Semantic", IF($O1012="DynaMoth", "True Semantic", IF($O1012="FixMiner", "True Pattern", IF($O1012="GenProg-A", "Evolutionary Search", IF($O1012="Hercules", "Learning Pattern", IF($O1012="Jaid", "True Semantic",
IF($O1012="Kali-A", "True Search", IF($O1012="kPAR", "True Pattern", IF($O1012="Nopol", "True Semantic", IF($O1012="RSRepair-A", "Evolutionary Search", IF($O1012="SequenceR", "Deep Learning", IF($O1012="SimFix", "Search Like Pattern", IF($O1012="SketchFix", "True Pattern", IF($O1012="SOFix", "True Pattern", IF($O1012="ssFix", "Search Like Pattern", IF($O1012="TBar", "True Pattern", ""))))))))))))))))))))</f>
        <v>True Pattern</v>
      </c>
      <c r="Q1012" s="13" t="str">
        <f>IF(NOT(ISERR(SEARCH("*_Buggy",$A1012))), "Buggy", IF(NOT(ISERR(SEARCH("*_Fixed",$A1012))), "Fixed", IF(NOT(ISERR(SEARCH("*_Repaired",$A1012))), "Repaired", "")))</f>
        <v>Fixed</v>
      </c>
      <c r="R1012" s="13" t="s">
        <v>1669</v>
      </c>
      <c r="S1012" s="25">
        <v>2</v>
      </c>
      <c r="T1012" s="25">
        <v>2</v>
      </c>
      <c r="U1012" s="25">
        <v>19</v>
      </c>
      <c r="V1012" s="13">
        <v>19</v>
      </c>
      <c r="W1012" s="13" t="str">
        <f>MID(A1012, SEARCH("_", A1012) +1, SEARCH("_", A1012, SEARCH("_", A1012) +1) - SEARCH("_", A1012) -1)</f>
        <v>Closure-21</v>
      </c>
    </row>
    <row r="1013" spans="1:23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>LEFT($A1013,FIND("_",$A1013)-1)</f>
        <v>TBar</v>
      </c>
      <c r="P1013" s="13" t="str">
        <f>IF($O1013="ACS", "True Search", IF($O1013="Arja", "Evolutionary Search", IF($O1013="AVATAR", "True Pattern", IF($O1013="CapGen", "Search Like Pattern", IF($O1013="Cardumen", "True Semantic", IF($O1013="DynaMoth", "True Semantic", IF($O1013="FixMiner", "True Pattern", IF($O1013="GenProg-A", "Evolutionary Search", IF($O1013="Hercules", "Learning Pattern", IF($O1013="Jaid", "True Semantic",
IF($O1013="Kali-A", "True Search", IF($O1013="kPAR", "True Pattern", IF($O1013="Nopol", "True Semantic", IF($O1013="RSRepair-A", "Evolutionary Search", IF($O1013="SequenceR", "Deep Learning", IF($O1013="SimFix", "Search Like Pattern", IF($O1013="SketchFix", "True Pattern", IF($O1013="SOFix", "True Pattern", IF($O1013="ssFix", "Search Like Pattern", IF($O1013="TBar", "True Pattern", ""))))))))))))))))))))</f>
        <v>True Pattern</v>
      </c>
      <c r="Q1013" s="13" t="str">
        <f>IF(NOT(ISERR(SEARCH("*_Buggy",$A1013))), "Buggy", IF(NOT(ISERR(SEARCH("*_Fixed",$A1013))), "Fixed", IF(NOT(ISERR(SEARCH("*_Repaired",$A1013))), "Repaired", "")))</f>
        <v>Fixed</v>
      </c>
      <c r="R1013" s="13" t="s">
        <v>1669</v>
      </c>
      <c r="S1013" s="25">
        <v>5</v>
      </c>
      <c r="T1013" s="25">
        <v>2</v>
      </c>
      <c r="U1013" s="25">
        <v>26</v>
      </c>
      <c r="V1013" s="13">
        <v>26</v>
      </c>
      <c r="W1013" s="13" t="str">
        <f>MID(A1013, SEARCH("_", A1013) +1, SEARCH("_", A1013, SEARCH("_", A1013) +1) - SEARCH("_", A1013) -1)</f>
        <v>Closure-22</v>
      </c>
    </row>
    <row r="1014" spans="1:23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>LEFT($A1014,FIND("_",$A1014)-1)</f>
        <v>TBar</v>
      </c>
      <c r="P1014" s="13" t="str">
        <f>IF($O1014="ACS", "True Search", IF($O1014="Arja", "Evolutionary Search", IF($O1014="AVATAR", "True Pattern", IF($O1014="CapGen", "Search Like Pattern", IF($O1014="Cardumen", "True Semantic", IF($O1014="DynaMoth", "True Semantic", IF($O1014="FixMiner", "True Pattern", IF($O1014="GenProg-A", "Evolutionary Search", IF($O1014="Hercules", "Learning Pattern", IF($O1014="Jaid", "True Semantic",
IF($O1014="Kali-A", "True Search", IF($O1014="kPAR", "True Pattern", IF($O1014="Nopol", "True Semantic", IF($O1014="RSRepair-A", "Evolutionary Search", IF($O1014="SequenceR", "Deep Learning", IF($O1014="SimFix", "Search Like Pattern", IF($O1014="SketchFix", "True Pattern", IF($O1014="SOFix", "True Pattern", IF($O1014="ssFix", "Search Like Pattern", IF($O1014="TBar", "True Pattern", ""))))))))))))))))))))</f>
        <v>True Pattern</v>
      </c>
      <c r="Q1014" s="13" t="str">
        <f>IF(NOT(ISERR(SEARCH("*_Buggy",$A1014))), "Buggy", IF(NOT(ISERR(SEARCH("*_Fixed",$A1014))), "Fixed", IF(NOT(ISERR(SEARCH("*_Repaired",$A1014))), "Repaired", "")))</f>
        <v>Fixed</v>
      </c>
      <c r="R1014" s="13" t="s">
        <v>1669</v>
      </c>
      <c r="S1014" s="25">
        <v>1</v>
      </c>
      <c r="T1014" s="25">
        <v>2</v>
      </c>
      <c r="U1014" s="25">
        <v>15</v>
      </c>
      <c r="V1014" s="13">
        <v>15</v>
      </c>
      <c r="W1014" s="13" t="str">
        <f>MID(A1014, SEARCH("_", A1014) +1, SEARCH("_", A1014, SEARCH("_", A1014) +1) - SEARCH("_", A1014) -1)</f>
        <v>Closure-35</v>
      </c>
    </row>
    <row r="1015" spans="1:23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>LEFT($A1015,FIND("_",$A1015)-1)</f>
        <v>TBar</v>
      </c>
      <c r="P1015" s="13" t="str">
        <f>IF($O1015="ACS", "True Search", IF($O1015="Arja", "Evolutionary Search", IF($O1015="AVATAR", "True Pattern", IF($O1015="CapGen", "Search Like Pattern", IF($O1015="Cardumen", "True Semantic", IF($O1015="DynaMoth", "True Semantic", IF($O1015="FixMiner", "True Pattern", IF($O1015="GenProg-A", "Evolutionary Search", IF($O1015="Hercules", "Learning Pattern", IF($O1015="Jaid", "True Semantic",
IF($O1015="Kali-A", "True Search", IF($O1015="kPAR", "True Pattern", IF($O1015="Nopol", "True Semantic", IF($O1015="RSRepair-A", "Evolutionary Search", IF($O1015="SequenceR", "Deep Learning", IF($O1015="SimFix", "Search Like Pattern", IF($O1015="SketchFix", "True Pattern", IF($O1015="SOFix", "True Pattern", IF($O1015="ssFix", "Search Like Pattern", IF($O1015="TBar", "True Pattern", ""))))))))))))))))))))</f>
        <v>True Pattern</v>
      </c>
      <c r="Q1015" s="13" t="str">
        <f>IF(NOT(ISERR(SEARCH("*_Buggy",$A1015))), "Buggy", IF(NOT(ISERR(SEARCH("*_Fixed",$A1015))), "Fixed", IF(NOT(ISERR(SEARCH("*_Repaired",$A1015))), "Repaired", "")))</f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v>1</v>
      </c>
      <c r="W1015" s="13" t="str">
        <f>MID(A1015, SEARCH("_", A1015) +1, SEARCH("_", A1015, SEARCH("_", A1015) +1) - SEARCH("_", A1015) -1)</f>
        <v>Closure-38</v>
      </c>
    </row>
    <row r="1016" spans="1:23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>LEFT($A1016,FIND("_",$A1016)-1)</f>
        <v>TBar</v>
      </c>
      <c r="P1016" s="13" t="str">
        <f>IF($O1016="ACS", "True Search", IF($O1016="Arja", "Evolutionary Search", IF($O1016="AVATAR", "True Pattern", IF($O1016="CapGen", "Search Like Pattern", IF($O1016="Cardumen", "True Semantic", IF($O1016="DynaMoth", "True Semantic", IF($O1016="FixMiner", "True Pattern", IF($O1016="GenProg-A", "Evolutionary Search", IF($O1016="Hercules", "Learning Pattern", IF($O1016="Jaid", "True Semantic",
IF($O1016="Kali-A", "True Search", IF($O1016="kPAR", "True Pattern", IF($O1016="Nopol", "True Semantic", IF($O1016="RSRepair-A", "Evolutionary Search", IF($O1016="SequenceR", "Deep Learning", IF($O1016="SimFix", "Search Like Pattern", IF($O1016="SketchFix", "True Pattern", IF($O1016="SOFix", "True Pattern", IF($O1016="ssFix", "Search Like Pattern", IF($O1016="TBar", "True Pattern", ""))))))))))))))))))))</f>
        <v>True Pattern</v>
      </c>
      <c r="Q1016" s="13" t="str">
        <f>IF(NOT(ISERR(SEARCH("*_Buggy",$A1016))), "Buggy", IF(NOT(ISERR(SEARCH("*_Fixed",$A1016))), "Fixed", IF(NOT(ISERR(SEARCH("*_Repaired",$A1016))), "Repaired", "")))</f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v>2</v>
      </c>
      <c r="W1016" s="13" t="str">
        <f>MID(A1016, SEARCH("_", A1016) +1, SEARCH("_", A1016, SEARCH("_", A1016) +1) - SEARCH("_", A1016) -1)</f>
        <v>Closure-4</v>
      </c>
    </row>
    <row r="1017" spans="1:23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>LEFT($A1017,FIND("_",$A1017)-1)</f>
        <v>TBar</v>
      </c>
      <c r="P1017" s="13" t="str">
        <f>IF($O1017="ACS", "True Search", IF($O1017="Arja", "Evolutionary Search", IF($O1017="AVATAR", "True Pattern", IF($O1017="CapGen", "Search Like Pattern", IF($O1017="Cardumen", "True Semantic", IF($O1017="DynaMoth", "True Semantic", IF($O1017="FixMiner", "True Pattern", IF($O1017="GenProg-A", "Evolutionary Search", IF($O1017="Hercules", "Learning Pattern", IF($O1017="Jaid", "True Semantic",
IF($O1017="Kali-A", "True Search", IF($O1017="kPAR", "True Pattern", IF($O1017="Nopol", "True Semantic", IF($O1017="RSRepair-A", "Evolutionary Search", IF($O1017="SequenceR", "Deep Learning", IF($O1017="SimFix", "Search Like Pattern", IF($O1017="SketchFix", "True Pattern", IF($O1017="SOFix", "True Pattern", IF($O1017="ssFix", "Search Like Pattern", IF($O1017="TBar", "True Pattern", ""))))))))))))))))))))</f>
        <v>True Pattern</v>
      </c>
      <c r="Q1017" s="13" t="str">
        <f>IF(NOT(ISERR(SEARCH("*_Buggy",$A1017))), "Buggy", IF(NOT(ISERR(SEARCH("*_Fixed",$A1017))), "Fixed", IF(NOT(ISERR(SEARCH("*_Repaired",$A1017))), "Repaired", "")))</f>
        <v>Fixed</v>
      </c>
      <c r="R1017" s="13" t="s">
        <v>1668</v>
      </c>
      <c r="S1017" s="25">
        <v>2</v>
      </c>
      <c r="T1017" s="25">
        <v>1</v>
      </c>
      <c r="U1017" s="25">
        <v>3</v>
      </c>
      <c r="V1017" s="13">
        <v>3</v>
      </c>
      <c r="W1017" s="13" t="str">
        <f>MID(A1017, SEARCH("_", A1017) +1, SEARCH("_", A1017, SEARCH("_", A1017) +1) - SEARCH("_", A1017) -1)</f>
        <v>Closure-40</v>
      </c>
    </row>
    <row r="1018" spans="1:23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>LEFT($A1018,FIND("_",$A1018)-1)</f>
        <v>TBar</v>
      </c>
      <c r="P1018" s="13" t="str">
        <f>IF($O1018="ACS", "True Search", IF($O1018="Arja", "Evolutionary Search", IF($O1018="AVATAR", "True Pattern", IF($O1018="CapGen", "Search Like Pattern", IF($O1018="Cardumen", "True Semantic", IF($O1018="DynaMoth", "True Semantic", IF($O1018="FixMiner", "True Pattern", IF($O1018="GenProg-A", "Evolutionary Search", IF($O1018="Hercules", "Learning Pattern", IF($O1018="Jaid", "True Semantic",
IF($O1018="Kali-A", "True Search", IF($O1018="kPAR", "True Pattern", IF($O1018="Nopol", "True Semantic", IF($O1018="RSRepair-A", "Evolutionary Search", IF($O1018="SequenceR", "Deep Learning", IF($O1018="SimFix", "Search Like Pattern", IF($O1018="SketchFix", "True Pattern", IF($O1018="SOFix", "True Pattern", IF($O1018="ssFix", "Search Like Pattern", IF($O1018="TBar", "True Pattern", ""))))))))))))))))))))</f>
        <v>True Pattern</v>
      </c>
      <c r="Q1018" s="13" t="str">
        <f>IF(NOT(ISERR(SEARCH("*_Buggy",$A1018))), "Buggy", IF(NOT(ISERR(SEARCH("*_Fixed",$A1018))), "Fixed", IF(NOT(ISERR(SEARCH("*_Repaired",$A1018))), "Repaired", "")))</f>
        <v>Fixed</v>
      </c>
      <c r="R1018" s="13" t="s">
        <v>1668</v>
      </c>
      <c r="S1018" s="25">
        <v>1</v>
      </c>
      <c r="T1018" s="25">
        <v>0</v>
      </c>
      <c r="U1018" s="13">
        <v>16</v>
      </c>
      <c r="V1018" s="13">
        <v>16</v>
      </c>
      <c r="W1018" s="13" t="str">
        <f>MID(A1018, SEARCH("_", A1018) +1, SEARCH("_", A1018, SEARCH("_", A1018) +1) - SEARCH("_", A1018) -1)</f>
        <v>Closure-46</v>
      </c>
    </row>
    <row r="1019" spans="1:23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>LEFT($A1019,FIND("_",$A1019)-1)</f>
        <v>TBar</v>
      </c>
      <c r="P1019" s="13" t="str">
        <f>IF($O1019="ACS", "True Search", IF($O1019="Arja", "Evolutionary Search", IF($O1019="AVATAR", "True Pattern", IF($O1019="CapGen", "Search Like Pattern", IF($O1019="Cardumen", "True Semantic", IF($O1019="DynaMoth", "True Semantic", IF($O1019="FixMiner", "True Pattern", IF($O1019="GenProg-A", "Evolutionary Search", IF($O1019="Hercules", "Learning Pattern", IF($O1019="Jaid", "True Semantic",
IF($O1019="Kali-A", "True Search", IF($O1019="kPAR", "True Pattern", IF($O1019="Nopol", "True Semantic", IF($O1019="RSRepair-A", "Evolutionary Search", IF($O1019="SequenceR", "Deep Learning", IF($O1019="SimFix", "Search Like Pattern", IF($O1019="SketchFix", "True Pattern", IF($O1019="SOFix", "True Pattern", IF($O1019="ssFix", "Search Like Pattern", IF($O1019="TBar", "True Pattern", ""))))))))))))))))))))</f>
        <v>True Pattern</v>
      </c>
      <c r="Q1019" s="13" t="str">
        <f>IF(NOT(ISERR(SEARCH("*_Buggy",$A1019))), "Buggy", IF(NOT(ISERR(SEARCH("*_Fixed",$A1019))), "Fixed", IF(NOT(ISERR(SEARCH("*_Repaired",$A1019))), "Repaired", "")))</f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v>1</v>
      </c>
      <c r="W1019" s="13" t="str">
        <f>MID(A1019, SEARCH("_", A1019) +1, SEARCH("_", A1019, SEARCH("_", A1019) +1) - SEARCH("_", A1019) -1)</f>
        <v>Closure-62</v>
      </c>
    </row>
    <row r="1020" spans="1:23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>LEFT($A1020,FIND("_",$A1020)-1)</f>
        <v>TBar</v>
      </c>
      <c r="P1020" s="13" t="str">
        <f>IF($O1020="ACS", "True Search", IF($O1020="Arja", "Evolutionary Search", IF($O1020="AVATAR", "True Pattern", IF($O1020="CapGen", "Search Like Pattern", IF($O1020="Cardumen", "True Semantic", IF($O1020="DynaMoth", "True Semantic", IF($O1020="FixMiner", "True Pattern", IF($O1020="GenProg-A", "Evolutionary Search", IF($O1020="Hercules", "Learning Pattern", IF($O1020="Jaid", "True Semantic",
IF($O1020="Kali-A", "True Search", IF($O1020="kPAR", "True Pattern", IF($O1020="Nopol", "True Semantic", IF($O1020="RSRepair-A", "Evolutionary Search", IF($O1020="SequenceR", "Deep Learning", IF($O1020="SimFix", "Search Like Pattern", IF($O1020="SketchFix", "True Pattern", IF($O1020="SOFix", "True Pattern", IF($O1020="ssFix", "Search Like Pattern", IF($O1020="TBar", "True Pattern", ""))))))))))))))))))))</f>
        <v>True Pattern</v>
      </c>
      <c r="Q1020" s="13" t="str">
        <f>IF(NOT(ISERR(SEARCH("*_Buggy",$A1020))), "Buggy", IF(NOT(ISERR(SEARCH("*_Fixed",$A1020))), "Fixed", IF(NOT(ISERR(SEARCH("*_Repaired",$A1020))), "Repaired", "")))</f>
        <v>Fixed</v>
      </c>
      <c r="R1020" s="13" t="s">
        <v>1669</v>
      </c>
      <c r="S1020" s="25">
        <v>2</v>
      </c>
      <c r="T1020" s="13">
        <v>2</v>
      </c>
      <c r="U1020" s="25">
        <v>0</v>
      </c>
      <c r="V1020" s="13">
        <v>2</v>
      </c>
      <c r="W1020" s="13" t="str">
        <f>MID(A1020, SEARCH("_", A1020) +1, SEARCH("_", A1020, SEARCH("_", A1020) +1) - SEARCH("_", A1020) -1)</f>
        <v>Closure-66</v>
      </c>
    </row>
    <row r="1021" spans="1:23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>LEFT($A1021,FIND("_",$A1021)-1)</f>
        <v>TBar</v>
      </c>
      <c r="P1021" s="13" t="str">
        <f>IF($O1021="ACS", "True Search", IF($O1021="Arja", "Evolutionary Search", IF($O1021="AVATAR", "True Pattern", IF($O1021="CapGen", "Search Like Pattern", IF($O1021="Cardumen", "True Semantic", IF($O1021="DynaMoth", "True Semantic", IF($O1021="FixMiner", "True Pattern", IF($O1021="GenProg-A", "Evolutionary Search", IF($O1021="Hercules", "Learning Pattern", IF($O1021="Jaid", "True Semantic",
IF($O1021="Kali-A", "True Search", IF($O1021="kPAR", "True Pattern", IF($O1021="Nopol", "True Semantic", IF($O1021="RSRepair-A", "Evolutionary Search", IF($O1021="SequenceR", "Deep Learning", IF($O1021="SimFix", "Search Like Pattern", IF($O1021="SketchFix", "True Pattern", IF($O1021="SOFix", "True Pattern", IF($O1021="ssFix", "Search Like Pattern", IF($O1021="TBar", "True Pattern", ""))))))))))))))))))))</f>
        <v>True Pattern</v>
      </c>
      <c r="Q1021" s="13" t="str">
        <f>IF(NOT(ISERR(SEARCH("*_Buggy",$A1021))), "Buggy", IF(NOT(ISERR(SEARCH("*_Fixed",$A1021))), "Fixed", IF(NOT(ISERR(SEARCH("*_Repaired",$A1021))), "Repaired", "")))</f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v>1</v>
      </c>
      <c r="W1021" s="13" t="str">
        <f>MID(A1021, SEARCH("_", A1021) +1, SEARCH("_", A1021, SEARCH("_", A1021) +1) - SEARCH("_", A1021) -1)</f>
        <v>Closure-70</v>
      </c>
    </row>
    <row r="1022" spans="1:23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>LEFT($A1022,FIND("_",$A1022)-1)</f>
        <v>TBar</v>
      </c>
      <c r="P1022" s="13" t="str">
        <f>IF($O1022="ACS", "True Search", IF($O1022="Arja", "Evolutionary Search", IF($O1022="AVATAR", "True Pattern", IF($O1022="CapGen", "Search Like Pattern", IF($O1022="Cardumen", "True Semantic", IF($O1022="DynaMoth", "True Semantic", IF($O1022="FixMiner", "True Pattern", IF($O1022="GenProg-A", "Evolutionary Search", IF($O1022="Hercules", "Learning Pattern", IF($O1022="Jaid", "True Semantic",
IF($O1022="Kali-A", "True Search", IF($O1022="kPAR", "True Pattern", IF($O1022="Nopol", "True Semantic", IF($O1022="RSRepair-A", "Evolutionary Search", IF($O1022="SequenceR", "Deep Learning", IF($O1022="SimFix", "Search Like Pattern", IF($O1022="SketchFix", "True Pattern", IF($O1022="SOFix", "True Pattern", IF($O1022="ssFix", "Search Like Pattern", IF($O1022="TBar", "True Pattern", ""))))))))))))))))))))</f>
        <v>True Pattern</v>
      </c>
      <c r="Q1022" s="13" t="str">
        <f>IF(NOT(ISERR(SEARCH("*_Buggy",$A1022))), "Buggy", IF(NOT(ISERR(SEARCH("*_Fixed",$A1022))), "Fixed", IF(NOT(ISERR(SEARCH("*_Repaired",$A1022))), "Repaired", "")))</f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v>1</v>
      </c>
      <c r="W1022" s="13" t="str">
        <f>MID(A1022, SEARCH("_", A1022) +1, SEARCH("_", A1022, SEARCH("_", A1022) +1) - SEARCH("_", A1022) -1)</f>
        <v>Closure-73</v>
      </c>
    </row>
    <row r="1023" spans="1:23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>LEFT($A1023,FIND("_",$A1023)-1)</f>
        <v>TBar</v>
      </c>
      <c r="P1023" s="13" t="str">
        <f>IF($O1023="ACS", "True Search", IF($O1023="Arja", "Evolutionary Search", IF($O1023="AVATAR", "True Pattern", IF($O1023="CapGen", "Search Like Pattern", IF($O1023="Cardumen", "True Semantic", IF($O1023="DynaMoth", "True Semantic", IF($O1023="FixMiner", "True Pattern", IF($O1023="GenProg-A", "Evolutionary Search", IF($O1023="Hercules", "Learning Pattern", IF($O1023="Jaid", "True Semantic",
IF($O1023="Kali-A", "True Search", IF($O1023="kPAR", "True Pattern", IF($O1023="Nopol", "True Semantic", IF($O1023="RSRepair-A", "Evolutionary Search", IF($O1023="SequenceR", "Deep Learning", IF($O1023="SimFix", "Search Like Pattern", IF($O1023="SketchFix", "True Pattern", IF($O1023="SOFix", "True Pattern", IF($O1023="ssFix", "Search Like Pattern", IF($O1023="TBar", "True Pattern", ""))))))))))))))))))))</f>
        <v>True Pattern</v>
      </c>
      <c r="Q1023" s="13" t="str">
        <f>IF(NOT(ISERR(SEARCH("*_Buggy",$A1023))), "Buggy", IF(NOT(ISERR(SEARCH("*_Fixed",$A1023))), "Fixed", IF(NOT(ISERR(SEARCH("*_Repaired",$A1023))), "Repaired", "")))</f>
        <v>Fixed</v>
      </c>
      <c r="R1023" s="13" t="s">
        <v>1668</v>
      </c>
      <c r="S1023" s="25">
        <v>2</v>
      </c>
      <c r="T1023" s="25">
        <v>0</v>
      </c>
      <c r="U1023" s="13">
        <v>9</v>
      </c>
      <c r="V1023" s="13">
        <v>9</v>
      </c>
      <c r="W1023" s="13" t="str">
        <f>MID(A1023, SEARCH("_", A1023) +1, SEARCH("_", A1023, SEARCH("_", A1023) +1) - SEARCH("_", A1023) -1)</f>
        <v>Lang-10</v>
      </c>
    </row>
    <row r="1024" spans="1:23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>LEFT($A1024,FIND("_",$A1024)-1)</f>
        <v>TBar</v>
      </c>
      <c r="P1024" s="13" t="str">
        <f>IF($O1024="ACS", "True Search", IF($O1024="Arja", "Evolutionary Search", IF($O1024="AVATAR", "True Pattern", IF($O1024="CapGen", "Search Like Pattern", IF($O1024="Cardumen", "True Semantic", IF($O1024="DynaMoth", "True Semantic", IF($O1024="FixMiner", "True Pattern", IF($O1024="GenProg-A", "Evolutionary Search", IF($O1024="Hercules", "Learning Pattern", IF($O1024="Jaid", "True Semantic",
IF($O1024="Kali-A", "True Search", IF($O1024="kPAR", "True Pattern", IF($O1024="Nopol", "True Semantic", IF($O1024="RSRepair-A", "Evolutionary Search", IF($O1024="SequenceR", "Deep Learning", IF($O1024="SimFix", "Search Like Pattern", IF($O1024="SketchFix", "True Pattern", IF($O1024="SOFix", "True Pattern", IF($O1024="ssFix", "Search Like Pattern", IF($O1024="TBar", "True Pattern", ""))))))))))))))))))))</f>
        <v>True Pattern</v>
      </c>
      <c r="Q1024" s="13" t="str">
        <f>IF(NOT(ISERR(SEARCH("*_Buggy",$A1024))), "Buggy", IF(NOT(ISERR(SEARCH("*_Fixed",$A1024))), "Fixed", IF(NOT(ISERR(SEARCH("*_Repaired",$A1024))), "Repaired", "")))</f>
        <v>Fixed</v>
      </c>
      <c r="R1024" s="13" t="s">
        <v>1669</v>
      </c>
      <c r="S1024" s="25">
        <v>4</v>
      </c>
      <c r="T1024" s="13">
        <v>19</v>
      </c>
      <c r="U1024" s="25">
        <v>0</v>
      </c>
      <c r="V1024" s="13">
        <v>19</v>
      </c>
      <c r="W1024" s="13" t="str">
        <f>MID(A1024, SEARCH("_", A1024) +1, SEARCH("_", A1024, SEARCH("_", A1024) +1) - SEARCH("_", A1024) -1)</f>
        <v>Lang-13</v>
      </c>
    </row>
    <row r="1025" spans="1:23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>LEFT($A1025,FIND("_",$A1025)-1)</f>
        <v>TBar</v>
      </c>
      <c r="P1025" s="13" t="str">
        <f>IF($O1025="ACS", "True Search", IF($O1025="Arja", "Evolutionary Search", IF($O1025="AVATAR", "True Pattern", IF($O1025="CapGen", "Search Like Pattern", IF($O1025="Cardumen", "True Semantic", IF($O1025="DynaMoth", "True Semantic", IF($O1025="FixMiner", "True Pattern", IF($O1025="GenProg-A", "Evolutionary Search", IF($O1025="Hercules", "Learning Pattern", IF($O1025="Jaid", "True Semantic",
IF($O1025="Kali-A", "True Search", IF($O1025="kPAR", "True Pattern", IF($O1025="Nopol", "True Semantic", IF($O1025="RSRepair-A", "Evolutionary Search", IF($O1025="SequenceR", "Deep Learning", IF($O1025="SimFix", "Search Like Pattern", IF($O1025="SketchFix", "True Pattern", IF($O1025="SOFix", "True Pattern", IF($O1025="ssFix", "Search Like Pattern", IF($O1025="TBar", "True Pattern", ""))))))))))))))))))))</f>
        <v>True Pattern</v>
      </c>
      <c r="Q1025" s="13" t="str">
        <f>IF(NOT(ISERR(SEARCH("*_Buggy",$A1025))), "Buggy", IF(NOT(ISERR(SEARCH("*_Fixed",$A1025))), "Fixed", IF(NOT(ISERR(SEARCH("*_Repaired",$A1025))), "Repaired", "")))</f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v>5</v>
      </c>
      <c r="W1025" s="13" t="str">
        <f>MID(A1025, SEARCH("_", A1025) +1, SEARCH("_", A1025, SEARCH("_", A1025) +1) - SEARCH("_", A1025) -1)</f>
        <v>Lang-18</v>
      </c>
    </row>
    <row r="1026" spans="1:23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>LEFT($A1026,FIND("_",$A1026)-1)</f>
        <v>TBar</v>
      </c>
      <c r="P1026" s="13" t="str">
        <f>IF($O1026="ACS", "True Search", IF($O1026="Arja", "Evolutionary Search", IF($O1026="AVATAR", "True Pattern", IF($O1026="CapGen", "Search Like Pattern", IF($O1026="Cardumen", "True Semantic", IF($O1026="DynaMoth", "True Semantic", IF($O1026="FixMiner", "True Pattern", IF($O1026="GenProg-A", "Evolutionary Search", IF($O1026="Hercules", "Learning Pattern", IF($O1026="Jaid", "True Semantic",
IF($O1026="Kali-A", "True Search", IF($O1026="kPAR", "True Pattern", IF($O1026="Nopol", "True Semantic", IF($O1026="RSRepair-A", "Evolutionary Search", IF($O1026="SequenceR", "Deep Learning", IF($O1026="SimFix", "Search Like Pattern", IF($O1026="SketchFix", "True Pattern", IF($O1026="SOFix", "True Pattern", IF($O1026="ssFix", "Search Like Pattern", IF($O1026="TBar", "True Pattern", ""))))))))))))))))))))</f>
        <v>True Pattern</v>
      </c>
      <c r="Q1026" s="13" t="str">
        <f>IF(NOT(ISERR(SEARCH("*_Buggy",$A1026))), "Buggy", IF(NOT(ISERR(SEARCH("*_Fixed",$A1026))), "Fixed", IF(NOT(ISERR(SEARCH("*_Repaired",$A1026))), "Repaired", "")))</f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v>2</v>
      </c>
      <c r="W1026" s="13" t="str">
        <f>MID(A1026, SEARCH("_", A1026) +1, SEARCH("_", A1026, SEARCH("_", A1026) +1) - SEARCH("_", A1026) -1)</f>
        <v>Lang-20</v>
      </c>
    </row>
    <row r="1027" spans="1:23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>LEFT($A1027,FIND("_",$A1027)-1)</f>
        <v>TBar</v>
      </c>
      <c r="P1027" s="13" t="str">
        <f>IF($O1027="ACS", "True Search", IF($O1027="Arja", "Evolutionary Search", IF($O1027="AVATAR", "True Pattern", IF($O1027="CapGen", "Search Like Pattern", IF($O1027="Cardumen", "True Semantic", IF($O1027="DynaMoth", "True Semantic", IF($O1027="FixMiner", "True Pattern", IF($O1027="GenProg-A", "Evolutionary Search", IF($O1027="Hercules", "Learning Pattern", IF($O1027="Jaid", "True Semantic",
IF($O1027="Kali-A", "True Search", IF($O1027="kPAR", "True Pattern", IF($O1027="Nopol", "True Semantic", IF($O1027="RSRepair-A", "Evolutionary Search", IF($O1027="SequenceR", "Deep Learning", IF($O1027="SimFix", "Search Like Pattern", IF($O1027="SketchFix", "True Pattern", IF($O1027="SOFix", "True Pattern", IF($O1027="ssFix", "Search Like Pattern", IF($O1027="TBar", "True Pattern", ""))))))))))))))))))))</f>
        <v>True Pattern</v>
      </c>
      <c r="Q1027" s="13" t="str">
        <f>IF(NOT(ISERR(SEARCH("*_Buggy",$A1027))), "Buggy", IF(NOT(ISERR(SEARCH("*_Fixed",$A1027))), "Fixed", IF(NOT(ISERR(SEARCH("*_Repaired",$A1027))), "Repaired", "")))</f>
        <v>Fixed</v>
      </c>
      <c r="R1027" s="13" t="s">
        <v>1669</v>
      </c>
      <c r="S1027" s="25">
        <v>2</v>
      </c>
      <c r="T1027" s="25">
        <v>7</v>
      </c>
      <c r="U1027" s="25">
        <v>1</v>
      </c>
      <c r="V1027" s="13">
        <v>7</v>
      </c>
      <c r="W1027" s="13" t="str">
        <f>MID(A1027, SEARCH("_", A1027) +1, SEARCH("_", A1027, SEARCH("_", A1027) +1) - SEARCH("_", A1027) -1)</f>
        <v>Lang-22</v>
      </c>
    </row>
    <row r="1028" spans="1:23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>LEFT($A1028,FIND("_",$A1028)-1)</f>
        <v>TBar</v>
      </c>
      <c r="P1028" s="13" t="str">
        <f>IF($O1028="ACS", "True Search", IF($O1028="Arja", "Evolutionary Search", IF($O1028="AVATAR", "True Pattern", IF($O1028="CapGen", "Search Like Pattern", IF($O1028="Cardumen", "True Semantic", IF($O1028="DynaMoth", "True Semantic", IF($O1028="FixMiner", "True Pattern", IF($O1028="GenProg-A", "Evolutionary Search", IF($O1028="Hercules", "Learning Pattern", IF($O1028="Jaid", "True Semantic",
IF($O1028="Kali-A", "True Search", IF($O1028="kPAR", "True Pattern", IF($O1028="Nopol", "True Semantic", IF($O1028="RSRepair-A", "Evolutionary Search", IF($O1028="SequenceR", "Deep Learning", IF($O1028="SimFix", "Search Like Pattern", IF($O1028="SketchFix", "True Pattern", IF($O1028="SOFix", "True Pattern", IF($O1028="ssFix", "Search Like Pattern", IF($O1028="TBar", "True Pattern", ""))))))))))))))))))))</f>
        <v>True Pattern</v>
      </c>
      <c r="Q1028" s="13" t="str">
        <f>IF(NOT(ISERR(SEARCH("*_Buggy",$A1028))), "Buggy", IF(NOT(ISERR(SEARCH("*_Fixed",$A1028))), "Fixed", IF(NOT(ISERR(SEARCH("*_Repaired",$A1028))), "Repaired", "")))</f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v>1</v>
      </c>
      <c r="W1028" s="13" t="str">
        <f>MID(A1028, SEARCH("_", A1028) +1, SEARCH("_", A1028, SEARCH("_", A1028) +1) - SEARCH("_", A1028) -1)</f>
        <v>Lang-24</v>
      </c>
    </row>
    <row r="1029" spans="1:23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>LEFT($A1029,FIND("_",$A1029)-1)</f>
        <v>TBar</v>
      </c>
      <c r="P1029" s="13" t="str">
        <f>IF($O1029="ACS", "True Search", IF($O1029="Arja", "Evolutionary Search", IF($O1029="AVATAR", "True Pattern", IF($O1029="CapGen", "Search Like Pattern", IF($O1029="Cardumen", "True Semantic", IF($O1029="DynaMoth", "True Semantic", IF($O1029="FixMiner", "True Pattern", IF($O1029="GenProg-A", "Evolutionary Search", IF($O1029="Hercules", "Learning Pattern", IF($O1029="Jaid", "True Semantic",
IF($O1029="Kali-A", "True Search", IF($O1029="kPAR", "True Pattern", IF($O1029="Nopol", "True Semantic", IF($O1029="RSRepair-A", "Evolutionary Search", IF($O1029="SequenceR", "Deep Learning", IF($O1029="SimFix", "Search Like Pattern", IF($O1029="SketchFix", "True Pattern", IF($O1029="SOFix", "True Pattern", IF($O1029="ssFix", "Search Like Pattern", IF($O1029="TBar", "True Pattern", ""))))))))))))))))))))</f>
        <v>True Pattern</v>
      </c>
      <c r="Q1029" s="13" t="str">
        <f>IF(NOT(ISERR(SEARCH("*_Buggy",$A1029))), "Buggy", IF(NOT(ISERR(SEARCH("*_Fixed",$A1029))), "Fixed", IF(NOT(ISERR(SEARCH("*_Repaired",$A1029))), "Repaired", "")))</f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v>1</v>
      </c>
      <c r="W1029" s="13" t="str">
        <f>MID(A1029, SEARCH("_", A1029) +1, SEARCH("_", A1029, SEARCH("_", A1029) +1) - SEARCH("_", A1029) -1)</f>
        <v>Lang-26</v>
      </c>
    </row>
    <row r="1030" spans="1:23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>LEFT($A1030,FIND("_",$A1030)-1)</f>
        <v>TBar</v>
      </c>
      <c r="P1030" s="13" t="str">
        <f>IF($O1030="ACS", "True Search", IF($O1030="Arja", "Evolutionary Search", IF($O1030="AVATAR", "True Pattern", IF($O1030="CapGen", "Search Like Pattern", IF($O1030="Cardumen", "True Semantic", IF($O1030="DynaMoth", "True Semantic", IF($O1030="FixMiner", "True Pattern", IF($O1030="GenProg-A", "Evolutionary Search", IF($O1030="Hercules", "Learning Pattern", IF($O1030="Jaid", "True Semantic",
IF($O1030="Kali-A", "True Search", IF($O1030="kPAR", "True Pattern", IF($O1030="Nopol", "True Semantic", IF($O1030="RSRepair-A", "Evolutionary Search", IF($O1030="SequenceR", "Deep Learning", IF($O1030="SimFix", "Search Like Pattern", IF($O1030="SketchFix", "True Pattern", IF($O1030="SOFix", "True Pattern", IF($O1030="ssFix", "Search Like Pattern", IF($O1030="TBar", "True Pattern", ""))))))))))))))))))))</f>
        <v>True Pattern</v>
      </c>
      <c r="Q1030" s="13" t="str">
        <f>IF(NOT(ISERR(SEARCH("*_Buggy",$A1030))), "Buggy", IF(NOT(ISERR(SEARCH("*_Fixed",$A1030))), "Fixed", IF(NOT(ISERR(SEARCH("*_Repaired",$A1030))), "Repaired", "")))</f>
        <v>Fixed</v>
      </c>
      <c r="R1030" s="13" t="s">
        <v>1669</v>
      </c>
      <c r="S1030" s="25">
        <v>2</v>
      </c>
      <c r="T1030" s="25">
        <v>4</v>
      </c>
      <c r="U1030" s="25">
        <v>1</v>
      </c>
      <c r="V1030" s="13">
        <v>4</v>
      </c>
      <c r="W1030" s="13" t="str">
        <f>MID(A1030, SEARCH("_", A1030) +1, SEARCH("_", A1030, SEARCH("_", A1030) +1) - SEARCH("_", A1030) -1)</f>
        <v>Lang-27</v>
      </c>
    </row>
    <row r="1031" spans="1:23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>LEFT($A1031,FIND("_",$A1031)-1)</f>
        <v>TBar</v>
      </c>
      <c r="P1031" s="13" t="str">
        <f>IF($O1031="ACS", "True Search", IF($O1031="Arja", "Evolutionary Search", IF($O1031="AVATAR", "True Pattern", IF($O1031="CapGen", "Search Like Pattern", IF($O1031="Cardumen", "True Semantic", IF($O1031="DynaMoth", "True Semantic", IF($O1031="FixMiner", "True Pattern", IF($O1031="GenProg-A", "Evolutionary Search", IF($O1031="Hercules", "Learning Pattern", IF($O1031="Jaid", "True Semantic",
IF($O1031="Kali-A", "True Search", IF($O1031="kPAR", "True Pattern", IF($O1031="Nopol", "True Semantic", IF($O1031="RSRepair-A", "Evolutionary Search", IF($O1031="SequenceR", "Deep Learning", IF($O1031="SimFix", "Search Like Pattern", IF($O1031="SketchFix", "True Pattern", IF($O1031="SOFix", "True Pattern", IF($O1031="ssFix", "Search Like Pattern", IF($O1031="TBar", "True Pattern", ""))))))))))))))))))))</f>
        <v>True Pattern</v>
      </c>
      <c r="Q1031" s="13" t="str">
        <f>IF(NOT(ISERR(SEARCH("*_Buggy",$A1031))), "Buggy", IF(NOT(ISERR(SEARCH("*_Fixed",$A1031))), "Fixed", IF(NOT(ISERR(SEARCH("*_Repaired",$A1031))), "Repaired", "")))</f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v>1</v>
      </c>
      <c r="W1031" s="13" t="str">
        <f>MID(A1031, SEARCH("_", A1031) +1, SEARCH("_", A1031, SEARCH("_", A1031) +1) - SEARCH("_", A1031) -1)</f>
        <v>Lang-33</v>
      </c>
    </row>
    <row r="1032" spans="1:23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>LEFT($A1032,FIND("_",$A1032)-1)</f>
        <v>TBar</v>
      </c>
      <c r="P1032" s="13" t="str">
        <f>IF($O1032="ACS", "True Search", IF($O1032="Arja", "Evolutionary Search", IF($O1032="AVATAR", "True Pattern", IF($O1032="CapGen", "Search Like Pattern", IF($O1032="Cardumen", "True Semantic", IF($O1032="DynaMoth", "True Semantic", IF($O1032="FixMiner", "True Pattern", IF($O1032="GenProg-A", "Evolutionary Search", IF($O1032="Hercules", "Learning Pattern", IF($O1032="Jaid", "True Semantic",
IF($O1032="Kali-A", "True Search", IF($O1032="kPAR", "True Pattern", IF($O1032="Nopol", "True Semantic", IF($O1032="RSRepair-A", "Evolutionary Search", IF($O1032="SequenceR", "Deep Learning", IF($O1032="SimFix", "Search Like Pattern", IF($O1032="SketchFix", "True Pattern", IF($O1032="SOFix", "True Pattern", IF($O1032="ssFix", "Search Like Pattern", IF($O1032="TBar", "True Pattern", ""))))))))))))))))))))</f>
        <v>True Pattern</v>
      </c>
      <c r="Q1032" s="13" t="str">
        <f>IF(NOT(ISERR(SEARCH("*_Buggy",$A1032))), "Buggy", IF(NOT(ISERR(SEARCH("*_Fixed",$A1032))), "Fixed", IF(NOT(ISERR(SEARCH("*_Repaired",$A1032))), "Repaired", "")))</f>
        <v>Fixed</v>
      </c>
      <c r="R1032" s="13" t="s">
        <v>1668</v>
      </c>
      <c r="S1032" s="25">
        <v>1</v>
      </c>
      <c r="T1032" s="13">
        <v>3</v>
      </c>
      <c r="U1032" s="25">
        <v>0</v>
      </c>
      <c r="V1032" s="13">
        <v>3</v>
      </c>
      <c r="W1032" s="13" t="str">
        <f>MID(A1032, SEARCH("_", A1032) +1, SEARCH("_", A1032, SEARCH("_", A1032) +1) - SEARCH("_", A1032) -1)</f>
        <v>Lang-39</v>
      </c>
    </row>
    <row r="1033" spans="1:23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>LEFT($A1033,FIND("_",$A1033)-1)</f>
        <v>TBar</v>
      </c>
      <c r="P1033" s="13" t="str">
        <f>IF($O1033="ACS", "True Search", IF($O1033="Arja", "Evolutionary Search", IF($O1033="AVATAR", "True Pattern", IF($O1033="CapGen", "Search Like Pattern", IF($O1033="Cardumen", "True Semantic", IF($O1033="DynaMoth", "True Semantic", IF($O1033="FixMiner", "True Pattern", IF($O1033="GenProg-A", "Evolutionary Search", IF($O1033="Hercules", "Learning Pattern", IF($O1033="Jaid", "True Semantic",
IF($O1033="Kali-A", "True Search", IF($O1033="kPAR", "True Pattern", IF($O1033="Nopol", "True Semantic", IF($O1033="RSRepair-A", "Evolutionary Search", IF($O1033="SequenceR", "Deep Learning", IF($O1033="SimFix", "Search Like Pattern", IF($O1033="SketchFix", "True Pattern", IF($O1033="SOFix", "True Pattern", IF($O1033="ssFix", "Search Like Pattern", IF($O1033="TBar", "True Pattern", ""))))))))))))))))))))</f>
        <v>True Pattern</v>
      </c>
      <c r="Q1033" s="13" t="str">
        <f>IF(NOT(ISERR(SEARCH("*_Buggy",$A1033))), "Buggy", IF(NOT(ISERR(SEARCH("*_Fixed",$A1033))), "Fixed", IF(NOT(ISERR(SEARCH("*_Repaired",$A1033))), "Repaired", "")))</f>
        <v>Fixed</v>
      </c>
      <c r="R1033" s="13" t="s">
        <v>1669</v>
      </c>
      <c r="S1033" s="25">
        <v>8</v>
      </c>
      <c r="T1033" s="25">
        <v>21</v>
      </c>
      <c r="U1033" s="25">
        <v>2</v>
      </c>
      <c r="V1033" s="13">
        <v>21</v>
      </c>
      <c r="W1033" s="13" t="str">
        <f>MID(A1033, SEARCH("_", A1033) +1, SEARCH("_", A1033, SEARCH("_", A1033) +1) - SEARCH("_", A1033) -1)</f>
        <v>Lang-41</v>
      </c>
    </row>
    <row r="1034" spans="1:23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>LEFT($A1034,FIND("_",$A1034)-1)</f>
        <v>TBar</v>
      </c>
      <c r="P1034" s="13" t="str">
        <f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>IF(NOT(ISERR(SEARCH("*_Buggy",$A1034))), "Buggy", IF(NOT(ISERR(SEARCH("*_Fixed",$A1034))), "Fixed", IF(NOT(ISERR(SEARCH("*_Repaired",$A1034))), "Repaired", "")))</f>
        <v>Fixed</v>
      </c>
      <c r="R1034" s="13" t="s">
        <v>1669</v>
      </c>
      <c r="S1034" s="25">
        <v>1</v>
      </c>
      <c r="T1034" s="13">
        <v>1</v>
      </c>
      <c r="U1034" s="25">
        <v>0</v>
      </c>
      <c r="V1034" s="13">
        <v>1</v>
      </c>
      <c r="W1034" s="13" t="str">
        <f>MID(A1034, SEARCH("_", A1034) +1, SEARCH("_", A1034, SEARCH("_", A1034) +1) - SEARCH("_", A1034) -1)</f>
        <v>Lang-43</v>
      </c>
    </row>
    <row r="1035" spans="1:23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>LEFT($A1035,FIND("_",$A1035)-1)</f>
        <v>TBar</v>
      </c>
      <c r="P1035" s="13" t="str">
        <f>IF($O1035="ACS", "True Search", IF($O1035="Arja", "Evolutionary Search", IF($O1035="AVATAR", "True Pattern", IF($O1035="CapGen", "Search Like Pattern", IF($O1035="Cardumen", "True Semantic", IF($O1035="DynaMoth", "True Semantic", IF($O1035="FixMiner", "True Pattern", IF($O1035="GenProg-A", "Evolutionary Search", IF($O1035="Hercules", "Learning Pattern", IF($O1035="Jaid", "True Semantic",
IF($O1035="Kali-A", "True Search", IF($O1035="kPAR", "True Pattern", IF($O1035="Nopol", "True Semantic", IF($O1035="RSRepair-A", "Evolutionary Search", IF($O1035="SequenceR", "Deep Learning", IF($O1035="SimFix", "Search Like Pattern", IF($O1035="SketchFix", "True Pattern", IF($O1035="SOFix", "True Pattern", IF($O1035="ssFix", "Search Like Pattern", IF($O1035="TBar", "True Pattern", ""))))))))))))))))))))</f>
        <v>True Pattern</v>
      </c>
      <c r="Q1035" s="13" t="str">
        <f>IF(NOT(ISERR(SEARCH("*_Buggy",$A1035))), "Buggy", IF(NOT(ISERR(SEARCH("*_Fixed",$A1035))), "Fixed", IF(NOT(ISERR(SEARCH("*_Repaired",$A1035))), "Repaired", "")))</f>
        <v>Fixed</v>
      </c>
      <c r="R1035" s="13" t="s">
        <v>1669</v>
      </c>
      <c r="S1035" s="25">
        <v>1</v>
      </c>
      <c r="T1035" s="13">
        <v>3</v>
      </c>
      <c r="U1035" s="25">
        <v>0</v>
      </c>
      <c r="V1035" s="13">
        <v>3</v>
      </c>
      <c r="W1035" s="13" t="str">
        <f>MID(A1035, SEARCH("_", A1035) +1, SEARCH("_", A1035, SEARCH("_", A1035) +1) - SEARCH("_", A1035) -1)</f>
        <v>Lang-44</v>
      </c>
    </row>
    <row r="1036" spans="1:23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>LEFT($A1036,FIND("_",$A1036)-1)</f>
        <v>TBar</v>
      </c>
      <c r="P1036" s="13" t="str">
        <f>IF($O1036="ACS", "True Search", IF($O1036="Arja", "Evolutionary Search", IF($O1036="AVATAR", "True Pattern", IF($O1036="CapGen", "Search Like Pattern", IF($O1036="Cardumen", "True Semantic", IF($O1036="DynaMoth", "True Semantic", IF($O1036="FixMiner", "True Pattern", IF($O1036="GenProg-A", "Evolutionary Search", IF($O1036="Hercules", "Learning Pattern", IF($O1036="Jaid", "True Semantic",
IF($O1036="Kali-A", "True Search", IF($O1036="kPAR", "True Pattern", IF($O1036="Nopol", "True Semantic", IF($O1036="RSRepair-A", "Evolutionary Search", IF($O1036="SequenceR", "Deep Learning", IF($O1036="SimFix", "Search Like Pattern", IF($O1036="SketchFix", "True Pattern", IF($O1036="SOFix", "True Pattern", IF($O1036="ssFix", "Search Like Pattern", IF($O1036="TBar", "True Pattern", ""))))))))))))))))))))</f>
        <v>True Pattern</v>
      </c>
      <c r="Q1036" s="13" t="str">
        <f>IF(NOT(ISERR(SEARCH("*_Buggy",$A1036))), "Buggy", IF(NOT(ISERR(SEARCH("*_Fixed",$A1036))), "Fixed", IF(NOT(ISERR(SEARCH("*_Repaired",$A1036))), "Repaired", "")))</f>
        <v>Fixed</v>
      </c>
      <c r="R1036" s="13" t="s">
        <v>1669</v>
      </c>
      <c r="S1036" s="25">
        <v>1</v>
      </c>
      <c r="T1036" s="13">
        <v>3</v>
      </c>
      <c r="U1036" s="25">
        <v>0</v>
      </c>
      <c r="V1036" s="13">
        <v>3</v>
      </c>
      <c r="W1036" s="13" t="str">
        <f>MID(A1036, SEARCH("_", A1036) +1, SEARCH("_", A1036, SEARCH("_", A1036) +1) - SEARCH("_", A1036) -1)</f>
        <v>Lang-45</v>
      </c>
    </row>
    <row r="1037" spans="1:23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>LEFT($A1037,FIND("_",$A1037)-1)</f>
        <v>TBar</v>
      </c>
      <c r="P1037" s="13" t="str">
        <f>IF($O1037="ACS", "True Search", IF($O1037="Arja", "Evolutionary Search", IF($O1037="AVATAR", "True Pattern", IF($O1037="CapGen", "Search Like Pattern", IF($O1037="Cardumen", "True Semantic", IF($O1037="DynaMoth", "True Semantic", IF($O1037="FixMiner", "True Pattern", IF($O1037="GenProg-A", "Evolutionary Search", IF($O1037="Hercules", "Learning Pattern", IF($O1037="Jaid", "True Semantic",
IF($O1037="Kali-A", "True Search", IF($O1037="kPAR", "True Pattern", IF($O1037="Nopol", "True Semantic", IF($O1037="RSRepair-A", "Evolutionary Search", IF($O1037="SequenceR", "Deep Learning", IF($O1037="SimFix", "Search Like Pattern", IF($O1037="SketchFix", "True Pattern", IF($O1037="SOFix", "True Pattern", IF($O1037="ssFix", "Search Like Pattern", IF($O1037="TBar", "True Pattern", ""))))))))))))))))))))</f>
        <v>True Pattern</v>
      </c>
      <c r="Q1037" s="13" t="str">
        <f>IF(NOT(ISERR(SEARCH("*_Buggy",$A1037))), "Buggy", IF(NOT(ISERR(SEARCH("*_Fixed",$A1037))), "Fixed", IF(NOT(ISERR(SEARCH("*_Repaired",$A1037))), "Repaired", "")))</f>
        <v>Fixed</v>
      </c>
      <c r="R1037" s="13" t="s">
        <v>1668</v>
      </c>
      <c r="S1037" s="25">
        <v>2</v>
      </c>
      <c r="T1037" s="13">
        <v>6</v>
      </c>
      <c r="U1037" s="25">
        <v>0</v>
      </c>
      <c r="V1037" s="13">
        <v>6</v>
      </c>
      <c r="W1037" s="13" t="str">
        <f>MID(A1037, SEARCH("_", A1037) +1, SEARCH("_", A1037, SEARCH("_", A1037) +1) - SEARCH("_", A1037) -1)</f>
        <v>Lang-47</v>
      </c>
    </row>
    <row r="1038" spans="1:23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>LEFT($A1038,FIND("_",$A1038)-1)</f>
        <v>TBar</v>
      </c>
      <c r="P1038" s="13" t="str">
        <f>IF($O1038="ACS", "True Search", IF($O1038="Arja", "Evolutionary Search", IF($O1038="AVATAR", "True Pattern", IF($O1038="CapGen", "Search Like Pattern", IF($O1038="Cardumen", "True Semantic", IF($O1038="DynaMoth", "True Semantic", IF($O1038="FixMiner", "True Pattern", IF($O1038="GenProg-A", "Evolutionary Search", IF($O1038="Hercules", "Learning Pattern", IF($O1038="Jaid", "True Semantic",
IF($O1038="Kali-A", "True Search", IF($O1038="kPAR", "True Pattern", IF($O1038="Nopol", "True Semantic", IF($O1038="RSRepair-A", "Evolutionary Search", IF($O1038="SequenceR", "Deep Learning", IF($O1038="SimFix", "Search Like Pattern", IF($O1038="SketchFix", "True Pattern", IF($O1038="SOFix", "True Pattern", IF($O1038="ssFix", "Search Like Pattern", IF($O1038="TBar", "True Pattern", ""))))))))))))))))))))</f>
        <v>True Pattern</v>
      </c>
      <c r="Q1038" s="13" t="str">
        <f>IF(NOT(ISERR(SEARCH("*_Buggy",$A1038))), "Buggy", IF(NOT(ISERR(SEARCH("*_Fixed",$A1038))), "Fixed", IF(NOT(ISERR(SEARCH("*_Repaired",$A1038))), "Repaired", "")))</f>
        <v>Fixed</v>
      </c>
      <c r="R1038" s="13" t="s">
        <v>1669</v>
      </c>
      <c r="S1038" s="25">
        <v>6</v>
      </c>
      <c r="T1038" s="25">
        <v>6</v>
      </c>
      <c r="U1038" s="25">
        <v>10</v>
      </c>
      <c r="V1038" s="13">
        <v>12</v>
      </c>
      <c r="W1038" s="13" t="str">
        <f>MID(A1038, SEARCH("_", A1038) +1, SEARCH("_", A1038, SEARCH("_", A1038) +1) - SEARCH("_", A1038) -1)</f>
        <v>Lang-50</v>
      </c>
    </row>
    <row r="1039" spans="1:23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>LEFT($A1039,FIND("_",$A1039)-1)</f>
        <v>TBar</v>
      </c>
      <c r="P1039" s="13" t="str">
        <f>IF($O1039="ACS", "True Search", IF($O1039="Arja", "Evolutionary Search", IF($O1039="AVATAR", "True Pattern", IF($O1039="CapGen", "Search Like Pattern", IF($O1039="Cardumen", "True Semantic", IF($O1039="DynaMoth", "True Semantic", IF($O1039="FixMiner", "True Pattern", IF($O1039="GenProg-A", "Evolutionary Search", IF($O1039="Hercules", "Learning Pattern", IF($O1039="Jaid", "True Semantic",
IF($O1039="Kali-A", "True Search", IF($O1039="kPAR", "True Pattern", IF($O1039="Nopol", "True Semantic", IF($O1039="RSRepair-A", "Evolutionary Search", IF($O1039="SequenceR", "Deep Learning", IF($O1039="SimFix", "Search Like Pattern", IF($O1039="SketchFix", "True Pattern", IF($O1039="SOFix", "True Pattern", IF($O1039="ssFix", "Search Like Pattern", IF($O1039="TBar", "True Pattern", ""))))))))))))))))))))</f>
        <v>True Pattern</v>
      </c>
      <c r="Q1039" s="13" t="str">
        <f>IF(NOT(ISERR(SEARCH("*_Buggy",$A1039))), "Buggy", IF(NOT(ISERR(SEARCH("*_Fixed",$A1039))), "Fixed", IF(NOT(ISERR(SEARCH("*_Repaired",$A1039))), "Repaired", "")))</f>
        <v>Fixed</v>
      </c>
      <c r="R1039" s="13" t="s">
        <v>1668</v>
      </c>
      <c r="S1039" s="25">
        <v>1</v>
      </c>
      <c r="T1039" s="13">
        <v>1</v>
      </c>
      <c r="U1039" s="25">
        <v>0</v>
      </c>
      <c r="V1039" s="13">
        <v>1</v>
      </c>
      <c r="W1039" s="13" t="str">
        <f>MID(A1039, SEARCH("_", A1039) +1, SEARCH("_", A1039, SEARCH("_", A1039) +1) - SEARCH("_", A1039) -1)</f>
        <v>Lang-51</v>
      </c>
    </row>
    <row r="1040" spans="1:23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>LEFT($A1040,FIND("_",$A1040)-1)</f>
        <v>TBar</v>
      </c>
      <c r="P1040" s="13" t="str">
        <f>IF($O1040="ACS", "True Search", IF($O1040="Arja", "Evolutionary Search", IF($O1040="AVATAR", "True Pattern", IF($O1040="CapGen", "Search Like Pattern", IF($O1040="Cardumen", "True Semantic", IF($O1040="DynaMoth", "True Semantic", IF($O1040="FixMiner", "True Pattern", IF($O1040="GenProg-A", "Evolutionary Search", IF($O1040="Hercules", "Learning Pattern", IF($O1040="Jaid", "True Semantic",
IF($O1040="Kali-A", "True Search", IF($O1040="kPAR", "True Pattern", IF($O1040="Nopol", "True Semantic", IF($O1040="RSRepair-A", "Evolutionary Search", IF($O1040="SequenceR", "Deep Learning", IF($O1040="SimFix", "Search Like Pattern", IF($O1040="SketchFix", "True Pattern", IF($O1040="SOFix", "True Pattern", IF($O1040="ssFix", "Search Like Pattern", IF($O1040="TBar", "True Pattern", ""))))))))))))))))))))</f>
        <v>True Pattern</v>
      </c>
      <c r="Q1040" s="13" t="str">
        <f>IF(NOT(ISERR(SEARCH("*_Buggy",$A1040))), "Buggy", IF(NOT(ISERR(SEARCH("*_Fixed",$A1040))), "Fixed", IF(NOT(ISERR(SEARCH("*_Repaired",$A1040))), "Repaired", "")))</f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v>1</v>
      </c>
      <c r="W1040" s="13" t="str">
        <f>MID(A1040, SEARCH("_", A1040) +1, SEARCH("_", A1040, SEARCH("_", A1040) +1) - SEARCH("_", A1040) -1)</f>
        <v>Lang-57</v>
      </c>
    </row>
    <row r="1041" spans="1:23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>LEFT($A1041,FIND("_",$A1041)-1)</f>
        <v>TBar</v>
      </c>
      <c r="P1041" s="13" t="str">
        <f>IF($O1041="ACS", "True Search", IF($O1041="Arja", "Evolutionary Search", IF($O1041="AVATAR", "True Pattern", IF($O1041="CapGen", "Search Like Pattern", IF($O1041="Cardumen", "True Semantic", IF($O1041="DynaMoth", "True Semantic", IF($O1041="FixMiner", "True Pattern", IF($O1041="GenProg-A", "Evolutionary Search", IF($O1041="Hercules", "Learning Pattern", IF($O1041="Jaid", "True Semantic",
IF($O1041="Kali-A", "True Search", IF($O1041="kPAR", "True Pattern", IF($O1041="Nopol", "True Semantic", IF($O1041="RSRepair-A", "Evolutionary Search", IF($O1041="SequenceR", "Deep Learning", IF($O1041="SimFix", "Search Like Pattern", IF($O1041="SketchFix", "True Pattern", IF($O1041="SOFix", "True Pattern", IF($O1041="ssFix", "Search Like Pattern", IF($O1041="TBar", "True Pattern", ""))))))))))))))))))))</f>
        <v>True Pattern</v>
      </c>
      <c r="Q1041" s="13" t="str">
        <f>IF(NOT(ISERR(SEARCH("*_Buggy",$A1041))), "Buggy", IF(NOT(ISERR(SEARCH("*_Fixed",$A1041))), "Fixed", IF(NOT(ISERR(SEARCH("*_Repaired",$A1041))), "Repaired", "")))</f>
        <v>Fixed</v>
      </c>
      <c r="R1041" s="13" t="s">
        <v>1669</v>
      </c>
      <c r="S1041" s="25">
        <v>1</v>
      </c>
      <c r="T1041" s="25">
        <v>1</v>
      </c>
      <c r="U1041" s="25">
        <v>2</v>
      </c>
      <c r="V1041" s="13">
        <v>2</v>
      </c>
      <c r="W1041" s="13" t="str">
        <f>MID(A1041, SEARCH("_", A1041) +1, SEARCH("_", A1041, SEARCH("_", A1041) +1) - SEARCH("_", A1041) -1)</f>
        <v>Lang-58</v>
      </c>
    </row>
    <row r="1042" spans="1:23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>LEFT($A1042,FIND("_",$A1042)-1)</f>
        <v>TBar</v>
      </c>
      <c r="P1042" s="13" t="str">
        <f>IF($O1042="ACS", "True Search", IF($O1042="Arja", "Evolutionary Search", IF($O1042="AVATAR", "True Pattern", IF($O1042="CapGen", "Search Like Pattern", IF($O1042="Cardumen", "True Semantic", IF($O1042="DynaMoth", "True Semantic", IF($O1042="FixMiner", "True Pattern", IF($O1042="GenProg-A", "Evolutionary Search", IF($O1042="Hercules", "Learning Pattern", IF($O1042="Jaid", "True Semantic",
IF($O1042="Kali-A", "True Search", IF($O1042="kPAR", "True Pattern", IF($O1042="Nopol", "True Semantic", IF($O1042="RSRepair-A", "Evolutionary Search", IF($O1042="SequenceR", "Deep Learning", IF($O1042="SimFix", "Search Like Pattern", IF($O1042="SketchFix", "True Pattern", IF($O1042="SOFix", "True Pattern", IF($O1042="ssFix", "Search Like Pattern", IF($O1042="TBar", "True Pattern", ""))))))))))))))))))))</f>
        <v>True Pattern</v>
      </c>
      <c r="Q1042" s="13" t="str">
        <f>IF(NOT(ISERR(SEARCH("*_Buggy",$A1042))), "Buggy", IF(NOT(ISERR(SEARCH("*_Fixed",$A1042))), "Fixed", IF(NOT(ISERR(SEARCH("*_Repaired",$A1042))), "Repaired", "")))</f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v>1</v>
      </c>
      <c r="W1042" s="13" t="str">
        <f>MID(A1042, SEARCH("_", A1042) +1, SEARCH("_", A1042, SEARCH("_", A1042) +1) - SEARCH("_", A1042) -1)</f>
        <v>Lang-59</v>
      </c>
    </row>
    <row r="1043" spans="1:23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>LEFT($A1043,FIND("_",$A1043)-1)</f>
        <v>TBar</v>
      </c>
      <c r="P1043" s="13" t="str">
        <f>IF($O1043="ACS", "True Search", IF($O1043="Arja", "Evolutionary Search", IF($O1043="AVATAR", "True Pattern", IF($O1043="CapGen", "Search Like Pattern", IF($O1043="Cardumen", "True Semantic", IF($O1043="DynaMoth", "True Semantic", IF($O1043="FixMiner", "True Pattern", IF($O1043="GenProg-A", "Evolutionary Search", IF($O1043="Hercules", "Learning Pattern", IF($O1043="Jaid", "True Semantic",
IF($O1043="Kali-A", "True Search", IF($O1043="kPAR", "True Pattern", IF($O1043="Nopol", "True Semantic", IF($O1043="RSRepair-A", "Evolutionary Search", IF($O1043="SequenceR", "Deep Learning", IF($O1043="SimFix", "Search Like Pattern", IF($O1043="SketchFix", "True Pattern", IF($O1043="SOFix", "True Pattern", IF($O1043="ssFix", "Search Like Pattern", IF($O1043="TBar", "True Pattern", ""))))))))))))))))))))</f>
        <v>True Pattern</v>
      </c>
      <c r="Q1043" s="13" t="str">
        <f>IF(NOT(ISERR(SEARCH("*_Buggy",$A1043))), "Buggy", IF(NOT(ISERR(SEARCH("*_Fixed",$A1043))), "Fixed", IF(NOT(ISERR(SEARCH("*_Repaired",$A1043))), "Repaired", "")))</f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v>1</v>
      </c>
      <c r="W1043" s="13" t="str">
        <f>MID(A1043, SEARCH("_", A1043) +1, SEARCH("_", A1043, SEARCH("_", A1043) +1) - SEARCH("_", A1043) -1)</f>
        <v>Lang-6</v>
      </c>
    </row>
    <row r="1044" spans="1:23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>LEFT($A1044,FIND("_",$A1044)-1)</f>
        <v>TBar</v>
      </c>
      <c r="P1044" s="13" t="str">
        <f>IF($O1044="ACS", "True Search", IF($O1044="Arja", "Evolutionary Search", IF($O1044="AVATAR", "True Pattern", IF($O1044="CapGen", "Search Like Pattern", IF($O1044="Cardumen", "True Semantic", IF($O1044="DynaMoth", "True Semantic", IF($O1044="FixMiner", "True Pattern", IF($O1044="GenProg-A", "Evolutionary Search", IF($O1044="Hercules", "Learning Pattern", IF($O1044="Jaid", "True Semantic",
IF($O1044="Kali-A", "True Search", IF($O1044="kPAR", "True Pattern", IF($O1044="Nopol", "True Semantic", IF($O1044="RSRepair-A", "Evolutionary Search", IF($O1044="SequenceR", "Deep Learning", IF($O1044="SimFix", "Search Like Pattern", IF($O1044="SketchFix", "True Pattern", IF($O1044="SOFix", "True Pattern", IF($O1044="ssFix", "Search Like Pattern", IF($O1044="TBar", "True Pattern", ""))))))))))))))))))))</f>
        <v>True Pattern</v>
      </c>
      <c r="Q1044" s="13" t="str">
        <f>IF(NOT(ISERR(SEARCH("*_Buggy",$A1044))), "Buggy", IF(NOT(ISERR(SEARCH("*_Fixed",$A1044))), "Fixed", IF(NOT(ISERR(SEARCH("*_Repaired",$A1044))), "Repaired", "")))</f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v>2</v>
      </c>
      <c r="W1044" s="13" t="str">
        <f>MID(A1044, SEARCH("_", A1044) +1, SEARCH("_", A1044, SEARCH("_", A1044) +1) - SEARCH("_", A1044) -1)</f>
        <v>Lang-60</v>
      </c>
    </row>
    <row r="1045" spans="1:23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>LEFT($A1045,FIND("_",$A1045)-1)</f>
        <v>TBar</v>
      </c>
      <c r="P1045" s="13" t="str">
        <f>IF($O1045="ACS", "True Search", IF($O1045="Arja", "Evolutionary Search", IF($O1045="AVATAR", "True Pattern", IF($O1045="CapGen", "Search Like Pattern", IF($O1045="Cardumen", "True Semantic", IF($O1045="DynaMoth", "True Semantic", IF($O1045="FixMiner", "True Pattern", IF($O1045="GenProg-A", "Evolutionary Search", IF($O1045="Hercules", "Learning Pattern", IF($O1045="Jaid", "True Semantic",
IF($O1045="Kali-A", "True Search", IF($O1045="kPAR", "True Pattern", IF($O1045="Nopol", "True Semantic", IF($O1045="RSRepair-A", "Evolutionary Search", IF($O1045="SequenceR", "Deep Learning", IF($O1045="SimFix", "Search Like Pattern", IF($O1045="SketchFix", "True Pattern", IF($O1045="SOFix", "True Pattern", IF($O1045="ssFix", "Search Like Pattern", IF($O1045="TBar", "True Pattern", ""))))))))))))))))))))</f>
        <v>True Pattern</v>
      </c>
      <c r="Q1045" s="13" t="str">
        <f>IF(NOT(ISERR(SEARCH("*_Buggy",$A1045))), "Buggy", IF(NOT(ISERR(SEARCH("*_Fixed",$A1045))), "Fixed", IF(NOT(ISERR(SEARCH("*_Repaired",$A1045))), "Repaired", "")))</f>
        <v>Fixed</v>
      </c>
      <c r="R1045" s="13" t="s">
        <v>1669</v>
      </c>
      <c r="S1045" s="25">
        <v>4</v>
      </c>
      <c r="T1045" s="25">
        <v>3</v>
      </c>
      <c r="U1045" s="25">
        <v>20</v>
      </c>
      <c r="V1045" s="13">
        <v>22</v>
      </c>
      <c r="W1045" s="13" t="str">
        <f>MID(A1045, SEARCH("_", A1045) +1, SEARCH("_", A1045, SEARCH("_", A1045) +1) - SEARCH("_", A1045) -1)</f>
        <v>Lang-63</v>
      </c>
    </row>
    <row r="1046" spans="1:23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>LEFT($A1046,FIND("_",$A1046)-1)</f>
        <v>TBar</v>
      </c>
      <c r="P1046" s="13" t="str">
        <f>IF($O1046="ACS", "True Search", IF($O1046="Arja", "Evolutionary Search", IF($O1046="AVATAR", "True Pattern", IF($O1046="CapGen", "Search Like Pattern", IF($O1046="Cardumen", "True Semantic", IF($O1046="DynaMoth", "True Semantic", IF($O1046="FixMiner", "True Pattern", IF($O1046="GenProg-A", "Evolutionary Search", IF($O1046="Hercules", "Learning Pattern", IF($O1046="Jaid", "True Semantic",
IF($O1046="Kali-A", "True Search", IF($O1046="kPAR", "True Pattern", IF($O1046="Nopol", "True Semantic", IF($O1046="RSRepair-A", "Evolutionary Search", IF($O1046="SequenceR", "Deep Learning", IF($O1046="SimFix", "Search Like Pattern", IF($O1046="SketchFix", "True Pattern", IF($O1046="SOFix", "True Pattern", IF($O1046="ssFix", "Search Like Pattern", IF($O1046="TBar", "True Pattern", ""))))))))))))))))))))</f>
        <v>True Pattern</v>
      </c>
      <c r="Q1046" s="13" t="str">
        <f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v>6</v>
      </c>
      <c r="W1046" s="13" t="str">
        <f>MID(A1046, SEARCH("_", A1046) +1, SEARCH("_", A1046, SEARCH("_", A1046) +1) - SEARCH("_", A1046) -1)</f>
        <v>Lang-7</v>
      </c>
    </row>
    <row r="1047" spans="1:23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>LEFT($A1047,FIND("_",$A1047)-1)</f>
        <v>TBar</v>
      </c>
      <c r="P1047" s="13" t="str">
        <f>IF($O1047="ACS", "True Search", IF($O1047="Arja", "Evolutionary Search", IF($O1047="AVATAR", "True Pattern", IF($O1047="CapGen", "Search Like Pattern", IF($O1047="Cardumen", "True Semantic", IF($O1047="DynaMoth", "True Semantic", IF($O1047="FixMiner", "True Pattern", IF($O1047="GenProg-A", "Evolutionary Search", IF($O1047="Hercules", "Learning Pattern", IF($O1047="Jaid", "True Semantic",
IF($O1047="Kali-A", "True Search", IF($O1047="kPAR", "True Pattern", IF($O1047="Nopol", "True Semantic", IF($O1047="RSRepair-A", "Evolutionary Search", IF($O1047="SequenceR", "Deep Learning", IF($O1047="SimFix", "Search Like Pattern", IF($O1047="SketchFix", "True Pattern", IF($O1047="SOFix", "True Pattern", IF($O1047="ssFix", "Search Like Pattern", IF($O1047="TBar", "True Pattern", ""))))))))))))))))))))</f>
        <v>True Pattern</v>
      </c>
      <c r="Q1047" s="13" t="str">
        <f>IF(NOT(ISERR(SEARCH("*_Buggy",$A1047))), "Buggy", IF(NOT(ISERR(SEARCH("*_Fixed",$A1047))), "Fixed", IF(NOT(ISERR(SEARCH("*_Repaired",$A1047))), "Repaired", "")))</f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v>1</v>
      </c>
      <c r="W1047" s="13" t="str">
        <f>MID(A1047, SEARCH("_", A1047) +1, SEARCH("_", A1047, SEARCH("_", A1047) +1) - SEARCH("_", A1047) -1)</f>
        <v>Math-11</v>
      </c>
    </row>
    <row r="1048" spans="1:23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>LEFT($A1048,FIND("_",$A1048)-1)</f>
        <v>TBar</v>
      </c>
      <c r="P1048" s="13" t="str">
        <f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>IF(NOT(ISERR(SEARCH("*_Buggy",$A1048))), "Buggy", IF(NOT(ISERR(SEARCH("*_Fixed",$A1048))), "Fixed", IF(NOT(ISERR(SEARCH("*_Repaired",$A1048))), "Repaired", "")))</f>
        <v>Fixed</v>
      </c>
      <c r="R1048" s="13" t="s">
        <v>1669</v>
      </c>
      <c r="S1048" s="25">
        <v>2</v>
      </c>
      <c r="T1048" s="25">
        <v>2</v>
      </c>
      <c r="U1048" s="25">
        <v>1</v>
      </c>
      <c r="V1048" s="13">
        <v>2</v>
      </c>
      <c r="W1048" s="13" t="str">
        <f>MID(A1048, SEARCH("_", A1048) +1, SEARCH("_", A1048, SEARCH("_", A1048) +1) - SEARCH("_", A1048) -1)</f>
        <v>Math-15</v>
      </c>
    </row>
    <row r="1049" spans="1:23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>LEFT($A1049,FIND("_",$A1049)-1)</f>
        <v>TBar</v>
      </c>
      <c r="P1049" s="13" t="str">
        <f>IF($O1049="ACS", "True Search", IF($O1049="Arja", "Evolutionary Search", IF($O1049="AVATAR", "True Pattern", IF($O1049="CapGen", "Search Like Pattern", IF($O1049="Cardumen", "True Semantic", IF($O1049="DynaMoth", "True Semantic", IF($O1049="FixMiner", "True Pattern", IF($O1049="GenProg-A", "Evolutionary Search", IF($O1049="Hercules", "Learning Pattern", IF($O1049="Jaid", "True Semantic",
IF($O1049="Kali-A", "True Search", IF($O1049="kPAR", "True Pattern", IF($O1049="Nopol", "True Semantic", IF($O1049="RSRepair-A", "Evolutionary Search", IF($O1049="SequenceR", "Deep Learning", IF($O1049="SimFix", "Search Like Pattern", IF($O1049="SketchFix", "True Pattern", IF($O1049="SOFix", "True Pattern", IF($O1049="ssFix", "Search Like Pattern", IF($O1049="TBar", "True Pattern", ""))))))))))))))))))))</f>
        <v>True Pattern</v>
      </c>
      <c r="Q1049" s="13" t="str">
        <f>IF(NOT(ISERR(SEARCH("*_Buggy",$A1049))), "Buggy", IF(NOT(ISERR(SEARCH("*_Fixed",$A1049))), "Fixed", IF(NOT(ISERR(SEARCH("*_Repaired",$A1049))), "Repaired", "")))</f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v>1</v>
      </c>
      <c r="W1049" s="13" t="str">
        <f>MID(A1049, SEARCH("_", A1049) +1, SEARCH("_", A1049, SEARCH("_", A1049) +1) - SEARCH("_", A1049) -1)</f>
        <v>Math-2</v>
      </c>
    </row>
    <row r="1050" spans="1:23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>LEFT($A1050,FIND("_",$A1050)-1)</f>
        <v>TBar</v>
      </c>
      <c r="P1050" s="13" t="str">
        <f>IF($O1050="ACS", "True Search", IF($O1050="Arja", "Evolutionary Search", IF($O1050="AVATAR", "True Pattern", IF($O1050="CapGen", "Search Like Pattern", IF($O1050="Cardumen", "True Semantic", IF($O1050="DynaMoth", "True Semantic", IF($O1050="FixMiner", "True Pattern", IF($O1050="GenProg-A", "Evolutionary Search", IF($O1050="Hercules", "Learning Pattern", IF($O1050="Jaid", "True Semantic",
IF($O1050="Kali-A", "True Search", IF($O1050="kPAR", "True Pattern", IF($O1050="Nopol", "True Semantic", IF($O1050="RSRepair-A", "Evolutionary Search", IF($O1050="SequenceR", "Deep Learning", IF($O1050="SimFix", "Search Like Pattern", IF($O1050="SketchFix", "True Pattern", IF($O1050="SOFix", "True Pattern", IF($O1050="ssFix", "Search Like Pattern", IF($O1050="TBar", "True Pattern", ""))))))))))))))))))))</f>
        <v>True Pattern</v>
      </c>
      <c r="Q1050" s="13" t="str">
        <f>IF(NOT(ISERR(SEARCH("*_Buggy",$A1050))), "Buggy", IF(NOT(ISERR(SEARCH("*_Fixed",$A1050))), "Fixed", IF(NOT(ISERR(SEARCH("*_Repaired",$A1050))), "Repaired", "")))</f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v>1</v>
      </c>
      <c r="W1050" s="13" t="str">
        <f>MID(A1050, SEARCH("_", A1050) +1, SEARCH("_", A1050, SEARCH("_", A1050) +1) - SEARCH("_", A1050) -1)</f>
        <v>Math-5</v>
      </c>
    </row>
    <row r="1051" spans="1:23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>LEFT($A1051,FIND("_",$A1051)-1)</f>
        <v>TBar</v>
      </c>
      <c r="P1051" s="13" t="str">
        <f>IF($O1051="ACS", "True Search", IF($O1051="Arja", "Evolutionary Search", IF($O1051="AVATAR", "True Pattern", IF($O1051="CapGen", "Search Like Pattern", IF($O1051="Cardumen", "True Semantic", IF($O1051="DynaMoth", "True Semantic", IF($O1051="FixMiner", "True Pattern", IF($O1051="GenProg-A", "Evolutionary Search", IF($O1051="Hercules", "Learning Pattern", IF($O1051="Jaid", "True Semantic",
IF($O1051="Kali-A", "True Search", IF($O1051="kPAR", "True Pattern", IF($O1051="Nopol", "True Semantic", IF($O1051="RSRepair-A", "Evolutionary Search", IF($O1051="SequenceR", "Deep Learning", IF($O1051="SimFix", "Search Like Pattern", IF($O1051="SketchFix", "True Pattern", IF($O1051="SOFix", "True Pattern", IF($O1051="ssFix", "Search Like Pattern", IF($O1051="TBar", "True Pattern", ""))))))))))))))))))))</f>
        <v>True Pattern</v>
      </c>
      <c r="Q1051" s="13" t="str">
        <f>IF(NOT(ISERR(SEARCH("*_Buggy",$A1051))), "Buggy", IF(NOT(ISERR(SEARCH("*_Fixed",$A1051))), "Fixed", IF(NOT(ISERR(SEARCH("*_Repaired",$A1051))), "Repaired", "")))</f>
        <v>Fixed</v>
      </c>
      <c r="R1051" s="13" t="s">
        <v>1669</v>
      </c>
      <c r="S1051" s="25">
        <v>1</v>
      </c>
      <c r="T1051" s="25">
        <v>0</v>
      </c>
      <c r="U1051" s="13">
        <v>4</v>
      </c>
      <c r="V1051" s="13">
        <v>4</v>
      </c>
      <c r="W1051" s="13" t="str">
        <f>MID(A1051, SEARCH("_", A1051) +1, SEARCH("_", A1051, SEARCH("_", A1051) +1) - SEARCH("_", A1051) -1)</f>
        <v>Math-50</v>
      </c>
    </row>
    <row r="1052" spans="1:23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>LEFT($A1052,FIND("_",$A1052)-1)</f>
        <v>TBar</v>
      </c>
      <c r="P1052" s="13" t="str">
        <f>IF($O1052="ACS", "True Search", IF($O1052="Arja", "Evolutionary Search", IF($O1052="AVATAR", "True Pattern", IF($O1052="CapGen", "Search Like Pattern", IF($O1052="Cardumen", "True Semantic", IF($O1052="DynaMoth", "True Semantic", IF($O1052="FixMiner", "True Pattern", IF($O1052="GenProg-A", "Evolutionary Search", IF($O1052="Hercules", "Learning Pattern", IF($O1052="Jaid", "True Semantic",
IF($O1052="Kali-A", "True Search", IF($O1052="kPAR", "True Pattern", IF($O1052="Nopol", "True Semantic", IF($O1052="RSRepair-A", "Evolutionary Search", IF($O1052="SequenceR", "Deep Learning", IF($O1052="SimFix", "Search Like Pattern", IF($O1052="SketchFix", "True Pattern", IF($O1052="SOFix", "True Pattern", IF($O1052="ssFix", "Search Like Pattern", IF($O1052="TBar", "True Pattern", ""))))))))))))))))))))</f>
        <v>True Pattern</v>
      </c>
      <c r="Q1052" s="13" t="str">
        <f>IF(NOT(ISERR(SEARCH("*_Buggy",$A1052))), "Buggy", IF(NOT(ISERR(SEARCH("*_Fixed",$A1052))), "Fixed", IF(NOT(ISERR(SEARCH("*_Repaired",$A1052))), "Repaired", "")))</f>
        <v>Fixed</v>
      </c>
      <c r="R1052" s="13" t="s">
        <v>1669</v>
      </c>
      <c r="S1052" s="25">
        <v>3</v>
      </c>
      <c r="T1052" s="25">
        <v>4</v>
      </c>
      <c r="U1052" s="25">
        <v>3</v>
      </c>
      <c r="V1052" s="13">
        <v>4</v>
      </c>
      <c r="W1052" s="13" t="str">
        <f>MID(A1052, SEARCH("_", A1052) +1, SEARCH("_", A1052, SEARCH("_", A1052) +1) - SEARCH("_", A1052) -1)</f>
        <v>Math-52</v>
      </c>
    </row>
    <row r="1053" spans="1:23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>LEFT($A1053,FIND("_",$A1053)-1)</f>
        <v>TBar</v>
      </c>
      <c r="P1053" s="13" t="str">
        <f>IF($O1053="ACS", "True Search", IF($O1053="Arja", "Evolutionary Search", IF($O1053="AVATAR", "True Pattern", IF($O1053="CapGen", "Search Like Pattern", IF($O1053="Cardumen", "True Semantic", IF($O1053="DynaMoth", "True Semantic", IF($O1053="FixMiner", "True Pattern", IF($O1053="GenProg-A", "Evolutionary Search", IF($O1053="Hercules", "Learning Pattern", IF($O1053="Jaid", "True Semantic",
IF($O1053="Kali-A", "True Search", IF($O1053="kPAR", "True Pattern", IF($O1053="Nopol", "True Semantic", IF($O1053="RSRepair-A", "Evolutionary Search", IF($O1053="SequenceR", "Deep Learning", IF($O1053="SimFix", "Search Like Pattern", IF($O1053="SketchFix", "True Pattern", IF($O1053="SOFix", "True Pattern", IF($O1053="ssFix", "Search Like Pattern", IF($O1053="TBar", "True Pattern", ""))))))))))))))))))))</f>
        <v>True Pattern</v>
      </c>
      <c r="Q1053" s="13" t="str">
        <f>IF(NOT(ISERR(SEARCH("*_Buggy",$A1053))), "Buggy", IF(NOT(ISERR(SEARCH("*_Fixed",$A1053))), "Fixed", IF(NOT(ISERR(SEARCH("*_Repaired",$A1053))), "Repaired", "")))</f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v>1</v>
      </c>
      <c r="W1053" s="13" t="str">
        <f>MID(A1053, SEARCH("_", A1053) +1, SEARCH("_", A1053, SEARCH("_", A1053) +1) - SEARCH("_", A1053) -1)</f>
        <v>Math-57</v>
      </c>
    </row>
    <row r="1054" spans="1:23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>LEFT($A1054,FIND("_",$A1054)-1)</f>
        <v>TBar</v>
      </c>
      <c r="P1054" s="13" t="str">
        <f>IF($O1054="ACS", "True Search", IF($O1054="Arja", "Evolutionary Search", IF($O1054="AVATAR", "True Pattern", IF($O1054="CapGen", "Search Like Pattern", IF($O1054="Cardumen", "True Semantic", IF($O1054="DynaMoth", "True Semantic", IF($O1054="FixMiner", "True Pattern", IF($O1054="GenProg-A", "Evolutionary Search", IF($O1054="Hercules", "Learning Pattern", IF($O1054="Jaid", "True Semantic",
IF($O1054="Kali-A", "True Search", IF($O1054="kPAR", "True Pattern", IF($O1054="Nopol", "True Semantic", IF($O1054="RSRepair-A", "Evolutionary Search", IF($O1054="SequenceR", "Deep Learning", IF($O1054="SimFix", "Search Like Pattern", IF($O1054="SketchFix", "True Pattern", IF($O1054="SOFix", "True Pattern", IF($O1054="ssFix", "Search Like Pattern", IF($O1054="TBar", "True Pattern", ""))))))))))))))))))))</f>
        <v>True Pattern</v>
      </c>
      <c r="Q1054" s="13" t="str">
        <f>IF(NOT(ISERR(SEARCH("*_Buggy",$A1054))), "Buggy", IF(NOT(ISERR(SEARCH("*_Fixed",$A1054))), "Fixed", IF(NOT(ISERR(SEARCH("*_Repaired",$A1054))), "Repaired", "")))</f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v>1</v>
      </c>
      <c r="W1054" s="13" t="str">
        <f>MID(A1054, SEARCH("_", A1054) +1, SEARCH("_", A1054, SEARCH("_", A1054) +1) - SEARCH("_", A1054) -1)</f>
        <v>Math-58</v>
      </c>
    </row>
    <row r="1055" spans="1:23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>LEFT($A1055,FIND("_",$A1055)-1)</f>
        <v>TBar</v>
      </c>
      <c r="P1055" s="13" t="str">
        <f>IF($O1055="ACS", "True Search", IF($O1055="Arja", "Evolutionary Search", IF($O1055="AVATAR", "True Pattern", IF($O1055="CapGen", "Search Like Pattern", IF($O1055="Cardumen", "True Semantic", IF($O1055="DynaMoth", "True Semantic", IF($O1055="FixMiner", "True Pattern", IF($O1055="GenProg-A", "Evolutionary Search", IF($O1055="Hercules", "Learning Pattern", IF($O1055="Jaid", "True Semantic",
IF($O1055="Kali-A", "True Search", IF($O1055="kPAR", "True Pattern", IF($O1055="Nopol", "True Semantic", IF($O1055="RSRepair-A", "Evolutionary Search", IF($O1055="SequenceR", "Deep Learning", IF($O1055="SimFix", "Search Like Pattern", IF($O1055="SketchFix", "True Pattern", IF($O1055="SOFix", "True Pattern", IF($O1055="ssFix", "Search Like Pattern", IF($O1055="TBar", "True Pattern", ""))))))))))))))))))))</f>
        <v>True Pattern</v>
      </c>
      <c r="Q1055" s="13" t="str">
        <f>IF(NOT(ISERR(SEARCH("*_Buggy",$A1055))), "Buggy", IF(NOT(ISERR(SEARCH("*_Fixed",$A1055))), "Fixed", IF(NOT(ISERR(SEARCH("*_Repaired",$A1055))), "Repaired", "")))</f>
        <v>Fixed</v>
      </c>
      <c r="R1055" s="13" t="s">
        <v>1669</v>
      </c>
      <c r="S1055" s="25">
        <v>2</v>
      </c>
      <c r="T1055" s="25">
        <v>3</v>
      </c>
      <c r="U1055" s="25">
        <v>4</v>
      </c>
      <c r="V1055" s="13">
        <v>4</v>
      </c>
      <c r="W1055" s="13" t="str">
        <f>MID(A1055, SEARCH("_", A1055) +1, SEARCH("_", A1055, SEARCH("_", A1055) +1) - SEARCH("_", A1055) -1)</f>
        <v>Math-62</v>
      </c>
    </row>
    <row r="1056" spans="1:23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>LEFT($A1056,FIND("_",$A1056)-1)</f>
        <v>TBar</v>
      </c>
      <c r="P1056" s="13" t="str">
        <f>IF($O1056="ACS", "True Search", IF($O1056="Arja", "Evolutionary Search", IF($O1056="AVATAR", "True Pattern", IF($O1056="CapGen", "Search Like Pattern", IF($O1056="Cardumen", "True Semantic", IF($O1056="DynaMoth", "True Semantic", IF($O1056="FixMiner", "True Pattern", IF($O1056="GenProg-A", "Evolutionary Search", IF($O1056="Hercules", "Learning Pattern", IF($O1056="Jaid", "True Semantic",
IF($O1056="Kali-A", "True Search", IF($O1056="kPAR", "True Pattern", IF($O1056="Nopol", "True Semantic", IF($O1056="RSRepair-A", "Evolutionary Search", IF($O1056="SequenceR", "Deep Learning", IF($O1056="SimFix", "Search Like Pattern", IF($O1056="SketchFix", "True Pattern", IF($O1056="SOFix", "True Pattern", IF($O1056="ssFix", "Search Like Pattern", IF($O1056="TBar", "True Pattern", ""))))))))))))))))))))</f>
        <v>True Pattern</v>
      </c>
      <c r="Q1056" s="13" t="str">
        <f>IF(NOT(ISERR(SEARCH("*_Buggy",$A1056))), "Buggy", IF(NOT(ISERR(SEARCH("*_Fixed",$A1056))), "Fixed", IF(NOT(ISERR(SEARCH("*_Repaired",$A1056))), "Repaired", "")))</f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v>1</v>
      </c>
      <c r="W1056" s="13" t="str">
        <f>MID(A1056, SEARCH("_", A1056) +1, SEARCH("_", A1056, SEARCH("_", A1056) +1) - SEARCH("_", A1056) -1)</f>
        <v>Math-63</v>
      </c>
    </row>
    <row r="1057" spans="1:33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>LEFT($A1057,FIND("_",$A1057)-1)</f>
        <v>TBar</v>
      </c>
      <c r="P1057" s="13" t="str">
        <f>IF($O1057="ACS", "True Search", IF($O1057="Arja", "Evolutionary Search", IF($O1057="AVATAR", "True Pattern", IF($O1057="CapGen", "Search Like Pattern", IF($O1057="Cardumen", "True Semantic", IF($O1057="DynaMoth", "True Semantic", IF($O1057="FixMiner", "True Pattern", IF($O1057="GenProg-A", "Evolutionary Search", IF($O1057="Hercules", "Learning Pattern", IF($O1057="Jaid", "True Semantic",
IF($O1057="Kali-A", "True Search", IF($O1057="kPAR", "True Pattern", IF($O1057="Nopol", "True Semantic", IF($O1057="RSRepair-A", "Evolutionary Search", IF($O1057="SequenceR", "Deep Learning", IF($O1057="SimFix", "Search Like Pattern", IF($O1057="SketchFix", "True Pattern", IF($O1057="SOFix", "True Pattern", IF($O1057="ssFix", "Search Like Pattern", IF($O1057="TBar", "True Pattern", ""))))))))))))))))))))</f>
        <v>True Pattern</v>
      </c>
      <c r="Q1057" s="13" t="str">
        <f>IF(NOT(ISERR(SEARCH("*_Buggy",$A1057))), "Buggy", IF(NOT(ISERR(SEARCH("*_Fixed",$A1057))), "Fixed", IF(NOT(ISERR(SEARCH("*_Repaired",$A1057))), "Repaired", "")))</f>
        <v>Fixed</v>
      </c>
      <c r="R1057" s="13" t="s">
        <v>1668</v>
      </c>
      <c r="S1057" s="25">
        <v>2</v>
      </c>
      <c r="T1057" s="25">
        <v>2</v>
      </c>
      <c r="U1057" s="25">
        <v>7</v>
      </c>
      <c r="V1057" s="13">
        <v>7</v>
      </c>
      <c r="W1057" s="13" t="str">
        <f>MID(A1057, SEARCH("_", A1057) +1, SEARCH("_", A1057, SEARCH("_", A1057) +1) - SEARCH("_", A1057) -1)</f>
        <v>Math-65</v>
      </c>
    </row>
    <row r="1058" spans="1:33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>LEFT($A1058,FIND("_",$A1058)-1)</f>
        <v>TBar</v>
      </c>
      <c r="P1058" s="13" t="str">
        <f>IF($O1058="ACS", "True Search", IF($O1058="Arja", "Evolutionary Search", IF($O1058="AVATAR", "True Pattern", IF($O1058="CapGen", "Search Like Pattern", IF($O1058="Cardumen", "True Semantic", IF($O1058="DynaMoth", "True Semantic", IF($O1058="FixMiner", "True Pattern", IF($O1058="GenProg-A", "Evolutionary Search", IF($O1058="Hercules", "Learning Pattern", IF($O1058="Jaid", "True Semantic",
IF($O1058="Kali-A", "True Search", IF($O1058="kPAR", "True Pattern", IF($O1058="Nopol", "True Semantic", IF($O1058="RSRepair-A", "Evolutionary Search", IF($O1058="SequenceR", "Deep Learning", IF($O1058="SimFix", "Search Like Pattern", IF($O1058="SketchFix", "True Pattern", IF($O1058="SOFix", "True Pattern", IF($O1058="ssFix", "Search Like Pattern", IF($O1058="TBar", "True Pattern", ""))))))))))))))))))))</f>
        <v>True Pattern</v>
      </c>
      <c r="Q1058" s="13" t="str">
        <f>IF(NOT(ISERR(SEARCH("*_Buggy",$A1058))), "Buggy", IF(NOT(ISERR(SEARCH("*_Fixed",$A1058))), "Fixed", IF(NOT(ISERR(SEARCH("*_Repaired",$A1058))), "Repaired", "")))</f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v>1</v>
      </c>
      <c r="W1058" s="13" t="str">
        <f>MID(A1058, SEARCH("_", A1058) +1, SEARCH("_", A1058, SEARCH("_", A1058) +1) - SEARCH("_", A1058) -1)</f>
        <v>Math-70</v>
      </c>
    </row>
    <row r="1059" spans="1:33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>LEFT($A1059,FIND("_",$A1059)-1)</f>
        <v>TBar</v>
      </c>
      <c r="P1059" s="13" t="str">
        <f>IF($O1059="ACS", "True Search", IF($O1059="Arja", "Evolutionary Search", IF($O1059="AVATAR", "True Pattern", IF($O1059="CapGen", "Search Like Pattern", IF($O1059="Cardumen", "True Semantic", IF($O1059="DynaMoth", "True Semantic", IF($O1059="FixMiner", "True Pattern", IF($O1059="GenProg-A", "Evolutionary Search", IF($O1059="Hercules", "Learning Pattern", IF($O1059="Jaid", "True Semantic",
IF($O1059="Kali-A", "True Search", IF($O1059="kPAR", "True Pattern", IF($O1059="Nopol", "True Semantic", IF($O1059="RSRepair-A", "Evolutionary Search", IF($O1059="SequenceR", "Deep Learning", IF($O1059="SimFix", "Search Like Pattern", IF($O1059="SketchFix", "True Pattern", IF($O1059="SOFix", "True Pattern", IF($O1059="ssFix", "Search Like Pattern", IF($O1059="TBar", "True Pattern", ""))))))))))))))))))))</f>
        <v>True Pattern</v>
      </c>
      <c r="Q1059" s="13" t="str">
        <f>IF(NOT(ISERR(SEARCH("*_Buggy",$A1059))), "Buggy", IF(NOT(ISERR(SEARCH("*_Fixed",$A1059))), "Fixed", IF(NOT(ISERR(SEARCH("*_Repaired",$A1059))), "Repaired", "")))</f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v>1</v>
      </c>
      <c r="W1059" s="13" t="str">
        <f>MID(A1059, SEARCH("_", A1059) +1, SEARCH("_", A1059, SEARCH("_", A1059) +1) - SEARCH("_", A1059) -1)</f>
        <v>Math-75</v>
      </c>
    </row>
    <row r="1060" spans="1:33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>LEFT($A1060,FIND("_",$A1060)-1)</f>
        <v>TBar</v>
      </c>
      <c r="P1060" s="13" t="str">
        <f>IF($O1060="ACS", "True Search", IF($O1060="Arja", "Evolutionary Search", IF($O1060="AVATAR", "True Pattern", IF($O1060="CapGen", "Search Like Pattern", IF($O1060="Cardumen", "True Semantic", IF($O1060="DynaMoth", "True Semantic", IF($O1060="FixMiner", "True Pattern", IF($O1060="GenProg-A", "Evolutionary Search", IF($O1060="Hercules", "Learning Pattern", IF($O1060="Jaid", "True Semantic",
IF($O1060="Kali-A", "True Search", IF($O1060="kPAR", "True Pattern", IF($O1060="Nopol", "True Semantic", IF($O1060="RSRepair-A", "Evolutionary Search", IF($O1060="SequenceR", "Deep Learning", IF($O1060="SimFix", "Search Like Pattern", IF($O1060="SketchFix", "True Pattern", IF($O1060="SOFix", "True Pattern", IF($O1060="ssFix", "Search Like Pattern", IF($O1060="TBar", "True Pattern", ""))))))))))))))))))))</f>
        <v>True Pattern</v>
      </c>
      <c r="Q1060" s="13" t="str">
        <f>IF(NOT(ISERR(SEARCH("*_Buggy",$A1060))), "Buggy", IF(NOT(ISERR(SEARCH("*_Fixed",$A1060))), "Fixed", IF(NOT(ISERR(SEARCH("*_Repaired",$A1060))), "Repaired", "")))</f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v>2</v>
      </c>
      <c r="W1060" s="13" t="str">
        <f>MID(A1060, SEARCH("_", A1060) +1, SEARCH("_", A1060, SEARCH("_", A1060) +1) - SEARCH("_", A1060) -1)</f>
        <v>Math-79</v>
      </c>
    </row>
    <row r="1061" spans="1:33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>LEFT($A1061,FIND("_",$A1061)-1)</f>
        <v>TBar</v>
      </c>
      <c r="P1061" s="13" t="str">
        <f>IF($O1061="ACS", "True Search", IF($O1061="Arja", "Evolutionary Search", IF($O1061="AVATAR", "True Pattern", IF($O1061="CapGen", "Search Like Pattern", IF($O1061="Cardumen", "True Semantic", IF($O1061="DynaMoth", "True Semantic", IF($O1061="FixMiner", "True Pattern", IF($O1061="GenProg-A", "Evolutionary Search", IF($O1061="Hercules", "Learning Pattern", IF($O1061="Jaid", "True Semantic",
IF($O1061="Kali-A", "True Search", IF($O1061="kPAR", "True Pattern", IF($O1061="Nopol", "True Semantic", IF($O1061="RSRepair-A", "Evolutionary Search", IF($O1061="SequenceR", "Deep Learning", IF($O1061="SimFix", "Search Like Pattern", IF($O1061="SketchFix", "True Pattern", IF($O1061="SOFix", "True Pattern", IF($O1061="ssFix", "Search Like Pattern", IF($O1061="TBar", "True Pattern", ""))))))))))))))))))))</f>
        <v>True Pattern</v>
      </c>
      <c r="Q1061" s="13" t="str">
        <f>IF(NOT(ISERR(SEARCH("*_Buggy",$A1061))), "Buggy", IF(NOT(ISERR(SEARCH("*_Fixed",$A1061))), "Fixed", IF(NOT(ISERR(SEARCH("*_Repaired",$A1061))), "Repaired", "")))</f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v>2</v>
      </c>
      <c r="W1061" s="13" t="str">
        <f>MID(A1061, SEARCH("_", A1061) +1, SEARCH("_", A1061, SEARCH("_", A1061) +1) - SEARCH("_", A1061) -1)</f>
        <v>Math-8</v>
      </c>
    </row>
    <row r="1062" spans="1:33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>LEFT($A1062,FIND("_",$A1062)-1)</f>
        <v>TBar</v>
      </c>
      <c r="P1062" s="13" t="str">
        <f>IF($O1062="ACS", "True Search", IF($O1062="Arja", "Evolutionary Search", IF($O1062="AVATAR", "True Pattern", IF($O1062="CapGen", "Search Like Pattern", IF($O1062="Cardumen", "True Semantic", IF($O1062="DynaMoth", "True Semantic", IF($O1062="FixMiner", "True Pattern", IF($O1062="GenProg-A", "Evolutionary Search", IF($O1062="Hercules", "Learning Pattern", IF($O1062="Jaid", "True Semantic",
IF($O1062="Kali-A", "True Search", IF($O1062="kPAR", "True Pattern", IF($O1062="Nopol", "True Semantic", IF($O1062="RSRepair-A", "Evolutionary Search", IF($O1062="SequenceR", "Deep Learning", IF($O1062="SimFix", "Search Like Pattern", IF($O1062="SketchFix", "True Pattern", IF($O1062="SOFix", "True Pattern", IF($O1062="ssFix", "Search Like Pattern", IF($O1062="TBar", "True Pattern", ""))))))))))))))))))))</f>
        <v>True Pattern</v>
      </c>
      <c r="Q1062" s="13" t="str">
        <f>IF(NOT(ISERR(SEARCH("*_Buggy",$A1062))), "Buggy", IF(NOT(ISERR(SEARCH("*_Fixed",$A1062))), "Fixed", IF(NOT(ISERR(SEARCH("*_Repaired",$A1062))), "Repaired", "")))</f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v>1</v>
      </c>
      <c r="W1062" s="13" t="str">
        <f>MID(A1062, SEARCH("_", A1062) +1, SEARCH("_", A1062, SEARCH("_", A1062) +1) - SEARCH("_", A1062) -1)</f>
        <v>Math-80</v>
      </c>
    </row>
    <row r="1063" spans="1:33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>LEFT($A1063,FIND("_",$A1063)-1)</f>
        <v>TBar</v>
      </c>
      <c r="P1063" s="13" t="str">
        <f>IF($O1063="ACS", "True Search", IF($O1063="Arja", "Evolutionary Search", IF($O1063="AVATAR", "True Pattern", IF($O1063="CapGen", "Search Like Pattern", IF($O1063="Cardumen", "True Semantic", IF($O1063="DynaMoth", "True Semantic", IF($O1063="FixMiner", "True Pattern", IF($O1063="GenProg-A", "Evolutionary Search", IF($O1063="Hercules", "Learning Pattern", IF($O1063="Jaid", "True Semantic",
IF($O1063="Kali-A", "True Search", IF($O1063="kPAR", "True Pattern", IF($O1063="Nopol", "True Semantic", IF($O1063="RSRepair-A", "Evolutionary Search", IF($O1063="SequenceR", "Deep Learning", IF($O1063="SimFix", "Search Like Pattern", IF($O1063="SketchFix", "True Pattern", IF($O1063="SOFix", "True Pattern", IF($O1063="ssFix", "Search Like Pattern", IF($O1063="TBar", "True Pattern", ""))))))))))))))))))))</f>
        <v>True Pattern</v>
      </c>
      <c r="Q1063" s="13" t="str">
        <f>IF(NOT(ISERR(SEARCH("*_Buggy",$A1063))), "Buggy", IF(NOT(ISERR(SEARCH("*_Fixed",$A1063))), "Fixed", IF(NOT(ISERR(SEARCH("*_Repaired",$A1063))), "Repaired", "")))</f>
        <v>Fixed</v>
      </c>
      <c r="R1063" s="13" t="s">
        <v>1669</v>
      </c>
      <c r="S1063" s="25">
        <v>3</v>
      </c>
      <c r="T1063" s="25">
        <v>4</v>
      </c>
      <c r="U1063" s="25">
        <v>3</v>
      </c>
      <c r="V1063" s="13">
        <v>4</v>
      </c>
      <c r="W1063" s="13" t="str">
        <f>MID(A1063, SEARCH("_", A1063) +1, SEARCH("_", A1063, SEARCH("_", A1063) +1) - SEARCH("_", A1063) -1)</f>
        <v>Math-81</v>
      </c>
    </row>
    <row r="1064" spans="1:33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>LEFT($A1064,FIND("_",$A1064)-1)</f>
        <v>TBar</v>
      </c>
      <c r="P1064" s="13" t="str">
        <f>IF($O1064="ACS", "True Search", IF($O1064="Arja", "Evolutionary Search", IF($O1064="AVATAR", "True Pattern", IF($O1064="CapGen", "Search Like Pattern", IF($O1064="Cardumen", "True Semantic", IF($O1064="DynaMoth", "True Semantic", IF($O1064="FixMiner", "True Pattern", IF($O1064="GenProg-A", "Evolutionary Search", IF($O1064="Hercules", "Learning Pattern", IF($O1064="Jaid", "True Semantic",
IF($O1064="Kali-A", "True Search", IF($O1064="kPAR", "True Pattern", IF($O1064="Nopol", "True Semantic", IF($O1064="RSRepair-A", "Evolutionary Search", IF($O1064="SequenceR", "Deep Learning", IF($O1064="SimFix", "Search Like Pattern", IF($O1064="SketchFix", "True Pattern", IF($O1064="SOFix", "True Pattern", IF($O1064="ssFix", "Search Like Pattern", IF($O1064="TBar", "True Pattern", ""))))))))))))))))))))</f>
        <v>True Pattern</v>
      </c>
      <c r="Q1064" s="13" t="str">
        <f>IF(NOT(ISERR(SEARCH("*_Buggy",$A1064))), "Buggy", IF(NOT(ISERR(SEARCH("*_Fixed",$A1064))), "Fixed", IF(NOT(ISERR(SEARCH("*_Repaired",$A1064))), "Repaired", "")))</f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v>1</v>
      </c>
      <c r="W1064" s="13" t="str">
        <f>MID(A1064, SEARCH("_", A1064) +1, SEARCH("_", A1064, SEARCH("_", A1064) +1) - SEARCH("_", A1064) -1)</f>
        <v>Math-82</v>
      </c>
    </row>
    <row r="1065" spans="1:33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>LEFT($A1065,FIND("_",$A1065)-1)</f>
        <v>TBar</v>
      </c>
      <c r="P1065" s="13" t="str">
        <f>IF($O1065="ACS", "True Search", IF($O1065="Arja", "Evolutionary Search", IF($O1065="AVATAR", "True Pattern", IF($O1065="CapGen", "Search Like Pattern", IF($O1065="Cardumen", "True Semantic", IF($O1065="DynaMoth", "True Semantic", IF($O1065="FixMiner", "True Pattern", IF($O1065="GenProg-A", "Evolutionary Search", IF($O1065="Hercules", "Learning Pattern", IF($O1065="Jaid", "True Semantic",
IF($O1065="Kali-A", "True Search", IF($O1065="kPAR", "True Pattern", IF($O1065="Nopol", "True Semantic", IF($O1065="RSRepair-A", "Evolutionary Search", IF($O1065="SequenceR", "Deep Learning", IF($O1065="SimFix", "Search Like Pattern", IF($O1065="SketchFix", "True Pattern", IF($O1065="SOFix", "True Pattern", IF($O1065="ssFix", "Search Like Pattern", IF($O1065="TBar", "True Pattern", ""))))))))))))))))))))</f>
        <v>True Pattern</v>
      </c>
      <c r="Q1065" s="13" t="str">
        <f>IF(NOT(ISERR(SEARCH("*_Buggy",$A1065))), "Buggy", IF(NOT(ISERR(SEARCH("*_Fixed",$A1065))), "Fixed", IF(NOT(ISERR(SEARCH("*_Repaired",$A1065))), "Repaired", "")))</f>
        <v>Fixed</v>
      </c>
      <c r="R1065" s="13" t="s">
        <v>1669</v>
      </c>
      <c r="S1065" s="25">
        <v>3</v>
      </c>
      <c r="T1065" s="13">
        <v>9</v>
      </c>
      <c r="U1065" s="25">
        <v>0</v>
      </c>
      <c r="V1065" s="13">
        <v>9</v>
      </c>
      <c r="W1065" s="13" t="str">
        <f>MID(A1065, SEARCH("_", A1065) +1, SEARCH("_", A1065, SEARCH("_", A1065) +1) - SEARCH("_", A1065) -1)</f>
        <v>Math-84</v>
      </c>
    </row>
    <row r="1066" spans="1:33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>LEFT($A1066,FIND("_",$A1066)-1)</f>
        <v>TBar</v>
      </c>
      <c r="P1066" s="13" t="str">
        <f>IF($O1066="ACS", "True Search", IF($O1066="Arja", "Evolutionary Search", IF($O1066="AVATAR", "True Pattern", IF($O1066="CapGen", "Search Like Pattern", IF($O1066="Cardumen", "True Semantic", IF($O1066="DynaMoth", "True Semantic", IF($O1066="FixMiner", "True Pattern", IF($O1066="GenProg-A", "Evolutionary Search", IF($O1066="Hercules", "Learning Pattern", IF($O1066="Jaid", "True Semantic",
IF($O1066="Kali-A", "True Search", IF($O1066="kPAR", "True Pattern", IF($O1066="Nopol", "True Semantic", IF($O1066="RSRepair-A", "Evolutionary Search", IF($O1066="SequenceR", "Deep Learning", IF($O1066="SimFix", "Search Like Pattern", IF($O1066="SketchFix", "True Pattern", IF($O1066="SOFix", "True Pattern", IF($O1066="ssFix", "Search Like Pattern", IF($O1066="TBar", "True Pattern", ""))))))))))))))))))))</f>
        <v>True Pattern</v>
      </c>
      <c r="Q1066" s="13" t="str">
        <f>IF(NOT(ISERR(SEARCH("*_Buggy",$A1066))), "Buggy", IF(NOT(ISERR(SEARCH("*_Fixed",$A1066))), "Fixed", IF(NOT(ISERR(SEARCH("*_Repaired",$A1066))), "Repaired", "")))</f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v>1</v>
      </c>
      <c r="W1066" s="13" t="str">
        <f>MID(A1066, SEARCH("_", A1066) +1, SEARCH("_", A1066, SEARCH("_", A1066) +1) - SEARCH("_", A1066) -1)</f>
        <v>Math-85</v>
      </c>
    </row>
    <row r="1067" spans="1:33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>LEFT($A1067,FIND("_",$A1067)-1)</f>
        <v>TBar</v>
      </c>
      <c r="P1067" s="13" t="str">
        <f>IF($O1067="ACS", "True Search", IF($O1067="Arja", "Evolutionary Search", IF($O1067="AVATAR", "True Pattern", IF($O1067="CapGen", "Search Like Pattern", IF($O1067="Cardumen", "True Semantic", IF($O1067="DynaMoth", "True Semantic", IF($O1067="FixMiner", "True Pattern", IF($O1067="GenProg-A", "Evolutionary Search", IF($O1067="Hercules", "Learning Pattern", IF($O1067="Jaid", "True Semantic",
IF($O1067="Kali-A", "True Search", IF($O1067="kPAR", "True Pattern", IF($O1067="Nopol", "True Semantic", IF($O1067="RSRepair-A", "Evolutionary Search", IF($O1067="SequenceR", "Deep Learning", IF($O1067="SimFix", "Search Like Pattern", IF($O1067="SketchFix", "True Pattern", IF($O1067="SOFix", "True Pattern", IF($O1067="ssFix", "Search Like Pattern", IF($O1067="TBar", "True Pattern", ""))))))))))))))))))))</f>
        <v>True Pattern</v>
      </c>
      <c r="Q1067" s="13" t="str">
        <f>IF(NOT(ISERR(SEARCH("*_Buggy",$A1067))), "Buggy", IF(NOT(ISERR(SEARCH("*_Fixed",$A1067))), "Fixed", IF(NOT(ISERR(SEARCH("*_Repaired",$A1067))), "Repaired", "")))</f>
        <v>Fixed</v>
      </c>
      <c r="R1067" s="13" t="s">
        <v>1669</v>
      </c>
      <c r="S1067" s="25">
        <v>4</v>
      </c>
      <c r="T1067" s="25">
        <v>5</v>
      </c>
      <c r="U1067" s="25">
        <v>6</v>
      </c>
      <c r="V1067" s="13">
        <v>11</v>
      </c>
      <c r="W1067" s="13" t="str">
        <f>MID(A1067, SEARCH("_", A1067) +1, SEARCH("_", A1067, SEARCH("_", A1067) +1) - SEARCH("_", A1067) -1)</f>
        <v>Math-88</v>
      </c>
    </row>
    <row r="1068" spans="1:33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>LEFT($A1068,FIND("_",$A1068)-1)</f>
        <v>TBar</v>
      </c>
      <c r="P1068" s="13" t="str">
        <f>IF($O1068="ACS", "True Search", IF($O1068="Arja", "Evolutionary Search", IF($O1068="AVATAR", "True Pattern", IF($O1068="CapGen", "Search Like Pattern", IF($O1068="Cardumen", "True Semantic", IF($O1068="DynaMoth", "True Semantic", IF($O1068="FixMiner", "True Pattern", IF($O1068="GenProg-A", "Evolutionary Search", IF($O1068="Hercules", "Learning Pattern", IF($O1068="Jaid", "True Semantic",
IF($O1068="Kali-A", "True Search", IF($O1068="kPAR", "True Pattern", IF($O1068="Nopol", "True Semantic", IF($O1068="RSRepair-A", "Evolutionary Search", IF($O1068="SequenceR", "Deep Learning", IF($O1068="SimFix", "Search Like Pattern", IF($O1068="SketchFix", "True Pattern", IF($O1068="SOFix", "True Pattern", IF($O1068="ssFix", "Search Like Pattern", IF($O1068="TBar", "True Pattern", ""))))))))))))))))))))</f>
        <v>True Pattern</v>
      </c>
      <c r="Q1068" s="13" t="str">
        <f>IF(NOT(ISERR(SEARCH("*_Buggy",$A1068))), "Buggy", IF(NOT(ISERR(SEARCH("*_Fixed",$A1068))), "Fixed", IF(NOT(ISERR(SEARCH("*_Repaired",$A1068))), "Repaired", "")))</f>
        <v>Fixed</v>
      </c>
      <c r="R1068" s="13" t="s">
        <v>1668</v>
      </c>
      <c r="S1068" s="25">
        <v>2</v>
      </c>
      <c r="T1068" s="13">
        <v>4</v>
      </c>
      <c r="U1068" s="25">
        <v>0</v>
      </c>
      <c r="V1068" s="13">
        <v>4</v>
      </c>
      <c r="W1068" s="13" t="str">
        <f>MID(A1068, SEARCH("_", A1068) +1, SEARCH("_", A1068, SEARCH("_", A1068) +1) - SEARCH("_", A1068) -1)</f>
        <v>Math-89</v>
      </c>
    </row>
    <row r="1069" spans="1:33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>LEFT($A1069,FIND("_",$A1069)-1)</f>
        <v>TBar</v>
      </c>
      <c r="P1069" s="13" t="str">
        <f>IF($O1069="ACS", "True Search", IF($O1069="Arja", "Evolutionary Search", IF($O1069="AVATAR", "True Pattern", IF($O1069="CapGen", "Search Like Pattern", IF($O1069="Cardumen", "True Semantic", IF($O1069="DynaMoth", "True Semantic", IF($O1069="FixMiner", "True Pattern", IF($O1069="GenProg-A", "Evolutionary Search", IF($O1069="Hercules", "Learning Pattern", IF($O1069="Jaid", "True Semantic",
IF($O1069="Kali-A", "True Search", IF($O1069="kPAR", "True Pattern", IF($O1069="Nopol", "True Semantic", IF($O1069="RSRepair-A", "Evolutionary Search", IF($O1069="SequenceR", "Deep Learning", IF($O1069="SimFix", "Search Like Pattern", IF($O1069="SketchFix", "True Pattern", IF($O1069="SOFix", "True Pattern", IF($O1069="ssFix", "Search Like Pattern", IF($O1069="TBar", "True Pattern", ""))))))))))))))))))))</f>
        <v>True Pattern</v>
      </c>
      <c r="Q1069" s="13" t="str">
        <f>IF(NOT(ISERR(SEARCH("*_Buggy",$A1069))), "Buggy", IF(NOT(ISERR(SEARCH("*_Fixed",$A1069))), "Fixed", IF(NOT(ISERR(SEARCH("*_Repaired",$A1069))), "Repaired", "")))</f>
        <v>Fixed</v>
      </c>
      <c r="R1069" s="13" t="s">
        <v>1669</v>
      </c>
      <c r="S1069" s="25">
        <v>3</v>
      </c>
      <c r="T1069" s="25">
        <v>3</v>
      </c>
      <c r="U1069" s="25">
        <v>1</v>
      </c>
      <c r="V1069" s="13">
        <v>3</v>
      </c>
      <c r="W1069" s="13" t="str">
        <f>MID(A1069, SEARCH("_", A1069) +1, SEARCH("_", A1069, SEARCH("_", A1069) +1) - SEARCH("_", A1069) -1)</f>
        <v>Math-95</v>
      </c>
    </row>
    <row r="1070" spans="1:33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>LEFT($A1070,FIND("_",$A1070)-1)</f>
        <v>TBar</v>
      </c>
      <c r="P1070" s="13" t="str">
        <f>IF($O1070="ACS", "True Search", IF($O1070="Arja", "Evolutionary Search", IF($O1070="AVATAR", "True Pattern", IF($O1070="CapGen", "Search Like Pattern", IF($O1070="Cardumen", "True Semantic", IF($O1070="DynaMoth", "True Semantic", IF($O1070="FixMiner", "True Pattern", IF($O1070="GenProg-A", "Evolutionary Search", IF($O1070="Hercules", "Learning Pattern", IF($O1070="Jaid", "True Semantic",
IF($O1070="Kali-A", "True Search", IF($O1070="kPAR", "True Pattern", IF($O1070="Nopol", "True Semantic", IF($O1070="RSRepair-A", "Evolutionary Search", IF($O1070="SequenceR", "Deep Learning", IF($O1070="SimFix", "Search Like Pattern", IF($O1070="SketchFix", "True Pattern", IF($O1070="SOFix", "True Pattern", IF($O1070="ssFix", "Search Like Pattern", IF($O1070="TBar", "True Pattern", ""))))))))))))))))))))</f>
        <v>True Pattern</v>
      </c>
      <c r="Q1070" s="13" t="str">
        <f>IF(NOT(ISERR(SEARCH("*_Buggy",$A1070))), "Buggy", IF(NOT(ISERR(SEARCH("*_Fixed",$A1070))), "Fixed", IF(NOT(ISERR(SEARCH("*_Repaired",$A1070))), "Repaired", "")))</f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v>1</v>
      </c>
      <c r="W1070" s="13" t="str">
        <f>MID(A1070, SEARCH("_", A1070) +1, SEARCH("_", A1070, SEARCH("_", A1070) +1) - SEARCH("_", A1070) -1)</f>
        <v>Math-96</v>
      </c>
    </row>
    <row r="1071" spans="1:33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>LEFT($A1071,FIND("_",$A1071)-1)</f>
        <v>TBar</v>
      </c>
      <c r="P1071" s="13" t="str">
        <f>IF($O1071="ACS", "True Search", IF($O1071="Arja", "Evolutionary Search", IF($O1071="AVATAR", "True Pattern", IF($O1071="CapGen", "Search Like Pattern", IF($O1071="Cardumen", "True Semantic", IF($O1071="DynaMoth", "True Semantic", IF($O1071="FixMiner", "True Pattern", IF($O1071="GenProg-A", "Evolutionary Search", IF($O1071="Hercules", "Learning Pattern", IF($O1071="Jaid", "True Semantic",
IF($O1071="Kali-A", "True Search", IF($O1071="kPAR", "True Pattern", IF($O1071="Nopol", "True Semantic", IF($O1071="RSRepair-A", "Evolutionary Search", IF($O1071="SequenceR", "Deep Learning", IF($O1071="SimFix", "Search Like Pattern", IF($O1071="SketchFix", "True Pattern", IF($O1071="SOFix", "True Pattern", IF($O1071="ssFix", "Search Like Pattern", IF($O1071="TBar", "True Pattern", ""))))))))))))))))))))</f>
        <v>True Pattern</v>
      </c>
      <c r="Q1071" s="13" t="str">
        <f>IF(NOT(ISERR(SEARCH("*_Buggy",$A1071))), "Buggy", IF(NOT(ISERR(SEARCH("*_Fixed",$A1071))), "Fixed", IF(NOT(ISERR(SEARCH("*_Repaired",$A1071))), "Repaired", "")))</f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v>1</v>
      </c>
      <c r="W1071" s="13" t="str">
        <f>MID(A1071, SEARCH("_", A1071) +1, SEARCH("_", A1071, SEARCH("_", A1071) +1) - SEARCH("_", A1071) -1)</f>
        <v>Mockito-26</v>
      </c>
      <c r="AG1071" s="38"/>
    </row>
    <row r="1072" spans="1:33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>LEFT($A1072,FIND("_",$A1072)-1)</f>
        <v>TBar</v>
      </c>
      <c r="P1072" s="13" t="str">
        <f>IF($O1072="ACS", "True Search", IF($O1072="Arja", "Evolutionary Search", IF($O1072="AVATAR", "True Pattern", IF($O1072="CapGen", "Search Like Pattern", IF($O1072="Cardumen", "True Semantic", IF($O1072="DynaMoth", "True Semantic", IF($O1072="FixMiner", "True Pattern", IF($O1072="GenProg-A", "Evolutionary Search", IF($O1072="Hercules", "Learning Pattern", IF($O1072="Jaid", "True Semantic",
IF($O1072="Kali-A", "True Search", IF($O1072="kPAR", "True Pattern", IF($O1072="Nopol", "True Semantic", IF($O1072="RSRepair-A", "Evolutionary Search", IF($O1072="SequenceR", "Deep Learning", IF($O1072="SimFix", "Search Like Pattern", IF($O1072="SketchFix", "True Pattern", IF($O1072="SOFix", "True Pattern", IF($O1072="ssFix", "Search Like Pattern", IF($O1072="TBar", "True Pattern", ""))))))))))))))))))))</f>
        <v>True Pattern</v>
      </c>
      <c r="Q1072" s="13" t="str">
        <f>IF(NOT(ISERR(SEARCH("*_Buggy",$A1072))), "Buggy", IF(NOT(ISERR(SEARCH("*_Fixed",$A1072))), "Fixed", IF(NOT(ISERR(SEARCH("*_Repaired",$A1072))), "Repaired", "")))</f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v>1</v>
      </c>
      <c r="W1072" s="13" t="str">
        <f>MID(A1072, SEARCH("_", A1072) +1, SEARCH("_", A1072, SEARCH("_", A1072) +1) - SEARCH("_", A1072) -1)</f>
        <v>Mockito-29</v>
      </c>
    </row>
    <row r="1073" spans="1:30" ht="29.4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>LEFT($A1073,FIND("_",$A1073)-1)</f>
        <v>TBar</v>
      </c>
      <c r="P1073" s="21" t="str">
        <f>IF($O1073="ACS", "True Search", IF($O1073="Arja", "Evolutionary Search", IF($O1073="AVATAR", "True Pattern", IF($O1073="CapGen", "Search Like Pattern", IF($O1073="Cardumen", "True Semantic", IF($O1073="DynaMoth", "True Semantic", IF($O1073="FixMiner", "True Pattern", IF($O1073="GenProg-A", "Evolutionary Search", IF($O1073="Hercules", "Learning Pattern", IF($O1073="Jaid", "True Semantic",
IF($O1073="Kali-A", "True Search", IF($O1073="kPAR", "True Pattern", IF($O1073="Nopol", "True Semantic", IF($O1073="RSRepair-A", "Evolutionary Search", IF($O1073="SequenceR", "Deep Learning", IF($O1073="SimFix", "Search Like Pattern", IF($O1073="SketchFix", "True Pattern", IF($O1073="SOFix", "True Pattern", IF($O1073="ssFix", "Search Like Pattern", IF($O1073="TBar", "True Pattern", ""))))))))))))))))))))</f>
        <v>True Pattern</v>
      </c>
      <c r="Q1073" s="21" t="str">
        <f>IF(NOT(ISERR(SEARCH("*_Buggy",$A1073))), "Buggy", IF(NOT(ISERR(SEARCH("*_Fixed",$A1073))), "Fixed", IF(NOT(ISERR(SEARCH("*_Repaired",$A1073))), "Repaired", "")))</f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v>1</v>
      </c>
      <c r="W1073" s="51" t="str">
        <f>MID(A1073, SEARCH("_", A1073) +1, SEARCH("_", A1073, SEARCH("_", A1073) +1) - SEARCH("_", A1073) -1)</f>
        <v>Mockito-38</v>
      </c>
      <c r="X1073" s="38"/>
      <c r="Y1073" s="12" t="s">
        <v>1718</v>
      </c>
      <c r="Z1073" s="12" t="s">
        <v>1719</v>
      </c>
      <c r="AA1073" s="12" t="s">
        <v>1716</v>
      </c>
      <c r="AB1073" s="12" t="s">
        <v>1717</v>
      </c>
      <c r="AC1073" s="12" t="s">
        <v>1739</v>
      </c>
      <c r="AD1073"/>
    </row>
    <row r="1074" spans="1:30" ht="1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>LEFT($A1074,FIND("_",$A1074)-1)</f>
        <v>ACS</v>
      </c>
      <c r="P1074" s="13" t="str">
        <f>IF($O1074="ACS", "True Search", IF($O1074="Arja", "Evolutionary Search", IF($O1074="AVATAR", "True Pattern", IF($O1074="CapGen", "Search Like Pattern", IF($O1074="Cardumen", "True Semantic", IF($O1074="DynaMoth", "True Semantic", IF($O1074="FixMiner", "True Pattern", IF($O1074="GenProg-A", "Evolutionary Search", IF($O1074="Hercules", "Learning Pattern", IF($O1074="Jaid", "True Semantic",
IF($O1074="Kali-A", "True Search", IF($O1074="kPAR", "True Pattern", IF($O1074="Nopol", "True Semantic", IF($O1074="RSRepair-A", "Evolutionary Search", IF($O1074="SequenceR", "Deep Learning", IF($O1074="SimFix", "Search Like Pattern", IF($O1074="SketchFix", "True Pattern", IF($O1074="SOFix", "True Pattern", IF($O1074="ssFix", "Search Like Pattern", IF($O1074="TBar", "True Pattern", ""))))))))))))))))))))</f>
        <v>True Search</v>
      </c>
      <c r="Q1074" s="18" t="str">
        <f>IF(NOT(ISERR(SEARCH("*_Buggy",$A1074))), "Buggy", IF(NOT(ISERR(SEARCH("*_Fixed",$A1074))), "Fixed", IF(NOT(ISERR(SEARCH("*_Repaired",$A1074))), "Repaired", "")))</f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v>2</v>
      </c>
      <c r="W1074" s="18" t="str">
        <f>MID(A1074, SEARCH("_", A1074) +1, SEARCH("_", A1074, SEARCH("_", A1074) +1) - SEARCH("_", A1074) -1)</f>
        <v>Chart-19</v>
      </c>
      <c r="Y1074" t="str">
        <f>IF(AND($S549=1,$S1074=1,$V549=1,$V1074=1), "YES", "NO")</f>
        <v>NO</v>
      </c>
      <c r="Z1074" t="str">
        <f>IF(AND($S549=1,$S1074=1,$V549&gt;1,$V1074&gt;1), "YES", "NO")</f>
        <v>NO</v>
      </c>
      <c r="AA1074" t="str">
        <f>IF(AND($S549&gt;1,$S1074&gt;1,$S549=$V549,$S1074=$V1074), "YES", "NO")</f>
        <v>NO</v>
      </c>
      <c r="AB1074" t="str">
        <f>IF(AND($S549&gt;1,$S1074&gt;1,$S549&lt;$V549,$S1074&lt;$V1074), "YES", "NO")</f>
        <v>NO</v>
      </c>
      <c r="AC1074" t="str">
        <f>IF(AND($V549&gt;10,$V1074&gt;10), "YES", "NO")</f>
        <v>NO</v>
      </c>
      <c r="AD1074"/>
    </row>
    <row r="1075" spans="1:30" ht="1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>LEFT($A1075,FIND("_",$A1075)-1)</f>
        <v>ACS</v>
      </c>
      <c r="P1075" s="13" t="str">
        <f>IF($O1075="ACS", "True Search", IF($O1075="Arja", "Evolutionary Search", IF($O1075="AVATAR", "True Pattern", IF($O1075="CapGen", "Search Like Pattern", IF($O1075="Cardumen", "True Semantic", IF($O1075="DynaMoth", "True Semantic", IF($O1075="FixMiner", "True Pattern", IF($O1075="GenProg-A", "Evolutionary Search", IF($O1075="Hercules", "Learning Pattern", IF($O1075="Jaid", "True Semantic",
IF($O1075="Kali-A", "True Search", IF($O1075="kPAR", "True Pattern", IF($O1075="Nopol", "True Semantic", IF($O1075="RSRepair-A", "Evolutionary Search", IF($O1075="SequenceR", "Deep Learning", IF($O1075="SimFix", "Search Like Pattern", IF($O1075="SketchFix", "True Pattern", IF($O1075="SOFix", "True Pattern", IF($O1075="ssFix", "Search Like Pattern", IF($O1075="TBar", "True Pattern", ""))))))))))))))))))))</f>
        <v>True Search</v>
      </c>
      <c r="Q1075" s="13" t="str">
        <f>IF(NOT(ISERR(SEARCH("*_Buggy",$A1075))), "Buggy", IF(NOT(ISERR(SEARCH("*_Fixed",$A1075))), "Fixed", IF(NOT(ISERR(SEARCH("*_Repaired",$A1075))), "Repaired", "")))</f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v>1</v>
      </c>
      <c r="W1075" s="13" t="str">
        <f>MID(A1075, SEARCH("_", A1075) +1, SEARCH("_", A1075, SEARCH("_", A1075) +1) - SEARCH("_", A1075) -1)</f>
        <v>Lang-24</v>
      </c>
      <c r="Y1075" t="str">
        <f>IF(AND($S550=1,$S1075=1,$V550=1,$V1075=1), "YES", "NO")</f>
        <v>YES</v>
      </c>
      <c r="Z1075" t="str">
        <f>IF(AND($S550=1,$S1075=1,$V550&gt;1,$V1075&gt;1), "YES", "NO")</f>
        <v>NO</v>
      </c>
      <c r="AA1075" t="str">
        <f>IF(AND($S550&gt;1,$S1075&gt;1,$S550=$V550,$S1075=$V1075), "YES", "NO")</f>
        <v>NO</v>
      </c>
      <c r="AB1075" t="str">
        <f>IF(AND($S550&gt;1,$S1075&gt;1,$S550&lt;$V550,$S1075&lt;$V1075), "YES", "NO")</f>
        <v>NO</v>
      </c>
      <c r="AC1075" t="str">
        <f>IF(AND($V550&gt;10,$V1075&gt;10), "YES", "NO")</f>
        <v>NO</v>
      </c>
      <c r="AD1075"/>
    </row>
    <row r="1076" spans="1:30" ht="1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>LEFT($A1076,FIND("_",$A1076)-1)</f>
        <v>ACS</v>
      </c>
      <c r="P1076" s="13" t="str">
        <f>IF($O1076="ACS", "True Search", IF($O1076="Arja", "Evolutionary Search", IF($O1076="AVATAR", "True Pattern", IF($O1076="CapGen", "Search Like Pattern", IF($O1076="Cardumen", "True Semantic", IF($O1076="DynaMoth", "True Semantic", IF($O1076="FixMiner", "True Pattern", IF($O1076="GenProg-A", "Evolutionary Search", IF($O1076="Hercules", "Learning Pattern", IF($O1076="Jaid", "True Semantic",
IF($O1076="Kali-A", "True Search", IF($O1076="kPAR", "True Pattern", IF($O1076="Nopol", "True Semantic", IF($O1076="RSRepair-A", "Evolutionary Search", IF($O1076="SequenceR", "Deep Learning", IF($O1076="SimFix", "Search Like Pattern", IF($O1076="SketchFix", "True Pattern", IF($O1076="SOFix", "True Pattern", IF($O1076="ssFix", "Search Like Pattern", IF($O1076="TBar", "True Pattern", ""))))))))))))))))))))</f>
        <v>True Search</v>
      </c>
      <c r="Q1076" s="13" t="str">
        <f>IF(NOT(ISERR(SEARCH("*_Buggy",$A1076))), "Buggy", IF(NOT(ISERR(SEARCH("*_Fixed",$A1076))), "Fixed", IF(NOT(ISERR(SEARCH("*_Repaired",$A1076))), "Repaired", "")))</f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v>2</v>
      </c>
      <c r="W1076" s="13" t="str">
        <f>MID(A1076, SEARCH("_", A1076) +1, SEARCH("_", A1076, SEARCH("_", A1076) +1) - SEARCH("_", A1076) -1)</f>
        <v>Lang-35</v>
      </c>
      <c r="Y1076" t="str">
        <f>IF(AND($S551=1,$S1076=1,$V551=1,$V1076=1), "YES", "NO")</f>
        <v>NO</v>
      </c>
      <c r="Z1076" t="str">
        <f>IF(AND($S551=1,$S1076=1,$V551&gt;1,$V1076&gt;1), "YES", "NO")</f>
        <v>NO</v>
      </c>
      <c r="AA1076" t="str">
        <f>IF(AND($S551&gt;1,$S1076&gt;1,$S551=$V551,$S1076=$V1076), "YES", "NO")</f>
        <v>YES</v>
      </c>
      <c r="AB1076" t="str">
        <f>IF(AND($S551&gt;1,$S1076&gt;1,$S551&lt;$V551,$S1076&lt;$V1076), "YES", "NO")</f>
        <v>NO</v>
      </c>
      <c r="AC1076" t="str">
        <f>IF(AND($V551&gt;10,$V1076&gt;10), "YES", "NO")</f>
        <v>NO</v>
      </c>
      <c r="AD1076"/>
    </row>
    <row r="1077" spans="1:30" ht="1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>LEFT($A1077,FIND("_",$A1077)-1)</f>
        <v>ACS</v>
      </c>
      <c r="P1077" s="13" t="str">
        <f>IF($O1077="ACS", "True Search", IF($O1077="Arja", "Evolutionary Search", IF($O1077="AVATAR", "True Pattern", IF($O1077="CapGen", "Search Like Pattern", IF($O1077="Cardumen", "True Semantic", IF($O1077="DynaMoth", "True Semantic", IF($O1077="FixMiner", "True Pattern", IF($O1077="GenProg-A", "Evolutionary Search", IF($O1077="Hercules", "Learning Pattern", IF($O1077="Jaid", "True Semantic",
IF($O1077="Kali-A", "True Search", IF($O1077="kPAR", "True Pattern", IF($O1077="Nopol", "True Semantic", IF($O1077="RSRepair-A", "Evolutionary Search", IF($O1077="SequenceR", "Deep Learning", IF($O1077="SimFix", "Search Like Pattern", IF($O1077="SketchFix", "True Pattern", IF($O1077="SOFix", "True Pattern", IF($O1077="ssFix", "Search Like Pattern", IF($O1077="TBar", "True Pattern", ""))))))))))))))))))))</f>
        <v>True Search</v>
      </c>
      <c r="Q1077" s="13" t="str">
        <f>IF(NOT(ISERR(SEARCH("*_Buggy",$A1077))), "Buggy", IF(NOT(ISERR(SEARCH("*_Fixed",$A1077))), "Fixed", IF(NOT(ISERR(SEARCH("*_Repaired",$A1077))), "Repaired", "")))</f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v>1</v>
      </c>
      <c r="W1077" s="13" t="str">
        <f>MID(A1077, SEARCH("_", A1077) +1, SEARCH("_", A1077, SEARCH("_", A1077) +1) - SEARCH("_", A1077) -1)</f>
        <v>Lang-7</v>
      </c>
      <c r="Y1077" t="str">
        <f>IF(AND($S552=1,$S1077=1,$V552=1,$V1077=1), "YES", "NO")</f>
        <v>NO</v>
      </c>
      <c r="Z1077" t="str">
        <f>IF(AND($S552=1,$S1077=1,$V552&gt;1,$V1077&gt;1), "YES", "NO")</f>
        <v>NO</v>
      </c>
      <c r="AA1077" t="str">
        <f>IF(AND($S552&gt;1,$S1077&gt;1,$S552=$V552,$S1077=$V1077), "YES", "NO")</f>
        <v>NO</v>
      </c>
      <c r="AB1077" t="str">
        <f>IF(AND($S552&gt;1,$S1077&gt;1,$S552&lt;$V552,$S1077&lt;$V1077), "YES", "NO")</f>
        <v>NO</v>
      </c>
      <c r="AC1077" t="str">
        <f>IF(AND($V552&gt;10,$V1077&gt;10), "YES", "NO")</f>
        <v>NO</v>
      </c>
      <c r="AD1077"/>
    </row>
    <row r="1078" spans="1:30" ht="1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>LEFT($A1078,FIND("_",$A1078)-1)</f>
        <v>ACS</v>
      </c>
      <c r="P1078" s="13" t="str">
        <f>IF($O1078="ACS", "True Search", IF($O1078="Arja", "Evolutionary Search", IF($O1078="AVATAR", "True Pattern", IF($O1078="CapGen", "Search Like Pattern", IF($O1078="Cardumen", "True Semantic", IF($O1078="DynaMoth", "True Semantic", IF($O1078="FixMiner", "True Pattern", IF($O1078="GenProg-A", "Evolutionary Search", IF($O1078="Hercules", "Learning Pattern", IF($O1078="Jaid", "True Semantic",
IF($O1078="Kali-A", "True Search", IF($O1078="kPAR", "True Pattern", IF($O1078="Nopol", "True Semantic", IF($O1078="RSRepair-A", "Evolutionary Search", IF($O1078="SequenceR", "Deep Learning", IF($O1078="SimFix", "Search Like Pattern", IF($O1078="SketchFix", "True Pattern", IF($O1078="SOFix", "True Pattern", IF($O1078="ssFix", "Search Like Pattern", IF($O1078="TBar", "True Pattern", ""))))))))))))))))))))</f>
        <v>True Search</v>
      </c>
      <c r="Q1078" s="13" t="str">
        <f>IF(NOT(ISERR(SEARCH("*_Buggy",$A1078))), "Buggy", IF(NOT(ISERR(SEARCH("*_Fixed",$A1078))), "Fixed", IF(NOT(ISERR(SEARCH("*_Repaired",$A1078))), "Repaired", "")))</f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v>1</v>
      </c>
      <c r="W1078" s="13" t="str">
        <f>MID(A1078, SEARCH("_", A1078) +1, SEARCH("_", A1078, SEARCH("_", A1078) +1) - SEARCH("_", A1078) -1)</f>
        <v>Math-25</v>
      </c>
      <c r="Y1078" t="str">
        <f>IF(AND($S553=1,$S1078=1,$V553=1,$V1078=1), "YES", "NO")</f>
        <v>NO</v>
      </c>
      <c r="Z1078" t="str">
        <f>IF(AND($S553=1,$S1078=1,$V553&gt;1,$V1078&gt;1), "YES", "NO")</f>
        <v>NO</v>
      </c>
      <c r="AA1078" t="str">
        <f>IF(AND($S553&gt;1,$S1078&gt;1,$S553=$V553,$S1078=$V1078), "YES", "NO")</f>
        <v>NO</v>
      </c>
      <c r="AB1078" t="str">
        <f>IF(AND($S553&gt;1,$S1078&gt;1,$S553&lt;$V553,$S1078&lt;$V1078), "YES", "NO")</f>
        <v>NO</v>
      </c>
      <c r="AC1078" t="str">
        <f>IF(AND($V553&gt;10,$V1078&gt;10), "YES", "NO")</f>
        <v>NO</v>
      </c>
      <c r="AD1078"/>
    </row>
    <row r="1079" spans="1:30" ht="1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>LEFT($A1079,FIND("_",$A1079)-1)</f>
        <v>ACS</v>
      </c>
      <c r="P1079" s="13" t="str">
        <f>IF($O1079="ACS", "True Search", IF($O1079="Arja", "Evolutionary Search", IF($O1079="AVATAR", "True Pattern", IF($O1079="CapGen", "Search Like Pattern", IF($O1079="Cardumen", "True Semantic", IF($O1079="DynaMoth", "True Semantic", IF($O1079="FixMiner", "True Pattern", IF($O1079="GenProg-A", "Evolutionary Search", IF($O1079="Hercules", "Learning Pattern", IF($O1079="Jaid", "True Semantic",
IF($O1079="Kali-A", "True Search", IF($O1079="kPAR", "True Pattern", IF($O1079="Nopol", "True Semantic", IF($O1079="RSRepair-A", "Evolutionary Search", IF($O1079="SequenceR", "Deep Learning", IF($O1079="SimFix", "Search Like Pattern", IF($O1079="SketchFix", "True Pattern", IF($O1079="SOFix", "True Pattern", IF($O1079="ssFix", "Search Like Pattern", IF($O1079="TBar", "True Pattern", ""))))))))))))))))))))</f>
        <v>True Search</v>
      </c>
      <c r="Q1079" s="13" t="str">
        <f>IF(NOT(ISERR(SEARCH("*_Buggy",$A1079))), "Buggy", IF(NOT(ISERR(SEARCH("*_Fixed",$A1079))), "Fixed", IF(NOT(ISERR(SEARCH("*_Repaired",$A1079))), "Repaired", "")))</f>
        <v>Repaired</v>
      </c>
      <c r="R1079" s="13" t="s">
        <v>1669</v>
      </c>
      <c r="S1079" s="25">
        <v>1</v>
      </c>
      <c r="T1079" s="25">
        <v>1</v>
      </c>
      <c r="U1079" s="25">
        <v>2</v>
      </c>
      <c r="V1079" s="13">
        <v>2</v>
      </c>
      <c r="W1079" s="13" t="str">
        <f>MID(A1079, SEARCH("_", A1079) +1, SEARCH("_", A1079, SEARCH("_", A1079) +1) - SEARCH("_", A1079) -1)</f>
        <v>Math-28</v>
      </c>
      <c r="Y1079" t="str">
        <f>IF(AND($S554=1,$S1079=1,$V554=1,$V1079=1), "YES", "NO")</f>
        <v>NO</v>
      </c>
      <c r="Z1079" t="str">
        <f>IF(AND($S554=1,$S1079=1,$V554&gt;1,$V1079&gt;1), "YES", "NO")</f>
        <v>NO</v>
      </c>
      <c r="AA1079" t="str">
        <f>IF(AND($S554&gt;1,$S1079&gt;1,$S554=$V554,$S1079=$V1079), "YES", "NO")</f>
        <v>NO</v>
      </c>
      <c r="AB1079" t="str">
        <f>IF(AND($S554&gt;1,$S1079&gt;1,$S554&lt;$V554,$S1079&lt;$V1079), "YES", "NO")</f>
        <v>NO</v>
      </c>
      <c r="AC1079" t="str">
        <f>IF(AND($V554&gt;10,$V1079&gt;10), "YES", "NO")</f>
        <v>NO</v>
      </c>
      <c r="AD1079"/>
    </row>
    <row r="1080" spans="1:30" ht="1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>LEFT($A1080,FIND("_",$A1080)-1)</f>
        <v>ACS</v>
      </c>
      <c r="P1080" s="13" t="str">
        <f>IF($O1080="ACS", "True Search", IF($O1080="Arja", "Evolutionary Search", IF($O1080="AVATAR", "True Pattern", IF($O1080="CapGen", "Search Like Pattern", IF($O1080="Cardumen", "True Semantic", IF($O1080="DynaMoth", "True Semantic", IF($O1080="FixMiner", "True Pattern", IF($O1080="GenProg-A", "Evolutionary Search", IF($O1080="Hercules", "Learning Pattern", IF($O1080="Jaid", "True Semantic",
IF($O1080="Kali-A", "True Search", IF($O1080="kPAR", "True Pattern", IF($O1080="Nopol", "True Semantic", IF($O1080="RSRepair-A", "Evolutionary Search", IF($O1080="SequenceR", "Deep Learning", IF($O1080="SimFix", "Search Like Pattern", IF($O1080="SketchFix", "True Pattern", IF($O1080="SOFix", "True Pattern", IF($O1080="ssFix", "Search Like Pattern", IF($O1080="TBar", "True Pattern", ""))))))))))))))))))))</f>
        <v>True Search</v>
      </c>
      <c r="Q1080" s="13" t="str">
        <f>IF(NOT(ISERR(SEARCH("*_Buggy",$A1080))), "Buggy", IF(NOT(ISERR(SEARCH("*_Fixed",$A1080))), "Fixed", IF(NOT(ISERR(SEARCH("*_Repaired",$A1080))), "Repaired", "")))</f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v>1</v>
      </c>
      <c r="W1080" s="13" t="str">
        <f>MID(A1080, SEARCH("_", A1080) +1, SEARCH("_", A1080, SEARCH("_", A1080) +1) - SEARCH("_", A1080) -1)</f>
        <v>Math-3</v>
      </c>
      <c r="Y1080" t="str">
        <f>IF(AND($S555=1,$S1080=1,$V555=1,$V1080=1), "YES", "NO")</f>
        <v>NO</v>
      </c>
      <c r="Z1080" t="str">
        <f>IF(AND($S555=1,$S1080=1,$V555&gt;1,$V1080&gt;1), "YES", "NO")</f>
        <v>NO</v>
      </c>
      <c r="AA1080" t="str">
        <f>IF(AND($S555&gt;1,$S1080&gt;1,$S555=$V555,$S1080=$V1080), "YES", "NO")</f>
        <v>NO</v>
      </c>
      <c r="AB1080" t="str">
        <f>IF(AND($S555&gt;1,$S1080&gt;1,$S555&lt;$V555,$S1080&lt;$V1080), "YES", "NO")</f>
        <v>NO</v>
      </c>
      <c r="AC1080" t="str">
        <f>IF(AND($V555&gt;10,$V1080&gt;10), "YES", "NO")</f>
        <v>NO</v>
      </c>
      <c r="AD1080"/>
    </row>
    <row r="1081" spans="1:30" ht="1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>LEFT($A1081,FIND("_",$A1081)-1)</f>
        <v>ACS</v>
      </c>
      <c r="P1081" s="13" t="str">
        <f>IF($O1081="ACS", "True Search", IF($O1081="Arja", "Evolutionary Search", IF($O1081="AVATAR", "True Pattern", IF($O1081="CapGen", "Search Like Pattern", IF($O1081="Cardumen", "True Semantic", IF($O1081="DynaMoth", "True Semantic", IF($O1081="FixMiner", "True Pattern", IF($O1081="GenProg-A", "Evolutionary Search", IF($O1081="Hercules", "Learning Pattern", IF($O1081="Jaid", "True Semantic",
IF($O1081="Kali-A", "True Search", IF($O1081="kPAR", "True Pattern", IF($O1081="Nopol", "True Semantic", IF($O1081="RSRepair-A", "Evolutionary Search", IF($O1081="SequenceR", "Deep Learning", IF($O1081="SimFix", "Search Like Pattern", IF($O1081="SketchFix", "True Pattern", IF($O1081="SOFix", "True Pattern", IF($O1081="ssFix", "Search Like Pattern", IF($O1081="TBar", "True Pattern", ""))))))))))))))))))))</f>
        <v>True Search</v>
      </c>
      <c r="Q1081" s="13" t="str">
        <f>IF(NOT(ISERR(SEARCH("*_Buggy",$A1081))), "Buggy", IF(NOT(ISERR(SEARCH("*_Fixed",$A1081))), "Fixed", IF(NOT(ISERR(SEARCH("*_Repaired",$A1081))), "Repaired", "")))</f>
        <v>Repaired</v>
      </c>
      <c r="R1081" s="13" t="s">
        <v>1668</v>
      </c>
      <c r="S1081" s="25">
        <v>2</v>
      </c>
      <c r="T1081" s="13">
        <v>4</v>
      </c>
      <c r="U1081" s="25">
        <v>0</v>
      </c>
      <c r="V1081" s="13">
        <v>4</v>
      </c>
      <c r="W1081" s="13" t="str">
        <f>MID(A1081, SEARCH("_", A1081) +1, SEARCH("_", A1081, SEARCH("_", A1081) +1) - SEARCH("_", A1081) -1)</f>
        <v>Math-35</v>
      </c>
      <c r="Y1081" t="str">
        <f>IF(AND($S556=1,$S1081=1,$V556=1,$V1081=1), "YES", "NO")</f>
        <v>NO</v>
      </c>
      <c r="Z1081" t="str">
        <f>IF(AND($S556=1,$S1081=1,$V556&gt;1,$V1081&gt;1), "YES", "NO")</f>
        <v>NO</v>
      </c>
      <c r="AA1081" t="str">
        <f>IF(AND($S556&gt;1,$S1081&gt;1,$S556=$V556,$S1081=$V1081), "YES", "NO")</f>
        <v>NO</v>
      </c>
      <c r="AB1081" t="str">
        <f>IF(AND($S556&gt;1,$S1081&gt;1,$S556&lt;$V556,$S1081&lt;$V1081), "YES", "NO")</f>
        <v>NO</v>
      </c>
      <c r="AC1081" t="str">
        <f>IF(AND($V556&gt;10,$V1081&gt;10), "YES", "NO")</f>
        <v>NO</v>
      </c>
      <c r="AD1081"/>
    </row>
    <row r="1082" spans="1:30" ht="1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>LEFT($A1082,FIND("_",$A1082)-1)</f>
        <v>ACS</v>
      </c>
      <c r="P1082" s="13" t="str">
        <f>IF($O1082="ACS", "True Search", IF($O1082="Arja", "Evolutionary Search", IF($O1082="AVATAR", "True Pattern", IF($O1082="CapGen", "Search Like Pattern", IF($O1082="Cardumen", "True Semantic", IF($O1082="DynaMoth", "True Semantic", IF($O1082="FixMiner", "True Pattern", IF($O1082="GenProg-A", "Evolutionary Search", IF($O1082="Hercules", "Learning Pattern", IF($O1082="Jaid", "True Semantic",
IF($O1082="Kali-A", "True Search", IF($O1082="kPAR", "True Pattern", IF($O1082="Nopol", "True Semantic", IF($O1082="RSRepair-A", "Evolutionary Search", IF($O1082="SequenceR", "Deep Learning", IF($O1082="SimFix", "Search Like Pattern", IF($O1082="SketchFix", "True Pattern", IF($O1082="SOFix", "True Pattern", IF($O1082="ssFix", "Search Like Pattern", IF($O1082="TBar", "True Pattern", ""))))))))))))))))))))</f>
        <v>True Search</v>
      </c>
      <c r="Q1082" s="13" t="str">
        <f>IF(NOT(ISERR(SEARCH("*_Buggy",$A1082))), "Buggy", IF(NOT(ISERR(SEARCH("*_Fixed",$A1082))), "Fixed", IF(NOT(ISERR(SEARCH("*_Repaired",$A1082))), "Repaired", "")))</f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v>1</v>
      </c>
      <c r="W1082" s="13" t="str">
        <f>MID(A1082, SEARCH("_", A1082) +1, SEARCH("_", A1082, SEARCH("_", A1082) +1) - SEARCH("_", A1082) -1)</f>
        <v>Math-5</v>
      </c>
      <c r="Y1082" t="str">
        <f>IF(AND($S557=1,$S1082=1,$V557=1,$V1082=1), "YES", "NO")</f>
        <v>YES</v>
      </c>
      <c r="Z1082" t="str">
        <f>IF(AND($S557=1,$S1082=1,$V557&gt;1,$V1082&gt;1), "YES", "NO")</f>
        <v>NO</v>
      </c>
      <c r="AA1082" t="str">
        <f>IF(AND($S557&gt;1,$S1082&gt;1,$S557=$V557,$S1082=$V1082), "YES", "NO")</f>
        <v>NO</v>
      </c>
      <c r="AB1082" t="str">
        <f>IF(AND($S557&gt;1,$S1082&gt;1,$S557&lt;$V557,$S1082&lt;$V1082), "YES", "NO")</f>
        <v>NO</v>
      </c>
      <c r="AC1082" t="str">
        <f>IF(AND($V557&gt;10,$V1082&gt;10), "YES", "NO")</f>
        <v>NO</v>
      </c>
      <c r="AD1082"/>
    </row>
    <row r="1083" spans="1:30" ht="1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>LEFT($A1083,FIND("_",$A1083)-1)</f>
        <v>ACS</v>
      </c>
      <c r="P1083" s="13" t="str">
        <f>IF($O1083="ACS", "True Search", IF($O1083="Arja", "Evolutionary Search", IF($O1083="AVATAR", "True Pattern", IF($O1083="CapGen", "Search Like Pattern", IF($O1083="Cardumen", "True Semantic", IF($O1083="DynaMoth", "True Semantic", IF($O1083="FixMiner", "True Pattern", IF($O1083="GenProg-A", "Evolutionary Search", IF($O1083="Hercules", "Learning Pattern", IF($O1083="Jaid", "True Semantic",
IF($O1083="Kali-A", "True Search", IF($O1083="kPAR", "True Pattern", IF($O1083="Nopol", "True Semantic", IF($O1083="RSRepair-A", "Evolutionary Search", IF($O1083="SequenceR", "Deep Learning", IF($O1083="SimFix", "Search Like Pattern", IF($O1083="SketchFix", "True Pattern", IF($O1083="SOFix", "True Pattern", IF($O1083="ssFix", "Search Like Pattern", IF($O1083="TBar", "True Pattern", ""))))))))))))))))))))</f>
        <v>True Search</v>
      </c>
      <c r="Q1083" s="13" t="str">
        <f>IF(NOT(ISERR(SEARCH("*_Buggy",$A1083))), "Buggy", IF(NOT(ISERR(SEARCH("*_Fixed",$A1083))), "Fixed", IF(NOT(ISERR(SEARCH("*_Repaired",$A1083))), "Repaired", "")))</f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v>1</v>
      </c>
      <c r="W1083" s="13" t="str">
        <f>MID(A1083, SEARCH("_", A1083) +1, SEARCH("_", A1083, SEARCH("_", A1083) +1) - SEARCH("_", A1083) -1)</f>
        <v>Math-73</v>
      </c>
      <c r="Y1083" t="str">
        <f>IF(AND($S558=1,$S1083=1,$V558=1,$V1083=1), "YES", "NO")</f>
        <v>NO</v>
      </c>
      <c r="Z1083" t="str">
        <f>IF(AND($S558=1,$S1083=1,$V558&gt;1,$V1083&gt;1), "YES", "NO")</f>
        <v>NO</v>
      </c>
      <c r="AA1083" t="str">
        <f>IF(AND($S558&gt;1,$S1083&gt;1,$S558=$V558,$S1083=$V1083), "YES", "NO")</f>
        <v>NO</v>
      </c>
      <c r="AB1083" t="str">
        <f>IF(AND($S558&gt;1,$S1083&gt;1,$S558&lt;$V558,$S1083&lt;$V1083), "YES", "NO")</f>
        <v>NO</v>
      </c>
      <c r="AC1083" t="str">
        <f>IF(AND($V558&gt;10,$V1083&gt;10), "YES", "NO")</f>
        <v>NO</v>
      </c>
      <c r="AD1083"/>
    </row>
    <row r="1084" spans="1:30" ht="1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>LEFT($A1084,FIND("_",$A1084)-1)</f>
        <v>ACS</v>
      </c>
      <c r="P1084" s="13" t="str">
        <f>IF($O1084="ACS", "True Search", IF($O1084="Arja", "Evolutionary Search", IF($O1084="AVATAR", "True Pattern", IF($O1084="CapGen", "Search Like Pattern", IF($O1084="Cardumen", "True Semantic", IF($O1084="DynaMoth", "True Semantic", IF($O1084="FixMiner", "True Pattern", IF($O1084="GenProg-A", "Evolutionary Search", IF($O1084="Hercules", "Learning Pattern", IF($O1084="Jaid", "True Semantic",
IF($O1084="Kali-A", "True Search", IF($O1084="kPAR", "True Pattern", IF($O1084="Nopol", "True Semantic", IF($O1084="RSRepair-A", "Evolutionary Search", IF($O1084="SequenceR", "Deep Learning", IF($O1084="SimFix", "Search Like Pattern", IF($O1084="SketchFix", "True Pattern", IF($O1084="SOFix", "True Pattern", IF($O1084="ssFix", "Search Like Pattern", IF($O1084="TBar", "True Pattern", ""))))))))))))))))))))</f>
        <v>True Search</v>
      </c>
      <c r="Q1084" s="13" t="str">
        <f>IF(NOT(ISERR(SEARCH("*_Buggy",$A1084))), "Buggy", IF(NOT(ISERR(SEARCH("*_Fixed",$A1084))), "Fixed", IF(NOT(ISERR(SEARCH("*_Repaired",$A1084))), "Repaired", "")))</f>
        <v>Repaired</v>
      </c>
      <c r="R1084" s="13" t="s">
        <v>1669</v>
      </c>
      <c r="S1084" s="25">
        <v>1</v>
      </c>
      <c r="T1084" s="25">
        <v>1</v>
      </c>
      <c r="U1084" s="25">
        <v>2</v>
      </c>
      <c r="V1084" s="13">
        <v>2</v>
      </c>
      <c r="W1084" s="13" t="str">
        <f>MID(A1084, SEARCH("_", A1084) +1, SEARCH("_", A1084, SEARCH("_", A1084) +1) - SEARCH("_", A1084) -1)</f>
        <v>Math-81</v>
      </c>
      <c r="Y1084" t="str">
        <f>IF(AND($S559=1,$S1084=1,$V559=1,$V1084=1), "YES", "NO")</f>
        <v>NO</v>
      </c>
      <c r="Z1084" t="str">
        <f>IF(AND($S559=1,$S1084=1,$V559&gt;1,$V1084&gt;1), "YES", "NO")</f>
        <v>NO</v>
      </c>
      <c r="AA1084" t="str">
        <f>IF(AND($S559&gt;1,$S1084&gt;1,$S559=$V559,$S1084=$V1084), "YES", "NO")</f>
        <v>NO</v>
      </c>
      <c r="AB1084" t="str">
        <f>IF(AND($S559&gt;1,$S1084&gt;1,$S559&lt;$V559,$S1084&lt;$V1084), "YES", "NO")</f>
        <v>NO</v>
      </c>
      <c r="AC1084" t="str">
        <f>IF(AND($V559&gt;10,$V1084&gt;10), "YES", "NO")</f>
        <v>NO</v>
      </c>
      <c r="AD1084"/>
    </row>
    <row r="1085" spans="1:30" ht="1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>LEFT($A1085,FIND("_",$A1085)-1)</f>
        <v>ACS</v>
      </c>
      <c r="P1085" s="13" t="str">
        <f>IF($O1085="ACS", "True Search", IF($O1085="Arja", "Evolutionary Search", IF($O1085="AVATAR", "True Pattern", IF($O1085="CapGen", "Search Like Pattern", IF($O1085="Cardumen", "True Semantic", IF($O1085="DynaMoth", "True Semantic", IF($O1085="FixMiner", "True Pattern", IF($O1085="GenProg-A", "Evolutionary Search", IF($O1085="Hercules", "Learning Pattern", IF($O1085="Jaid", "True Semantic",
IF($O1085="Kali-A", "True Search", IF($O1085="kPAR", "True Pattern", IF($O1085="Nopol", "True Semantic", IF($O1085="RSRepair-A", "Evolutionary Search", IF($O1085="SequenceR", "Deep Learning", IF($O1085="SimFix", "Search Like Pattern", IF($O1085="SketchFix", "True Pattern", IF($O1085="SOFix", "True Pattern", IF($O1085="ssFix", "Search Like Pattern", IF($O1085="TBar", "True Pattern", ""))))))))))))))))))))</f>
        <v>True Search</v>
      </c>
      <c r="Q1085" s="13" t="str">
        <f>IF(NOT(ISERR(SEARCH("*_Buggy",$A1085))), "Buggy", IF(NOT(ISERR(SEARCH("*_Fixed",$A1085))), "Fixed", IF(NOT(ISERR(SEARCH("*_Repaired",$A1085))), "Repaired", "")))</f>
        <v>Repaired</v>
      </c>
      <c r="R1085" s="13" t="s">
        <v>1668</v>
      </c>
      <c r="S1085" s="25">
        <v>1</v>
      </c>
      <c r="T1085" s="25">
        <v>1</v>
      </c>
      <c r="U1085" s="25">
        <v>2</v>
      </c>
      <c r="V1085" s="13">
        <v>2</v>
      </c>
      <c r="W1085" s="13" t="str">
        <f>MID(A1085, SEARCH("_", A1085) +1, SEARCH("_", A1085, SEARCH("_", A1085) +1) - SEARCH("_", A1085) -1)</f>
        <v>Math-82</v>
      </c>
      <c r="Y1085" t="str">
        <f>IF(AND($S560=1,$S1085=1,$V560=1,$V1085=1), "YES", "NO")</f>
        <v>NO</v>
      </c>
      <c r="Z1085" t="str">
        <f>IF(AND($S560=1,$S1085=1,$V560&gt;1,$V1085&gt;1), "YES", "NO")</f>
        <v>NO</v>
      </c>
      <c r="AA1085" t="str">
        <f>IF(AND($S560&gt;1,$S1085&gt;1,$S560=$V560,$S1085=$V1085), "YES", "NO")</f>
        <v>NO</v>
      </c>
      <c r="AB1085" t="str">
        <f>IF(AND($S560&gt;1,$S1085&gt;1,$S560&lt;$V560,$S1085&lt;$V1085), "YES", "NO")</f>
        <v>NO</v>
      </c>
      <c r="AC1085" t="str">
        <f>IF(AND($V560&gt;10,$V1085&gt;10), "YES", "NO")</f>
        <v>NO</v>
      </c>
      <c r="AD1085"/>
    </row>
    <row r="1086" spans="1:30" ht="1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>LEFT($A1086,FIND("_",$A1086)-1)</f>
        <v>ACS</v>
      </c>
      <c r="P1086" s="13" t="str">
        <f>IF($O1086="ACS", "True Search", IF($O1086="Arja", "Evolutionary Search", IF($O1086="AVATAR", "True Pattern", IF($O1086="CapGen", "Search Like Pattern", IF($O1086="Cardumen", "True Semantic", IF($O1086="DynaMoth", "True Semantic", IF($O1086="FixMiner", "True Pattern", IF($O1086="GenProg-A", "Evolutionary Search", IF($O1086="Hercules", "Learning Pattern", IF($O1086="Jaid", "True Semantic",
IF($O1086="Kali-A", "True Search", IF($O1086="kPAR", "True Pattern", IF($O1086="Nopol", "True Semantic", IF($O1086="RSRepair-A", "Evolutionary Search", IF($O1086="SequenceR", "Deep Learning", IF($O1086="SimFix", "Search Like Pattern", IF($O1086="SketchFix", "True Pattern", IF($O1086="SOFix", "True Pattern", IF($O1086="ssFix", "Search Like Pattern", IF($O1086="TBar", "True Pattern", ""))))))))))))))))))))</f>
        <v>True Search</v>
      </c>
      <c r="Q1086" s="13" t="str">
        <f>IF(NOT(ISERR(SEARCH("*_Buggy",$A1086))), "Buggy", IF(NOT(ISERR(SEARCH("*_Fixed",$A1086))), "Fixed", IF(NOT(ISERR(SEARCH("*_Repaired",$A1086))), "Repaired", "")))</f>
        <v>Repaired</v>
      </c>
      <c r="R1086" s="13" t="s">
        <v>1668</v>
      </c>
      <c r="S1086" s="25">
        <v>1</v>
      </c>
      <c r="T1086" s="25">
        <v>1</v>
      </c>
      <c r="U1086" s="25">
        <v>2</v>
      </c>
      <c r="V1086" s="13">
        <v>2</v>
      </c>
      <c r="W1086" s="13" t="str">
        <f>MID(A1086, SEARCH("_", A1086) +1, SEARCH("_", A1086, SEARCH("_", A1086) +1) - SEARCH("_", A1086) -1)</f>
        <v>Math-85</v>
      </c>
      <c r="Y1086" t="str">
        <f>IF(AND($S561=1,$S1086=1,$V561=1,$V1086=1), "YES", "NO")</f>
        <v>NO</v>
      </c>
      <c r="Z1086" t="str">
        <f>IF(AND($S561=1,$S1086=1,$V561&gt;1,$V1086&gt;1), "YES", "NO")</f>
        <v>NO</v>
      </c>
      <c r="AA1086" t="str">
        <f>IF(AND($S561&gt;1,$S1086&gt;1,$S561=$V561,$S1086=$V1086), "YES", "NO")</f>
        <v>NO</v>
      </c>
      <c r="AB1086" t="str">
        <f>IF(AND($S561&gt;1,$S1086&gt;1,$S561&lt;$V561,$S1086&lt;$V1086), "YES", "NO")</f>
        <v>NO</v>
      </c>
      <c r="AC1086" t="str">
        <f>IF(AND($V561&gt;10,$V1086&gt;10), "YES", "NO")</f>
        <v>NO</v>
      </c>
      <c r="AD1086"/>
    </row>
    <row r="1087" spans="1:30" ht="1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>LEFT($A1087,FIND("_",$A1087)-1)</f>
        <v>ACS</v>
      </c>
      <c r="P1087" s="13" t="str">
        <f>IF($O1087="ACS", "True Search", IF($O1087="Arja", "Evolutionary Search", IF($O1087="AVATAR", "True Pattern", IF($O1087="CapGen", "Search Like Pattern", IF($O1087="Cardumen", "True Semantic", IF($O1087="DynaMoth", "True Semantic", IF($O1087="FixMiner", "True Pattern", IF($O1087="GenProg-A", "Evolutionary Search", IF($O1087="Hercules", "Learning Pattern", IF($O1087="Jaid", "True Semantic",
IF($O1087="Kali-A", "True Search", IF($O1087="kPAR", "True Pattern", IF($O1087="Nopol", "True Semantic", IF($O1087="RSRepair-A", "Evolutionary Search", IF($O1087="SequenceR", "Deep Learning", IF($O1087="SimFix", "Search Like Pattern", IF($O1087="SketchFix", "True Pattern", IF($O1087="SOFix", "True Pattern", IF($O1087="ssFix", "Search Like Pattern", IF($O1087="TBar", "True Pattern", ""))))))))))))))))))))</f>
        <v>True Search</v>
      </c>
      <c r="Q1087" s="13" t="str">
        <f>IF(NOT(ISERR(SEARCH("*_Buggy",$A1087))), "Buggy", IF(NOT(ISERR(SEARCH("*_Fixed",$A1087))), "Fixed", IF(NOT(ISERR(SEARCH("*_Repaired",$A1087))), "Repaired", "")))</f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v>1</v>
      </c>
      <c r="W1087" s="13" t="str">
        <f>MID(A1087, SEARCH("_", A1087) +1, SEARCH("_", A1087, SEARCH("_", A1087) +1) - SEARCH("_", A1087) -1)</f>
        <v>Math-89</v>
      </c>
      <c r="Y1087" t="str">
        <f>IF(AND($S562=1,$S1087=1,$V562=1,$V1087=1), "YES", "NO")</f>
        <v>NO</v>
      </c>
      <c r="Z1087" t="str">
        <f>IF(AND($S562=1,$S1087=1,$V562&gt;1,$V1087&gt;1), "YES", "NO")</f>
        <v>NO</v>
      </c>
      <c r="AA1087" t="str">
        <f>IF(AND($S562&gt;1,$S1087&gt;1,$S562=$V562,$S1087=$V1087), "YES", "NO")</f>
        <v>NO</v>
      </c>
      <c r="AB1087" t="str">
        <f>IF(AND($S562&gt;1,$S1087&gt;1,$S562&lt;$V562,$S1087&lt;$V1087), "YES", "NO")</f>
        <v>NO</v>
      </c>
      <c r="AC1087" t="str">
        <f>IF(AND($V562&gt;10,$V1087&gt;10), "YES", "NO")</f>
        <v>NO</v>
      </c>
      <c r="AD1087"/>
    </row>
    <row r="1088" spans="1:30" ht="1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>LEFT($A1088,FIND("_",$A1088)-1)</f>
        <v>ACS</v>
      </c>
      <c r="P1088" s="13" t="str">
        <f>IF($O1088="ACS", "True Search", IF($O1088="Arja", "Evolutionary Search", IF($O1088="AVATAR", "True Pattern", IF($O1088="CapGen", "Search Like Pattern", IF($O1088="Cardumen", "True Semantic", IF($O1088="DynaMoth", "True Semantic", IF($O1088="FixMiner", "True Pattern", IF($O1088="GenProg-A", "Evolutionary Search", IF($O1088="Hercules", "Learning Pattern", IF($O1088="Jaid", "True Semantic",
IF($O1088="Kali-A", "True Search", IF($O1088="kPAR", "True Pattern", IF($O1088="Nopol", "True Semantic", IF($O1088="RSRepair-A", "Evolutionary Search", IF($O1088="SequenceR", "Deep Learning", IF($O1088="SimFix", "Search Like Pattern", IF($O1088="SketchFix", "True Pattern", IF($O1088="SOFix", "True Pattern", IF($O1088="ssFix", "Search Like Pattern", IF($O1088="TBar", "True Pattern", ""))))))))))))))))))))</f>
        <v>True Search</v>
      </c>
      <c r="Q1088" s="13" t="str">
        <f>IF(NOT(ISERR(SEARCH("*_Buggy",$A1088))), "Buggy", IF(NOT(ISERR(SEARCH("*_Fixed",$A1088))), "Fixed", IF(NOT(ISERR(SEARCH("*_Repaired",$A1088))), "Repaired", "")))</f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v>1</v>
      </c>
      <c r="W1088" s="13" t="str">
        <f>MID(A1088, SEARCH("_", A1088) +1, SEARCH("_", A1088, SEARCH("_", A1088) +1) - SEARCH("_", A1088) -1)</f>
        <v>Math-90</v>
      </c>
      <c r="Y1088" t="str">
        <f>IF(AND($S563=1,$S1088=1,$V563=1,$V1088=1), "YES", "NO")</f>
        <v>NO</v>
      </c>
      <c r="Z1088" t="str">
        <f>IF(AND($S563=1,$S1088=1,$V563&gt;1,$V1088&gt;1), "YES", "NO")</f>
        <v>NO</v>
      </c>
      <c r="AA1088" t="str">
        <f>IF(AND($S563&gt;1,$S1088&gt;1,$S563=$V563,$S1088=$V1088), "YES", "NO")</f>
        <v>NO</v>
      </c>
      <c r="AB1088" t="str">
        <f>IF(AND($S563&gt;1,$S1088&gt;1,$S563&lt;$V563,$S1088&lt;$V1088), "YES", "NO")</f>
        <v>NO</v>
      </c>
      <c r="AC1088" t="str">
        <f>IF(AND($V563&gt;10,$V1088&gt;10), "YES", "NO")</f>
        <v>NO</v>
      </c>
      <c r="AD1088"/>
    </row>
    <row r="1089" spans="1:30" ht="15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>LEFT($A1089,FIND("_",$A1089)-1)</f>
        <v>ACS</v>
      </c>
      <c r="P1089" s="13" t="str">
        <f>IF($O1089="ACS", "True Search", IF($O1089="Arja", "Evolutionary Search", IF($O1089="AVATAR", "True Pattern", IF($O1089="CapGen", "Search Like Pattern", IF($O1089="Cardumen", "True Semantic", IF($O1089="DynaMoth", "True Semantic", IF($O1089="FixMiner", "True Pattern", IF($O1089="GenProg-A", "Evolutionary Search", IF($O1089="Hercules", "Learning Pattern", IF($O1089="Jaid", "True Semantic",
IF($O1089="Kali-A", "True Search", IF($O1089="kPAR", "True Pattern", IF($O1089="Nopol", "True Semantic", IF($O1089="RSRepair-A", "Evolutionary Search", IF($O1089="SequenceR", "Deep Learning", IF($O1089="SimFix", "Search Like Pattern", IF($O1089="SketchFix", "True Pattern", IF($O1089="SOFix", "True Pattern", IF($O1089="ssFix", "Search Like Pattern", IF($O1089="TBar", "True Pattern", ""))))))))))))))))))))</f>
        <v>True Search</v>
      </c>
      <c r="Q1089" s="13" t="str">
        <f>IF(NOT(ISERR(SEARCH("*_Buggy",$A1089))), "Buggy", IF(NOT(ISERR(SEARCH("*_Fixed",$A1089))), "Fixed", IF(NOT(ISERR(SEARCH("*_Repaired",$A1089))), "Repaired", "")))</f>
        <v>Repaired</v>
      </c>
      <c r="R1089" s="13" t="s">
        <v>1669</v>
      </c>
      <c r="S1089" s="25">
        <v>2</v>
      </c>
      <c r="T1089" s="25">
        <v>8</v>
      </c>
      <c r="U1089" s="25">
        <v>1</v>
      </c>
      <c r="V1089" s="13">
        <v>8</v>
      </c>
      <c r="W1089" s="13" t="str">
        <f>MID(A1089, SEARCH("_", A1089) +1, SEARCH("_", A1089, SEARCH("_", A1089) +1) - SEARCH("_", A1089) -1)</f>
        <v>Math-93</v>
      </c>
      <c r="Y1089" t="str">
        <f>IF(AND($S564=1,$S1089=1,$V564=1,$V1089=1), "YES", "NO")</f>
        <v>NO</v>
      </c>
      <c r="Z1089" t="str">
        <f>IF(AND($S564=1,$S1089=1,$V564&gt;1,$V1089&gt;1), "YES", "NO")</f>
        <v>NO</v>
      </c>
      <c r="AA1089" t="str">
        <f>IF(AND($S564&gt;1,$S1089&gt;1,$S564=$V564,$S1089=$V1089), "YES", "NO")</f>
        <v>NO</v>
      </c>
      <c r="AB1089" t="str">
        <f>IF(AND($S564&gt;1,$S1089&gt;1,$S564&lt;$V564,$S1089&lt;$V1089), "YES", "NO")</f>
        <v>YES</v>
      </c>
      <c r="AC1089" t="str">
        <f>IF(AND($V564&gt;10,$V1089&gt;10), "YES", "NO")</f>
        <v>NO</v>
      </c>
      <c r="AD1089"/>
    </row>
    <row r="1090" spans="1:30" ht="15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>LEFT($A1090,FIND("_",$A1090)-1)</f>
        <v>ACS</v>
      </c>
      <c r="P1090" s="13" t="str">
        <f>IF($O1090="ACS", "True Search", IF($O1090="Arja", "Evolutionary Search", IF($O1090="AVATAR", "True Pattern", IF($O1090="CapGen", "Search Like Pattern", IF($O1090="Cardumen", "True Semantic", IF($O1090="DynaMoth", "True Semantic", IF($O1090="FixMiner", "True Pattern", IF($O1090="GenProg-A", "Evolutionary Search", IF($O1090="Hercules", "Learning Pattern", IF($O1090="Jaid", "True Semantic",
IF($O1090="Kali-A", "True Search", IF($O1090="kPAR", "True Pattern", IF($O1090="Nopol", "True Semantic", IF($O1090="RSRepair-A", "Evolutionary Search", IF($O1090="SequenceR", "Deep Learning", IF($O1090="SimFix", "Search Like Pattern", IF($O1090="SketchFix", "True Pattern", IF($O1090="SOFix", "True Pattern", IF($O1090="ssFix", "Search Like Pattern", IF($O1090="TBar", "True Pattern", ""))))))))))))))))))))</f>
        <v>True Search</v>
      </c>
      <c r="Q1090" s="13" t="str">
        <f>IF(NOT(ISERR(SEARCH("*_Buggy",$A1090))), "Buggy", IF(NOT(ISERR(SEARCH("*_Fixed",$A1090))), "Fixed", IF(NOT(ISERR(SEARCH("*_Repaired",$A1090))), "Repaired", "")))</f>
        <v>Repaired</v>
      </c>
      <c r="R1090" s="13" t="s">
        <v>1669</v>
      </c>
      <c r="S1090" s="25">
        <v>1</v>
      </c>
      <c r="T1090" s="25">
        <v>1</v>
      </c>
      <c r="U1090" s="25">
        <v>2</v>
      </c>
      <c r="V1090" s="13">
        <v>2</v>
      </c>
      <c r="W1090" s="13" t="str">
        <f>MID(A1090, SEARCH("_", A1090) +1, SEARCH("_", A1090, SEARCH("_", A1090) +1) - SEARCH("_", A1090) -1)</f>
        <v>Math-97</v>
      </c>
      <c r="Y1090" t="str">
        <f>IF(AND($S565=1,$S1090=1,$V565=1,$V1090=1), "YES", "NO")</f>
        <v>NO</v>
      </c>
      <c r="Z1090" t="str">
        <f>IF(AND($S565=1,$S1090=1,$V565&gt;1,$V1090&gt;1), "YES", "NO")</f>
        <v>NO</v>
      </c>
      <c r="AA1090" t="str">
        <f>IF(AND($S565&gt;1,$S1090&gt;1,$S565=$V565,$S1090=$V1090), "YES", "NO")</f>
        <v>NO</v>
      </c>
      <c r="AB1090" t="str">
        <f>IF(AND($S565&gt;1,$S1090&gt;1,$S565&lt;$V565,$S1090&lt;$V1090), "YES", "NO")</f>
        <v>NO</v>
      </c>
      <c r="AC1090" t="str">
        <f>IF(AND($V565&gt;10,$V1090&gt;10), "YES", "NO")</f>
        <v>NO</v>
      </c>
      <c r="AD1090"/>
    </row>
    <row r="1091" spans="1:30" ht="15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>LEFT($A1091,FIND("_",$A1091)-1)</f>
        <v>ACS</v>
      </c>
      <c r="P1091" s="13" t="str">
        <f>IF($O1091="ACS", "True Search", IF($O1091="Arja", "Evolutionary Search", IF($O1091="AVATAR", "True Pattern", IF($O1091="CapGen", "Search Like Pattern", IF($O1091="Cardumen", "True Semantic", IF($O1091="DynaMoth", "True Semantic", IF($O1091="FixMiner", "True Pattern", IF($O1091="GenProg-A", "Evolutionary Search", IF($O1091="Hercules", "Learning Pattern", IF($O1091="Jaid", "True Semantic",
IF($O1091="Kali-A", "True Search", IF($O1091="kPAR", "True Pattern", IF($O1091="Nopol", "True Semantic", IF($O1091="RSRepair-A", "Evolutionary Search", IF($O1091="SequenceR", "Deep Learning", IF($O1091="SimFix", "Search Like Pattern", IF($O1091="SketchFix", "True Pattern", IF($O1091="SOFix", "True Pattern", IF($O1091="ssFix", "Search Like Pattern", IF($O1091="TBar", "True Pattern", ""))))))))))))))))))))</f>
        <v>True Search</v>
      </c>
      <c r="Q1091" s="13" t="str">
        <f>IF(NOT(ISERR(SEARCH("*_Buggy",$A1091))), "Buggy", IF(NOT(ISERR(SEARCH("*_Fixed",$A1091))), "Fixed", IF(NOT(ISERR(SEARCH("*_Repaired",$A1091))), "Repaired", "")))</f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v>2</v>
      </c>
      <c r="W1091" s="13" t="str">
        <f>MID(A1091, SEARCH("_", A1091) +1, SEARCH("_", A1091, SEARCH("_", A1091) +1) - SEARCH("_", A1091) -1)</f>
        <v>Math-99</v>
      </c>
      <c r="Y1091" t="str">
        <f>IF(AND($S566=1,$S1091=1,$V566=1,$V1091=1), "YES", "NO")</f>
        <v>NO</v>
      </c>
      <c r="Z1091" t="str">
        <f>IF(AND($S566=1,$S1091=1,$V566&gt;1,$V1091&gt;1), "YES", "NO")</f>
        <v>NO</v>
      </c>
      <c r="AA1091" t="str">
        <f>IF(AND($S566&gt;1,$S1091&gt;1,$S566=$V566,$S1091=$V1091), "YES", "NO")</f>
        <v>NO</v>
      </c>
      <c r="AB1091" t="str">
        <f>IF(AND($S566&gt;1,$S1091&gt;1,$S566&lt;$V566,$S1091&lt;$V1091), "YES", "NO")</f>
        <v>NO</v>
      </c>
      <c r="AC1091" t="str">
        <f>IF(AND($V566&gt;10,$V1091&gt;10), "YES", "NO")</f>
        <v>NO</v>
      </c>
      <c r="AD1091"/>
    </row>
    <row r="1092" spans="1:30" ht="15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>LEFT($A1092,FIND("_",$A1092)-1)</f>
        <v>ACS</v>
      </c>
      <c r="P1092" s="13" t="str">
        <f>IF($O1092="ACS", "True Search", IF($O1092="Arja", "Evolutionary Search", IF($O1092="AVATAR", "True Pattern", IF($O1092="CapGen", "Search Like Pattern", IF($O1092="Cardumen", "True Semantic", IF($O1092="DynaMoth", "True Semantic", IF($O1092="FixMiner", "True Pattern", IF($O1092="GenProg-A", "Evolutionary Search", IF($O1092="Hercules", "Learning Pattern", IF($O1092="Jaid", "True Semantic",
IF($O1092="Kali-A", "True Search", IF($O1092="kPAR", "True Pattern", IF($O1092="Nopol", "True Semantic", IF($O1092="RSRepair-A", "Evolutionary Search", IF($O1092="SequenceR", "Deep Learning", IF($O1092="SimFix", "Search Like Pattern", IF($O1092="SketchFix", "True Pattern", IF($O1092="SOFix", "True Pattern", IF($O1092="ssFix", "Search Like Pattern", IF($O1092="TBar", "True Pattern", ""))))))))))))))))))))</f>
        <v>True Search</v>
      </c>
      <c r="Q1092" s="13" t="str">
        <f>IF(NOT(ISERR(SEARCH("*_Buggy",$A1092))), "Buggy", IF(NOT(ISERR(SEARCH("*_Fixed",$A1092))), "Fixed", IF(NOT(ISERR(SEARCH("*_Repaired",$A1092))), "Repaired", "")))</f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v>1</v>
      </c>
      <c r="W1092" s="13" t="str">
        <f>MID(A1092, SEARCH("_", A1092) +1, SEARCH("_", A1092, SEARCH("_", A1092) +1) - SEARCH("_", A1092) -1)</f>
        <v>Time-15</v>
      </c>
      <c r="Y1092" t="str">
        <f>IF(AND($S567=1,$S1092=1,$V567=1,$V1092=1), "YES", "NO")</f>
        <v>NO</v>
      </c>
      <c r="Z1092" t="str">
        <f>IF(AND($S567=1,$S1092=1,$V567&gt;1,$V1092&gt;1), "YES", "NO")</f>
        <v>NO</v>
      </c>
      <c r="AA1092" t="str">
        <f>IF(AND($S567&gt;1,$S1092&gt;1,$S567=$V567,$S1092=$V1092), "YES", "NO")</f>
        <v>NO</v>
      </c>
      <c r="AB1092" t="str">
        <f>IF(AND($S567&gt;1,$S1092&gt;1,$S567&lt;$V567,$S1092&lt;$V1092), "YES", "NO")</f>
        <v>NO</v>
      </c>
      <c r="AC1092" t="str">
        <f>IF(AND($V567&gt;10,$V1092&gt;10), "YES", "NO")</f>
        <v>NO</v>
      </c>
      <c r="AD1092"/>
    </row>
    <row r="1093" spans="1:30" ht="15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>LEFT($A1093,FIND("_",$A1093)-1)</f>
        <v>ARJA</v>
      </c>
      <c r="P1093" s="13" t="str">
        <f>IF($O1093="ACS", "True Search", IF($O1093="Arja", "Evolutionary Search", IF($O1093="AVATAR", "True Pattern", IF($O1093="CapGen", "Search Like Pattern", IF($O1093="Cardumen", "True Semantic", IF($O1093="DynaMoth", "True Semantic", IF($O1093="FixMiner", "True Pattern", IF($O1093="GenProg-A", "Evolutionary Search", IF($O1093="Hercules", "Learning Pattern", IF($O1093="Jaid", "True Semantic",
IF($O1093="Kali-A", "True Search", IF($O1093="kPAR", "True Pattern", IF($O1093="Nopol", "True Semantic", IF($O1093="RSRepair-A", "Evolutionary Search", IF($O1093="SequenceR", "Deep Learning", IF($O1093="SimFix", "Search Like Pattern", IF($O1093="SketchFix", "True Pattern", IF($O1093="SOFix", "True Pattern", IF($O1093="ssFix", "Search Like Pattern", IF($O1093="TBar", "True Pattern", ""))))))))))))))))))))</f>
        <v>Evolutionary Search</v>
      </c>
      <c r="Q1093" s="13" t="str">
        <f>IF(NOT(ISERR(SEARCH("*_Buggy",$A1093))), "Buggy", IF(NOT(ISERR(SEARCH("*_Fixed",$A1093))), "Fixed", IF(NOT(ISERR(SEARCH("*_Repaired",$A1093))), "Repaired", "")))</f>
        <v>Repaired</v>
      </c>
      <c r="R1093" s="13" t="s">
        <v>1669</v>
      </c>
      <c r="S1093" s="25">
        <v>1</v>
      </c>
      <c r="T1093" s="25">
        <v>0</v>
      </c>
      <c r="U1093" s="13">
        <v>3</v>
      </c>
      <c r="V1093" s="13">
        <v>3</v>
      </c>
      <c r="W1093" s="13" t="str">
        <f>MID(A1093, SEARCH("_", A1093) +1, SEARCH("_", A1093, SEARCH("_", A1093) +1) - SEARCH("_", A1093) -1)</f>
        <v>Chart-1</v>
      </c>
      <c r="Y1093" t="str">
        <f>IF(AND($S568=1,$S1093=1,$V568=1,$V1093=1), "YES", "NO")</f>
        <v>NO</v>
      </c>
      <c r="Z1093" t="str">
        <f>IF(AND($S568=1,$S1093=1,$V568&gt;1,$V1093&gt;1), "YES", "NO")</f>
        <v>NO</v>
      </c>
      <c r="AA1093" t="str">
        <f>IF(AND($S568&gt;1,$S1093&gt;1,$S568=$V568,$S1093=$V1093), "YES", "NO")</f>
        <v>NO</v>
      </c>
      <c r="AB1093" t="str">
        <f>IF(AND($S568&gt;1,$S1093&gt;1,$S568&lt;$V568,$S1093&lt;$V1093), "YES", "NO")</f>
        <v>NO</v>
      </c>
      <c r="AC1093" t="str">
        <f>IF(AND($V568&gt;10,$V1093&gt;10), "YES", "NO")</f>
        <v>NO</v>
      </c>
      <c r="AD1093"/>
    </row>
    <row r="1094" spans="1:30" ht="15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>LEFT($A1094,FIND("_",$A1094)-1)</f>
        <v>ARJA</v>
      </c>
      <c r="P1094" s="13" t="str">
        <f>IF($O1094="ACS", "True Search", IF($O1094="Arja", "Evolutionary Search", IF($O1094="AVATAR", "True Pattern", IF($O1094="CapGen", "Search Like Pattern", IF($O1094="Cardumen", "True Semantic", IF($O1094="DynaMoth", "True Semantic", IF($O1094="FixMiner", "True Pattern", IF($O1094="GenProg-A", "Evolutionary Search", IF($O1094="Hercules", "Learning Pattern", IF($O1094="Jaid", "True Semantic",
IF($O1094="Kali-A", "True Search", IF($O1094="kPAR", "True Pattern", IF($O1094="Nopol", "True Semantic", IF($O1094="RSRepair-A", "Evolutionary Search", IF($O1094="SequenceR", "Deep Learning", IF($O1094="SimFix", "Search Like Pattern", IF($O1094="SketchFix", "True Pattern", IF($O1094="SOFix", "True Pattern", IF($O1094="ssFix", "Search Like Pattern", IF($O1094="TBar", "True Pattern", ""))))))))))))))))))))</f>
        <v>Evolutionary Search</v>
      </c>
      <c r="Q1094" s="13" t="str">
        <f>IF(NOT(ISERR(SEARCH("*_Buggy",$A1094))), "Buggy", IF(NOT(ISERR(SEARCH("*_Fixed",$A1094))), "Fixed", IF(NOT(ISERR(SEARCH("*_Repaired",$A1094))), "Repaired", "")))</f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v>1</v>
      </c>
      <c r="W1094" s="13" t="str">
        <f>MID(A1094, SEARCH("_", A1094) +1, SEARCH("_", A1094, SEARCH("_", A1094) +1) - SEARCH("_", A1094) -1)</f>
        <v>Chart-12</v>
      </c>
      <c r="Y1094" t="str">
        <f>IF(AND($S569=1,$S1094=1,$V569=1,$V1094=1), "YES", "NO")</f>
        <v>YES</v>
      </c>
      <c r="Z1094" t="str">
        <f>IF(AND($S569=1,$S1094=1,$V569&gt;1,$V1094&gt;1), "YES", "NO")</f>
        <v>NO</v>
      </c>
      <c r="AA1094" t="str">
        <f>IF(AND($S569&gt;1,$S1094&gt;1,$S569=$V569,$S1094=$V1094), "YES", "NO")</f>
        <v>NO</v>
      </c>
      <c r="AB1094" t="str">
        <f>IF(AND($S569&gt;1,$S1094&gt;1,$S569&lt;$V569,$S1094&lt;$V1094), "YES", "NO")</f>
        <v>NO</v>
      </c>
      <c r="AC1094" t="str">
        <f>IF(AND($V569&gt;10,$V1094&gt;10), "YES", "NO")</f>
        <v>NO</v>
      </c>
      <c r="AD1094"/>
    </row>
    <row r="1095" spans="1:30" ht="15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>LEFT($A1095,FIND("_",$A1095)-1)</f>
        <v>ARJA</v>
      </c>
      <c r="P1095" s="13" t="str">
        <f>IF($O1095="ACS", "True Search", IF($O1095="Arja", "Evolutionary Search", IF($O1095="AVATAR", "True Pattern", IF($O1095="CapGen", "Search Like Pattern", IF($O1095="Cardumen", "True Semantic", IF($O1095="DynaMoth", "True Semantic", IF($O1095="FixMiner", "True Pattern", IF($O1095="GenProg-A", "Evolutionary Search", IF($O1095="Hercules", "Learning Pattern", IF($O1095="Jaid", "True Semantic",
IF($O1095="Kali-A", "True Search", IF($O1095="kPAR", "True Pattern", IF($O1095="Nopol", "True Semantic", IF($O1095="RSRepair-A", "Evolutionary Search", IF($O1095="SequenceR", "Deep Learning", IF($O1095="SimFix", "Search Like Pattern", IF($O1095="SketchFix", "True Pattern", IF($O1095="SOFix", "True Pattern", IF($O1095="ssFix", "Search Like Pattern", IF($O1095="TBar", "True Pattern", ""))))))))))))))))))))</f>
        <v>Evolutionary Search</v>
      </c>
      <c r="Q1095" s="13" t="str">
        <f>IF(NOT(ISERR(SEARCH("*_Buggy",$A1095))), "Buggy", IF(NOT(ISERR(SEARCH("*_Fixed",$A1095))), "Fixed", IF(NOT(ISERR(SEARCH("*_Repaired",$A1095))), "Repaired", "")))</f>
        <v>Repaired</v>
      </c>
      <c r="R1095" s="13" t="s">
        <v>1669</v>
      </c>
      <c r="S1095" s="25">
        <v>1</v>
      </c>
      <c r="T1095" s="25">
        <v>2</v>
      </c>
      <c r="U1095" s="25">
        <v>1</v>
      </c>
      <c r="V1095" s="13">
        <v>2</v>
      </c>
      <c r="W1095" s="13" t="str">
        <f>MID(A1095, SEARCH("_", A1095) +1, SEARCH("_", A1095, SEARCH("_", A1095) +1) - SEARCH("_", A1095) -1)</f>
        <v>Chart-13</v>
      </c>
      <c r="Y1095" t="str">
        <f>IF(AND($S570=1,$S1095=1,$V570=1,$V1095=1), "YES", "NO")</f>
        <v>NO</v>
      </c>
      <c r="Z1095" t="str">
        <f>IF(AND($S570=1,$S1095=1,$V570&gt;1,$V1095&gt;1), "YES", "NO")</f>
        <v>NO</v>
      </c>
      <c r="AA1095" t="str">
        <f>IF(AND($S570&gt;1,$S1095&gt;1,$S570=$V570,$S1095=$V1095), "YES", "NO")</f>
        <v>NO</v>
      </c>
      <c r="AB1095" t="str">
        <f>IF(AND($S570&gt;1,$S1095&gt;1,$S570&lt;$V570,$S1095&lt;$V1095), "YES", "NO")</f>
        <v>NO</v>
      </c>
      <c r="AC1095" t="str">
        <f>IF(AND($V570&gt;10,$V1095&gt;10), "YES", "NO")</f>
        <v>NO</v>
      </c>
      <c r="AD1095"/>
    </row>
    <row r="1096" spans="1:30" ht="15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>LEFT($A1096,FIND("_",$A1096)-1)</f>
        <v>ARJA</v>
      </c>
      <c r="P1096" s="13" t="str">
        <f>IF($O1096="ACS", "True Search", IF($O1096="Arja", "Evolutionary Search", IF($O1096="AVATAR", "True Pattern", IF($O1096="CapGen", "Search Like Pattern", IF($O1096="Cardumen", "True Semantic", IF($O1096="DynaMoth", "True Semantic", IF($O1096="FixMiner", "True Pattern", IF($O1096="GenProg-A", "Evolutionary Search", IF($O1096="Hercules", "Learning Pattern", IF($O1096="Jaid", "True Semantic",
IF($O1096="Kali-A", "True Search", IF($O1096="kPAR", "True Pattern", IF($O1096="Nopol", "True Semantic", IF($O1096="RSRepair-A", "Evolutionary Search", IF($O1096="SequenceR", "Deep Learning", IF($O1096="SimFix", "Search Like Pattern", IF($O1096="SketchFix", "True Pattern", IF($O1096="SOFix", "True Pattern", IF($O1096="ssFix", "Search Like Pattern", IF($O1096="TBar", "True Pattern", ""))))))))))))))))))))</f>
        <v>Evolutionary Search</v>
      </c>
      <c r="Q1096" s="13" t="str">
        <f>IF(NOT(ISERR(SEARCH("*_Buggy",$A1096))), "Buggy", IF(NOT(ISERR(SEARCH("*_Fixed",$A1096))), "Fixed", IF(NOT(ISERR(SEARCH("*_Repaired",$A1096))), "Repaired", "")))</f>
        <v>Repaired</v>
      </c>
      <c r="R1096" s="13" t="s">
        <v>1669</v>
      </c>
      <c r="S1096" s="25">
        <v>2</v>
      </c>
      <c r="T1096" s="25">
        <v>6</v>
      </c>
      <c r="U1096" s="25">
        <v>12</v>
      </c>
      <c r="V1096" s="13">
        <v>15</v>
      </c>
      <c r="W1096" s="13" t="str">
        <f>MID(A1096, SEARCH("_", A1096) +1, SEARCH("_", A1096, SEARCH("_", A1096) +1) - SEARCH("_", A1096) -1)</f>
        <v>Chart-3</v>
      </c>
      <c r="Y1096" t="str">
        <f>IF(AND($S571=1,$S1096=1,$V571=1,$V1096=1), "YES", "NO")</f>
        <v>NO</v>
      </c>
      <c r="Z1096" t="str">
        <f>IF(AND($S571=1,$S1096=1,$V571&gt;1,$V1096&gt;1), "YES", "NO")</f>
        <v>NO</v>
      </c>
      <c r="AA1096" t="str">
        <f>IF(AND($S571&gt;1,$S1096&gt;1,$S571=$V571,$S1096=$V1096), "YES", "NO")</f>
        <v>NO</v>
      </c>
      <c r="AB1096" t="str">
        <f>IF(AND($S571&gt;1,$S1096&gt;1,$S571&lt;$V571,$S1096&lt;$V1096), "YES", "NO")</f>
        <v>NO</v>
      </c>
      <c r="AC1096" t="str">
        <f>IF(AND($V571&gt;10,$V1096&gt;10), "YES", "NO")</f>
        <v>NO</v>
      </c>
      <c r="AD1096"/>
    </row>
    <row r="1097" spans="1:30" ht="15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>LEFT($A1097,FIND("_",$A1097)-1)</f>
        <v>ARJA</v>
      </c>
      <c r="P1097" s="13" t="str">
        <f>IF($O1097="ACS", "True Search", IF($O1097="Arja", "Evolutionary Search", IF($O1097="AVATAR", "True Pattern", IF($O1097="CapGen", "Search Like Pattern", IF($O1097="Cardumen", "True Semantic", IF($O1097="DynaMoth", "True Semantic", IF($O1097="FixMiner", "True Pattern", IF($O1097="GenProg-A", "Evolutionary Search", IF($O1097="Hercules", "Learning Pattern", IF($O1097="Jaid", "True Semantic",
IF($O1097="Kali-A", "True Search", IF($O1097="kPAR", "True Pattern", IF($O1097="Nopol", "True Semantic", IF($O1097="RSRepair-A", "Evolutionary Search", IF($O1097="SequenceR", "Deep Learning", IF($O1097="SimFix", "Search Like Pattern", IF($O1097="SketchFix", "True Pattern", IF($O1097="SOFix", "True Pattern", IF($O1097="ssFix", "Search Like Pattern", IF($O1097="TBar", "True Pattern", ""))))))))))))))))))))</f>
        <v>Evolutionary Search</v>
      </c>
      <c r="Q1097" s="13" t="str">
        <f>IF(NOT(ISERR(SEARCH("*_Buggy",$A1097))), "Buggy", IF(NOT(ISERR(SEARCH("*_Fixed",$A1097))), "Fixed", IF(NOT(ISERR(SEARCH("*_Repaired",$A1097))), "Repaired", "")))</f>
        <v>Repaired</v>
      </c>
      <c r="R1097" s="13" t="s">
        <v>1669</v>
      </c>
      <c r="S1097" s="25">
        <v>1</v>
      </c>
      <c r="T1097" s="25">
        <v>2</v>
      </c>
      <c r="U1097" s="25">
        <v>11</v>
      </c>
      <c r="V1097" s="13">
        <v>11</v>
      </c>
      <c r="W1097" s="13" t="str">
        <f>MID(A1097, SEARCH("_", A1097) +1, SEARCH("_", A1097, SEARCH("_", A1097) +1) - SEARCH("_", A1097) -1)</f>
        <v>Chart-5</v>
      </c>
      <c r="Y1097" t="str">
        <f>IF(AND($S572=1,$S1097=1,$V572=1,$V1097=1), "YES", "NO")</f>
        <v>NO</v>
      </c>
      <c r="Z1097" t="str">
        <f>IF(AND($S572=1,$S1097=1,$V572&gt;1,$V1097&gt;1), "YES", "NO")</f>
        <v>NO</v>
      </c>
      <c r="AA1097" t="str">
        <f>IF(AND($S572&gt;1,$S1097&gt;1,$S572=$V572,$S1097=$V1097), "YES", "NO")</f>
        <v>NO</v>
      </c>
      <c r="AB1097" t="str">
        <f>IF(AND($S572&gt;1,$S1097&gt;1,$S572&lt;$V572,$S1097&lt;$V1097), "YES", "NO")</f>
        <v>NO</v>
      </c>
      <c r="AC1097" t="str">
        <f>IF(AND($V572&gt;10,$V1097&gt;10), "YES", "NO")</f>
        <v>NO</v>
      </c>
      <c r="AD1097"/>
    </row>
    <row r="1098" spans="1:30" ht="15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>LEFT($A1098,FIND("_",$A1098)-1)</f>
        <v>ARJA</v>
      </c>
      <c r="P1098" s="13" t="str">
        <f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>IF(NOT(ISERR(SEARCH("*_Buggy",$A1098))), "Buggy", IF(NOT(ISERR(SEARCH("*_Fixed",$A1098))), "Fixed", IF(NOT(ISERR(SEARCH("*_Repaired",$A1098))), "Repaired", "")))</f>
        <v>Repaired</v>
      </c>
      <c r="R1098" s="13" t="s">
        <v>1669</v>
      </c>
      <c r="S1098" s="25">
        <v>1</v>
      </c>
      <c r="T1098" s="25">
        <v>2</v>
      </c>
      <c r="U1098" s="25">
        <v>1</v>
      </c>
      <c r="V1098" s="13">
        <v>2</v>
      </c>
      <c r="W1098" s="13" t="str">
        <f>MID(A1098, SEARCH("_", A1098) +1, SEARCH("_", A1098, SEARCH("_", A1098) +1) - SEARCH("_", A1098) -1)</f>
        <v>Chart-7</v>
      </c>
      <c r="Y1098" t="str">
        <f>IF(AND($S573=1,$S1098=1,$V573=1,$V1098=1), "YES", "NO")</f>
        <v>NO</v>
      </c>
      <c r="Z1098" t="str">
        <f>IF(AND($S573=1,$S1098=1,$V573&gt;1,$V1098&gt;1), "YES", "NO")</f>
        <v>NO</v>
      </c>
      <c r="AA1098" t="str">
        <f>IF(AND($S573&gt;1,$S1098&gt;1,$S573=$V573,$S1098=$V1098), "YES", "NO")</f>
        <v>NO</v>
      </c>
      <c r="AB1098" t="str">
        <f>IF(AND($S573&gt;1,$S1098&gt;1,$S573&lt;$V573,$S1098&lt;$V1098), "YES", "NO")</f>
        <v>NO</v>
      </c>
      <c r="AC1098" t="str">
        <f>IF(AND($V573&gt;10,$V1098&gt;10), "YES", "NO")</f>
        <v>NO</v>
      </c>
      <c r="AD1098"/>
    </row>
    <row r="1099" spans="1:30" ht="15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>LEFT($A1099,FIND("_",$A1099)-1)</f>
        <v>ARJA</v>
      </c>
      <c r="P1099" s="13" t="str">
        <f>IF($O1099="ACS", "True Search", IF($O1099="Arja", "Evolutionary Search", IF($O1099="AVATAR", "True Pattern", IF($O1099="CapGen", "Search Like Pattern", IF($O1099="Cardumen", "True Semantic", IF($O1099="DynaMoth", "True Semantic", IF($O1099="FixMiner", "True Pattern", IF($O1099="GenProg-A", "Evolutionary Search", IF($O1099="Hercules", "Learning Pattern", IF($O1099="Jaid", "True Semantic",
IF($O1099="Kali-A", "True Search", IF($O1099="kPAR", "True Pattern", IF($O1099="Nopol", "True Semantic", IF($O1099="RSRepair-A", "Evolutionary Search", IF($O1099="SequenceR", "Deep Learning", IF($O1099="SimFix", "Search Like Pattern", IF($O1099="SketchFix", "True Pattern", IF($O1099="SOFix", "True Pattern", IF($O1099="ssFix", "Search Like Pattern", IF($O1099="TBar", "True Pattern", ""))))))))))))))))))))</f>
        <v>Evolutionary Search</v>
      </c>
      <c r="Q1099" s="13" t="str">
        <f>IF(NOT(ISERR(SEARCH("*_Buggy",$A1099))), "Buggy", IF(NOT(ISERR(SEARCH("*_Fixed",$A1099))), "Fixed", IF(NOT(ISERR(SEARCH("*_Repaired",$A1099))), "Repaired", "")))</f>
        <v>Repaired</v>
      </c>
      <c r="R1099" s="13" t="s">
        <v>1669</v>
      </c>
      <c r="S1099" s="25">
        <v>2</v>
      </c>
      <c r="T1099" s="25">
        <v>3</v>
      </c>
      <c r="U1099" s="25">
        <v>43</v>
      </c>
      <c r="V1099" s="13">
        <v>43</v>
      </c>
      <c r="W1099" s="13" t="str">
        <f>MID(A1099, SEARCH("_", A1099) +1, SEARCH("_", A1099, SEARCH("_", A1099) +1) - SEARCH("_", A1099) -1)</f>
        <v>Closure-112</v>
      </c>
      <c r="Y1099" t="str">
        <f>IF(AND($S574=1,$S1099=1,$V574=1,$V1099=1), "YES", "NO")</f>
        <v>NO</v>
      </c>
      <c r="Z1099" t="str">
        <f>IF(AND($S574=1,$S1099=1,$V574&gt;1,$V1099&gt;1), "YES", "NO")</f>
        <v>NO</v>
      </c>
      <c r="AA1099" t="str">
        <f>IF(AND($S574&gt;1,$S1099&gt;1,$S574=$V574,$S1099=$V1099), "YES", "NO")</f>
        <v>NO</v>
      </c>
      <c r="AB1099" t="str">
        <f>IF(AND($S574&gt;1,$S1099&gt;1,$S574&lt;$V574,$S1099&lt;$V1099), "YES", "NO")</f>
        <v>NO</v>
      </c>
      <c r="AC1099" t="str">
        <f>IF(AND($V574&gt;10,$V1099&gt;10), "YES", "NO")</f>
        <v>NO</v>
      </c>
      <c r="AD1099"/>
    </row>
    <row r="1100" spans="1:30" ht="15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>LEFT($A1100,FIND("_",$A1100)-1)</f>
        <v>ARJA</v>
      </c>
      <c r="P1100" s="13" t="str">
        <f>IF($O1100="ACS", "True Search", IF($O1100="Arja", "Evolutionary Search", IF($O1100="AVATAR", "True Pattern", IF($O1100="CapGen", "Search Like Pattern", IF($O1100="Cardumen", "True Semantic", IF($O1100="DynaMoth", "True Semantic", IF($O1100="FixMiner", "True Pattern", IF($O1100="GenProg-A", "Evolutionary Search", IF($O1100="Hercules", "Learning Pattern", IF($O1100="Jaid", "True Semantic",
IF($O1100="Kali-A", "True Search", IF($O1100="kPAR", "True Pattern", IF($O1100="Nopol", "True Semantic", IF($O1100="RSRepair-A", "Evolutionary Search", IF($O1100="SequenceR", "Deep Learning", IF($O1100="SimFix", "Search Like Pattern", IF($O1100="SketchFix", "True Pattern", IF($O1100="SOFix", "True Pattern", IF($O1100="ssFix", "Search Like Pattern", IF($O1100="TBar", "True Pattern", ""))))))))))))))))))))</f>
        <v>Evolutionary Search</v>
      </c>
      <c r="Q1100" s="13" t="str">
        <f>IF(NOT(ISERR(SEARCH("*_Buggy",$A1100))), "Buggy", IF(NOT(ISERR(SEARCH("*_Fixed",$A1100))), "Fixed", IF(NOT(ISERR(SEARCH("*_Repaired",$A1100))), "Repaired", "")))</f>
        <v>Repaired</v>
      </c>
      <c r="R1100" s="13" t="s">
        <v>1669</v>
      </c>
      <c r="S1100" s="25">
        <v>1</v>
      </c>
      <c r="T1100" s="25">
        <v>0</v>
      </c>
      <c r="U1100" s="13">
        <v>16</v>
      </c>
      <c r="V1100" s="13">
        <v>16</v>
      </c>
      <c r="W1100" s="13" t="str">
        <f>MID(A1100, SEARCH("_", A1100) +1, SEARCH("_", A1100, SEARCH("_", A1100) +1) - SEARCH("_", A1100) -1)</f>
        <v>Closure-114</v>
      </c>
      <c r="Y1100" t="str">
        <f>IF(AND($S575=1,$S1100=1,$V575=1,$V1100=1), "YES", "NO")</f>
        <v>NO</v>
      </c>
      <c r="Z1100" t="str">
        <f>IF(AND($S575=1,$S1100=1,$V575&gt;1,$V1100&gt;1), "YES", "NO")</f>
        <v>NO</v>
      </c>
      <c r="AA1100" t="str">
        <f>IF(AND($S575&gt;1,$S1100&gt;1,$S575=$V575,$S1100=$V1100), "YES", "NO")</f>
        <v>NO</v>
      </c>
      <c r="AB1100" t="str">
        <f>IF(AND($S575&gt;1,$S1100&gt;1,$S575&lt;$V575,$S1100&lt;$V1100), "YES", "NO")</f>
        <v>NO</v>
      </c>
      <c r="AC1100" t="str">
        <f>IF(AND($V575&gt;10,$V1100&gt;10), "YES", "NO")</f>
        <v>NO</v>
      </c>
      <c r="AD1100"/>
    </row>
    <row r="1101" spans="1:30" ht="15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>LEFT($A1101,FIND("_",$A1101)-1)</f>
        <v>ARJA</v>
      </c>
      <c r="P1101" s="13" t="str">
        <f>IF($O1101="ACS", "True Search", IF($O1101="Arja", "Evolutionary Search", IF($O1101="AVATAR", "True Pattern", IF($O1101="CapGen", "Search Like Pattern", IF($O1101="Cardumen", "True Semantic", IF($O1101="DynaMoth", "True Semantic", IF($O1101="FixMiner", "True Pattern", IF($O1101="GenProg-A", "Evolutionary Search", IF($O1101="Hercules", "Learning Pattern", IF($O1101="Jaid", "True Semantic",
IF($O1101="Kali-A", "True Search", IF($O1101="kPAR", "True Pattern", IF($O1101="Nopol", "True Semantic", IF($O1101="RSRepair-A", "Evolutionary Search", IF($O1101="SequenceR", "Deep Learning", IF($O1101="SimFix", "Search Like Pattern", IF($O1101="SketchFix", "True Pattern", IF($O1101="SOFix", "True Pattern", IF($O1101="ssFix", "Search Like Pattern", IF($O1101="TBar", "True Pattern", ""))))))))))))))))))))</f>
        <v>Evolutionary Search</v>
      </c>
      <c r="Q1101" s="13" t="str">
        <f>IF(NOT(ISERR(SEARCH("*_Buggy",$A1101))), "Buggy", IF(NOT(ISERR(SEARCH("*_Fixed",$A1101))), "Fixed", IF(NOT(ISERR(SEARCH("*_Repaired",$A1101))), "Repaired", "")))</f>
        <v>Repaired</v>
      </c>
      <c r="R1101" s="13" t="s">
        <v>1668</v>
      </c>
      <c r="S1101" s="25">
        <v>1</v>
      </c>
      <c r="T1101" s="25">
        <v>0</v>
      </c>
      <c r="U1101" s="13">
        <v>3</v>
      </c>
      <c r="V1101" s="13">
        <v>3</v>
      </c>
      <c r="W1101" s="13" t="str">
        <f>MID(A1101, SEARCH("_", A1101) +1, SEARCH("_", A1101, SEARCH("_", A1101) +1) - SEARCH("_", A1101) -1)</f>
        <v>Closure-115</v>
      </c>
      <c r="Y1101" t="str">
        <f>IF(AND($S576=1,$S1101=1,$V576=1,$V1101=1), "YES", "NO")</f>
        <v>NO</v>
      </c>
      <c r="Z1101" t="str">
        <f>IF(AND($S576=1,$S1101=1,$V576&gt;1,$V1101&gt;1), "YES", "NO")</f>
        <v>NO</v>
      </c>
      <c r="AA1101" t="str">
        <f>IF(AND($S576&gt;1,$S1101&gt;1,$S576=$V576,$S1101=$V1101), "YES", "NO")</f>
        <v>NO</v>
      </c>
      <c r="AB1101" t="str">
        <f>IF(AND($S576&gt;1,$S1101&gt;1,$S576&lt;$V576,$S1101&lt;$V1101), "YES", "NO")</f>
        <v>NO</v>
      </c>
      <c r="AC1101" t="str">
        <f>IF(AND($V576&gt;10,$V1101&gt;10), "YES", "NO")</f>
        <v>NO</v>
      </c>
      <c r="AD1101"/>
    </row>
    <row r="1102" spans="1:30" ht="15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>LEFT($A1102,FIND("_",$A1102)-1)</f>
        <v>ARJA</v>
      </c>
      <c r="P1102" s="13" t="str">
        <f>IF($O1102="ACS", "True Search", IF($O1102="Arja", "Evolutionary Search", IF($O1102="AVATAR", "True Pattern", IF($O1102="CapGen", "Search Like Pattern", IF($O1102="Cardumen", "True Semantic", IF($O1102="DynaMoth", "True Semantic", IF($O1102="FixMiner", "True Pattern", IF($O1102="GenProg-A", "Evolutionary Search", IF($O1102="Hercules", "Learning Pattern", IF($O1102="Jaid", "True Semantic",
IF($O1102="Kali-A", "True Search", IF($O1102="kPAR", "True Pattern", IF($O1102="Nopol", "True Semantic", IF($O1102="RSRepair-A", "Evolutionary Search", IF($O1102="SequenceR", "Deep Learning", IF($O1102="SimFix", "Search Like Pattern", IF($O1102="SketchFix", "True Pattern", IF($O1102="SOFix", "True Pattern", IF($O1102="ssFix", "Search Like Pattern", IF($O1102="TBar", "True Pattern", ""))))))))))))))))))))</f>
        <v>Evolutionary Search</v>
      </c>
      <c r="Q1102" s="13" t="str">
        <f>IF(NOT(ISERR(SEARCH("*_Buggy",$A1102))), "Buggy", IF(NOT(ISERR(SEARCH("*_Fixed",$A1102))), "Fixed", IF(NOT(ISERR(SEARCH("*_Repaired",$A1102))), "Repaired", "")))</f>
        <v>Repaired</v>
      </c>
      <c r="R1102" s="13" t="s">
        <v>1669</v>
      </c>
      <c r="S1102" s="25">
        <v>1</v>
      </c>
      <c r="T1102" s="25">
        <v>0</v>
      </c>
      <c r="U1102" s="13">
        <v>28</v>
      </c>
      <c r="V1102" s="13">
        <v>28</v>
      </c>
      <c r="W1102" s="13" t="str">
        <f>MID(A1102, SEARCH("_", A1102) +1, SEARCH("_", A1102, SEARCH("_", A1102) +1) - SEARCH("_", A1102) -1)</f>
        <v>Closure-117</v>
      </c>
      <c r="Y1102" t="str">
        <f>IF(AND($S577=1,$S1102=1,$V577=1,$V1102=1), "YES", "NO")</f>
        <v>NO</v>
      </c>
      <c r="Z1102" t="str">
        <f>IF(AND($S577=1,$S1102=1,$V577&gt;1,$V1102&gt;1), "YES", "NO")</f>
        <v>NO</v>
      </c>
      <c r="AA1102" t="str">
        <f>IF(AND($S577&gt;1,$S1102&gt;1,$S577=$V577,$S1102=$V1102), "YES", "NO")</f>
        <v>NO</v>
      </c>
      <c r="AB1102" t="str">
        <f>IF(AND($S577&gt;1,$S1102&gt;1,$S577&lt;$V577,$S1102&lt;$V1102), "YES", "NO")</f>
        <v>NO</v>
      </c>
      <c r="AC1102" t="str">
        <f>IF(AND($V577&gt;10,$V1102&gt;10), "YES", "NO")</f>
        <v>YES</v>
      </c>
      <c r="AD1102"/>
    </row>
    <row r="1103" spans="1:30" ht="15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>LEFT($A1103,FIND("_",$A1103)-1)</f>
        <v>ARJA</v>
      </c>
      <c r="P1103" s="13" t="str">
        <f>IF($O1103="ACS", "True Search", IF($O1103="Arja", "Evolutionary Search", IF($O1103="AVATAR", "True Pattern", IF($O1103="CapGen", "Search Like Pattern", IF($O1103="Cardumen", "True Semantic", IF($O1103="DynaMoth", "True Semantic", IF($O1103="FixMiner", "True Pattern", IF($O1103="GenProg-A", "Evolutionary Search", IF($O1103="Hercules", "Learning Pattern", IF($O1103="Jaid", "True Semantic",
IF($O1103="Kali-A", "True Search", IF($O1103="kPAR", "True Pattern", IF($O1103="Nopol", "True Semantic", IF($O1103="RSRepair-A", "Evolutionary Search", IF($O1103="SequenceR", "Deep Learning", IF($O1103="SimFix", "Search Like Pattern", IF($O1103="SketchFix", "True Pattern", IF($O1103="SOFix", "True Pattern", IF($O1103="ssFix", "Search Like Pattern", IF($O1103="TBar", "True Pattern", ""))))))))))))))))))))</f>
        <v>Evolutionary Search</v>
      </c>
      <c r="Q1103" s="13" t="str">
        <f>IF(NOT(ISERR(SEARCH("*_Buggy",$A1103))), "Buggy", IF(NOT(ISERR(SEARCH("*_Fixed",$A1103))), "Fixed", IF(NOT(ISERR(SEARCH("*_Repaired",$A1103))), "Repaired", "")))</f>
        <v>Repaired</v>
      </c>
      <c r="R1103" s="13" t="s">
        <v>1669</v>
      </c>
      <c r="S1103" s="25">
        <v>1</v>
      </c>
      <c r="T1103" s="25">
        <v>0</v>
      </c>
      <c r="U1103" s="13">
        <v>1</v>
      </c>
      <c r="V1103" s="13">
        <v>1</v>
      </c>
      <c r="W1103" s="13" t="str">
        <f>MID(A1103, SEARCH("_", A1103) +1, SEARCH("_", A1103, SEARCH("_", A1103) +1) - SEARCH("_", A1103) -1)</f>
        <v>Closure-124</v>
      </c>
      <c r="Y1103" t="str">
        <f>IF(AND($S578=1,$S1103=1,$V578=1,$V1103=1), "YES", "NO")</f>
        <v>NO</v>
      </c>
      <c r="Z1103" t="str">
        <f>IF(AND($S578=1,$S1103=1,$V578&gt;1,$V1103&gt;1), "YES", "NO")</f>
        <v>NO</v>
      </c>
      <c r="AA1103" t="str">
        <f>IF(AND($S578&gt;1,$S1103&gt;1,$S578=$V578,$S1103=$V1103), "YES", "NO")</f>
        <v>NO</v>
      </c>
      <c r="AB1103" t="str">
        <f>IF(AND($S578&gt;1,$S1103&gt;1,$S578&lt;$V578,$S1103&lt;$V1103), "YES", "NO")</f>
        <v>NO</v>
      </c>
      <c r="AC1103" t="str">
        <f>IF(AND($V578&gt;10,$V1103&gt;10), "YES", "NO")</f>
        <v>NO</v>
      </c>
      <c r="AD1103"/>
    </row>
    <row r="1104" spans="1:30" ht="15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>LEFT($A1104,FIND("_",$A1104)-1)</f>
        <v>ARJA</v>
      </c>
      <c r="P1104" s="13" t="str">
        <f>IF($O1104="ACS", "True Search", IF($O1104="Arja", "Evolutionary Search", IF($O1104="AVATAR", "True Pattern", IF($O1104="CapGen", "Search Like Pattern", IF($O1104="Cardumen", "True Semantic", IF($O1104="DynaMoth", "True Semantic", IF($O1104="FixMiner", "True Pattern", IF($O1104="GenProg-A", "Evolutionary Search", IF($O1104="Hercules", "Learning Pattern", IF($O1104="Jaid", "True Semantic",
IF($O1104="Kali-A", "True Search", IF($O1104="kPAR", "True Pattern", IF($O1104="Nopol", "True Semantic", IF($O1104="RSRepair-A", "Evolutionary Search", IF($O1104="SequenceR", "Deep Learning", IF($O1104="SimFix", "Search Like Pattern", IF($O1104="SketchFix", "True Pattern", IF($O1104="SOFix", "True Pattern", IF($O1104="ssFix", "Search Like Pattern", IF($O1104="TBar", "True Pattern", ""))))))))))))))))))))</f>
        <v>Evolutionary Search</v>
      </c>
      <c r="Q1104" s="13" t="str">
        <f>IF(NOT(ISERR(SEARCH("*_Buggy",$A1104))), "Buggy", IF(NOT(ISERR(SEARCH("*_Fixed",$A1104))), "Fixed", IF(NOT(ISERR(SEARCH("*_Repaired",$A1104))), "Repaired", "")))</f>
        <v>Repaired</v>
      </c>
      <c r="R1104" s="13" t="s">
        <v>1669</v>
      </c>
      <c r="S1104" s="25">
        <v>1</v>
      </c>
      <c r="T1104" s="25">
        <v>0</v>
      </c>
      <c r="U1104" s="13">
        <v>6</v>
      </c>
      <c r="V1104" s="13">
        <v>6</v>
      </c>
      <c r="W1104" s="13" t="str">
        <f>MID(A1104, SEARCH("_", A1104) +1, SEARCH("_", A1104, SEARCH("_", A1104) +1) - SEARCH("_", A1104) -1)</f>
        <v>Closure-125</v>
      </c>
      <c r="Y1104" t="str">
        <f>IF(AND($S579=1,$S1104=1,$V579=1,$V1104=1), "YES", "NO")</f>
        <v>NO</v>
      </c>
      <c r="Z1104" t="str">
        <f>IF(AND($S579=1,$S1104=1,$V579&gt;1,$V1104&gt;1), "YES", "NO")</f>
        <v>NO</v>
      </c>
      <c r="AA1104" t="str">
        <f>IF(AND($S579&gt;1,$S1104&gt;1,$S579=$V579,$S1104=$V1104), "YES", "NO")</f>
        <v>NO</v>
      </c>
      <c r="AB1104" t="str">
        <f>IF(AND($S579&gt;1,$S1104&gt;1,$S579&lt;$V579,$S1104&lt;$V1104), "YES", "NO")</f>
        <v>NO</v>
      </c>
      <c r="AC1104" t="str">
        <f>IF(AND($V579&gt;10,$V1104&gt;10), "YES", "NO")</f>
        <v>NO</v>
      </c>
      <c r="AD1104"/>
    </row>
    <row r="1105" spans="1:30" ht="15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>LEFT($A1105,FIND("_",$A1105)-1)</f>
        <v>ARJA</v>
      </c>
      <c r="P1105" s="13" t="str">
        <f>IF($O1105="ACS", "True Search", IF($O1105="Arja", "Evolutionary Search", IF($O1105="AVATAR", "True Pattern", IF($O1105="CapGen", "Search Like Pattern", IF($O1105="Cardumen", "True Semantic", IF($O1105="DynaMoth", "True Semantic", IF($O1105="FixMiner", "True Pattern", IF($O1105="GenProg-A", "Evolutionary Search", IF($O1105="Hercules", "Learning Pattern", IF($O1105="Jaid", "True Semantic",
IF($O1105="Kali-A", "True Search", IF($O1105="kPAR", "True Pattern", IF($O1105="Nopol", "True Semantic", IF($O1105="RSRepair-A", "Evolutionary Search", IF($O1105="SequenceR", "Deep Learning", IF($O1105="SimFix", "Search Like Pattern", IF($O1105="SketchFix", "True Pattern", IF($O1105="SOFix", "True Pattern", IF($O1105="ssFix", "Search Like Pattern", IF($O1105="TBar", "True Pattern", ""))))))))))))))))))))</f>
        <v>Evolutionary Search</v>
      </c>
      <c r="Q1105" s="13" t="str">
        <f>IF(NOT(ISERR(SEARCH("*_Buggy",$A1105))), "Buggy", IF(NOT(ISERR(SEARCH("*_Fixed",$A1105))), "Fixed", IF(NOT(ISERR(SEARCH("*_Repaired",$A1105))), "Repaired", "")))</f>
        <v>Repaired</v>
      </c>
      <c r="R1105" s="13" t="s">
        <v>1669</v>
      </c>
      <c r="S1105" s="25">
        <v>1</v>
      </c>
      <c r="T1105" s="25">
        <v>2</v>
      </c>
      <c r="U1105" s="25">
        <v>1</v>
      </c>
      <c r="V1105" s="13">
        <v>2</v>
      </c>
      <c r="W1105" s="13" t="str">
        <f>MID(A1105, SEARCH("_", A1105) +1, SEARCH("_", A1105, SEARCH("_", A1105) +1) - SEARCH("_", A1105) -1)</f>
        <v>Closure-21</v>
      </c>
      <c r="Y1105" t="str">
        <f>IF(AND($S580=1,$S1105=1,$V580=1,$V1105=1), "YES", "NO")</f>
        <v>NO</v>
      </c>
      <c r="Z1105" t="str">
        <f>IF(AND($S580=1,$S1105=1,$V580&gt;1,$V1105&gt;1), "YES", "NO")</f>
        <v>NO</v>
      </c>
      <c r="AA1105" t="str">
        <f>IF(AND($S580&gt;1,$S1105&gt;1,$S580=$V580,$S1105=$V1105), "YES", "NO")</f>
        <v>NO</v>
      </c>
      <c r="AB1105" t="str">
        <f>IF(AND($S580&gt;1,$S1105&gt;1,$S580&lt;$V580,$S1105&lt;$V1105), "YES", "NO")</f>
        <v>NO</v>
      </c>
      <c r="AC1105" t="str">
        <f>IF(AND($V580&gt;10,$V1105&gt;10), "YES", "NO")</f>
        <v>NO</v>
      </c>
      <c r="AD1105"/>
    </row>
    <row r="1106" spans="1:30" ht="15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>LEFT($A1106,FIND("_",$A1106)-1)</f>
        <v>ARJA</v>
      </c>
      <c r="P1106" s="13" t="str">
        <f>IF($O1106="ACS", "True Search", IF($O1106="Arja", "Evolutionary Search", IF($O1106="AVATAR", "True Pattern", IF($O1106="CapGen", "Search Like Pattern", IF($O1106="Cardumen", "True Semantic", IF($O1106="DynaMoth", "True Semantic", IF($O1106="FixMiner", "True Pattern", IF($O1106="GenProg-A", "Evolutionary Search", IF($O1106="Hercules", "Learning Pattern", IF($O1106="Jaid", "True Semantic",
IF($O1106="Kali-A", "True Search", IF($O1106="kPAR", "True Pattern", IF($O1106="Nopol", "True Semantic", IF($O1106="RSRepair-A", "Evolutionary Search", IF($O1106="SequenceR", "Deep Learning", IF($O1106="SimFix", "Search Like Pattern", IF($O1106="SketchFix", "True Pattern", IF($O1106="SOFix", "True Pattern", IF($O1106="ssFix", "Search Like Pattern", IF($O1106="TBar", "True Pattern", ""))))))))))))))))))))</f>
        <v>Evolutionary Search</v>
      </c>
      <c r="Q1106" s="13" t="str">
        <f>IF(NOT(ISERR(SEARCH("*_Buggy",$A1106))), "Buggy", IF(NOT(ISERR(SEARCH("*_Fixed",$A1106))), "Fixed", IF(NOT(ISERR(SEARCH("*_Repaired",$A1106))), "Repaired", "")))</f>
        <v>Repaired</v>
      </c>
      <c r="R1106" s="13" t="s">
        <v>1669</v>
      </c>
      <c r="S1106" s="25">
        <v>1</v>
      </c>
      <c r="T1106" s="25">
        <v>0</v>
      </c>
      <c r="U1106" s="13">
        <v>32</v>
      </c>
      <c r="V1106" s="13">
        <v>32</v>
      </c>
      <c r="W1106" s="13" t="str">
        <f>MID(A1106, SEARCH("_", A1106) +1, SEARCH("_", A1106, SEARCH("_", A1106) +1) - SEARCH("_", A1106) -1)</f>
        <v>Closure-22</v>
      </c>
      <c r="Y1106" t="str">
        <f>IF(AND($S581=1,$S1106=1,$V581=1,$V1106=1), "YES", "NO")</f>
        <v>NO</v>
      </c>
      <c r="Z1106" t="str">
        <f>IF(AND($S581=1,$S1106=1,$V581&gt;1,$V1106&gt;1), "YES", "NO")</f>
        <v>NO</v>
      </c>
      <c r="AA1106" t="str">
        <f>IF(AND($S581&gt;1,$S1106&gt;1,$S581=$V581,$S1106=$V1106), "YES", "NO")</f>
        <v>NO</v>
      </c>
      <c r="AB1106" t="str">
        <f>IF(AND($S581&gt;1,$S1106&gt;1,$S581&lt;$V581,$S1106&lt;$V1106), "YES", "NO")</f>
        <v>NO</v>
      </c>
      <c r="AC1106" t="str">
        <f>IF(AND($V581&gt;10,$V1106&gt;10), "YES", "NO")</f>
        <v>YES</v>
      </c>
      <c r="AD1106"/>
    </row>
    <row r="1107" spans="1:30" ht="15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>LEFT($A1107,FIND("_",$A1107)-1)</f>
        <v>ARJA</v>
      </c>
      <c r="P1107" s="13" t="str">
        <f>IF($O1107="ACS", "True Search", IF($O1107="Arja", "Evolutionary Search", IF($O1107="AVATAR", "True Pattern", IF($O1107="CapGen", "Search Like Pattern", IF($O1107="Cardumen", "True Semantic", IF($O1107="DynaMoth", "True Semantic", IF($O1107="FixMiner", "True Pattern", IF($O1107="GenProg-A", "Evolutionary Search", IF($O1107="Hercules", "Learning Pattern", IF($O1107="Jaid", "True Semantic",
IF($O1107="Kali-A", "True Search", IF($O1107="kPAR", "True Pattern", IF($O1107="Nopol", "True Semantic", IF($O1107="RSRepair-A", "Evolutionary Search", IF($O1107="SequenceR", "Deep Learning", IF($O1107="SimFix", "Search Like Pattern", IF($O1107="SketchFix", "True Pattern", IF($O1107="SOFix", "True Pattern", IF($O1107="ssFix", "Search Like Pattern", IF($O1107="TBar", "True Pattern", ""))))))))))))))))))))</f>
        <v>Evolutionary Search</v>
      </c>
      <c r="Q1107" s="13" t="str">
        <f>IF(NOT(ISERR(SEARCH("*_Buggy",$A1107))), "Buggy", IF(NOT(ISERR(SEARCH("*_Fixed",$A1107))), "Fixed", IF(NOT(ISERR(SEARCH("*_Repaired",$A1107))), "Repaired", "")))</f>
        <v>Repaired</v>
      </c>
      <c r="R1107" s="13" t="s">
        <v>1669</v>
      </c>
      <c r="S1107" s="25">
        <v>1</v>
      </c>
      <c r="T1107" s="25">
        <v>1</v>
      </c>
      <c r="U1107" s="25">
        <v>14</v>
      </c>
      <c r="V1107" s="13">
        <v>14</v>
      </c>
      <c r="W1107" s="13" t="str">
        <f>MID(A1107, SEARCH("_", A1107) +1, SEARCH("_", A1107, SEARCH("_", A1107) +1) - SEARCH("_", A1107) -1)</f>
        <v>Closure-3</v>
      </c>
      <c r="Y1107" t="str">
        <f>IF(AND($S582=1,$S1107=1,$V582=1,$V1107=1), "YES", "NO")</f>
        <v>NO</v>
      </c>
      <c r="Z1107" t="str">
        <f>IF(AND($S582=1,$S1107=1,$V582&gt;1,$V1107&gt;1), "YES", "NO")</f>
        <v>NO</v>
      </c>
      <c r="AA1107" t="str">
        <f>IF(AND($S582&gt;1,$S1107&gt;1,$S582=$V582,$S1107=$V1107), "YES", "NO")</f>
        <v>NO</v>
      </c>
      <c r="AB1107" t="str">
        <f>IF(AND($S582&gt;1,$S1107&gt;1,$S582&lt;$V582,$S1107&lt;$V1107), "YES", "NO")</f>
        <v>NO</v>
      </c>
      <c r="AC1107" t="str">
        <f>IF(AND($V582&gt;10,$V1107&gt;10), "YES", "NO")</f>
        <v>NO</v>
      </c>
      <c r="AD1107"/>
    </row>
    <row r="1108" spans="1:30" ht="15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>LEFT($A1108,FIND("_",$A1108)-1)</f>
        <v>ARJA</v>
      </c>
      <c r="P1108" s="13" t="str">
        <f>IF($O1108="ACS", "True Search", IF($O1108="Arja", "Evolutionary Search", IF($O1108="AVATAR", "True Pattern", IF($O1108="CapGen", "Search Like Pattern", IF($O1108="Cardumen", "True Semantic", IF($O1108="DynaMoth", "True Semantic", IF($O1108="FixMiner", "True Pattern", IF($O1108="GenProg-A", "Evolutionary Search", IF($O1108="Hercules", "Learning Pattern", IF($O1108="Jaid", "True Semantic",
IF($O1108="Kali-A", "True Search", IF($O1108="kPAR", "True Pattern", IF($O1108="Nopol", "True Semantic", IF($O1108="RSRepair-A", "Evolutionary Search", IF($O1108="SequenceR", "Deep Learning", IF($O1108="SimFix", "Search Like Pattern", IF($O1108="SketchFix", "True Pattern", IF($O1108="SOFix", "True Pattern", IF($O1108="ssFix", "Search Like Pattern", IF($O1108="TBar", "True Pattern", ""))))))))))))))))))))</f>
        <v>Evolutionary Search</v>
      </c>
      <c r="Q1108" s="13" t="str">
        <f>IF(NOT(ISERR(SEARCH("*_Buggy",$A1108))), "Buggy", IF(NOT(ISERR(SEARCH("*_Fixed",$A1108))), "Fixed", IF(NOT(ISERR(SEARCH("*_Repaired",$A1108))), "Repaired", "")))</f>
        <v>Repaired</v>
      </c>
      <c r="R1108" s="13" t="s">
        <v>1669</v>
      </c>
      <c r="S1108" s="25">
        <v>1</v>
      </c>
      <c r="T1108" s="25">
        <v>1</v>
      </c>
      <c r="U1108" s="25">
        <v>22</v>
      </c>
      <c r="V1108" s="13">
        <v>22</v>
      </c>
      <c r="W1108" s="13" t="str">
        <f>MID(A1108, SEARCH("_", A1108) +1, SEARCH("_", A1108, SEARCH("_", A1108) +1) - SEARCH("_", A1108) -1)</f>
        <v>Closure-33</v>
      </c>
      <c r="Y1108" t="str">
        <f>IF(AND($S583=1,$S1108=1,$V583=1,$V1108=1), "YES", "NO")</f>
        <v>NO</v>
      </c>
      <c r="Z1108" t="str">
        <f>IF(AND($S583=1,$S1108=1,$V583&gt;1,$V1108&gt;1), "YES", "NO")</f>
        <v>YES</v>
      </c>
      <c r="AA1108" t="str">
        <f>IF(AND($S583&gt;1,$S1108&gt;1,$S583=$V583,$S1108=$V1108), "YES", "NO")</f>
        <v>NO</v>
      </c>
      <c r="AB1108" t="str">
        <f>IF(AND($S583&gt;1,$S1108&gt;1,$S583&lt;$V583,$S1108&lt;$V1108), "YES", "NO")</f>
        <v>NO</v>
      </c>
      <c r="AC1108" t="str">
        <f>IF(AND($V583&gt;10,$V1108&gt;10), "YES", "NO")</f>
        <v>NO</v>
      </c>
      <c r="AD1108"/>
    </row>
    <row r="1109" spans="1:30" ht="15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>LEFT($A1109,FIND("_",$A1109)-1)</f>
        <v>ARJA</v>
      </c>
      <c r="P1109" s="13" t="str">
        <f>IF($O1109="ACS", "True Search", IF($O1109="Arja", "Evolutionary Search", IF($O1109="AVATAR", "True Pattern", IF($O1109="CapGen", "Search Like Pattern", IF($O1109="Cardumen", "True Semantic", IF($O1109="DynaMoth", "True Semantic", IF($O1109="FixMiner", "True Pattern", IF($O1109="GenProg-A", "Evolutionary Search", IF($O1109="Hercules", "Learning Pattern", IF($O1109="Jaid", "True Semantic",
IF($O1109="Kali-A", "True Search", IF($O1109="kPAR", "True Pattern", IF($O1109="Nopol", "True Semantic", IF($O1109="RSRepair-A", "Evolutionary Search", IF($O1109="SequenceR", "Deep Learning", IF($O1109="SimFix", "Search Like Pattern", IF($O1109="SketchFix", "True Pattern", IF($O1109="SOFix", "True Pattern", IF($O1109="ssFix", "Search Like Pattern", IF($O1109="TBar", "True Pattern", ""))))))))))))))))))))</f>
        <v>Evolutionary Search</v>
      </c>
      <c r="Q1109" s="13" t="str">
        <f>IF(NOT(ISERR(SEARCH("*_Buggy",$A1109))), "Buggy", IF(NOT(ISERR(SEARCH("*_Fixed",$A1109))), "Fixed", IF(NOT(ISERR(SEARCH("*_Repaired",$A1109))), "Repaired", "")))</f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v>1</v>
      </c>
      <c r="W1109" s="13" t="str">
        <f>MID(A1109, SEARCH("_", A1109) +1, SEARCH("_", A1109, SEARCH("_", A1109) +1) - SEARCH("_", A1109) -1)</f>
        <v>Closure-55</v>
      </c>
      <c r="Y1109" t="str">
        <f>IF(AND($S584=1,$S1109=1,$V584=1,$V1109=1), "YES", "NO")</f>
        <v>NO</v>
      </c>
      <c r="Z1109" t="str">
        <f>IF(AND($S584=1,$S1109=1,$V584&gt;1,$V1109&gt;1), "YES", "NO")</f>
        <v>NO</v>
      </c>
      <c r="AA1109" t="str">
        <f>IF(AND($S584&gt;1,$S1109&gt;1,$S584=$V584,$S1109=$V1109), "YES", "NO")</f>
        <v>NO</v>
      </c>
      <c r="AB1109" t="str">
        <f>IF(AND($S584&gt;1,$S1109&gt;1,$S584&lt;$V584,$S1109&lt;$V1109), "YES", "NO")</f>
        <v>NO</v>
      </c>
      <c r="AC1109" t="str">
        <f>IF(AND($V584&gt;10,$V1109&gt;10), "YES", "NO")</f>
        <v>NO</v>
      </c>
      <c r="AD1109"/>
    </row>
    <row r="1110" spans="1:30" ht="15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>LEFT($A1110,FIND("_",$A1110)-1)</f>
        <v>ARJA</v>
      </c>
      <c r="P1110" s="13" t="str">
        <f>IF($O1110="ACS", "True Search", IF($O1110="Arja", "Evolutionary Search", IF($O1110="AVATAR", "True Pattern", IF($O1110="CapGen", "Search Like Pattern", IF($O1110="Cardumen", "True Semantic", IF($O1110="DynaMoth", "True Semantic", IF($O1110="FixMiner", "True Pattern", IF($O1110="GenProg-A", "Evolutionary Search", IF($O1110="Hercules", "Learning Pattern", IF($O1110="Jaid", "True Semantic",
IF($O1110="Kali-A", "True Search", IF($O1110="kPAR", "True Pattern", IF($O1110="Nopol", "True Semantic", IF($O1110="RSRepair-A", "Evolutionary Search", IF($O1110="SequenceR", "Deep Learning", IF($O1110="SimFix", "Search Like Pattern", IF($O1110="SketchFix", "True Pattern", IF($O1110="SOFix", "True Pattern", IF($O1110="ssFix", "Search Like Pattern", IF($O1110="TBar", "True Pattern", ""))))))))))))))))))))</f>
        <v>Evolutionary Search</v>
      </c>
      <c r="Q1110" s="13" t="str">
        <f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0</v>
      </c>
      <c r="U1110" s="13">
        <v>36</v>
      </c>
      <c r="V1110" s="13">
        <v>36</v>
      </c>
      <c r="W1110" s="13" t="str">
        <f>MID(A1110, SEARCH("_", A1110) +1, SEARCH("_", A1110, SEARCH("_", A1110) +1) - SEARCH("_", A1110) -1)</f>
        <v>Closure-8</v>
      </c>
      <c r="Y1110" t="str">
        <f>IF(AND($S585=1,$S1110=1,$V585=1,$V1110=1), "YES", "NO")</f>
        <v>NO</v>
      </c>
      <c r="Z1110" t="str">
        <f>IF(AND($S585=1,$S1110=1,$V585&gt;1,$V1110&gt;1), "YES", "NO")</f>
        <v>NO</v>
      </c>
      <c r="AA1110" t="str">
        <f>IF(AND($S585&gt;1,$S1110&gt;1,$S585=$V585,$S1110=$V1110), "YES", "NO")</f>
        <v>NO</v>
      </c>
      <c r="AB1110" t="str">
        <f>IF(AND($S585&gt;1,$S1110&gt;1,$S585&lt;$V585,$S1110&lt;$V1110), "YES", "NO")</f>
        <v>YES</v>
      </c>
      <c r="AC1110" t="str">
        <f>IF(AND($V585&gt;10,$V1110&gt;10), "YES", "NO")</f>
        <v>NO</v>
      </c>
      <c r="AD1110"/>
    </row>
    <row r="1111" spans="1:30" ht="15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>LEFT($A1111,FIND("_",$A1111)-1)</f>
        <v>ARJA</v>
      </c>
      <c r="P1111" s="13" t="str">
        <f>IF($O1111="ACS", "True Search", IF($O1111="Arja", "Evolutionary Search", IF($O1111="AVATAR", "True Pattern", IF($O1111="CapGen", "Search Like Pattern", IF($O1111="Cardumen", "True Semantic", IF($O1111="DynaMoth", "True Semantic", IF($O1111="FixMiner", "True Pattern", IF($O1111="GenProg-A", "Evolutionary Search", IF($O1111="Hercules", "Learning Pattern", IF($O1111="Jaid", "True Semantic",
IF($O1111="Kali-A", "True Search", IF($O1111="kPAR", "True Pattern", IF($O1111="Nopol", "True Semantic", IF($O1111="RSRepair-A", "Evolutionary Search", IF($O1111="SequenceR", "Deep Learning", IF($O1111="SimFix", "Search Like Pattern", IF($O1111="SketchFix", "True Pattern", IF($O1111="SOFix", "True Pattern", IF($O1111="ssFix", "Search Like Pattern", IF($O1111="TBar", "True Pattern", ""))))))))))))))))))))</f>
        <v>Evolutionary Search</v>
      </c>
      <c r="Q1111" s="13" t="str">
        <f>IF(NOT(ISERR(SEARCH("*_Buggy",$A1111))), "Buggy", IF(NOT(ISERR(SEARCH("*_Fixed",$A1111))), "Fixed", IF(NOT(ISERR(SEARCH("*_Repaired",$A1111))), "Repaired", "")))</f>
        <v>Repaired</v>
      </c>
      <c r="R1111" s="13" t="s">
        <v>1668</v>
      </c>
      <c r="S1111" s="25">
        <v>1</v>
      </c>
      <c r="T1111" s="25">
        <v>1</v>
      </c>
      <c r="U1111" s="25">
        <v>4</v>
      </c>
      <c r="V1111" s="13">
        <v>4</v>
      </c>
      <c r="W1111" s="13" t="str">
        <f>MID(A1111, SEARCH("_", A1111) +1, SEARCH("_", A1111, SEARCH("_", A1111) +1) - SEARCH("_", A1111) -1)</f>
        <v>Closure-86</v>
      </c>
      <c r="Y1111" t="str">
        <f>IF(AND($S586=1,$S1111=1,$V586=1,$V1111=1), "YES", "NO")</f>
        <v>NO</v>
      </c>
      <c r="Z1111" t="str">
        <f>IF(AND($S586=1,$S1111=1,$V586&gt;1,$V1111&gt;1), "YES", "NO")</f>
        <v>NO</v>
      </c>
      <c r="AA1111" t="str">
        <f>IF(AND($S586&gt;1,$S1111&gt;1,$S586=$V586,$S1111=$V1111), "YES", "NO")</f>
        <v>NO</v>
      </c>
      <c r="AB1111" t="str">
        <f>IF(AND($S586&gt;1,$S1111&gt;1,$S586&lt;$V586,$S1111&lt;$V1111), "YES", "NO")</f>
        <v>NO</v>
      </c>
      <c r="AC1111" t="str">
        <f>IF(AND($V586&gt;10,$V1111&gt;10), "YES", "NO")</f>
        <v>NO</v>
      </c>
      <c r="AD1111"/>
    </row>
    <row r="1112" spans="1:30" ht="15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>LEFT($A1112,FIND("_",$A1112)-1)</f>
        <v>ARJA</v>
      </c>
      <c r="P1112" s="13" t="str">
        <f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>IF(NOT(ISERR(SEARCH("*_Buggy",$A1112))), "Buggy", IF(NOT(ISERR(SEARCH("*_Fixed",$A1112))), "Fixed", IF(NOT(ISERR(SEARCH("*_Repaired",$A1112))), "Repaired", "")))</f>
        <v>Repaired</v>
      </c>
      <c r="R1112" s="13" t="s">
        <v>1669</v>
      </c>
      <c r="S1112" s="25">
        <v>1</v>
      </c>
      <c r="T1112" s="25">
        <v>0</v>
      </c>
      <c r="U1112" s="13">
        <v>4</v>
      </c>
      <c r="V1112" s="13">
        <v>4</v>
      </c>
      <c r="W1112" s="13" t="str">
        <f>MID(A1112, SEARCH("_", A1112) +1, SEARCH("_", A1112, SEARCH("_", A1112) +1) - SEARCH("_", A1112) -1)</f>
        <v>Closure-88</v>
      </c>
      <c r="Y1112" t="str">
        <f>IF(AND($S587=1,$S1112=1,$V587=1,$V1112=1), "YES", "NO")</f>
        <v>NO</v>
      </c>
      <c r="Z1112" t="str">
        <f>IF(AND($S587=1,$S1112=1,$V587&gt;1,$V1112&gt;1), "YES", "NO")</f>
        <v>NO</v>
      </c>
      <c r="AA1112" t="str">
        <f>IF(AND($S587&gt;1,$S1112&gt;1,$S587=$V587,$S1112=$V1112), "YES", "NO")</f>
        <v>NO</v>
      </c>
      <c r="AB1112" t="str">
        <f>IF(AND($S587&gt;1,$S1112&gt;1,$S587&lt;$V587,$S1112&lt;$V1112), "YES", "NO")</f>
        <v>NO</v>
      </c>
      <c r="AC1112" t="str">
        <f>IF(AND($V587&gt;10,$V1112&gt;10), "YES", "NO")</f>
        <v>NO</v>
      </c>
      <c r="AD1112"/>
    </row>
    <row r="1113" spans="1:30" ht="15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>LEFT($A1113,FIND("_",$A1113)-1)</f>
        <v>ARJA</v>
      </c>
      <c r="P1113" s="13" t="str">
        <f>IF($O1113="ACS", "True Search", IF($O1113="Arja", "Evolutionary Search", IF($O1113="AVATAR", "True Pattern", IF($O1113="CapGen", "Search Like Pattern", IF($O1113="Cardumen", "True Semantic", IF($O1113="DynaMoth", "True Semantic", IF($O1113="FixMiner", "True Pattern", IF($O1113="GenProg-A", "Evolutionary Search", IF($O1113="Hercules", "Learning Pattern", IF($O1113="Jaid", "True Semantic",
IF($O1113="Kali-A", "True Search", IF($O1113="kPAR", "True Pattern", IF($O1113="Nopol", "True Semantic", IF($O1113="RSRepair-A", "Evolutionary Search", IF($O1113="SequenceR", "Deep Learning", IF($O1113="SimFix", "Search Like Pattern", IF($O1113="SketchFix", "True Pattern", IF($O1113="SOFix", "True Pattern", IF($O1113="ssFix", "Search Like Pattern", IF($O1113="TBar", "True Pattern", ""))))))))))))))))))))</f>
        <v>Evolutionary Search</v>
      </c>
      <c r="Q1113" s="13" t="str">
        <f>IF(NOT(ISERR(SEARCH("*_Buggy",$A1113))), "Buggy", IF(NOT(ISERR(SEARCH("*_Fixed",$A1113))), "Fixed", IF(NOT(ISERR(SEARCH("*_Repaired",$A1113))), "Repaired", "")))</f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v>1</v>
      </c>
      <c r="W1113" s="13" t="str">
        <f>MID(A1113, SEARCH("_", A1113) +1, SEARCH("_", A1113, SEARCH("_", A1113) +1) - SEARCH("_", A1113) -1)</f>
        <v>Lang-16</v>
      </c>
      <c r="Y1113" t="str">
        <f>IF(AND($S588=1,$S1113=1,$V588=1,$V1113=1), "YES", "NO")</f>
        <v>YES</v>
      </c>
      <c r="Z1113" t="str">
        <f>IF(AND($S588=1,$S1113=1,$V588&gt;1,$V1113&gt;1), "YES", "NO")</f>
        <v>NO</v>
      </c>
      <c r="AA1113" t="str">
        <f>IF(AND($S588&gt;1,$S1113&gt;1,$S588=$V588,$S1113=$V1113), "YES", "NO")</f>
        <v>NO</v>
      </c>
      <c r="AB1113" t="str">
        <f>IF(AND($S588&gt;1,$S1113&gt;1,$S588&lt;$V588,$S1113&lt;$V1113), "YES", "NO")</f>
        <v>NO</v>
      </c>
      <c r="AC1113" t="str">
        <f>IF(AND($V588&gt;10,$V1113&gt;10), "YES", "NO")</f>
        <v>NO</v>
      </c>
      <c r="AD1113"/>
    </row>
    <row r="1114" spans="1:30" ht="15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>LEFT($A1114,FIND("_",$A1114)-1)</f>
        <v>ARJA</v>
      </c>
      <c r="P1114" s="13" t="str">
        <f>IF($O1114="ACS", "True Search", IF($O1114="Arja", "Evolutionary Search", IF($O1114="AVATAR", "True Pattern", IF($O1114="CapGen", "Search Like Pattern", IF($O1114="Cardumen", "True Semantic", IF($O1114="DynaMoth", "True Semantic", IF($O1114="FixMiner", "True Pattern", IF($O1114="GenProg-A", "Evolutionary Search", IF($O1114="Hercules", "Learning Pattern", IF($O1114="Jaid", "True Semantic",
IF($O1114="Kali-A", "True Search", IF($O1114="kPAR", "True Pattern", IF($O1114="Nopol", "True Semantic", IF($O1114="RSRepair-A", "Evolutionary Search", IF($O1114="SequenceR", "Deep Learning", IF($O1114="SimFix", "Search Like Pattern", IF($O1114="SketchFix", "True Pattern", IF($O1114="SOFix", "True Pattern", IF($O1114="ssFix", "Search Like Pattern", IF($O1114="TBar", "True Pattern", ""))))))))))))))))))))</f>
        <v>Evolutionary Search</v>
      </c>
      <c r="Q1114" s="13" t="str">
        <f>IF(NOT(ISERR(SEARCH("*_Buggy",$A1114))), "Buggy", IF(NOT(ISERR(SEARCH("*_Fixed",$A1114))), "Fixed", IF(NOT(ISERR(SEARCH("*_Repaired",$A1114))), "Repaired", "")))</f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v>2</v>
      </c>
      <c r="W1114" s="13" t="str">
        <f>MID(A1114, SEARCH("_", A1114) +1, SEARCH("_", A1114, SEARCH("_", A1114) +1) - SEARCH("_", A1114) -1)</f>
        <v>Lang-20</v>
      </c>
      <c r="Y1114" t="str">
        <f>IF(AND($S589=1,$S1114=1,$V589=1,$V1114=1), "YES", "NO")</f>
        <v>NO</v>
      </c>
      <c r="Z1114" t="str">
        <f>IF(AND($S589=1,$S1114=1,$V589&gt;1,$V1114&gt;1), "YES", "NO")</f>
        <v>NO</v>
      </c>
      <c r="AA1114" t="str">
        <f>IF(AND($S589&gt;1,$S1114&gt;1,$S589=$V589,$S1114=$V1114), "YES", "NO")</f>
        <v>YES</v>
      </c>
      <c r="AB1114" t="str">
        <f>IF(AND($S589&gt;1,$S1114&gt;1,$S589&lt;$V589,$S1114&lt;$V1114), "YES", "NO")</f>
        <v>NO</v>
      </c>
      <c r="AC1114" t="str">
        <f>IF(AND($V589&gt;10,$V1114&gt;10), "YES", "NO")</f>
        <v>NO</v>
      </c>
      <c r="AD1114"/>
    </row>
    <row r="1115" spans="1:30" ht="15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>LEFT($A1115,FIND("_",$A1115)-1)</f>
        <v>ARJA</v>
      </c>
      <c r="P1115" s="13" t="str">
        <f>IF($O1115="ACS", "True Search", IF($O1115="Arja", "Evolutionary Search", IF($O1115="AVATAR", "True Pattern", IF($O1115="CapGen", "Search Like Pattern", IF($O1115="Cardumen", "True Semantic", IF($O1115="DynaMoth", "True Semantic", IF($O1115="FixMiner", "True Pattern", IF($O1115="GenProg-A", "Evolutionary Search", IF($O1115="Hercules", "Learning Pattern", IF($O1115="Jaid", "True Semantic",
IF($O1115="Kali-A", "True Search", IF($O1115="kPAR", "True Pattern", IF($O1115="Nopol", "True Semantic", IF($O1115="RSRepair-A", "Evolutionary Search", IF($O1115="SequenceR", "Deep Learning", IF($O1115="SimFix", "Search Like Pattern", IF($O1115="SketchFix", "True Pattern", IF($O1115="SOFix", "True Pattern", IF($O1115="ssFix", "Search Like Pattern", IF($O1115="TBar", "True Pattern", ""))))))))))))))))))))</f>
        <v>Evolutionary Search</v>
      </c>
      <c r="Q1115" s="13" t="str">
        <f>IF(NOT(ISERR(SEARCH("*_Buggy",$A1115))), "Buggy", IF(NOT(ISERR(SEARCH("*_Fixed",$A1115))), "Fixed", IF(NOT(ISERR(SEARCH("*_Repaired",$A1115))), "Repaired", "")))</f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v>1</v>
      </c>
      <c r="W1115" s="13" t="str">
        <f>MID(A1115, SEARCH("_", A1115) +1, SEARCH("_", A1115, SEARCH("_", A1115) +1) - SEARCH("_", A1115) -1)</f>
        <v>Lang-43</v>
      </c>
      <c r="Y1115" t="str">
        <f>IF(AND($S590=1,$S1115=1,$V590=1,$V1115=1), "YES", "NO")</f>
        <v>YES</v>
      </c>
      <c r="Z1115" t="str">
        <f>IF(AND($S590=1,$S1115=1,$V590&gt;1,$V1115&gt;1), "YES", "NO")</f>
        <v>NO</v>
      </c>
      <c r="AA1115" t="str">
        <f>IF(AND($S590&gt;1,$S1115&gt;1,$S590=$V590,$S1115=$V1115), "YES", "NO")</f>
        <v>NO</v>
      </c>
      <c r="AB1115" t="str">
        <f>IF(AND($S590&gt;1,$S1115&gt;1,$S590&lt;$V590,$S1115&lt;$V1115), "YES", "NO")</f>
        <v>NO</v>
      </c>
      <c r="AC1115" t="str">
        <f>IF(AND($V590&gt;10,$V1115&gt;10), "YES", "NO")</f>
        <v>NO</v>
      </c>
      <c r="AD1115"/>
    </row>
    <row r="1116" spans="1:30" ht="15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>LEFT($A1116,FIND("_",$A1116)-1)</f>
        <v>ARJA</v>
      </c>
      <c r="P1116" s="13" t="str">
        <f>IF($O1116="ACS", "True Search", IF($O1116="Arja", "Evolutionary Search", IF($O1116="AVATAR", "True Pattern", IF($O1116="CapGen", "Search Like Pattern", IF($O1116="Cardumen", "True Semantic", IF($O1116="DynaMoth", "True Semantic", IF($O1116="FixMiner", "True Pattern", IF($O1116="GenProg-A", "Evolutionary Search", IF($O1116="Hercules", "Learning Pattern", IF($O1116="Jaid", "True Semantic",
IF($O1116="Kali-A", "True Search", IF($O1116="kPAR", "True Pattern", IF($O1116="Nopol", "True Semantic", IF($O1116="RSRepair-A", "Evolutionary Search", IF($O1116="SequenceR", "Deep Learning", IF($O1116="SimFix", "Search Like Pattern", IF($O1116="SketchFix", "True Pattern", IF($O1116="SOFix", "True Pattern", IF($O1116="ssFix", "Search Like Pattern", IF($O1116="TBar", "True Pattern", ""))))))))))))))))))))</f>
        <v>Evolutionary Search</v>
      </c>
      <c r="Q1116" s="13" t="str">
        <f>IF(NOT(ISERR(SEARCH("*_Buggy",$A1116))), "Buggy", IF(NOT(ISERR(SEARCH("*_Fixed",$A1116))), "Fixed", IF(NOT(ISERR(SEARCH("*_Repaired",$A1116))), "Repaired", "")))</f>
        <v>Repaired</v>
      </c>
      <c r="R1116" s="13" t="s">
        <v>1668</v>
      </c>
      <c r="S1116" s="25">
        <v>1</v>
      </c>
      <c r="T1116" s="25">
        <v>3</v>
      </c>
      <c r="U1116" s="25">
        <v>1</v>
      </c>
      <c r="V1116" s="13">
        <v>3</v>
      </c>
      <c r="W1116" s="13" t="str">
        <f>MID(A1116, SEARCH("_", A1116) +1, SEARCH("_", A1116, SEARCH("_", A1116) +1) - SEARCH("_", A1116) -1)</f>
        <v>Lang-46</v>
      </c>
      <c r="Y1116" t="str">
        <f>IF(AND($S591=1,$S1116=1,$V591=1,$V1116=1), "YES", "NO")</f>
        <v>NO</v>
      </c>
      <c r="Z1116" t="str">
        <f>IF(AND($S591=1,$S1116=1,$V591&gt;1,$V1116&gt;1), "YES", "NO")</f>
        <v>NO</v>
      </c>
      <c r="AA1116" t="str">
        <f>IF(AND($S591&gt;1,$S1116&gt;1,$S591=$V591,$S1116=$V1116), "YES", "NO")</f>
        <v>NO</v>
      </c>
      <c r="AB1116" t="str">
        <f>IF(AND($S591&gt;1,$S1116&gt;1,$S591&lt;$V591,$S1116&lt;$V1116), "YES", "NO")</f>
        <v>NO</v>
      </c>
      <c r="AC1116" t="str">
        <f>IF(AND($V591&gt;10,$V1116&gt;10), "YES", "NO")</f>
        <v>NO</v>
      </c>
      <c r="AD1116"/>
    </row>
    <row r="1117" spans="1:30" ht="15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>LEFT($A1117,FIND("_",$A1117)-1)</f>
        <v>ARJA</v>
      </c>
      <c r="P1117" s="13" t="str">
        <f>IF($O1117="ACS", "True Search", IF($O1117="Arja", "Evolutionary Search", IF($O1117="AVATAR", "True Pattern", IF($O1117="CapGen", "Search Like Pattern", IF($O1117="Cardumen", "True Semantic", IF($O1117="DynaMoth", "True Semantic", IF($O1117="FixMiner", "True Pattern", IF($O1117="GenProg-A", "Evolutionary Search", IF($O1117="Hercules", "Learning Pattern", IF($O1117="Jaid", "True Semantic",
IF($O1117="Kali-A", "True Search", IF($O1117="kPAR", "True Pattern", IF($O1117="Nopol", "True Semantic", IF($O1117="RSRepair-A", "Evolutionary Search", IF($O1117="SequenceR", "Deep Learning", IF($O1117="SimFix", "Search Like Pattern", IF($O1117="SketchFix", "True Pattern", IF($O1117="SOFix", "True Pattern", IF($O1117="ssFix", "Search Like Pattern", IF($O1117="TBar", "True Pattern", ""))))))))))))))))))))</f>
        <v>Evolutionary Search</v>
      </c>
      <c r="Q1117" s="13" t="str">
        <f>IF(NOT(ISERR(SEARCH("*_Buggy",$A1117))), "Buggy", IF(NOT(ISERR(SEARCH("*_Fixed",$A1117))), "Fixed", IF(NOT(ISERR(SEARCH("*_Repaired",$A1117))), "Repaired", "")))</f>
        <v>Repaired</v>
      </c>
      <c r="R1117" s="13" t="s">
        <v>1669</v>
      </c>
      <c r="S1117" s="25">
        <v>3</v>
      </c>
      <c r="T1117" s="25">
        <v>6</v>
      </c>
      <c r="U1117" s="25">
        <v>3</v>
      </c>
      <c r="V1117" s="13">
        <v>7</v>
      </c>
      <c r="W1117" s="13" t="str">
        <f>MID(A1117, SEARCH("_", A1117) +1, SEARCH("_", A1117, SEARCH("_", A1117) +1) - SEARCH("_", A1117) -1)</f>
        <v>Lang-50</v>
      </c>
      <c r="Y1117" t="str">
        <f>IF(AND($S592=1,$S1117=1,$V592=1,$V1117=1), "YES", "NO")</f>
        <v>NO</v>
      </c>
      <c r="Z1117" t="str">
        <f>IF(AND($S592=1,$S1117=1,$V592&gt;1,$V1117&gt;1), "YES", "NO")</f>
        <v>NO</v>
      </c>
      <c r="AA1117" t="str">
        <f>IF(AND($S592&gt;1,$S1117&gt;1,$S592=$V592,$S1117=$V1117), "YES", "NO")</f>
        <v>NO</v>
      </c>
      <c r="AB1117" t="str">
        <f>IF(AND($S592&gt;1,$S1117&gt;1,$S592&lt;$V592,$S1117&lt;$V1117), "YES", "NO")</f>
        <v>YES</v>
      </c>
      <c r="AC1117" t="str">
        <f>IF(AND($V592&gt;10,$V1117&gt;10), "YES", "NO")</f>
        <v>NO</v>
      </c>
      <c r="AD1117"/>
    </row>
    <row r="1118" spans="1:30" ht="15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>LEFT($A1118,FIND("_",$A1118)-1)</f>
        <v>ARJA</v>
      </c>
      <c r="P1118" s="13" t="str">
        <f>IF($O1118="ACS", "True Search", IF($O1118="Arja", "Evolutionary Search", IF($O1118="AVATAR", "True Pattern", IF($O1118="CapGen", "Search Like Pattern", IF($O1118="Cardumen", "True Semantic", IF($O1118="DynaMoth", "True Semantic", IF($O1118="FixMiner", "True Pattern", IF($O1118="GenProg-A", "Evolutionary Search", IF($O1118="Hercules", "Learning Pattern", IF($O1118="Jaid", "True Semantic",
IF($O1118="Kali-A", "True Search", IF($O1118="kPAR", "True Pattern", IF($O1118="Nopol", "True Semantic", IF($O1118="RSRepair-A", "Evolutionary Search", IF($O1118="SequenceR", "Deep Learning", IF($O1118="SimFix", "Search Like Pattern", IF($O1118="SketchFix", "True Pattern", IF($O1118="SOFix", "True Pattern", IF($O1118="ssFix", "Search Like Pattern", IF($O1118="TBar", "True Pattern", ""))))))))))))))))))))</f>
        <v>Evolutionary Search</v>
      </c>
      <c r="Q1118" s="13" t="str">
        <f>IF(NOT(ISERR(SEARCH("*_Buggy",$A1118))), "Buggy", IF(NOT(ISERR(SEARCH("*_Fixed",$A1118))), "Fixed", IF(NOT(ISERR(SEARCH("*_Repaired",$A1118))), "Repaired", "")))</f>
        <v>Repaired</v>
      </c>
      <c r="R1118" s="13" t="s">
        <v>1669</v>
      </c>
      <c r="S1118" s="25">
        <v>1</v>
      </c>
      <c r="T1118" s="25">
        <v>2</v>
      </c>
      <c r="U1118" s="25">
        <v>1</v>
      </c>
      <c r="V1118" s="13">
        <v>2</v>
      </c>
      <c r="W1118" s="13" t="str">
        <f>MID(A1118, SEARCH("_", A1118) +1, SEARCH("_", A1118, SEARCH("_", A1118) +1) - SEARCH("_", A1118) -1)</f>
        <v>Lang-59</v>
      </c>
      <c r="Y1118" t="str">
        <f>IF(AND($S593=1,$S1118=1,$V593=1,$V1118=1), "YES", "NO")</f>
        <v>NO</v>
      </c>
      <c r="Z1118" t="str">
        <f>IF(AND($S593=1,$S1118=1,$V593&gt;1,$V1118&gt;1), "YES", "NO")</f>
        <v>NO</v>
      </c>
      <c r="AA1118" t="str">
        <f>IF(AND($S593&gt;1,$S1118&gt;1,$S593=$V593,$S1118=$V1118), "YES", "NO")</f>
        <v>NO</v>
      </c>
      <c r="AB1118" t="str">
        <f>IF(AND($S593&gt;1,$S1118&gt;1,$S593&lt;$V593,$S1118&lt;$V1118), "YES", "NO")</f>
        <v>NO</v>
      </c>
      <c r="AC1118" t="str">
        <f>IF(AND($V593&gt;10,$V1118&gt;10), "YES", "NO")</f>
        <v>NO</v>
      </c>
      <c r="AD1118"/>
    </row>
    <row r="1119" spans="1:30" ht="15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>LEFT($A1119,FIND("_",$A1119)-1)</f>
        <v>ARJA</v>
      </c>
      <c r="P1119" s="13" t="str">
        <f>IF($O1119="ACS", "True Search", IF($O1119="Arja", "Evolutionary Search", IF($O1119="AVATAR", "True Pattern", IF($O1119="CapGen", "Search Like Pattern", IF($O1119="Cardumen", "True Semantic", IF($O1119="DynaMoth", "True Semantic", IF($O1119="FixMiner", "True Pattern", IF($O1119="GenProg-A", "Evolutionary Search", IF($O1119="Hercules", "Learning Pattern", IF($O1119="Jaid", "True Semantic",
IF($O1119="Kali-A", "True Search", IF($O1119="kPAR", "True Pattern", IF($O1119="Nopol", "True Semantic", IF($O1119="RSRepair-A", "Evolutionary Search", IF($O1119="SequenceR", "Deep Learning", IF($O1119="SimFix", "Search Like Pattern", IF($O1119="SketchFix", "True Pattern", IF($O1119="SOFix", "True Pattern", IF($O1119="ssFix", "Search Like Pattern", IF($O1119="TBar", "True Pattern", ""))))))))))))))))))))</f>
        <v>Evolutionary Search</v>
      </c>
      <c r="Q1119" s="13" t="str">
        <f>IF(NOT(ISERR(SEARCH("*_Buggy",$A1119))), "Buggy", IF(NOT(ISERR(SEARCH("*_Fixed",$A1119))), "Fixed", IF(NOT(ISERR(SEARCH("*_Repaired",$A1119))), "Repaired", "")))</f>
        <v>Repaired</v>
      </c>
      <c r="R1119" s="13" t="s">
        <v>1669</v>
      </c>
      <c r="S1119" s="25">
        <v>1</v>
      </c>
      <c r="T1119" s="25">
        <v>2</v>
      </c>
      <c r="U1119" s="25">
        <v>1</v>
      </c>
      <c r="V1119" s="13">
        <v>2</v>
      </c>
      <c r="W1119" s="13" t="str">
        <f>MID(A1119, SEARCH("_", A1119) +1, SEARCH("_", A1119, SEARCH("_", A1119) +1) - SEARCH("_", A1119) -1)</f>
        <v>Lang-63</v>
      </c>
      <c r="Y1119" t="str">
        <f>IF(AND($S594=1,$S1119=1,$V594=1,$V1119=1), "YES", "NO")</f>
        <v>NO</v>
      </c>
      <c r="Z1119" t="str">
        <f>IF(AND($S594=1,$S1119=1,$V594&gt;1,$V1119&gt;1), "YES", "NO")</f>
        <v>NO</v>
      </c>
      <c r="AA1119" t="str">
        <f>IF(AND($S594&gt;1,$S1119&gt;1,$S594=$V594,$S1119=$V1119), "YES", "NO")</f>
        <v>NO</v>
      </c>
      <c r="AB1119" t="str">
        <f>IF(AND($S594&gt;1,$S1119&gt;1,$S594&lt;$V594,$S1119&lt;$V1119), "YES", "NO")</f>
        <v>NO</v>
      </c>
      <c r="AC1119" t="str">
        <f>IF(AND($V594&gt;10,$V1119&gt;10), "YES", "NO")</f>
        <v>NO</v>
      </c>
      <c r="AD1119"/>
    </row>
    <row r="1120" spans="1:30" ht="15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>LEFT($A1120,FIND("_",$A1120)-1)</f>
        <v>ARJA</v>
      </c>
      <c r="P1120" s="13" t="str">
        <f>IF($O1120="ACS", "True Search", IF($O1120="Arja", "Evolutionary Search", IF($O1120="AVATAR", "True Pattern", IF($O1120="CapGen", "Search Like Pattern", IF($O1120="Cardumen", "True Semantic", IF($O1120="DynaMoth", "True Semantic", IF($O1120="FixMiner", "True Pattern", IF($O1120="GenProg-A", "Evolutionary Search", IF($O1120="Hercules", "Learning Pattern", IF($O1120="Jaid", "True Semantic",
IF($O1120="Kali-A", "True Search", IF($O1120="kPAR", "True Pattern", IF($O1120="Nopol", "True Semantic", IF($O1120="RSRepair-A", "Evolutionary Search", IF($O1120="SequenceR", "Deep Learning", IF($O1120="SimFix", "Search Like Pattern", IF($O1120="SketchFix", "True Pattern", IF($O1120="SOFix", "True Pattern", IF($O1120="ssFix", "Search Like Pattern", IF($O1120="TBar", "True Pattern", ""))))))))))))))))))))</f>
        <v>Evolutionary Search</v>
      </c>
      <c r="Q1120" s="13" t="str">
        <f>IF(NOT(ISERR(SEARCH("*_Buggy",$A1120))), "Buggy", IF(NOT(ISERR(SEARCH("*_Fixed",$A1120))), "Fixed", IF(NOT(ISERR(SEARCH("*_Repaired",$A1120))), "Repaired", "")))</f>
        <v>Repaired</v>
      </c>
      <c r="R1120" s="13" t="s">
        <v>1669</v>
      </c>
      <c r="S1120" s="25">
        <v>1</v>
      </c>
      <c r="T1120" s="25">
        <v>0</v>
      </c>
      <c r="U1120" s="13">
        <v>1</v>
      </c>
      <c r="V1120" s="13">
        <v>1</v>
      </c>
      <c r="W1120" s="13" t="str">
        <f>MID(A1120, SEARCH("_", A1120) +1, SEARCH("_", A1120, SEARCH("_", A1120) +1) - SEARCH("_", A1120) -1)</f>
        <v>Math-28</v>
      </c>
      <c r="Y1120" t="str">
        <f>IF(AND($S595=1,$S1120=1,$V595=1,$V1120=1), "YES", "NO")</f>
        <v>NO</v>
      </c>
      <c r="Z1120" t="str">
        <f>IF(AND($S595=1,$S1120=1,$V595&gt;1,$V1120&gt;1), "YES", "NO")</f>
        <v>NO</v>
      </c>
      <c r="AA1120" t="str">
        <f>IF(AND($S595&gt;1,$S1120&gt;1,$S595=$V595,$S1120=$V1120), "YES", "NO")</f>
        <v>NO</v>
      </c>
      <c r="AB1120" t="str">
        <f>IF(AND($S595&gt;1,$S1120&gt;1,$S595&lt;$V595,$S1120&lt;$V1120), "YES", "NO")</f>
        <v>NO</v>
      </c>
      <c r="AC1120" t="str">
        <f>IF(AND($V595&gt;10,$V1120&gt;10), "YES", "NO")</f>
        <v>NO</v>
      </c>
      <c r="AD1120"/>
    </row>
    <row r="1121" spans="1:30" ht="15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>LEFT($A1121,FIND("_",$A1121)-1)</f>
        <v>ARJA</v>
      </c>
      <c r="P1121" s="13" t="str">
        <f>IF($O1121="ACS", "True Search", IF($O1121="Arja", "Evolutionary Search", IF($O1121="AVATAR", "True Pattern", IF($O1121="CapGen", "Search Like Pattern", IF($O1121="Cardumen", "True Semantic", IF($O1121="DynaMoth", "True Semantic", IF($O1121="FixMiner", "True Pattern", IF($O1121="GenProg-A", "Evolutionary Search", IF($O1121="Hercules", "Learning Pattern", IF($O1121="Jaid", "True Semantic",
IF($O1121="Kali-A", "True Search", IF($O1121="kPAR", "True Pattern", IF($O1121="Nopol", "True Semantic", IF($O1121="RSRepair-A", "Evolutionary Search", IF($O1121="SequenceR", "Deep Learning", IF($O1121="SimFix", "Search Like Pattern", IF($O1121="SketchFix", "True Pattern", IF($O1121="SOFix", "True Pattern", IF($O1121="ssFix", "Search Like Pattern", IF($O1121="TBar", "True Pattern", ""))))))))))))))))))))</f>
        <v>Evolutionary Search</v>
      </c>
      <c r="Q1121" s="13" t="str">
        <f>IF(NOT(ISERR(SEARCH("*_Buggy",$A1121))), "Buggy", IF(NOT(ISERR(SEARCH("*_Fixed",$A1121))), "Fixed", IF(NOT(ISERR(SEARCH("*_Repaired",$A1121))), "Repaired", "")))</f>
        <v>Repaired</v>
      </c>
      <c r="R1121" s="13" t="s">
        <v>1668</v>
      </c>
      <c r="S1121" s="25">
        <v>2</v>
      </c>
      <c r="T1121" s="25">
        <v>7</v>
      </c>
      <c r="U1121" s="25">
        <v>2</v>
      </c>
      <c r="V1121" s="13">
        <v>7</v>
      </c>
      <c r="W1121" s="13" t="str">
        <f>MID(A1121, SEARCH("_", A1121) +1, SEARCH("_", A1121, SEARCH("_", A1121) +1) - SEARCH("_", A1121) -1)</f>
        <v>Math-35</v>
      </c>
      <c r="Y1121" t="str">
        <f>IF(AND($S596=1,$S1121=1,$V596=1,$V1121=1), "YES", "NO")</f>
        <v>NO</v>
      </c>
      <c r="Z1121" t="str">
        <f>IF(AND($S596=1,$S1121=1,$V596&gt;1,$V1121&gt;1), "YES", "NO")</f>
        <v>NO</v>
      </c>
      <c r="AA1121" t="str">
        <f>IF(AND($S596&gt;1,$S1121&gt;1,$S596=$V596,$S1121=$V1121), "YES", "NO")</f>
        <v>NO</v>
      </c>
      <c r="AB1121" t="str">
        <f>IF(AND($S596&gt;1,$S1121&gt;1,$S596&lt;$V596,$S1121&lt;$V1121), "YES", "NO")</f>
        <v>NO</v>
      </c>
      <c r="AC1121" t="str">
        <f>IF(AND($V596&gt;10,$V1121&gt;10), "YES", "NO")</f>
        <v>NO</v>
      </c>
      <c r="AD1121"/>
    </row>
    <row r="1122" spans="1:30" ht="15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>LEFT($A1122,FIND("_",$A1122)-1)</f>
        <v>ARJA</v>
      </c>
      <c r="P1122" s="13" t="str">
        <f>IF($O1122="ACS", "True Search", IF($O1122="Arja", "Evolutionary Search", IF($O1122="AVATAR", "True Pattern", IF($O1122="CapGen", "Search Like Pattern", IF($O1122="Cardumen", "True Semantic", IF($O1122="DynaMoth", "True Semantic", IF($O1122="FixMiner", "True Pattern", IF($O1122="GenProg-A", "Evolutionary Search", IF($O1122="Hercules", "Learning Pattern", IF($O1122="Jaid", "True Semantic",
IF($O1122="Kali-A", "True Search", IF($O1122="kPAR", "True Pattern", IF($O1122="Nopol", "True Semantic", IF($O1122="RSRepair-A", "Evolutionary Search", IF($O1122="SequenceR", "Deep Learning", IF($O1122="SimFix", "Search Like Pattern", IF($O1122="SketchFix", "True Pattern", IF($O1122="SOFix", "True Pattern", IF($O1122="ssFix", "Search Like Pattern", IF($O1122="TBar", "True Pattern", ""))))))))))))))))))))</f>
        <v>Evolutionary Search</v>
      </c>
      <c r="Q1122" s="13" t="str">
        <f>IF(NOT(ISERR(SEARCH("*_Buggy",$A1122))), "Buggy", IF(NOT(ISERR(SEARCH("*_Fixed",$A1122))), "Fixed", IF(NOT(ISERR(SEARCH("*_Repaired",$A1122))), "Repaired", "")))</f>
        <v>Repaired</v>
      </c>
      <c r="R1122" s="13" t="s">
        <v>1669</v>
      </c>
      <c r="S1122" s="25">
        <v>1</v>
      </c>
      <c r="T1122" s="25">
        <v>2</v>
      </c>
      <c r="U1122" s="25">
        <v>1</v>
      </c>
      <c r="V1122" s="13">
        <v>2</v>
      </c>
      <c r="W1122" s="13" t="str">
        <f>MID(A1122, SEARCH("_", A1122) +1, SEARCH("_", A1122, SEARCH("_", A1122) +1) - SEARCH("_", A1122) -1)</f>
        <v>Math-40</v>
      </c>
      <c r="Y1122" t="str">
        <f>IF(AND($S597=1,$S1122=1,$V597=1,$V1122=1), "YES", "NO")</f>
        <v>NO</v>
      </c>
      <c r="Z1122" t="str">
        <f>IF(AND($S597=1,$S1122=1,$V597&gt;1,$V1122&gt;1), "YES", "NO")</f>
        <v>NO</v>
      </c>
      <c r="AA1122" t="str">
        <f>IF(AND($S597&gt;1,$S1122&gt;1,$S597=$V597,$S1122=$V1122), "YES", "NO")</f>
        <v>NO</v>
      </c>
      <c r="AB1122" t="str">
        <f>IF(AND($S597&gt;1,$S1122&gt;1,$S597&lt;$V597,$S1122&lt;$V1122), "YES", "NO")</f>
        <v>NO</v>
      </c>
      <c r="AC1122" t="str">
        <f>IF(AND($V597&gt;10,$V1122&gt;10), "YES", "NO")</f>
        <v>NO</v>
      </c>
      <c r="AD1122"/>
    </row>
    <row r="1123" spans="1:30" ht="15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>LEFT($A1123,FIND("_",$A1123)-1)</f>
        <v>ARJA</v>
      </c>
      <c r="P1123" s="13" t="str">
        <f>IF($O1123="ACS", "True Search", IF($O1123="Arja", "Evolutionary Search", IF($O1123="AVATAR", "True Pattern", IF($O1123="CapGen", "Search Like Pattern", IF($O1123="Cardumen", "True Semantic", IF($O1123="DynaMoth", "True Semantic", IF($O1123="FixMiner", "True Pattern", IF($O1123="GenProg-A", "Evolutionary Search", IF($O1123="Hercules", "Learning Pattern", IF($O1123="Jaid", "True Semantic",
IF($O1123="Kali-A", "True Search", IF($O1123="kPAR", "True Pattern", IF($O1123="Nopol", "True Semantic", IF($O1123="RSRepair-A", "Evolutionary Search", IF($O1123="SequenceR", "Deep Learning", IF($O1123="SimFix", "Search Like Pattern", IF($O1123="SketchFix", "True Pattern", IF($O1123="SOFix", "True Pattern", IF($O1123="ssFix", "Search Like Pattern", IF($O1123="TBar", "True Pattern", ""))))))))))))))))))))</f>
        <v>Evolutionary Search</v>
      </c>
      <c r="Q1123" s="13" t="str">
        <f>IF(NOT(ISERR(SEARCH("*_Buggy",$A1123))), "Buggy", IF(NOT(ISERR(SEARCH("*_Fixed",$A1123))), "Fixed", IF(NOT(ISERR(SEARCH("*_Repaired",$A1123))), "Repaired", "")))</f>
        <v>Repaired</v>
      </c>
      <c r="R1123" s="13" t="s">
        <v>1669</v>
      </c>
      <c r="S1123" s="25">
        <v>3</v>
      </c>
      <c r="T1123" s="25">
        <v>4</v>
      </c>
      <c r="U1123" s="25">
        <v>3</v>
      </c>
      <c r="V1123" s="13">
        <v>4</v>
      </c>
      <c r="W1123" s="13" t="str">
        <f>MID(A1123, SEARCH("_", A1123) +1, SEARCH("_", A1123, SEARCH("_", A1123) +1) - SEARCH("_", A1123) -1)</f>
        <v>Math-49</v>
      </c>
      <c r="Y1123" t="str">
        <f>IF(AND($S598=1,$S1123=1,$V598=1,$V1123=1), "YES", "NO")</f>
        <v>NO</v>
      </c>
      <c r="Z1123" t="str">
        <f>IF(AND($S598=1,$S1123=1,$V598&gt;1,$V1123&gt;1), "YES", "NO")</f>
        <v>NO</v>
      </c>
      <c r="AA1123" t="str">
        <f>IF(AND($S598&gt;1,$S1123&gt;1,$S598=$V598,$S1123=$V1123), "YES", "NO")</f>
        <v>NO</v>
      </c>
      <c r="AB1123" t="str">
        <f>IF(AND($S598&gt;1,$S1123&gt;1,$S598&lt;$V598,$S1123&lt;$V1123), "YES", "NO")</f>
        <v>NO</v>
      </c>
      <c r="AC1123" t="str">
        <f>IF(AND($V598&gt;10,$V1123&gt;10), "YES", "NO")</f>
        <v>NO</v>
      </c>
      <c r="AD1123"/>
    </row>
    <row r="1124" spans="1:30" ht="15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>LEFT($A1124,FIND("_",$A1124)-1)</f>
        <v>ARJA</v>
      </c>
      <c r="P1124" s="13" t="str">
        <f>IF($O1124="ACS", "True Search", IF($O1124="Arja", "Evolutionary Search", IF($O1124="AVATAR", "True Pattern", IF($O1124="CapGen", "Search Like Pattern", IF($O1124="Cardumen", "True Semantic", IF($O1124="DynaMoth", "True Semantic", IF($O1124="FixMiner", "True Pattern", IF($O1124="GenProg-A", "Evolutionary Search", IF($O1124="Hercules", "Learning Pattern", IF($O1124="Jaid", "True Semantic",
IF($O1124="Kali-A", "True Search", IF($O1124="kPAR", "True Pattern", IF($O1124="Nopol", "True Semantic", IF($O1124="RSRepair-A", "Evolutionary Search", IF($O1124="SequenceR", "Deep Learning", IF($O1124="SimFix", "Search Like Pattern", IF($O1124="SketchFix", "True Pattern", IF($O1124="SOFix", "True Pattern", IF($O1124="ssFix", "Search Like Pattern", IF($O1124="TBar", "True Pattern", ""))))))))))))))))))))</f>
        <v>Evolutionary Search</v>
      </c>
      <c r="Q1124" s="13" t="str">
        <f>IF(NOT(ISERR(SEARCH("*_Buggy",$A1124))), "Buggy", IF(NOT(ISERR(SEARCH("*_Fixed",$A1124))), "Fixed", IF(NOT(ISERR(SEARCH("*_Repaired",$A1124))), "Repaired", "")))</f>
        <v>Repaired</v>
      </c>
      <c r="R1124" s="13" t="s">
        <v>1668</v>
      </c>
      <c r="S1124" s="25">
        <v>1</v>
      </c>
      <c r="T1124" s="25">
        <v>0</v>
      </c>
      <c r="U1124" s="13">
        <v>1</v>
      </c>
      <c r="V1124" s="13">
        <v>1</v>
      </c>
      <c r="W1124" s="13" t="str">
        <f>MID(A1124, SEARCH("_", A1124) +1, SEARCH("_", A1124, SEARCH("_", A1124) +1) - SEARCH("_", A1124) -1)</f>
        <v>Math-50</v>
      </c>
      <c r="Y1124" t="str">
        <f>IF(AND($S599=1,$S1124=1,$V599=1,$V1124=1), "YES", "NO")</f>
        <v>NO</v>
      </c>
      <c r="Z1124" t="str">
        <f>IF(AND($S599=1,$S1124=1,$V599&gt;1,$V1124&gt;1), "YES", "NO")</f>
        <v>NO</v>
      </c>
      <c r="AA1124" t="str">
        <f>IF(AND($S599&gt;1,$S1124&gt;1,$S599=$V599,$S1124=$V1124), "YES", "NO")</f>
        <v>NO</v>
      </c>
      <c r="AB1124" t="str">
        <f>IF(AND($S599&gt;1,$S1124&gt;1,$S599&lt;$V599,$S1124&lt;$V1124), "YES", "NO")</f>
        <v>NO</v>
      </c>
      <c r="AC1124" t="str">
        <f>IF(AND($V599&gt;10,$V1124&gt;10), "YES", "NO")</f>
        <v>NO</v>
      </c>
      <c r="AD1124"/>
    </row>
    <row r="1125" spans="1:30" ht="15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>LEFT($A1125,FIND("_",$A1125)-1)</f>
        <v>ARJA</v>
      </c>
      <c r="P1125" s="13" t="str">
        <f>IF($O1125="ACS", "True Search", IF($O1125="Arja", "Evolutionary Search", IF($O1125="AVATAR", "True Pattern", IF($O1125="CapGen", "Search Like Pattern", IF($O1125="Cardumen", "True Semantic", IF($O1125="DynaMoth", "True Semantic", IF($O1125="FixMiner", "True Pattern", IF($O1125="GenProg-A", "Evolutionary Search", IF($O1125="Hercules", "Learning Pattern", IF($O1125="Jaid", "True Semantic",
IF($O1125="Kali-A", "True Search", IF($O1125="kPAR", "True Pattern", IF($O1125="Nopol", "True Semantic", IF($O1125="RSRepair-A", "Evolutionary Search", IF($O1125="SequenceR", "Deep Learning", IF($O1125="SimFix", "Search Like Pattern", IF($O1125="SketchFix", "True Pattern", IF($O1125="SOFix", "True Pattern", IF($O1125="ssFix", "Search Like Pattern", IF($O1125="TBar", "True Pattern", ""))))))))))))))))))))</f>
        <v>Evolutionary Search</v>
      </c>
      <c r="Q1125" s="13" t="str">
        <f>IF(NOT(ISERR(SEARCH("*_Buggy",$A1125))), "Buggy", IF(NOT(ISERR(SEARCH("*_Fixed",$A1125))), "Fixed", IF(NOT(ISERR(SEARCH("*_Repaired",$A1125))), "Repaired", "")))</f>
        <v>Repaired</v>
      </c>
      <c r="R1125" s="13" t="s">
        <v>1669</v>
      </c>
      <c r="S1125" s="25">
        <v>1</v>
      </c>
      <c r="T1125" s="25">
        <v>3</v>
      </c>
      <c r="U1125" s="25">
        <v>1</v>
      </c>
      <c r="V1125" s="13">
        <v>3</v>
      </c>
      <c r="W1125" s="13" t="str">
        <f>MID(A1125, SEARCH("_", A1125) +1, SEARCH("_", A1125, SEARCH("_", A1125) +1) - SEARCH("_", A1125) -1)</f>
        <v>Math-53</v>
      </c>
      <c r="Y1125" t="str">
        <f>IF(AND($S600=1,$S1125=1,$V600=1,$V1125=1), "YES", "NO")</f>
        <v>NO</v>
      </c>
      <c r="Z1125" t="str">
        <f>IF(AND($S600=1,$S1125=1,$V600&gt;1,$V1125&gt;1), "YES", "NO")</f>
        <v>YES</v>
      </c>
      <c r="AA1125" t="str">
        <f>IF(AND($S600&gt;1,$S1125&gt;1,$S600=$V600,$S1125=$V1125), "YES", "NO")</f>
        <v>NO</v>
      </c>
      <c r="AB1125" t="str">
        <f>IF(AND($S600&gt;1,$S1125&gt;1,$S600&lt;$V600,$S1125&lt;$V1125), "YES", "NO")</f>
        <v>NO</v>
      </c>
      <c r="AC1125" t="str">
        <f>IF(AND($V600&gt;10,$V1125&gt;10), "YES", "NO")</f>
        <v>NO</v>
      </c>
      <c r="AD1125"/>
    </row>
    <row r="1126" spans="1:30" ht="15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>LEFT($A1126,FIND("_",$A1126)-1)</f>
        <v>ARJA</v>
      </c>
      <c r="P1126" s="13" t="str">
        <f>IF($O1126="ACS", "True Search", IF($O1126="Arja", "Evolutionary Search", IF($O1126="AVATAR", "True Pattern", IF($O1126="CapGen", "Search Like Pattern", IF($O1126="Cardumen", "True Semantic", IF($O1126="DynaMoth", "True Semantic", IF($O1126="FixMiner", "True Pattern", IF($O1126="GenProg-A", "Evolutionary Search", IF($O1126="Hercules", "Learning Pattern", IF($O1126="Jaid", "True Semantic",
IF($O1126="Kali-A", "True Search", IF($O1126="kPAR", "True Pattern", IF($O1126="Nopol", "True Semantic", IF($O1126="RSRepair-A", "Evolutionary Search", IF($O1126="SequenceR", "Deep Learning", IF($O1126="SimFix", "Search Like Pattern", IF($O1126="SketchFix", "True Pattern", IF($O1126="SOFix", "True Pattern", IF($O1126="ssFix", "Search Like Pattern", IF($O1126="TBar", "True Pattern", ""))))))))))))))))))))</f>
        <v>Evolutionary Search</v>
      </c>
      <c r="Q1126" s="13" t="str">
        <f>IF(NOT(ISERR(SEARCH("*_Buggy",$A1126))), "Buggy", IF(NOT(ISERR(SEARCH("*_Fixed",$A1126))), "Fixed", IF(NOT(ISERR(SEARCH("*_Repaired",$A1126))), "Repaired", "")))</f>
        <v>Repaired</v>
      </c>
      <c r="R1126" s="13" t="s">
        <v>1669</v>
      </c>
      <c r="S1126" s="25">
        <v>1</v>
      </c>
      <c r="T1126" s="25">
        <v>5</v>
      </c>
      <c r="U1126" s="25">
        <v>1</v>
      </c>
      <c r="V1126" s="13">
        <v>5</v>
      </c>
      <c r="W1126" s="13" t="str">
        <f>MID(A1126, SEARCH("_", A1126) +1, SEARCH("_", A1126, SEARCH("_", A1126) +1) - SEARCH("_", A1126) -1)</f>
        <v>Math-56</v>
      </c>
      <c r="Y1126" t="str">
        <f>IF(AND($S601=1,$S1126=1,$V601=1,$V1126=1), "YES", "NO")</f>
        <v>NO</v>
      </c>
      <c r="Z1126" t="str">
        <f>IF(AND($S601=1,$S1126=1,$V601&gt;1,$V1126&gt;1), "YES", "NO")</f>
        <v>YES</v>
      </c>
      <c r="AA1126" t="str">
        <f>IF(AND($S601&gt;1,$S1126&gt;1,$S601=$V601,$S1126=$V1126), "YES", "NO")</f>
        <v>NO</v>
      </c>
      <c r="AB1126" t="str">
        <f>IF(AND($S601&gt;1,$S1126&gt;1,$S601&lt;$V601,$S1126&lt;$V1126), "YES", "NO")</f>
        <v>NO</v>
      </c>
      <c r="AC1126" t="str">
        <f>IF(AND($V601&gt;10,$V1126&gt;10), "YES", "NO")</f>
        <v>NO</v>
      </c>
      <c r="AD1126"/>
    </row>
    <row r="1127" spans="1:30" ht="15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>LEFT($A1127,FIND("_",$A1127)-1)</f>
        <v>ARJA</v>
      </c>
      <c r="P1127" s="13" t="str">
        <f>IF($O1127="ACS", "True Search", IF($O1127="Arja", "Evolutionary Search", IF($O1127="AVATAR", "True Pattern", IF($O1127="CapGen", "Search Like Pattern", IF($O1127="Cardumen", "True Semantic", IF($O1127="DynaMoth", "True Semantic", IF($O1127="FixMiner", "True Pattern", IF($O1127="GenProg-A", "Evolutionary Search", IF($O1127="Hercules", "Learning Pattern", IF($O1127="Jaid", "True Semantic",
IF($O1127="Kali-A", "True Search", IF($O1127="kPAR", "True Pattern", IF($O1127="Nopol", "True Semantic", IF($O1127="RSRepair-A", "Evolutionary Search", IF($O1127="SequenceR", "Deep Learning", IF($O1127="SimFix", "Search Like Pattern", IF($O1127="SketchFix", "True Pattern", IF($O1127="SOFix", "True Pattern", IF($O1127="ssFix", "Search Like Pattern", IF($O1127="TBar", "True Pattern", ""))))))))))))))))))))</f>
        <v>Evolutionary Search</v>
      </c>
      <c r="Q1127" s="13" t="str">
        <f>IF(NOT(ISERR(SEARCH("*_Buggy",$A1127))), "Buggy", IF(NOT(ISERR(SEARCH("*_Fixed",$A1127))), "Fixed", IF(NOT(ISERR(SEARCH("*_Repaired",$A1127))), "Repaired", "")))</f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v>1</v>
      </c>
      <c r="W1127" s="13" t="str">
        <f>MID(A1127, SEARCH("_", A1127) +1, SEARCH("_", A1127, SEARCH("_", A1127) +1) - SEARCH("_", A1127) -1)</f>
        <v>Math-58</v>
      </c>
      <c r="Y1127" t="str">
        <f>IF(AND($S602=1,$S1127=1,$V602=1,$V1127=1), "YES", "NO")</f>
        <v>YES</v>
      </c>
      <c r="Z1127" t="str">
        <f>IF(AND($S602=1,$S1127=1,$V602&gt;1,$V1127&gt;1), "YES", "NO")</f>
        <v>NO</v>
      </c>
      <c r="AA1127" t="str">
        <f>IF(AND($S602&gt;1,$S1127&gt;1,$S602=$V602,$S1127=$V1127), "YES", "NO")</f>
        <v>NO</v>
      </c>
      <c r="AB1127" t="str">
        <f>IF(AND($S602&gt;1,$S1127&gt;1,$S602&lt;$V602,$S1127&lt;$V1127), "YES", "NO")</f>
        <v>NO</v>
      </c>
      <c r="AC1127" t="str">
        <f>IF(AND($V602&gt;10,$V1127&gt;10), "YES", "NO")</f>
        <v>NO</v>
      </c>
      <c r="AD1127"/>
    </row>
    <row r="1128" spans="1:30" ht="15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>LEFT($A1128,FIND("_",$A1128)-1)</f>
        <v>ARJA</v>
      </c>
      <c r="P1128" s="13" t="str">
        <f>IF($O1128="ACS", "True Search", IF($O1128="Arja", "Evolutionary Search", IF($O1128="AVATAR", "True Pattern", IF($O1128="CapGen", "Search Like Pattern", IF($O1128="Cardumen", "True Semantic", IF($O1128="DynaMoth", "True Semantic", IF($O1128="FixMiner", "True Pattern", IF($O1128="GenProg-A", "Evolutionary Search", IF($O1128="Hercules", "Learning Pattern", IF($O1128="Jaid", "True Semantic",
IF($O1128="Kali-A", "True Search", IF($O1128="kPAR", "True Pattern", IF($O1128="Nopol", "True Semantic", IF($O1128="RSRepair-A", "Evolutionary Search", IF($O1128="SequenceR", "Deep Learning", IF($O1128="SimFix", "Search Like Pattern", IF($O1128="SketchFix", "True Pattern", IF($O1128="SOFix", "True Pattern", IF($O1128="ssFix", "Search Like Pattern", IF($O1128="TBar", "True Pattern", ""))))))))))))))))))))</f>
        <v>Evolutionary Search</v>
      </c>
      <c r="Q1128" s="13" t="str">
        <f>IF(NOT(ISERR(SEARCH("*_Buggy",$A1128))), "Buggy", IF(NOT(ISERR(SEARCH("*_Fixed",$A1128))), "Fixed", IF(NOT(ISERR(SEARCH("*_Repaired",$A1128))), "Repaired", "")))</f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v>1</v>
      </c>
      <c r="W1128" s="13" t="str">
        <f>MID(A1128, SEARCH("_", A1128) +1, SEARCH("_", A1128, SEARCH("_", A1128) +1) - SEARCH("_", A1128) -1)</f>
        <v>Math-70</v>
      </c>
      <c r="Y1128" t="str">
        <f>IF(AND($S603=1,$S1128=1,$V603=1,$V1128=1), "YES", "NO")</f>
        <v>YES</v>
      </c>
      <c r="Z1128" t="str">
        <f>IF(AND($S603=1,$S1128=1,$V603&gt;1,$V1128&gt;1), "YES", "NO")</f>
        <v>NO</v>
      </c>
      <c r="AA1128" t="str">
        <f>IF(AND($S603&gt;1,$S1128&gt;1,$S603=$V603,$S1128=$V1128), "YES", "NO")</f>
        <v>NO</v>
      </c>
      <c r="AB1128" t="str">
        <f>IF(AND($S603&gt;1,$S1128&gt;1,$S603&lt;$V603,$S1128&lt;$V1128), "YES", "NO")</f>
        <v>NO</v>
      </c>
      <c r="AC1128" t="str">
        <f>IF(AND($V603&gt;10,$V1128&gt;10), "YES", "NO")</f>
        <v>NO</v>
      </c>
      <c r="AD1128"/>
    </row>
    <row r="1129" spans="1:30" ht="15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>LEFT($A1129,FIND("_",$A1129)-1)</f>
        <v>ARJA</v>
      </c>
      <c r="P1129" s="13" t="str">
        <f>IF($O1129="ACS", "True Search", IF($O1129="Arja", "Evolutionary Search", IF($O1129="AVATAR", "True Pattern", IF($O1129="CapGen", "Search Like Pattern", IF($O1129="Cardumen", "True Semantic", IF($O1129="DynaMoth", "True Semantic", IF($O1129="FixMiner", "True Pattern", IF($O1129="GenProg-A", "Evolutionary Search", IF($O1129="Hercules", "Learning Pattern", IF($O1129="Jaid", "True Semantic",
IF($O1129="Kali-A", "True Search", IF($O1129="kPAR", "True Pattern", IF($O1129="Nopol", "True Semantic", IF($O1129="RSRepair-A", "Evolutionary Search", IF($O1129="SequenceR", "Deep Learning", IF($O1129="SimFix", "Search Like Pattern", IF($O1129="SketchFix", "True Pattern", IF($O1129="SOFix", "True Pattern", IF($O1129="ssFix", "Search Like Pattern", IF($O1129="TBar", "True Pattern", ""))))))))))))))))))))</f>
        <v>Evolutionary Search</v>
      </c>
      <c r="Q1129" s="13" t="str">
        <f>IF(NOT(ISERR(SEARCH("*_Buggy",$A1129))), "Buggy", IF(NOT(ISERR(SEARCH("*_Fixed",$A1129))), "Fixed", IF(NOT(ISERR(SEARCH("*_Repaired",$A1129))), "Repaired", "")))</f>
        <v>Repaired</v>
      </c>
      <c r="R1129" s="13" t="s">
        <v>1669</v>
      </c>
      <c r="S1129" s="25">
        <v>3</v>
      </c>
      <c r="T1129" s="25">
        <v>2</v>
      </c>
      <c r="U1129" s="25">
        <v>7</v>
      </c>
      <c r="V1129" s="13">
        <v>7</v>
      </c>
      <c r="W1129" s="13" t="str">
        <f>MID(A1129, SEARCH("_", A1129) +1, SEARCH("_", A1129, SEARCH("_", A1129) +1) - SEARCH("_", A1129) -1)</f>
        <v>Math-80</v>
      </c>
      <c r="Y1129" t="str">
        <f>IF(AND($S604=1,$S1129=1,$V604=1,$V1129=1), "YES", "NO")</f>
        <v>NO</v>
      </c>
      <c r="Z1129" t="str">
        <f>IF(AND($S604=1,$S1129=1,$V604&gt;1,$V1129&gt;1), "YES", "NO")</f>
        <v>NO</v>
      </c>
      <c r="AA1129" t="str">
        <f>IF(AND($S604&gt;1,$S1129&gt;1,$S604=$V604,$S1129=$V1129), "YES", "NO")</f>
        <v>NO</v>
      </c>
      <c r="AB1129" t="str">
        <f>IF(AND($S604&gt;1,$S1129&gt;1,$S604&lt;$V604,$S1129&lt;$V1129), "YES", "NO")</f>
        <v>NO</v>
      </c>
      <c r="AC1129" t="str">
        <f>IF(AND($V604&gt;10,$V1129&gt;10), "YES", "NO")</f>
        <v>NO</v>
      </c>
      <c r="AD1129"/>
    </row>
    <row r="1130" spans="1:30" ht="15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>LEFT($A1130,FIND("_",$A1130)-1)</f>
        <v>ARJA</v>
      </c>
      <c r="P1130" s="13" t="str">
        <f>IF($O1130="ACS", "True Search", IF($O1130="Arja", "Evolutionary Search", IF($O1130="AVATAR", "True Pattern", IF($O1130="CapGen", "Search Like Pattern", IF($O1130="Cardumen", "True Semantic", IF($O1130="DynaMoth", "True Semantic", IF($O1130="FixMiner", "True Pattern", IF($O1130="GenProg-A", "Evolutionary Search", IF($O1130="Hercules", "Learning Pattern", IF($O1130="Jaid", "True Semantic",
IF($O1130="Kali-A", "True Search", IF($O1130="kPAR", "True Pattern", IF($O1130="Nopol", "True Semantic", IF($O1130="RSRepair-A", "Evolutionary Search", IF($O1130="SequenceR", "Deep Learning", IF($O1130="SimFix", "Search Like Pattern", IF($O1130="SketchFix", "True Pattern", IF($O1130="SOFix", "True Pattern", IF($O1130="ssFix", "Search Like Pattern", IF($O1130="TBar", "True Pattern", ""))))))))))))))))))))</f>
        <v>Evolutionary Search</v>
      </c>
      <c r="Q1130" s="13" t="str">
        <f>IF(NOT(ISERR(SEARCH("*_Buggy",$A1130))), "Buggy", IF(NOT(ISERR(SEARCH("*_Fixed",$A1130))), "Fixed", IF(NOT(ISERR(SEARCH("*_Repaired",$A1130))), "Repaired", "")))</f>
        <v>Repaired</v>
      </c>
      <c r="R1130" s="13" t="s">
        <v>1669</v>
      </c>
      <c r="S1130" s="25">
        <v>2</v>
      </c>
      <c r="T1130" s="25">
        <v>0</v>
      </c>
      <c r="U1130" s="13">
        <v>36</v>
      </c>
      <c r="V1130" s="13">
        <v>36</v>
      </c>
      <c r="W1130" s="13" t="str">
        <f>MID(A1130, SEARCH("_", A1130) +1, SEARCH("_", A1130, SEARCH("_", A1130) +1) - SEARCH("_", A1130) -1)</f>
        <v>Math-81</v>
      </c>
      <c r="Y1130" t="str">
        <f>IF(AND($S605=1,$S1130=1,$V605=1,$V1130=1), "YES", "NO")</f>
        <v>NO</v>
      </c>
      <c r="Z1130" t="str">
        <f>IF(AND($S605=1,$S1130=1,$V605&gt;1,$V1130&gt;1), "YES", "NO")</f>
        <v>NO</v>
      </c>
      <c r="AA1130" t="str">
        <f>IF(AND($S605&gt;1,$S1130&gt;1,$S605=$V605,$S1130=$V1130), "YES", "NO")</f>
        <v>NO</v>
      </c>
      <c r="AB1130" t="str">
        <f>IF(AND($S605&gt;1,$S1130&gt;1,$S605&lt;$V605,$S1130&lt;$V1130), "YES", "NO")</f>
        <v>YES</v>
      </c>
      <c r="AC1130" t="str">
        <f>IF(AND($V605&gt;10,$V1130&gt;10), "YES", "NO")</f>
        <v>NO</v>
      </c>
      <c r="AD1130"/>
    </row>
    <row r="1131" spans="1:30" ht="15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>LEFT($A1131,FIND("_",$A1131)-1)</f>
        <v>ARJA</v>
      </c>
      <c r="P1131" s="13" t="str">
        <f>IF($O1131="ACS", "True Search", IF($O1131="Arja", "Evolutionary Search", IF($O1131="AVATAR", "True Pattern", IF($O1131="CapGen", "Search Like Pattern", IF($O1131="Cardumen", "True Semantic", IF($O1131="DynaMoth", "True Semantic", IF($O1131="FixMiner", "True Pattern", IF($O1131="GenProg-A", "Evolutionary Search", IF($O1131="Hercules", "Learning Pattern", IF($O1131="Jaid", "True Semantic",
IF($O1131="Kali-A", "True Search", IF($O1131="kPAR", "True Pattern", IF($O1131="Nopol", "True Semantic", IF($O1131="RSRepair-A", "Evolutionary Search", IF($O1131="SequenceR", "Deep Learning", IF($O1131="SimFix", "Search Like Pattern", IF($O1131="SketchFix", "True Pattern", IF($O1131="SOFix", "True Pattern", IF($O1131="ssFix", "Search Like Pattern", IF($O1131="TBar", "True Pattern", ""))))))))))))))))))))</f>
        <v>Evolutionary Search</v>
      </c>
      <c r="Q1131" s="13" t="str">
        <f>IF(NOT(ISERR(SEARCH("*_Buggy",$A1131))), "Buggy", IF(NOT(ISERR(SEARCH("*_Fixed",$A1131))), "Fixed", IF(NOT(ISERR(SEARCH("*_Repaired",$A1131))), "Repaired", "")))</f>
        <v>Repaired</v>
      </c>
      <c r="R1131" s="13" t="s">
        <v>1669</v>
      </c>
      <c r="S1131" s="25">
        <v>1</v>
      </c>
      <c r="T1131" s="25">
        <v>1</v>
      </c>
      <c r="U1131" s="25">
        <v>6</v>
      </c>
      <c r="V1131" s="13">
        <v>6</v>
      </c>
      <c r="W1131" s="13" t="str">
        <f>MID(A1131, SEARCH("_", A1131) +1, SEARCH("_", A1131, SEARCH("_", A1131) +1) - SEARCH("_", A1131) -1)</f>
        <v>Math-84</v>
      </c>
      <c r="Y1131" t="str">
        <f>IF(AND($S606=1,$S1131=1,$V606=1,$V1131=1), "YES", "NO")</f>
        <v>NO</v>
      </c>
      <c r="Z1131" t="str">
        <f>IF(AND($S606=1,$S1131=1,$V606&gt;1,$V1131&gt;1), "YES", "NO")</f>
        <v>NO</v>
      </c>
      <c r="AA1131" t="str">
        <f>IF(AND($S606&gt;1,$S1131&gt;1,$S606=$V606,$S1131=$V1131), "YES", "NO")</f>
        <v>NO</v>
      </c>
      <c r="AB1131" t="str">
        <f>IF(AND($S606&gt;1,$S1131&gt;1,$S606&lt;$V606,$S1131&lt;$V1131), "YES", "NO")</f>
        <v>NO</v>
      </c>
      <c r="AC1131" t="str">
        <f>IF(AND($V606&gt;10,$V1131&gt;10), "YES", "NO")</f>
        <v>NO</v>
      </c>
      <c r="AD1131"/>
    </row>
    <row r="1132" spans="1:30" ht="15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>LEFT($A1132,FIND("_",$A1132)-1)</f>
        <v>ARJA</v>
      </c>
      <c r="P1132" s="13" t="str">
        <f>IF($O1132="ACS", "True Search", IF($O1132="Arja", "Evolutionary Search", IF($O1132="AVATAR", "True Pattern", IF($O1132="CapGen", "Search Like Pattern", IF($O1132="Cardumen", "True Semantic", IF($O1132="DynaMoth", "True Semantic", IF($O1132="FixMiner", "True Pattern", IF($O1132="GenProg-A", "Evolutionary Search", IF($O1132="Hercules", "Learning Pattern", IF($O1132="Jaid", "True Semantic",
IF($O1132="Kali-A", "True Search", IF($O1132="kPAR", "True Pattern", IF($O1132="Nopol", "True Semantic", IF($O1132="RSRepair-A", "Evolutionary Search", IF($O1132="SequenceR", "Deep Learning", IF($O1132="SimFix", "Search Like Pattern", IF($O1132="SketchFix", "True Pattern", IF($O1132="SOFix", "True Pattern", IF($O1132="ssFix", "Search Like Pattern", IF($O1132="TBar", "True Pattern", ""))))))))))))))))))))</f>
        <v>Evolutionary Search</v>
      </c>
      <c r="Q1132" s="13" t="str">
        <f>IF(NOT(ISERR(SEARCH("*_Buggy",$A1132))), "Buggy", IF(NOT(ISERR(SEARCH("*_Fixed",$A1132))), "Fixed", IF(NOT(ISERR(SEARCH("*_Repaired",$A1132))), "Repaired", "")))</f>
        <v>Repaired</v>
      </c>
      <c r="R1132" s="13" t="s">
        <v>1669</v>
      </c>
      <c r="S1132" s="25">
        <v>1</v>
      </c>
      <c r="T1132" s="25">
        <v>0</v>
      </c>
      <c r="U1132" s="13">
        <v>9</v>
      </c>
      <c r="V1132" s="13">
        <v>9</v>
      </c>
      <c r="W1132" s="13" t="str">
        <f>MID(A1132, SEARCH("_", A1132) +1, SEARCH("_", A1132, SEARCH("_", A1132) +1) - SEARCH("_", A1132) -1)</f>
        <v>Math-85</v>
      </c>
      <c r="Y1132" t="str">
        <f>IF(AND($S607=1,$S1132=1,$V607=1,$V1132=1), "YES", "NO")</f>
        <v>NO</v>
      </c>
      <c r="Z1132" t="str">
        <f>IF(AND($S607=1,$S1132=1,$V607&gt;1,$V1132&gt;1), "YES", "NO")</f>
        <v>NO</v>
      </c>
      <c r="AA1132" t="str">
        <f>IF(AND($S607&gt;1,$S1132&gt;1,$S607=$V607,$S1132=$V1132), "YES", "NO")</f>
        <v>NO</v>
      </c>
      <c r="AB1132" t="str">
        <f>IF(AND($S607&gt;1,$S1132&gt;1,$S607&lt;$V607,$S1132&lt;$V1132), "YES", "NO")</f>
        <v>NO</v>
      </c>
      <c r="AC1132" t="str">
        <f>IF(AND($V607&gt;10,$V1132&gt;10), "YES", "NO")</f>
        <v>NO</v>
      </c>
      <c r="AD1132"/>
    </row>
    <row r="1133" spans="1:30" ht="15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>LEFT($A1133,FIND("_",$A1133)-1)</f>
        <v>ARJA</v>
      </c>
      <c r="P1133" s="13" t="str">
        <f>IF($O1133="ACS", "True Search", IF($O1133="Arja", "Evolutionary Search", IF($O1133="AVATAR", "True Pattern", IF($O1133="CapGen", "Search Like Pattern", IF($O1133="Cardumen", "True Semantic", IF($O1133="DynaMoth", "True Semantic", IF($O1133="FixMiner", "True Pattern", IF($O1133="GenProg-A", "Evolutionary Search", IF($O1133="Hercules", "Learning Pattern", IF($O1133="Jaid", "True Semantic",
IF($O1133="Kali-A", "True Search", IF($O1133="kPAR", "True Pattern", IF($O1133="Nopol", "True Semantic", IF($O1133="RSRepair-A", "Evolutionary Search", IF($O1133="SequenceR", "Deep Learning", IF($O1133="SimFix", "Search Like Pattern", IF($O1133="SketchFix", "True Pattern", IF($O1133="SOFix", "True Pattern", IF($O1133="ssFix", "Search Like Pattern", IF($O1133="TBar", "True Pattern", ""))))))))))))))))))))</f>
        <v>Evolutionary Search</v>
      </c>
      <c r="Q1133" s="13" t="str">
        <f>IF(NOT(ISERR(SEARCH("*_Buggy",$A1133))), "Buggy", IF(NOT(ISERR(SEARCH("*_Fixed",$A1133))), "Fixed", IF(NOT(ISERR(SEARCH("*_Repaired",$A1133))), "Repaired", "")))</f>
        <v>Repaired</v>
      </c>
      <c r="R1133" s="13" t="s">
        <v>1669</v>
      </c>
      <c r="S1133" s="25">
        <v>1</v>
      </c>
      <c r="T1133" s="25">
        <v>3</v>
      </c>
      <c r="U1133" s="25">
        <v>1</v>
      </c>
      <c r="V1133" s="13">
        <v>3</v>
      </c>
      <c r="W1133" s="13" t="str">
        <f>MID(A1133, SEARCH("_", A1133) +1, SEARCH("_", A1133, SEARCH("_", A1133) +1) - SEARCH("_", A1133) -1)</f>
        <v>Math-88</v>
      </c>
      <c r="Y1133" t="str">
        <f>IF(AND($S608=1,$S1133=1,$V608=1,$V1133=1), "YES", "NO")</f>
        <v>NO</v>
      </c>
      <c r="Z1133" t="str">
        <f>IF(AND($S608=1,$S1133=1,$V608&gt;1,$V1133&gt;1), "YES", "NO")</f>
        <v>NO</v>
      </c>
      <c r="AA1133" t="str">
        <f>IF(AND($S608&gt;1,$S1133&gt;1,$S608=$V608,$S1133=$V1133), "YES", "NO")</f>
        <v>NO</v>
      </c>
      <c r="AB1133" t="str">
        <f>IF(AND($S608&gt;1,$S1133&gt;1,$S608&lt;$V608,$S1133&lt;$V1133), "YES", "NO")</f>
        <v>NO</v>
      </c>
      <c r="AC1133" t="str">
        <f>IF(AND($V608&gt;10,$V1133&gt;10), "YES", "NO")</f>
        <v>NO</v>
      </c>
      <c r="AD1133"/>
    </row>
    <row r="1134" spans="1:30" ht="15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>LEFT($A1134,FIND("_",$A1134)-1)</f>
        <v>ARJA</v>
      </c>
      <c r="P1134" s="13" t="str">
        <f>IF($O1134="ACS", "True Search", IF($O1134="Arja", "Evolutionary Search", IF($O1134="AVATAR", "True Pattern", IF($O1134="CapGen", "Search Like Pattern", IF($O1134="Cardumen", "True Semantic", IF($O1134="DynaMoth", "True Semantic", IF($O1134="FixMiner", "True Pattern", IF($O1134="GenProg-A", "Evolutionary Search", IF($O1134="Hercules", "Learning Pattern", IF($O1134="Jaid", "True Semantic",
IF($O1134="Kali-A", "True Search", IF($O1134="kPAR", "True Pattern", IF($O1134="Nopol", "True Semantic", IF($O1134="RSRepair-A", "Evolutionary Search", IF($O1134="SequenceR", "Deep Learning", IF($O1134="SimFix", "Search Like Pattern", IF($O1134="SketchFix", "True Pattern", IF($O1134="SOFix", "True Pattern", IF($O1134="ssFix", "Search Like Pattern", IF($O1134="TBar", "True Pattern", ""))))))))))))))))))))</f>
        <v>Evolutionary Search</v>
      </c>
      <c r="Q1134" s="13" t="str">
        <f>IF(NOT(ISERR(SEARCH("*_Buggy",$A1134))), "Buggy", IF(NOT(ISERR(SEARCH("*_Fixed",$A1134))), "Fixed", IF(NOT(ISERR(SEARCH("*_Repaired",$A1134))), "Repaired", "")))</f>
        <v>Repaired</v>
      </c>
      <c r="R1134" s="13" t="s">
        <v>1669</v>
      </c>
      <c r="S1134" s="25">
        <v>1</v>
      </c>
      <c r="T1134" s="25">
        <v>1</v>
      </c>
      <c r="U1134" s="25">
        <v>2</v>
      </c>
      <c r="V1134" s="13">
        <v>2</v>
      </c>
      <c r="W1134" s="13" t="str">
        <f>MID(A1134, SEARCH("_", A1134) +1, SEARCH("_", A1134, SEARCH("_", A1134) +1) - SEARCH("_", A1134) -1)</f>
        <v>Math-95</v>
      </c>
      <c r="Y1134" t="str">
        <f>IF(AND($S609=1,$S1134=1,$V609=1,$V1134=1), "YES", "NO")</f>
        <v>NO</v>
      </c>
      <c r="Z1134" t="str">
        <f>IF(AND($S609=1,$S1134=1,$V609&gt;1,$V1134&gt;1), "YES", "NO")</f>
        <v>NO</v>
      </c>
      <c r="AA1134" t="str">
        <f>IF(AND($S609&gt;1,$S1134&gt;1,$S609=$V609,$S1134=$V1134), "YES", "NO")</f>
        <v>NO</v>
      </c>
      <c r="AB1134" t="str">
        <f>IF(AND($S609&gt;1,$S1134&gt;1,$S609&lt;$V609,$S1134&lt;$V1134), "YES", "NO")</f>
        <v>NO</v>
      </c>
      <c r="AC1134" t="str">
        <f>IF(AND($V609&gt;10,$V1134&gt;10), "YES", "NO")</f>
        <v>NO</v>
      </c>
      <c r="AD1134"/>
    </row>
    <row r="1135" spans="1:30" ht="15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>LEFT($A1135,FIND("_",$A1135)-1)</f>
        <v>AVATAR</v>
      </c>
      <c r="P1135" s="13" t="str">
        <f>IF($O1135="ACS", "True Search", IF($O1135="Arja", "Evolutionary Search", IF($O1135="AVATAR", "True Pattern", IF($O1135="CapGen", "Search Like Pattern", IF($O1135="Cardumen", "True Semantic", IF($O1135="DynaMoth", "True Semantic", IF($O1135="FixMiner", "True Pattern", IF($O1135="GenProg-A", "Evolutionary Search", IF($O1135="Hercules", "Learning Pattern", IF($O1135="Jaid", "True Semantic",
IF($O1135="Kali-A", "True Search", IF($O1135="kPAR", "True Pattern", IF($O1135="Nopol", "True Semantic", IF($O1135="RSRepair-A", "Evolutionary Search", IF($O1135="SequenceR", "Deep Learning", IF($O1135="SimFix", "Search Like Pattern", IF($O1135="SketchFix", "True Pattern", IF($O1135="SOFix", "True Pattern", IF($O1135="ssFix", "Search Like Pattern", IF($O1135="TBar", "True Pattern", ""))))))))))))))))))))</f>
        <v>True Pattern</v>
      </c>
      <c r="Q1135" s="13" t="str">
        <f>IF(NOT(ISERR(SEARCH("*_Buggy",$A1135))), "Buggy", IF(NOT(ISERR(SEARCH("*_Fixed",$A1135))), "Fixed", IF(NOT(ISERR(SEARCH("*_Repaired",$A1135))), "Repaired", "")))</f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v>1</v>
      </c>
      <c r="W1135" s="13" t="str">
        <f>MID(A1135, SEARCH("_", A1135) +1, SEARCH("_", A1135, SEARCH("_", A1135) +1) - SEARCH("_", A1135) -1)</f>
        <v>Chart-1</v>
      </c>
      <c r="Y1135" t="str">
        <f>IF(AND($S610=1,$S1135=1,$V610=1,$V1135=1), "YES", "NO")</f>
        <v>YES</v>
      </c>
      <c r="Z1135" t="str">
        <f>IF(AND($S610=1,$S1135=1,$V610&gt;1,$V1135&gt;1), "YES", "NO")</f>
        <v>NO</v>
      </c>
      <c r="AA1135" t="str">
        <f>IF(AND($S610&gt;1,$S1135&gt;1,$S610=$V610,$S1135=$V1135), "YES", "NO")</f>
        <v>NO</v>
      </c>
      <c r="AB1135" t="str">
        <f>IF(AND($S610&gt;1,$S1135&gt;1,$S610&lt;$V610,$S1135&lt;$V1135), "YES", "NO")</f>
        <v>NO</v>
      </c>
      <c r="AC1135" t="str">
        <f>IF(AND($V610&gt;10,$V1135&gt;10), "YES", "NO")</f>
        <v>NO</v>
      </c>
      <c r="AD1135"/>
    </row>
    <row r="1136" spans="1:30" ht="15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>LEFT($A1136,FIND("_",$A1136)-1)</f>
        <v>AVATAR</v>
      </c>
      <c r="P1136" s="13" t="str">
        <f>IF($O1136="ACS", "True Search", IF($O1136="Arja", "Evolutionary Search", IF($O1136="AVATAR", "True Pattern", IF($O1136="CapGen", "Search Like Pattern", IF($O1136="Cardumen", "True Semantic", IF($O1136="DynaMoth", "True Semantic", IF($O1136="FixMiner", "True Pattern", IF($O1136="GenProg-A", "Evolutionary Search", IF($O1136="Hercules", "Learning Pattern", IF($O1136="Jaid", "True Semantic",
IF($O1136="Kali-A", "True Search", IF($O1136="kPAR", "True Pattern", IF($O1136="Nopol", "True Semantic", IF($O1136="RSRepair-A", "Evolutionary Search", IF($O1136="SequenceR", "Deep Learning", IF($O1136="SimFix", "Search Like Pattern", IF($O1136="SketchFix", "True Pattern", IF($O1136="SOFix", "True Pattern", IF($O1136="ssFix", "Search Like Pattern", IF($O1136="TBar", "True Pattern", ""))))))))))))))))))))</f>
        <v>True Pattern</v>
      </c>
      <c r="Q1136" s="13" t="str">
        <f>IF(NOT(ISERR(SEARCH("*_Buggy",$A1136))), "Buggy", IF(NOT(ISERR(SEARCH("*_Fixed",$A1136))), "Fixed", IF(NOT(ISERR(SEARCH("*_Repaired",$A1136))), "Repaired", "")))</f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v>1</v>
      </c>
      <c r="W1136" s="13" t="str">
        <f>MID(A1136, SEARCH("_", A1136) +1, SEARCH("_", A1136, SEARCH("_", A1136) +1) - SEARCH("_", A1136) -1)</f>
        <v>Chart-11</v>
      </c>
      <c r="Y1136" t="str">
        <f>IF(AND($S611=1,$S1136=1,$V611=1,$V1136=1), "YES", "NO")</f>
        <v>YES</v>
      </c>
      <c r="Z1136" t="str">
        <f>IF(AND($S611=1,$S1136=1,$V611&gt;1,$V1136&gt;1), "YES", "NO")</f>
        <v>NO</v>
      </c>
      <c r="AA1136" t="str">
        <f>IF(AND($S611&gt;1,$S1136&gt;1,$S611=$V611,$S1136=$V1136), "YES", "NO")</f>
        <v>NO</v>
      </c>
      <c r="AB1136" t="str">
        <f>IF(AND($S611&gt;1,$S1136&gt;1,$S611&lt;$V611,$S1136&lt;$V1136), "YES", "NO")</f>
        <v>NO</v>
      </c>
      <c r="AC1136" t="str">
        <f>IF(AND($V611&gt;10,$V1136&gt;10), "YES", "NO")</f>
        <v>NO</v>
      </c>
      <c r="AD1136"/>
    </row>
    <row r="1137" spans="1:30" ht="15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>LEFT($A1137,FIND("_",$A1137)-1)</f>
        <v>AVATAR</v>
      </c>
      <c r="P1137" s="13" t="str">
        <f>IF($O1137="ACS", "True Search", IF($O1137="Arja", "Evolutionary Search", IF($O1137="AVATAR", "True Pattern", IF($O1137="CapGen", "Search Like Pattern", IF($O1137="Cardumen", "True Semantic", IF($O1137="DynaMoth", "True Semantic", IF($O1137="FixMiner", "True Pattern", IF($O1137="GenProg-A", "Evolutionary Search", IF($O1137="Hercules", "Learning Pattern", IF($O1137="Jaid", "True Semantic",
IF($O1137="Kali-A", "True Search", IF($O1137="kPAR", "True Pattern", IF($O1137="Nopol", "True Semantic", IF($O1137="RSRepair-A", "Evolutionary Search", IF($O1137="SequenceR", "Deep Learning", IF($O1137="SimFix", "Search Like Pattern", IF($O1137="SketchFix", "True Pattern", IF($O1137="SOFix", "True Pattern", IF($O1137="ssFix", "Search Like Pattern", IF($O1137="TBar", "True Pattern", ""))))))))))))))))))))</f>
        <v>True Pattern</v>
      </c>
      <c r="Q1137" s="13" t="str">
        <f>IF(NOT(ISERR(SEARCH("*_Buggy",$A1137))), "Buggy", IF(NOT(ISERR(SEARCH("*_Fixed",$A1137))), "Fixed", IF(NOT(ISERR(SEARCH("*_Repaired",$A1137))), "Repaired", "")))</f>
        <v>Repaired</v>
      </c>
      <c r="R1137" s="13" t="s">
        <v>1668</v>
      </c>
      <c r="S1137" s="25">
        <v>1</v>
      </c>
      <c r="T1137" s="25">
        <v>4</v>
      </c>
      <c r="U1137" s="25">
        <v>1</v>
      </c>
      <c r="V1137" s="13">
        <v>4</v>
      </c>
      <c r="W1137" s="13" t="str">
        <f>MID(A1137, SEARCH("_", A1137) +1, SEARCH("_", A1137, SEARCH("_", A1137) +1) - SEARCH("_", A1137) -1)</f>
        <v>Chart-19</v>
      </c>
      <c r="Y1137" t="str">
        <f>IF(AND($S612=1,$S1137=1,$V612=1,$V1137=1), "YES", "NO")</f>
        <v>NO</v>
      </c>
      <c r="Z1137" t="str">
        <f>IF(AND($S612=1,$S1137=1,$V612&gt;1,$V1137&gt;1), "YES", "NO")</f>
        <v>NO</v>
      </c>
      <c r="AA1137" t="str">
        <f>IF(AND($S612&gt;1,$S1137&gt;1,$S612=$V612,$S1137=$V1137), "YES", "NO")</f>
        <v>NO</v>
      </c>
      <c r="AB1137" t="str">
        <f>IF(AND($S612&gt;1,$S1137&gt;1,$S612&lt;$V612,$S1137&lt;$V1137), "YES", "NO")</f>
        <v>NO</v>
      </c>
      <c r="AC1137" t="str">
        <f>IF(AND($V612&gt;10,$V1137&gt;10), "YES", "NO")</f>
        <v>NO</v>
      </c>
      <c r="AD1137"/>
    </row>
    <row r="1138" spans="1:30" ht="15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>LEFT($A1138,FIND("_",$A1138)-1)</f>
        <v>AVATAR</v>
      </c>
      <c r="P1138" s="13" t="str">
        <f>IF($O1138="ACS", "True Search", IF($O1138="Arja", "Evolutionary Search", IF($O1138="AVATAR", "True Pattern", IF($O1138="CapGen", "Search Like Pattern", IF($O1138="Cardumen", "True Semantic", IF($O1138="DynaMoth", "True Semantic", IF($O1138="FixMiner", "True Pattern", IF($O1138="GenProg-A", "Evolutionary Search", IF($O1138="Hercules", "Learning Pattern", IF($O1138="Jaid", "True Semantic",
IF($O1138="Kali-A", "True Search", IF($O1138="kPAR", "True Pattern", IF($O1138="Nopol", "True Semantic", IF($O1138="RSRepair-A", "Evolutionary Search", IF($O1138="SequenceR", "Deep Learning", IF($O1138="SimFix", "Search Like Pattern", IF($O1138="SketchFix", "True Pattern", IF($O1138="SOFix", "True Pattern", IF($O1138="ssFix", "Search Like Pattern", IF($O1138="TBar", "True Pattern", ""))))))))))))))))))))</f>
        <v>True Pattern</v>
      </c>
      <c r="Q1138" s="13" t="str">
        <f>IF(NOT(ISERR(SEARCH("*_Buggy",$A1138))), "Buggy", IF(NOT(ISERR(SEARCH("*_Fixed",$A1138))), "Fixed", IF(NOT(ISERR(SEARCH("*_Repaired",$A1138))), "Repaired", "")))</f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v>1</v>
      </c>
      <c r="W1138" s="13" t="str">
        <f>MID(A1138, SEARCH("_", A1138) +1, SEARCH("_", A1138, SEARCH("_", A1138) +1) - SEARCH("_", A1138) -1)</f>
        <v>Chart-24</v>
      </c>
      <c r="Y1138" t="str">
        <f>IF(AND($S613=1,$S1138=1,$V613=1,$V1138=1), "YES", "NO")</f>
        <v>YES</v>
      </c>
      <c r="Z1138" t="str">
        <f>IF(AND($S613=1,$S1138=1,$V613&gt;1,$V1138&gt;1), "YES", "NO")</f>
        <v>NO</v>
      </c>
      <c r="AA1138" t="str">
        <f>IF(AND($S613&gt;1,$S1138&gt;1,$S613=$V613,$S1138=$V1138), "YES", "NO")</f>
        <v>NO</v>
      </c>
      <c r="AB1138" t="str">
        <f>IF(AND($S613&gt;1,$S1138&gt;1,$S613&lt;$V613,$S1138&lt;$V1138), "YES", "NO")</f>
        <v>NO</v>
      </c>
      <c r="AC1138" t="str">
        <f>IF(AND($V613&gt;10,$V1138&gt;10), "YES", "NO")</f>
        <v>NO</v>
      </c>
      <c r="AD1138"/>
    </row>
    <row r="1139" spans="1:30" ht="15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>LEFT($A1139,FIND("_",$A1139)-1)</f>
        <v>AVATAR</v>
      </c>
      <c r="P1139" s="13" t="str">
        <f>IF($O1139="ACS", "True Search", IF($O1139="Arja", "Evolutionary Search", IF($O1139="AVATAR", "True Pattern", IF($O1139="CapGen", "Search Like Pattern", IF($O1139="Cardumen", "True Semantic", IF($O1139="DynaMoth", "True Semantic", IF($O1139="FixMiner", "True Pattern", IF($O1139="GenProg-A", "Evolutionary Search", IF($O1139="Hercules", "Learning Pattern", IF($O1139="Jaid", "True Semantic",
IF($O1139="Kali-A", "True Search", IF($O1139="kPAR", "True Pattern", IF($O1139="Nopol", "True Semantic", IF($O1139="RSRepair-A", "Evolutionary Search", IF($O1139="SequenceR", "Deep Learning", IF($O1139="SimFix", "Search Like Pattern", IF($O1139="SketchFix", "True Pattern", IF($O1139="SOFix", "True Pattern", IF($O1139="ssFix", "Search Like Pattern", IF($O1139="TBar", "True Pattern", ""))))))))))))))))))))</f>
        <v>True Pattern</v>
      </c>
      <c r="Q1139" s="13" t="str">
        <f>IF(NOT(ISERR(SEARCH("*_Buggy",$A1139))), "Buggy", IF(NOT(ISERR(SEARCH("*_Fixed",$A1139))), "Fixed", IF(NOT(ISERR(SEARCH("*_Repaired",$A1139))), "Repaired", "")))</f>
        <v>Repaired</v>
      </c>
      <c r="R1139" s="13" t="s">
        <v>1669</v>
      </c>
      <c r="S1139" s="25">
        <v>1</v>
      </c>
      <c r="T1139" s="25">
        <v>1</v>
      </c>
      <c r="U1139" s="25">
        <v>43</v>
      </c>
      <c r="V1139" s="13">
        <v>43</v>
      </c>
      <c r="W1139" s="13" t="str">
        <f>MID(A1139, SEARCH("_", A1139) +1, SEARCH("_", A1139, SEARCH("_", A1139) +1) - SEARCH("_", A1139) -1)</f>
        <v>Chart-25</v>
      </c>
      <c r="Y1139" t="str">
        <f>IF(AND($S614=1,$S1139=1,$V614=1,$V1139=1), "YES", "NO")</f>
        <v>NO</v>
      </c>
      <c r="Z1139" t="str">
        <f>IF(AND($S614=1,$S1139=1,$V614&gt;1,$V1139&gt;1), "YES", "NO")</f>
        <v>NO</v>
      </c>
      <c r="AA1139" t="str">
        <f>IF(AND($S614&gt;1,$S1139&gt;1,$S614=$V614,$S1139=$V1139), "YES", "NO")</f>
        <v>NO</v>
      </c>
      <c r="AB1139" t="str">
        <f>IF(AND($S614&gt;1,$S1139&gt;1,$S614&lt;$V614,$S1139&lt;$V1139), "YES", "NO")</f>
        <v>NO</v>
      </c>
      <c r="AC1139" t="str">
        <f>IF(AND($V614&gt;10,$V1139&gt;10), "YES", "NO")</f>
        <v>YES</v>
      </c>
      <c r="AD1139"/>
    </row>
    <row r="1140" spans="1:30" ht="15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>LEFT($A1140,FIND("_",$A1140)-1)</f>
        <v>AVATAR</v>
      </c>
      <c r="P1140" s="13" t="str">
        <f>IF($O1140="ACS", "True Search", IF($O1140="Arja", "Evolutionary Search", IF($O1140="AVATAR", "True Pattern", IF($O1140="CapGen", "Search Like Pattern", IF($O1140="Cardumen", "True Semantic", IF($O1140="DynaMoth", "True Semantic", IF($O1140="FixMiner", "True Pattern", IF($O1140="GenProg-A", "Evolutionary Search", IF($O1140="Hercules", "Learning Pattern", IF($O1140="Jaid", "True Semantic",
IF($O1140="Kali-A", "True Search", IF($O1140="kPAR", "True Pattern", IF($O1140="Nopol", "True Semantic", IF($O1140="RSRepair-A", "Evolutionary Search", IF($O1140="SequenceR", "Deep Learning", IF($O1140="SimFix", "Search Like Pattern", IF($O1140="SketchFix", "True Pattern", IF($O1140="SOFix", "True Pattern", IF($O1140="ssFix", "Search Like Pattern", IF($O1140="TBar", "True Pattern", ""))))))))))))))))))))</f>
        <v>True Pattern</v>
      </c>
      <c r="Q1140" s="13" t="str">
        <f>IF(NOT(ISERR(SEARCH("*_Buggy",$A1140))), "Buggy", IF(NOT(ISERR(SEARCH("*_Fixed",$A1140))), "Fixed", IF(NOT(ISERR(SEARCH("*_Repaired",$A1140))), "Repaired", "")))</f>
        <v>Repaired</v>
      </c>
      <c r="R1140" s="13" t="s">
        <v>1668</v>
      </c>
      <c r="S1140" s="25">
        <v>2</v>
      </c>
      <c r="T1140" s="25">
        <v>4</v>
      </c>
      <c r="U1140" s="25">
        <v>1</v>
      </c>
      <c r="V1140" s="13">
        <v>4</v>
      </c>
      <c r="W1140" s="13" t="str">
        <f>MID(A1140, SEARCH("_", A1140) +1, SEARCH("_", A1140, SEARCH("_", A1140) +1) - SEARCH("_", A1140) -1)</f>
        <v>Chart-26</v>
      </c>
      <c r="Y1140" t="str">
        <f>IF(AND($S615=1,$S1140=1,$V615=1,$V1140=1), "YES", "NO")</f>
        <v>NO</v>
      </c>
      <c r="Z1140" t="str">
        <f>IF(AND($S615=1,$S1140=1,$V615&gt;1,$V1140&gt;1), "YES", "NO")</f>
        <v>NO</v>
      </c>
      <c r="AA1140" t="str">
        <f>IF(AND($S615&gt;1,$S1140&gt;1,$S615=$V615,$S1140=$V1140), "YES", "NO")</f>
        <v>NO</v>
      </c>
      <c r="AB1140" t="str">
        <f>IF(AND($S615&gt;1,$S1140&gt;1,$S615&lt;$V615,$S1140&lt;$V1140), "YES", "NO")</f>
        <v>NO</v>
      </c>
      <c r="AC1140" t="str">
        <f>IF(AND($V615&gt;10,$V1140&gt;10), "YES", "NO")</f>
        <v>NO</v>
      </c>
      <c r="AD1140"/>
    </row>
    <row r="1141" spans="1:30" ht="15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>LEFT($A1141,FIND("_",$A1141)-1)</f>
        <v>AVATAR</v>
      </c>
      <c r="P1141" s="13" t="str">
        <f>IF($O1141="ACS", "True Search", IF($O1141="Arja", "Evolutionary Search", IF($O1141="AVATAR", "True Pattern", IF($O1141="CapGen", "Search Like Pattern", IF($O1141="Cardumen", "True Semantic", IF($O1141="DynaMoth", "True Semantic", IF($O1141="FixMiner", "True Pattern", IF($O1141="GenProg-A", "Evolutionary Search", IF($O1141="Hercules", "Learning Pattern", IF($O1141="Jaid", "True Semantic",
IF($O1141="Kali-A", "True Search", IF($O1141="kPAR", "True Pattern", IF($O1141="Nopol", "True Semantic", IF($O1141="RSRepair-A", "Evolutionary Search", IF($O1141="SequenceR", "Deep Learning", IF($O1141="SimFix", "Search Like Pattern", IF($O1141="SketchFix", "True Pattern", IF($O1141="SOFix", "True Pattern", IF($O1141="ssFix", "Search Like Pattern", IF($O1141="TBar", "True Pattern", ""))))))))))))))))))))</f>
        <v>True Pattern</v>
      </c>
      <c r="Q1141" s="13" t="str">
        <f>IF(NOT(ISERR(SEARCH("*_Buggy",$A1141))), "Buggy", IF(NOT(ISERR(SEARCH("*_Fixed",$A1141))), "Fixed", IF(NOT(ISERR(SEARCH("*_Repaired",$A1141))), "Repaired", "")))</f>
        <v>Repaired</v>
      </c>
      <c r="R1141" s="13" t="s">
        <v>1668</v>
      </c>
      <c r="S1141" s="25">
        <v>2</v>
      </c>
      <c r="T1141" s="25">
        <v>4</v>
      </c>
      <c r="U1141" s="25">
        <v>1</v>
      </c>
      <c r="V1141" s="13">
        <v>4</v>
      </c>
      <c r="W1141" s="13" t="str">
        <f>MID(A1141, SEARCH("_", A1141) +1, SEARCH("_", A1141, SEARCH("_", A1141) +1) - SEARCH("_", A1141) -1)</f>
        <v>Chart-4</v>
      </c>
      <c r="Y1141" t="str">
        <f>IF(AND($S616=1,$S1141=1,$V616=1,$V1141=1), "YES", "NO")</f>
        <v>NO</v>
      </c>
      <c r="Z1141" t="str">
        <f>IF(AND($S616=1,$S1141=1,$V616&gt;1,$V1141&gt;1), "YES", "NO")</f>
        <v>NO</v>
      </c>
      <c r="AA1141" t="str">
        <f>IF(AND($S616&gt;1,$S1141&gt;1,$S616=$V616,$S1141=$V1141), "YES", "NO")</f>
        <v>NO</v>
      </c>
      <c r="AB1141" t="str">
        <f>IF(AND($S616&gt;1,$S1141&gt;1,$S616&lt;$V616,$S1141&lt;$V1141), "YES", "NO")</f>
        <v>NO</v>
      </c>
      <c r="AC1141" t="str">
        <f>IF(AND($V616&gt;10,$V1141&gt;10), "YES", "NO")</f>
        <v>NO</v>
      </c>
      <c r="AD1141"/>
    </row>
    <row r="1142" spans="1:30" ht="15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>LEFT($A1142,FIND("_",$A1142)-1)</f>
        <v>AVATAR</v>
      </c>
      <c r="P1142" s="13" t="str">
        <f>IF($O1142="ACS", "True Search", IF($O1142="Arja", "Evolutionary Search", IF($O1142="AVATAR", "True Pattern", IF($O1142="CapGen", "Search Like Pattern", IF($O1142="Cardumen", "True Semantic", IF($O1142="DynaMoth", "True Semantic", IF($O1142="FixMiner", "True Pattern", IF($O1142="GenProg-A", "Evolutionary Search", IF($O1142="Hercules", "Learning Pattern", IF($O1142="Jaid", "True Semantic",
IF($O1142="Kali-A", "True Search", IF($O1142="kPAR", "True Pattern", IF($O1142="Nopol", "True Semantic", IF($O1142="RSRepair-A", "Evolutionary Search", IF($O1142="SequenceR", "Deep Learning", IF($O1142="SimFix", "Search Like Pattern", IF($O1142="SketchFix", "True Pattern", IF($O1142="SOFix", "True Pattern", IF($O1142="ssFix", "Search Like Pattern", IF($O1142="TBar", "True Pattern", ""))))))))))))))))))))</f>
        <v>True Pattern</v>
      </c>
      <c r="Q1142" s="13" t="str">
        <f>IF(NOT(ISERR(SEARCH("*_Buggy",$A1142))), "Buggy", IF(NOT(ISERR(SEARCH("*_Fixed",$A1142))), "Fixed", IF(NOT(ISERR(SEARCH("*_Repaired",$A1142))), "Repaired", "")))</f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v>1</v>
      </c>
      <c r="W1142" s="13" t="str">
        <f>MID(A1142, SEARCH("_", A1142) +1, SEARCH("_", A1142, SEARCH("_", A1142) +1) - SEARCH("_", A1142) -1)</f>
        <v>Chart-5</v>
      </c>
      <c r="Y1142" t="str">
        <f>IF(AND($S617=1,$S1142=1,$V617=1,$V1142=1), "YES", "NO")</f>
        <v>NO</v>
      </c>
      <c r="Z1142" t="str">
        <f>IF(AND($S617=1,$S1142=1,$V617&gt;1,$V1142&gt;1), "YES", "NO")</f>
        <v>NO</v>
      </c>
      <c r="AA1142" t="str">
        <f>IF(AND($S617&gt;1,$S1142&gt;1,$S617=$V617,$S1142=$V1142), "YES", "NO")</f>
        <v>NO</v>
      </c>
      <c r="AB1142" t="str">
        <f>IF(AND($S617&gt;1,$S1142&gt;1,$S617&lt;$V617,$S1142&lt;$V1142), "YES", "NO")</f>
        <v>NO</v>
      </c>
      <c r="AC1142" t="str">
        <f>IF(AND($V617&gt;10,$V1142&gt;10), "YES", "NO")</f>
        <v>NO</v>
      </c>
      <c r="AD1142"/>
    </row>
    <row r="1143" spans="1:30" ht="15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>LEFT($A1143,FIND("_",$A1143)-1)</f>
        <v>AVATAR</v>
      </c>
      <c r="P1143" s="13" t="str">
        <f>IF($O1143="ACS", "True Search", IF($O1143="Arja", "Evolutionary Search", IF($O1143="AVATAR", "True Pattern", IF($O1143="CapGen", "Search Like Pattern", IF($O1143="Cardumen", "True Semantic", IF($O1143="DynaMoth", "True Semantic", IF($O1143="FixMiner", "True Pattern", IF($O1143="GenProg-A", "Evolutionary Search", IF($O1143="Hercules", "Learning Pattern", IF($O1143="Jaid", "True Semantic",
IF($O1143="Kali-A", "True Search", IF($O1143="kPAR", "True Pattern", IF($O1143="Nopol", "True Semantic", IF($O1143="RSRepair-A", "Evolutionary Search", IF($O1143="SequenceR", "Deep Learning", IF($O1143="SimFix", "Search Like Pattern", IF($O1143="SketchFix", "True Pattern", IF($O1143="SOFix", "True Pattern", IF($O1143="ssFix", "Search Like Pattern", IF($O1143="TBar", "True Pattern", ""))))))))))))))))))))</f>
        <v>True Pattern</v>
      </c>
      <c r="Q1143" s="13" t="str">
        <f>IF(NOT(ISERR(SEARCH("*_Buggy",$A1143))), "Buggy", IF(NOT(ISERR(SEARCH("*_Fixed",$A1143))), "Fixed", IF(NOT(ISERR(SEARCH("*_Repaired",$A1143))), "Repaired", "")))</f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v>1</v>
      </c>
      <c r="W1143" s="13" t="str">
        <f>MID(A1143, SEARCH("_", A1143) +1, SEARCH("_", A1143, SEARCH("_", A1143) +1) - SEARCH("_", A1143) -1)</f>
        <v>Chart-7</v>
      </c>
      <c r="Y1143" t="str">
        <f>IF(AND($S618=1,$S1143=1,$V618=1,$V1143=1), "YES", "NO")</f>
        <v>NO</v>
      </c>
      <c r="Z1143" t="str">
        <f>IF(AND($S618=1,$S1143=1,$V618&gt;1,$V1143&gt;1), "YES", "NO")</f>
        <v>NO</v>
      </c>
      <c r="AA1143" t="str">
        <f>IF(AND($S618&gt;1,$S1143&gt;1,$S618=$V618,$S1143=$V1143), "YES", "NO")</f>
        <v>NO</v>
      </c>
      <c r="AB1143" t="str">
        <f>IF(AND($S618&gt;1,$S1143&gt;1,$S618&lt;$V618,$S1143&lt;$V1143), "YES", "NO")</f>
        <v>NO</v>
      </c>
      <c r="AC1143" t="str">
        <f>IF(AND($V618&gt;10,$V1143&gt;10), "YES", "NO")</f>
        <v>NO</v>
      </c>
      <c r="AD1143"/>
    </row>
    <row r="1144" spans="1:30" ht="15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>LEFT($A1144,FIND("_",$A1144)-1)</f>
        <v>AVATAR</v>
      </c>
      <c r="P1144" s="13" t="str">
        <f>IF($O1144="ACS", "True Search", IF($O1144="Arja", "Evolutionary Search", IF($O1144="AVATAR", "True Pattern", IF($O1144="CapGen", "Search Like Pattern", IF($O1144="Cardumen", "True Semantic", IF($O1144="DynaMoth", "True Semantic", IF($O1144="FixMiner", "True Pattern", IF($O1144="GenProg-A", "Evolutionary Search", IF($O1144="Hercules", "Learning Pattern", IF($O1144="Jaid", "True Semantic",
IF($O1144="Kali-A", "True Search", IF($O1144="kPAR", "True Pattern", IF($O1144="Nopol", "True Semantic", IF($O1144="RSRepair-A", "Evolutionary Search", IF($O1144="SequenceR", "Deep Learning", IF($O1144="SimFix", "Search Like Pattern", IF($O1144="SketchFix", "True Pattern", IF($O1144="SOFix", "True Pattern", IF($O1144="ssFix", "Search Like Pattern", IF($O1144="TBar", "True Pattern", ""))))))))))))))))))))</f>
        <v>True Pattern</v>
      </c>
      <c r="Q1144" s="13" t="str">
        <f>IF(NOT(ISERR(SEARCH("*_Buggy",$A1144))), "Buggy", IF(NOT(ISERR(SEARCH("*_Fixed",$A1144))), "Fixed", IF(NOT(ISERR(SEARCH("*_Repaired",$A1144))), "Repaired", "")))</f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v>1</v>
      </c>
      <c r="W1144" s="13" t="str">
        <f>MID(A1144, SEARCH("_", A1144) +1, SEARCH("_", A1144, SEARCH("_", A1144) +1) - SEARCH("_", A1144) -1)</f>
        <v>Closure-108</v>
      </c>
      <c r="Y1144" t="str">
        <f>IF(AND($S619=1,$S1144=1,$V619=1,$V1144=1), "YES", "NO")</f>
        <v>NO</v>
      </c>
      <c r="Z1144" t="str">
        <f>IF(AND($S619=1,$S1144=1,$V619&gt;1,$V1144&gt;1), "YES", "NO")</f>
        <v>NO</v>
      </c>
      <c r="AA1144" t="str">
        <f>IF(AND($S619&gt;1,$S1144&gt;1,$S619=$V619,$S1144=$V1144), "YES", "NO")</f>
        <v>NO</v>
      </c>
      <c r="AB1144" t="str">
        <f>IF(AND($S619&gt;1,$S1144&gt;1,$S619&lt;$V619,$S1144&lt;$V1144), "YES", "NO")</f>
        <v>NO</v>
      </c>
      <c r="AC1144" t="str">
        <f>IF(AND($V619&gt;10,$V1144&gt;10), "YES", "NO")</f>
        <v>NO</v>
      </c>
      <c r="AD1144"/>
    </row>
    <row r="1145" spans="1:30" ht="15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>LEFT($A1145,FIND("_",$A1145)-1)</f>
        <v>AVATAR</v>
      </c>
      <c r="P1145" s="13" t="str">
        <f>IF($O1145="ACS", "True Search", IF($O1145="Arja", "Evolutionary Search", IF($O1145="AVATAR", "True Pattern", IF($O1145="CapGen", "Search Like Pattern", IF($O1145="Cardumen", "True Semantic", IF($O1145="DynaMoth", "True Semantic", IF($O1145="FixMiner", "True Pattern", IF($O1145="GenProg-A", "Evolutionary Search", IF($O1145="Hercules", "Learning Pattern", IF($O1145="Jaid", "True Semantic",
IF($O1145="Kali-A", "True Search", IF($O1145="kPAR", "True Pattern", IF($O1145="Nopol", "True Semantic", IF($O1145="RSRepair-A", "Evolutionary Search", IF($O1145="SequenceR", "Deep Learning", IF($O1145="SimFix", "Search Like Pattern", IF($O1145="SketchFix", "True Pattern", IF($O1145="SOFix", "True Pattern", IF($O1145="ssFix", "Search Like Pattern", IF($O1145="TBar", "True Pattern", ""))))))))))))))))))))</f>
        <v>True Pattern</v>
      </c>
      <c r="Q1145" s="13" t="str">
        <f>IF(NOT(ISERR(SEARCH("*_Buggy",$A1145))), "Buggy", IF(NOT(ISERR(SEARCH("*_Fixed",$A1145))), "Fixed", IF(NOT(ISERR(SEARCH("*_Repaired",$A1145))), "Repaired", "")))</f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v>1</v>
      </c>
      <c r="W1145" s="13" t="str">
        <f>MID(A1145, SEARCH("_", A1145) +1, SEARCH("_", A1145, SEARCH("_", A1145) +1) - SEARCH("_", A1145) -1)</f>
        <v>Closure-11</v>
      </c>
      <c r="Y1145" t="str">
        <f>IF(AND($S620=1,$S1145=1,$V620=1,$V1145=1), "YES", "NO")</f>
        <v>NO</v>
      </c>
      <c r="Z1145" t="str">
        <f>IF(AND($S620=1,$S1145=1,$V620&gt;1,$V1145&gt;1), "YES", "NO")</f>
        <v>NO</v>
      </c>
      <c r="AA1145" t="str">
        <f>IF(AND($S620&gt;1,$S1145&gt;1,$S620=$V620,$S1145=$V1145), "YES", "NO")</f>
        <v>NO</v>
      </c>
      <c r="AB1145" t="str">
        <f>IF(AND($S620&gt;1,$S1145&gt;1,$S620&lt;$V620,$S1145&lt;$V1145), "YES", "NO")</f>
        <v>NO</v>
      </c>
      <c r="AC1145" t="str">
        <f>IF(AND($V620&gt;10,$V1145&gt;10), "YES", "NO")</f>
        <v>NO</v>
      </c>
      <c r="AD1145"/>
    </row>
    <row r="1146" spans="1:30" ht="15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>LEFT($A1146,FIND("_",$A1146)-1)</f>
        <v>AVATAR</v>
      </c>
      <c r="P1146" s="13" t="str">
        <f>IF($O1146="ACS", "True Search", IF($O1146="Arja", "Evolutionary Search", IF($O1146="AVATAR", "True Pattern", IF($O1146="CapGen", "Search Like Pattern", IF($O1146="Cardumen", "True Semantic", IF($O1146="DynaMoth", "True Semantic", IF($O1146="FixMiner", "True Pattern", IF($O1146="GenProg-A", "Evolutionary Search", IF($O1146="Hercules", "Learning Pattern", IF($O1146="Jaid", "True Semantic",
IF($O1146="Kali-A", "True Search", IF($O1146="kPAR", "True Pattern", IF($O1146="Nopol", "True Semantic", IF($O1146="RSRepair-A", "Evolutionary Search", IF($O1146="SequenceR", "Deep Learning", IF($O1146="SimFix", "Search Like Pattern", IF($O1146="SketchFix", "True Pattern", IF($O1146="SOFix", "True Pattern", IF($O1146="ssFix", "Search Like Pattern", IF($O1146="TBar", "True Pattern", ""))))))))))))))))))))</f>
        <v>True Pattern</v>
      </c>
      <c r="Q1146" s="13" t="str">
        <f>IF(NOT(ISERR(SEARCH("*_Buggy",$A1146))), "Buggy", IF(NOT(ISERR(SEARCH("*_Fixed",$A1146))), "Fixed", IF(NOT(ISERR(SEARCH("*_Repaired",$A1146))), "Repaired", "")))</f>
        <v>Repaired</v>
      </c>
      <c r="R1146" s="13" t="s">
        <v>1668</v>
      </c>
      <c r="S1146" s="25">
        <v>1</v>
      </c>
      <c r="T1146" s="25">
        <v>1</v>
      </c>
      <c r="U1146" s="25">
        <v>7</v>
      </c>
      <c r="V1146" s="13">
        <v>7</v>
      </c>
      <c r="W1146" s="13" t="str">
        <f>MID(A1146, SEARCH("_", A1146) +1, SEARCH("_", A1146, SEARCH("_", A1146) +1) - SEARCH("_", A1146) -1)</f>
        <v>Closure-115</v>
      </c>
      <c r="Y1146" t="str">
        <f>IF(AND($S621=1,$S1146=1,$V621=1,$V1146=1), "YES", "NO")</f>
        <v>NO</v>
      </c>
      <c r="Z1146" t="str">
        <f>IF(AND($S621=1,$S1146=1,$V621&gt;1,$V1146&gt;1), "YES", "NO")</f>
        <v>NO</v>
      </c>
      <c r="AA1146" t="str">
        <f>IF(AND($S621&gt;1,$S1146&gt;1,$S621=$V621,$S1146=$V1146), "YES", "NO")</f>
        <v>NO</v>
      </c>
      <c r="AB1146" t="str">
        <f>IF(AND($S621&gt;1,$S1146&gt;1,$S621&lt;$V621,$S1146&lt;$V1146), "YES", "NO")</f>
        <v>NO</v>
      </c>
      <c r="AC1146" t="str">
        <f>IF(AND($V621&gt;10,$V1146&gt;10), "YES", "NO")</f>
        <v>NO</v>
      </c>
      <c r="AD1146"/>
    </row>
    <row r="1147" spans="1:30" ht="15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>LEFT($A1147,FIND("_",$A1147)-1)</f>
        <v>AVATAR</v>
      </c>
      <c r="P1147" s="13" t="str">
        <f>IF($O1147="ACS", "True Search", IF($O1147="Arja", "Evolutionary Search", IF($O1147="AVATAR", "True Pattern", IF($O1147="CapGen", "Search Like Pattern", IF($O1147="Cardumen", "True Semantic", IF($O1147="DynaMoth", "True Semantic", IF($O1147="FixMiner", "True Pattern", IF($O1147="GenProg-A", "Evolutionary Search", IF($O1147="Hercules", "Learning Pattern", IF($O1147="Jaid", "True Semantic",
IF($O1147="Kali-A", "True Search", IF($O1147="kPAR", "True Pattern", IF($O1147="Nopol", "True Semantic", IF($O1147="RSRepair-A", "Evolutionary Search", IF($O1147="SequenceR", "Deep Learning", IF($O1147="SimFix", "Search Like Pattern", IF($O1147="SketchFix", "True Pattern", IF($O1147="SOFix", "True Pattern", IF($O1147="ssFix", "Search Like Pattern", IF($O1147="TBar", "True Pattern", ""))))))))))))))))))))</f>
        <v>True Pattern</v>
      </c>
      <c r="Q1147" s="13" t="str">
        <f>IF(NOT(ISERR(SEARCH("*_Buggy",$A1147))), "Buggy", IF(NOT(ISERR(SEARCH("*_Fixed",$A1147))), "Fixed", IF(NOT(ISERR(SEARCH("*_Repaired",$A1147))), "Repaired", "")))</f>
        <v>Repaired</v>
      </c>
      <c r="R1147" s="13" t="s">
        <v>1668</v>
      </c>
      <c r="S1147" s="25">
        <v>2</v>
      </c>
      <c r="T1147" s="25">
        <v>4</v>
      </c>
      <c r="U1147" s="25">
        <v>1</v>
      </c>
      <c r="V1147" s="13">
        <v>4</v>
      </c>
      <c r="W1147" s="13" t="str">
        <f>MID(A1147, SEARCH("_", A1147) +1, SEARCH("_", A1147, SEARCH("_", A1147) +1) - SEARCH("_", A1147) -1)</f>
        <v>Closure-2</v>
      </c>
      <c r="Y1147" t="str">
        <f>IF(AND($S622=1,$S1147=1,$V622=1,$V1147=1), "YES", "NO")</f>
        <v>NO</v>
      </c>
      <c r="Z1147" t="str">
        <f>IF(AND($S622=1,$S1147=1,$V622&gt;1,$V1147&gt;1), "YES", "NO")</f>
        <v>NO</v>
      </c>
      <c r="AA1147" t="str">
        <f>IF(AND($S622&gt;1,$S1147&gt;1,$S622=$V622,$S1147=$V1147), "YES", "NO")</f>
        <v>NO</v>
      </c>
      <c r="AB1147" t="str">
        <f>IF(AND($S622&gt;1,$S1147&gt;1,$S622&lt;$V622,$S1147&lt;$V1147), "YES", "NO")</f>
        <v>YES</v>
      </c>
      <c r="AC1147" t="str">
        <f>IF(AND($V622&gt;10,$V1147&gt;10), "YES", "NO")</f>
        <v>NO</v>
      </c>
      <c r="AD1147"/>
    </row>
    <row r="1148" spans="1:30" ht="15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>LEFT($A1148,FIND("_",$A1148)-1)</f>
        <v>AVATAR</v>
      </c>
      <c r="P1148" s="13" t="str">
        <f>IF($O1148="ACS", "True Search", IF($O1148="Arja", "Evolutionary Search", IF($O1148="AVATAR", "True Pattern", IF($O1148="CapGen", "Search Like Pattern", IF($O1148="Cardumen", "True Semantic", IF($O1148="DynaMoth", "True Semantic", IF($O1148="FixMiner", "True Pattern", IF($O1148="GenProg-A", "Evolutionary Search", IF($O1148="Hercules", "Learning Pattern", IF($O1148="Jaid", "True Semantic",
IF($O1148="Kali-A", "True Search", IF($O1148="kPAR", "True Pattern", IF($O1148="Nopol", "True Semantic", IF($O1148="RSRepair-A", "Evolutionary Search", IF($O1148="SequenceR", "Deep Learning", IF($O1148="SimFix", "Search Like Pattern", IF($O1148="SketchFix", "True Pattern", IF($O1148="SOFix", "True Pattern", IF($O1148="ssFix", "Search Like Pattern", IF($O1148="TBar", "True Pattern", ""))))))))))))))))))))</f>
        <v>True Pattern</v>
      </c>
      <c r="Q1148" s="13" t="str">
        <f>IF(NOT(ISERR(SEARCH("*_Buggy",$A1148))), "Buggy", IF(NOT(ISERR(SEARCH("*_Fixed",$A1148))), "Fixed", IF(NOT(ISERR(SEARCH("*_Repaired",$A1148))), "Repaired", "")))</f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v>1</v>
      </c>
      <c r="W1148" s="13" t="str">
        <f>MID(A1148, SEARCH("_", A1148) +1, SEARCH("_", A1148, SEARCH("_", A1148) +1) - SEARCH("_", A1148) -1)</f>
        <v>Closure-21</v>
      </c>
      <c r="Y1148" t="str">
        <f>IF(AND($S623=1,$S1148=1,$V623=1,$V1148=1), "YES", "NO")</f>
        <v>NO</v>
      </c>
      <c r="Z1148" t="str">
        <f>IF(AND($S623=1,$S1148=1,$V623&gt;1,$V1148&gt;1), "YES", "NO")</f>
        <v>NO</v>
      </c>
      <c r="AA1148" t="str">
        <f>IF(AND($S623&gt;1,$S1148&gt;1,$S623=$V623,$S1148=$V1148), "YES", "NO")</f>
        <v>NO</v>
      </c>
      <c r="AB1148" t="str">
        <f>IF(AND($S623&gt;1,$S1148&gt;1,$S623&lt;$V623,$S1148&lt;$V1148), "YES", "NO")</f>
        <v>NO</v>
      </c>
      <c r="AC1148" t="str">
        <f>IF(AND($V623&gt;10,$V1148&gt;10), "YES", "NO")</f>
        <v>NO</v>
      </c>
      <c r="AD1148"/>
    </row>
    <row r="1149" spans="1:30" ht="15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>LEFT($A1149,FIND("_",$A1149)-1)</f>
        <v>AVATAR</v>
      </c>
      <c r="P1149" s="13" t="str">
        <f>IF($O1149="ACS", "True Search", IF($O1149="Arja", "Evolutionary Search", IF($O1149="AVATAR", "True Pattern", IF($O1149="CapGen", "Search Like Pattern", IF($O1149="Cardumen", "True Semantic", IF($O1149="DynaMoth", "True Semantic", IF($O1149="FixMiner", "True Pattern", IF($O1149="GenProg-A", "Evolutionary Search", IF($O1149="Hercules", "Learning Pattern", IF($O1149="Jaid", "True Semantic",
IF($O1149="Kali-A", "True Search", IF($O1149="kPAR", "True Pattern", IF($O1149="Nopol", "True Semantic", IF($O1149="RSRepair-A", "Evolutionary Search", IF($O1149="SequenceR", "Deep Learning", IF($O1149="SimFix", "Search Like Pattern", IF($O1149="SketchFix", "True Pattern", IF($O1149="SOFix", "True Pattern", IF($O1149="ssFix", "Search Like Pattern", IF($O1149="TBar", "True Pattern", ""))))))))))))))))))))</f>
        <v>True Pattern</v>
      </c>
      <c r="Q1149" s="13" t="str">
        <f>IF(NOT(ISERR(SEARCH("*_Buggy",$A1149))), "Buggy", IF(NOT(ISERR(SEARCH("*_Fixed",$A1149))), "Fixed", IF(NOT(ISERR(SEARCH("*_Repaired",$A1149))), "Repaired", "")))</f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v>1</v>
      </c>
      <c r="W1149" s="13" t="str">
        <f>MID(A1149, SEARCH("_", A1149) +1, SEARCH("_", A1149, SEARCH("_", A1149) +1) - SEARCH("_", A1149) -1)</f>
        <v>Closure-22</v>
      </c>
      <c r="Y1149" t="str">
        <f>IF(AND($S624=1,$S1149=1,$V624=1,$V1149=1), "YES", "NO")</f>
        <v>NO</v>
      </c>
      <c r="Z1149" t="str">
        <f>IF(AND($S624=1,$S1149=1,$V624&gt;1,$V1149&gt;1), "YES", "NO")</f>
        <v>NO</v>
      </c>
      <c r="AA1149" t="str">
        <f>IF(AND($S624&gt;1,$S1149&gt;1,$S624=$V624,$S1149=$V1149), "YES", "NO")</f>
        <v>NO</v>
      </c>
      <c r="AB1149" t="str">
        <f>IF(AND($S624&gt;1,$S1149&gt;1,$S624&lt;$V624,$S1149&lt;$V1149), "YES", "NO")</f>
        <v>NO</v>
      </c>
      <c r="AC1149" t="str">
        <f>IF(AND($V624&gt;10,$V1149&gt;10), "YES", "NO")</f>
        <v>NO</v>
      </c>
      <c r="AD1149"/>
    </row>
    <row r="1150" spans="1:30" ht="15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>LEFT($A1150,FIND("_",$A1150)-1)</f>
        <v>AVATAR</v>
      </c>
      <c r="P1150" s="13" t="str">
        <f>IF($O1150="ACS", "True Search", IF($O1150="Arja", "Evolutionary Search", IF($O1150="AVATAR", "True Pattern", IF($O1150="CapGen", "Search Like Pattern", IF($O1150="Cardumen", "True Semantic", IF($O1150="DynaMoth", "True Semantic", IF($O1150="FixMiner", "True Pattern", IF($O1150="GenProg-A", "Evolutionary Search", IF($O1150="Hercules", "Learning Pattern", IF($O1150="Jaid", "True Semantic",
IF($O1150="Kali-A", "True Search", IF($O1150="kPAR", "True Pattern", IF($O1150="Nopol", "True Semantic", IF($O1150="RSRepair-A", "Evolutionary Search", IF($O1150="SequenceR", "Deep Learning", IF($O1150="SimFix", "Search Like Pattern", IF($O1150="SketchFix", "True Pattern", IF($O1150="SOFix", "True Pattern", IF($O1150="ssFix", "Search Like Pattern", IF($O1150="TBar", "True Pattern", ""))))))))))))))))))))</f>
        <v>True Pattern</v>
      </c>
      <c r="Q1150" s="13" t="str">
        <f>IF(NOT(ISERR(SEARCH("*_Buggy",$A1150))), "Buggy", IF(NOT(ISERR(SEARCH("*_Fixed",$A1150))), "Fixed", IF(NOT(ISERR(SEARCH("*_Repaired",$A1150))), "Repaired", "")))</f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v>1</v>
      </c>
      <c r="W1150" s="13" t="str">
        <f>MID(A1150, SEARCH("_", A1150) +1, SEARCH("_", A1150, SEARCH("_", A1150) +1) - SEARCH("_", A1150) -1)</f>
        <v>Closure-38</v>
      </c>
      <c r="Y1150" t="str">
        <f>IF(AND($S625=1,$S1150=1,$V625=1,$V1150=1), "YES", "NO")</f>
        <v>YES</v>
      </c>
      <c r="Z1150" t="str">
        <f>IF(AND($S625=1,$S1150=1,$V625&gt;1,$V1150&gt;1), "YES", "NO")</f>
        <v>NO</v>
      </c>
      <c r="AA1150" t="str">
        <f>IF(AND($S625&gt;1,$S1150&gt;1,$S625=$V625,$S1150=$V1150), "YES", "NO")</f>
        <v>NO</v>
      </c>
      <c r="AB1150" t="str">
        <f>IF(AND($S625&gt;1,$S1150&gt;1,$S625&lt;$V625,$S1150&lt;$V1150), "YES", "NO")</f>
        <v>NO</v>
      </c>
      <c r="AC1150" t="str">
        <f>IF(AND($V625&gt;10,$V1150&gt;10), "YES", "NO")</f>
        <v>NO</v>
      </c>
      <c r="AD1150"/>
    </row>
    <row r="1151" spans="1:30" ht="15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>LEFT($A1151,FIND("_",$A1151)-1)</f>
        <v>AVATAR</v>
      </c>
      <c r="P1151" s="13" t="str">
        <f>IF($O1151="ACS", "True Search", IF($O1151="Arja", "Evolutionary Search", IF($O1151="AVATAR", "True Pattern", IF($O1151="CapGen", "Search Like Pattern", IF($O1151="Cardumen", "True Semantic", IF($O1151="DynaMoth", "True Semantic", IF($O1151="FixMiner", "True Pattern", IF($O1151="GenProg-A", "Evolutionary Search", IF($O1151="Hercules", "Learning Pattern", IF($O1151="Jaid", "True Semantic",
IF($O1151="Kali-A", "True Search", IF($O1151="kPAR", "True Pattern", IF($O1151="Nopol", "True Semantic", IF($O1151="RSRepair-A", "Evolutionary Search", IF($O1151="SequenceR", "Deep Learning", IF($O1151="SimFix", "Search Like Pattern", IF($O1151="SketchFix", "True Pattern", IF($O1151="SOFix", "True Pattern", IF($O1151="ssFix", "Search Like Pattern", IF($O1151="TBar", "True Pattern", ""))))))))))))))))))))</f>
        <v>True Pattern</v>
      </c>
      <c r="Q1151" s="13" t="str">
        <f>IF(NOT(ISERR(SEARCH("*_Buggy",$A1151))), "Buggy", IF(NOT(ISERR(SEARCH("*_Fixed",$A1151))), "Fixed", IF(NOT(ISERR(SEARCH("*_Repaired",$A1151))), "Repaired", "")))</f>
        <v>Repaired</v>
      </c>
      <c r="R1151" s="13" t="s">
        <v>1669</v>
      </c>
      <c r="S1151" s="25">
        <v>1</v>
      </c>
      <c r="T1151" s="25">
        <v>1</v>
      </c>
      <c r="U1151" s="25">
        <v>4</v>
      </c>
      <c r="V1151" s="13">
        <v>4</v>
      </c>
      <c r="W1151" s="13" t="str">
        <f>MID(A1151, SEARCH("_", A1151) +1, SEARCH("_", A1151, SEARCH("_", A1151) +1) - SEARCH("_", A1151) -1)</f>
        <v>Closure-45</v>
      </c>
      <c r="Y1151" t="str">
        <f>IF(AND($S626=1,$S1151=1,$V626=1,$V1151=1), "YES", "NO")</f>
        <v>NO</v>
      </c>
      <c r="Z1151" t="str">
        <f>IF(AND($S626=1,$S1151=1,$V626&gt;1,$V1151&gt;1), "YES", "NO")</f>
        <v>NO</v>
      </c>
      <c r="AA1151" t="str">
        <f>IF(AND($S626&gt;1,$S1151&gt;1,$S626=$V626,$S1151=$V1151), "YES", "NO")</f>
        <v>NO</v>
      </c>
      <c r="AB1151" t="str">
        <f>IF(AND($S626&gt;1,$S1151&gt;1,$S626&lt;$V626,$S1151&lt;$V1151), "YES", "NO")</f>
        <v>NO</v>
      </c>
      <c r="AC1151" t="str">
        <f>IF(AND($V626&gt;10,$V1151&gt;10), "YES", "NO")</f>
        <v>NO</v>
      </c>
      <c r="AD1151"/>
    </row>
    <row r="1152" spans="1:30" ht="15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>LEFT($A1152,FIND("_",$A1152)-1)</f>
        <v>AVATAR</v>
      </c>
      <c r="P1152" s="13" t="str">
        <f>IF($O1152="ACS", "True Search", IF($O1152="Arja", "Evolutionary Search", IF($O1152="AVATAR", "True Pattern", IF($O1152="CapGen", "Search Like Pattern", IF($O1152="Cardumen", "True Semantic", IF($O1152="DynaMoth", "True Semantic", IF($O1152="FixMiner", "True Pattern", IF($O1152="GenProg-A", "Evolutionary Search", IF($O1152="Hercules", "Learning Pattern", IF($O1152="Jaid", "True Semantic",
IF($O1152="Kali-A", "True Search", IF($O1152="kPAR", "True Pattern", IF($O1152="Nopol", "True Semantic", IF($O1152="RSRepair-A", "Evolutionary Search", IF($O1152="SequenceR", "Deep Learning", IF($O1152="SimFix", "Search Like Pattern", IF($O1152="SketchFix", "True Pattern", IF($O1152="SOFix", "True Pattern", IF($O1152="ssFix", "Search Like Pattern", IF($O1152="TBar", "True Pattern", ""))))))))))))))))))))</f>
        <v>True Pattern</v>
      </c>
      <c r="Q1152" s="13" t="str">
        <f>IF(NOT(ISERR(SEARCH("*_Buggy",$A1152))), "Buggy", IF(NOT(ISERR(SEARCH("*_Fixed",$A1152))), "Fixed", IF(NOT(ISERR(SEARCH("*_Repaired",$A1152))), "Repaired", "")))</f>
        <v>Repaired</v>
      </c>
      <c r="R1152" s="13" t="s">
        <v>1668</v>
      </c>
      <c r="S1152" s="25">
        <v>1</v>
      </c>
      <c r="T1152" s="25">
        <v>1</v>
      </c>
      <c r="U1152" s="25">
        <v>16</v>
      </c>
      <c r="V1152" s="13">
        <v>16</v>
      </c>
      <c r="W1152" s="13" t="str">
        <f>MID(A1152, SEARCH("_", A1152) +1, SEARCH("_", A1152, SEARCH("_", A1152) +1) - SEARCH("_", A1152) -1)</f>
        <v>Closure-46</v>
      </c>
      <c r="Y1152" t="str">
        <f>IF(AND($S627=1,$S1152=1,$V627=1,$V1152=1), "YES", "NO")</f>
        <v>NO</v>
      </c>
      <c r="Z1152" t="str">
        <f>IF(AND($S627=1,$S1152=1,$V627&gt;1,$V1152&gt;1), "YES", "NO")</f>
        <v>YES</v>
      </c>
      <c r="AA1152" t="str">
        <f>IF(AND($S627&gt;1,$S1152&gt;1,$S627=$V627,$S1152=$V1152), "YES", "NO")</f>
        <v>NO</v>
      </c>
      <c r="AB1152" t="str">
        <f>IF(AND($S627&gt;1,$S1152&gt;1,$S627&lt;$V627,$S1152&lt;$V1152), "YES", "NO")</f>
        <v>NO</v>
      </c>
      <c r="AC1152" t="str">
        <f>IF(AND($V627&gt;10,$V1152&gt;10), "YES", "NO")</f>
        <v>YES</v>
      </c>
      <c r="AD1152"/>
    </row>
    <row r="1153" spans="1:30" ht="15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>LEFT($A1153,FIND("_",$A1153)-1)</f>
        <v>AVATAR</v>
      </c>
      <c r="P1153" s="13" t="str">
        <f>IF($O1153="ACS", "True Search", IF($O1153="Arja", "Evolutionary Search", IF($O1153="AVATAR", "True Pattern", IF($O1153="CapGen", "Search Like Pattern", IF($O1153="Cardumen", "True Semantic", IF($O1153="DynaMoth", "True Semantic", IF($O1153="FixMiner", "True Pattern", IF($O1153="GenProg-A", "Evolutionary Search", IF($O1153="Hercules", "Learning Pattern", IF($O1153="Jaid", "True Semantic",
IF($O1153="Kali-A", "True Search", IF($O1153="kPAR", "True Pattern", IF($O1153="Nopol", "True Semantic", IF($O1153="RSRepair-A", "Evolutionary Search", IF($O1153="SequenceR", "Deep Learning", IF($O1153="SimFix", "Search Like Pattern", IF($O1153="SketchFix", "True Pattern", IF($O1153="SOFix", "True Pattern", IF($O1153="ssFix", "Search Like Pattern", IF($O1153="TBar", "True Pattern", ""))))))))))))))))))))</f>
        <v>True Pattern</v>
      </c>
      <c r="Q1153" s="13" t="str">
        <f>IF(NOT(ISERR(SEARCH("*_Buggy",$A1153))), "Buggy", IF(NOT(ISERR(SEARCH("*_Fixed",$A1153))), "Fixed", IF(NOT(ISERR(SEARCH("*_Repaired",$A1153))), "Repaired", "")))</f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v>1</v>
      </c>
      <c r="W1153" s="13" t="str">
        <f>MID(A1153, SEARCH("_", A1153) +1, SEARCH("_", A1153, SEARCH("_", A1153) +1) - SEARCH("_", A1153) -1)</f>
        <v>Closure-48</v>
      </c>
      <c r="Y1153" t="str">
        <f>IF(AND($S628=1,$S1153=1,$V628=1,$V1153=1), "YES", "NO")</f>
        <v>NO</v>
      </c>
      <c r="Z1153" t="str">
        <f>IF(AND($S628=1,$S1153=1,$V628&gt;1,$V1153&gt;1), "YES", "NO")</f>
        <v>NO</v>
      </c>
      <c r="AA1153" t="str">
        <f>IF(AND($S628&gt;1,$S1153&gt;1,$S628=$V628,$S1153=$V1153), "YES", "NO")</f>
        <v>NO</v>
      </c>
      <c r="AB1153" t="str">
        <f>IF(AND($S628&gt;1,$S1153&gt;1,$S628&lt;$V628,$S1153&lt;$V1153), "YES", "NO")</f>
        <v>NO</v>
      </c>
      <c r="AC1153" t="str">
        <f>IF(AND($V628&gt;10,$V1153&gt;10), "YES", "NO")</f>
        <v>NO</v>
      </c>
      <c r="AD1153"/>
    </row>
    <row r="1154" spans="1:30" ht="15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>LEFT($A1154,FIND("_",$A1154)-1)</f>
        <v>AVATAR</v>
      </c>
      <c r="P1154" s="13" t="str">
        <f>IF($O1154="ACS", "True Search", IF($O1154="Arja", "Evolutionary Search", IF($O1154="AVATAR", "True Pattern", IF($O1154="CapGen", "Search Like Pattern", IF($O1154="Cardumen", "True Semantic", IF($O1154="DynaMoth", "True Semantic", IF($O1154="FixMiner", "True Pattern", IF($O1154="GenProg-A", "Evolutionary Search", IF($O1154="Hercules", "Learning Pattern", IF($O1154="Jaid", "True Semantic",
IF($O1154="Kali-A", "True Search", IF($O1154="kPAR", "True Pattern", IF($O1154="Nopol", "True Semantic", IF($O1154="RSRepair-A", "Evolutionary Search", IF($O1154="SequenceR", "Deep Learning", IF($O1154="SimFix", "Search Like Pattern", IF($O1154="SketchFix", "True Pattern", IF($O1154="SOFix", "True Pattern", IF($O1154="ssFix", "Search Like Pattern", IF($O1154="TBar", "True Pattern", ""))))))))))))))))))))</f>
        <v>True Pattern</v>
      </c>
      <c r="Q1154" s="13" t="str">
        <f>IF(NOT(ISERR(SEARCH("*_Buggy",$A1154))), "Buggy", IF(NOT(ISERR(SEARCH("*_Fixed",$A1154))), "Fixed", IF(NOT(ISERR(SEARCH("*_Repaired",$A1154))), "Repaired", "")))</f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v>1</v>
      </c>
      <c r="W1154" s="13" t="str">
        <f>MID(A1154, SEARCH("_", A1154) +1, SEARCH("_", A1154, SEARCH("_", A1154) +1) - SEARCH("_", A1154) -1)</f>
        <v>Closure-62</v>
      </c>
      <c r="Y1154" t="str">
        <f>IF(AND($S629=1,$S1154=1,$V629=1,$V1154=1), "YES", "NO")</f>
        <v>YES</v>
      </c>
      <c r="Z1154" t="str">
        <f>IF(AND($S629=1,$S1154=1,$V629&gt;1,$V1154&gt;1), "YES", "NO")</f>
        <v>NO</v>
      </c>
      <c r="AA1154" t="str">
        <f>IF(AND($S629&gt;1,$S1154&gt;1,$S629=$V629,$S1154=$V1154), "YES", "NO")</f>
        <v>NO</v>
      </c>
      <c r="AB1154" t="str">
        <f>IF(AND($S629&gt;1,$S1154&gt;1,$S629&lt;$V629,$S1154&lt;$V1154), "YES", "NO")</f>
        <v>NO</v>
      </c>
      <c r="AC1154" t="str">
        <f>IF(AND($V629&gt;10,$V1154&gt;10), "YES", "NO")</f>
        <v>NO</v>
      </c>
      <c r="AD1154"/>
    </row>
    <row r="1155" spans="1:30" ht="15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>LEFT($A1155,FIND("_",$A1155)-1)</f>
        <v>AVATAR</v>
      </c>
      <c r="P1155" s="13" t="str">
        <f>IF($O1155="ACS", "True Search", IF($O1155="Arja", "Evolutionary Search", IF($O1155="AVATAR", "True Pattern", IF($O1155="CapGen", "Search Like Pattern", IF($O1155="Cardumen", "True Semantic", IF($O1155="DynaMoth", "True Semantic", IF($O1155="FixMiner", "True Pattern", IF($O1155="GenProg-A", "Evolutionary Search", IF($O1155="Hercules", "Learning Pattern", IF($O1155="Jaid", "True Semantic",
IF($O1155="Kali-A", "True Search", IF($O1155="kPAR", "True Pattern", IF($O1155="Nopol", "True Semantic", IF($O1155="RSRepair-A", "Evolutionary Search", IF($O1155="SequenceR", "Deep Learning", IF($O1155="SimFix", "Search Like Pattern", IF($O1155="SketchFix", "True Pattern", IF($O1155="SOFix", "True Pattern", IF($O1155="ssFix", "Search Like Pattern", IF($O1155="TBar", "True Pattern", ""))))))))))))))))))))</f>
        <v>True Pattern</v>
      </c>
      <c r="Q1155" s="13" t="str">
        <f>IF(NOT(ISERR(SEARCH("*_Buggy",$A1155))), "Buggy", IF(NOT(ISERR(SEARCH("*_Fixed",$A1155))), "Fixed", IF(NOT(ISERR(SEARCH("*_Repaired",$A1155))), "Repaired", "")))</f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v>1</v>
      </c>
      <c r="W1155" s="13" t="str">
        <f>MID(A1155, SEARCH("_", A1155) +1, SEARCH("_", A1155, SEARCH("_", A1155) +1) - SEARCH("_", A1155) -1)</f>
        <v>Closure-66</v>
      </c>
      <c r="Y1155" t="str">
        <f>IF(AND($S630=1,$S1155=1,$V630=1,$V1155=1), "YES", "NO")</f>
        <v>NO</v>
      </c>
      <c r="Z1155" t="str">
        <f>IF(AND($S630=1,$S1155=1,$V630&gt;1,$V1155&gt;1), "YES", "NO")</f>
        <v>NO</v>
      </c>
      <c r="AA1155" t="str">
        <f>IF(AND($S630&gt;1,$S1155&gt;1,$S630=$V630,$S1155=$V1155), "YES", "NO")</f>
        <v>NO</v>
      </c>
      <c r="AB1155" t="str">
        <f>IF(AND($S630&gt;1,$S1155&gt;1,$S630&lt;$V630,$S1155&lt;$V1155), "YES", "NO")</f>
        <v>NO</v>
      </c>
      <c r="AC1155" t="str">
        <f>IF(AND($V630&gt;10,$V1155&gt;10), "YES", "NO")</f>
        <v>NO</v>
      </c>
      <c r="AD1155"/>
    </row>
    <row r="1156" spans="1:30" ht="15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>LEFT($A1156,FIND("_",$A1156)-1)</f>
        <v>AVATAR</v>
      </c>
      <c r="P1156" s="13" t="str">
        <f>IF($O1156="ACS", "True Search", IF($O1156="Arja", "Evolutionary Search", IF($O1156="AVATAR", "True Pattern", IF($O1156="CapGen", "Search Like Pattern", IF($O1156="Cardumen", "True Semantic", IF($O1156="DynaMoth", "True Semantic", IF($O1156="FixMiner", "True Pattern", IF($O1156="GenProg-A", "Evolutionary Search", IF($O1156="Hercules", "Learning Pattern", IF($O1156="Jaid", "True Semantic",
IF($O1156="Kali-A", "True Search", IF($O1156="kPAR", "True Pattern", IF($O1156="Nopol", "True Semantic", IF($O1156="RSRepair-A", "Evolutionary Search", IF($O1156="SequenceR", "Deep Learning", IF($O1156="SimFix", "Search Like Pattern", IF($O1156="SketchFix", "True Pattern", IF($O1156="SOFix", "True Pattern", IF($O1156="ssFix", "Search Like Pattern", IF($O1156="TBar", "True Pattern", ""))))))))))))))))))))</f>
        <v>True Pattern</v>
      </c>
      <c r="Q1156" s="13" t="str">
        <f>IF(NOT(ISERR(SEARCH("*_Buggy",$A1156))), "Buggy", IF(NOT(ISERR(SEARCH("*_Fixed",$A1156))), "Fixed", IF(NOT(ISERR(SEARCH("*_Repaired",$A1156))), "Repaired", "")))</f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v>1</v>
      </c>
      <c r="W1156" s="13" t="str">
        <f>MID(A1156, SEARCH("_", A1156) +1, SEARCH("_", A1156, SEARCH("_", A1156) +1) - SEARCH("_", A1156) -1)</f>
        <v>Closure-73</v>
      </c>
      <c r="Y1156" t="str">
        <f>IF(AND($S631=1,$S1156=1,$V631=1,$V1156=1), "YES", "NO")</f>
        <v>YES</v>
      </c>
      <c r="Z1156" t="str">
        <f>IF(AND($S631=1,$S1156=1,$V631&gt;1,$V1156&gt;1), "YES", "NO")</f>
        <v>NO</v>
      </c>
      <c r="AA1156" t="str">
        <f>IF(AND($S631&gt;1,$S1156&gt;1,$S631=$V631,$S1156=$V1156), "YES", "NO")</f>
        <v>NO</v>
      </c>
      <c r="AB1156" t="str">
        <f>IF(AND($S631&gt;1,$S1156&gt;1,$S631&lt;$V631,$S1156&lt;$V1156), "YES", "NO")</f>
        <v>NO</v>
      </c>
      <c r="AC1156" t="str">
        <f>IF(AND($V631&gt;10,$V1156&gt;10), "YES", "NO")</f>
        <v>NO</v>
      </c>
      <c r="AD1156"/>
    </row>
    <row r="1157" spans="1:30" ht="15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>LEFT($A1157,FIND("_",$A1157)-1)</f>
        <v>AVATAR</v>
      </c>
      <c r="P1157" s="13" t="str">
        <f>IF($O1157="ACS", "True Search", IF($O1157="Arja", "Evolutionary Search", IF($O1157="AVATAR", "True Pattern", IF($O1157="CapGen", "Search Like Pattern", IF($O1157="Cardumen", "True Semantic", IF($O1157="DynaMoth", "True Semantic", IF($O1157="FixMiner", "True Pattern", IF($O1157="GenProg-A", "Evolutionary Search", IF($O1157="Hercules", "Learning Pattern", IF($O1157="Jaid", "True Semantic",
IF($O1157="Kali-A", "True Search", IF($O1157="kPAR", "True Pattern", IF($O1157="Nopol", "True Semantic", IF($O1157="RSRepair-A", "Evolutionary Search", IF($O1157="SequenceR", "Deep Learning", IF($O1157="SimFix", "Search Like Pattern", IF($O1157="SketchFix", "True Pattern", IF($O1157="SOFix", "True Pattern", IF($O1157="ssFix", "Search Like Pattern", IF($O1157="TBar", "True Pattern", ""))))))))))))))))))))</f>
        <v>True Pattern</v>
      </c>
      <c r="Q1157" s="13" t="str">
        <f>IF(NOT(ISERR(SEARCH("*_Buggy",$A1157))), "Buggy", IF(NOT(ISERR(SEARCH("*_Fixed",$A1157))), "Fixed", IF(NOT(ISERR(SEARCH("*_Repaired",$A1157))), "Repaired", "")))</f>
        <v>Repaired</v>
      </c>
      <c r="R1157" s="13" t="s">
        <v>1668</v>
      </c>
      <c r="S1157" s="25">
        <v>1</v>
      </c>
      <c r="T1157" s="25">
        <v>1</v>
      </c>
      <c r="U1157" s="25">
        <v>7</v>
      </c>
      <c r="V1157" s="13">
        <v>7</v>
      </c>
      <c r="W1157" s="13" t="str">
        <f>MID(A1157, SEARCH("_", A1157) +1, SEARCH("_", A1157, SEARCH("_", A1157) +1) - SEARCH("_", A1157) -1)</f>
        <v>Lang-10</v>
      </c>
      <c r="Y1157" t="str">
        <f>IF(AND($S632=1,$S1157=1,$V632=1,$V1157=1), "YES", "NO")</f>
        <v>NO</v>
      </c>
      <c r="Z1157" t="str">
        <f>IF(AND($S632=1,$S1157=1,$V632&gt;1,$V1157&gt;1), "YES", "NO")</f>
        <v>NO</v>
      </c>
      <c r="AA1157" t="str">
        <f>IF(AND($S632&gt;1,$S1157&gt;1,$S632=$V632,$S1157=$V1157), "YES", "NO")</f>
        <v>NO</v>
      </c>
      <c r="AB1157" t="str">
        <f>IF(AND($S632&gt;1,$S1157&gt;1,$S632&lt;$V632,$S1157&lt;$V1157), "YES", "NO")</f>
        <v>NO</v>
      </c>
      <c r="AC1157" t="str">
        <f>IF(AND($V632&gt;10,$V1157&gt;10), "YES", "NO")</f>
        <v>NO</v>
      </c>
      <c r="AD1157"/>
    </row>
    <row r="1158" spans="1:30" ht="15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>LEFT($A1158,FIND("_",$A1158)-1)</f>
        <v>AVATAR</v>
      </c>
      <c r="P1158" s="13" t="str">
        <f>IF($O1158="ACS", "True Search", IF($O1158="Arja", "Evolutionary Search", IF($O1158="AVATAR", "True Pattern", IF($O1158="CapGen", "Search Like Pattern", IF($O1158="Cardumen", "True Semantic", IF($O1158="DynaMoth", "True Semantic", IF($O1158="FixMiner", "True Pattern", IF($O1158="GenProg-A", "Evolutionary Search", IF($O1158="Hercules", "Learning Pattern", IF($O1158="Jaid", "True Semantic",
IF($O1158="Kali-A", "True Search", IF($O1158="kPAR", "True Pattern", IF($O1158="Nopol", "True Semantic", IF($O1158="RSRepair-A", "Evolutionary Search", IF($O1158="SequenceR", "Deep Learning", IF($O1158="SimFix", "Search Like Pattern", IF($O1158="SketchFix", "True Pattern", IF($O1158="SOFix", "True Pattern", IF($O1158="ssFix", "Search Like Pattern", IF($O1158="TBar", "True Pattern", ""))))))))))))))))))))</f>
        <v>True Pattern</v>
      </c>
      <c r="Q1158" s="13" t="str">
        <f>IF(NOT(ISERR(SEARCH("*_Buggy",$A1158))), "Buggy", IF(NOT(ISERR(SEARCH("*_Fixed",$A1158))), "Fixed", IF(NOT(ISERR(SEARCH("*_Repaired",$A1158))), "Repaired", "")))</f>
        <v>Repaired</v>
      </c>
      <c r="R1158" s="13" t="s">
        <v>1669</v>
      </c>
      <c r="S1158" s="25">
        <v>1</v>
      </c>
      <c r="T1158" s="25">
        <v>1</v>
      </c>
      <c r="U1158" s="25">
        <v>17</v>
      </c>
      <c r="V1158" s="13">
        <v>17</v>
      </c>
      <c r="W1158" s="13" t="str">
        <f>MID(A1158, SEARCH("_", A1158) +1, SEARCH("_", A1158, SEARCH("_", A1158) +1) - SEARCH("_", A1158) -1)</f>
        <v>Lang-13</v>
      </c>
      <c r="Y1158" t="str">
        <f>IF(AND($S633=1,$S1158=1,$V633=1,$V1158=1), "YES", "NO")</f>
        <v>NO</v>
      </c>
      <c r="Z1158" t="str">
        <f>IF(AND($S633=1,$S1158=1,$V633&gt;1,$V1158&gt;1), "YES", "NO")</f>
        <v>NO</v>
      </c>
      <c r="AA1158" t="str">
        <f>IF(AND($S633&gt;1,$S1158&gt;1,$S633=$V633,$S1158=$V1158), "YES", "NO")</f>
        <v>NO</v>
      </c>
      <c r="AB1158" t="str">
        <f>IF(AND($S633&gt;1,$S1158&gt;1,$S633&lt;$V633,$S1158&lt;$V1158), "YES", "NO")</f>
        <v>NO</v>
      </c>
      <c r="AC1158" t="str">
        <f>IF(AND($V633&gt;10,$V1158&gt;10), "YES", "NO")</f>
        <v>YES</v>
      </c>
      <c r="AD1158"/>
    </row>
    <row r="1159" spans="1:30" ht="15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>LEFT($A1159,FIND("_",$A1159)-1)</f>
        <v>AVATAR</v>
      </c>
      <c r="P1159" s="13" t="str">
        <f>IF($O1159="ACS", "True Search", IF($O1159="Arja", "Evolutionary Search", IF($O1159="AVATAR", "True Pattern", IF($O1159="CapGen", "Search Like Pattern", IF($O1159="Cardumen", "True Semantic", IF($O1159="DynaMoth", "True Semantic", IF($O1159="FixMiner", "True Pattern", IF($O1159="GenProg-A", "Evolutionary Search", IF($O1159="Hercules", "Learning Pattern", IF($O1159="Jaid", "True Semantic",
IF($O1159="Kali-A", "True Search", IF($O1159="kPAR", "True Pattern", IF($O1159="Nopol", "True Semantic", IF($O1159="RSRepair-A", "Evolutionary Search", IF($O1159="SequenceR", "Deep Learning", IF($O1159="SimFix", "Search Like Pattern", IF($O1159="SketchFix", "True Pattern", IF($O1159="SOFix", "True Pattern", IF($O1159="ssFix", "Search Like Pattern", IF($O1159="TBar", "True Pattern", ""))))))))))))))))))))</f>
        <v>True Pattern</v>
      </c>
      <c r="Q1159" s="13" t="str">
        <f>IF(NOT(ISERR(SEARCH("*_Buggy",$A1159))), "Buggy", IF(NOT(ISERR(SEARCH("*_Fixed",$A1159))), "Fixed", IF(NOT(ISERR(SEARCH("*_Repaired",$A1159))), "Repaired", "")))</f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v>1</v>
      </c>
      <c r="W1159" s="13" t="str">
        <f>MID(A1159, SEARCH("_", A1159) +1, SEARCH("_", A1159, SEARCH("_", A1159) +1) - SEARCH("_", A1159) -1)</f>
        <v>Lang-20</v>
      </c>
      <c r="Y1159" t="str">
        <f>IF(AND($S634=1,$S1159=1,$V634=1,$V1159=1), "YES", "NO")</f>
        <v>NO</v>
      </c>
      <c r="Z1159" t="str">
        <f>IF(AND($S634=1,$S1159=1,$V634&gt;1,$V1159&gt;1), "YES", "NO")</f>
        <v>NO</v>
      </c>
      <c r="AA1159" t="str">
        <f>IF(AND($S634&gt;1,$S1159&gt;1,$S634=$V634,$S1159=$V1159), "YES", "NO")</f>
        <v>NO</v>
      </c>
      <c r="AB1159" t="str">
        <f>IF(AND($S634&gt;1,$S1159&gt;1,$S634&lt;$V634,$S1159&lt;$V1159), "YES", "NO")</f>
        <v>NO</v>
      </c>
      <c r="AC1159" t="str">
        <f>IF(AND($V634&gt;10,$V1159&gt;10), "YES", "NO")</f>
        <v>NO</v>
      </c>
      <c r="AD1159"/>
    </row>
    <row r="1160" spans="1:30" ht="15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>LEFT($A1160,FIND("_",$A1160)-1)</f>
        <v>AVATAR</v>
      </c>
      <c r="P1160" s="13" t="str">
        <f>IF($O1160="ACS", "True Search", IF($O1160="Arja", "Evolutionary Search", IF($O1160="AVATAR", "True Pattern", IF($O1160="CapGen", "Search Like Pattern", IF($O1160="Cardumen", "True Semantic", IF($O1160="DynaMoth", "True Semantic", IF($O1160="FixMiner", "True Pattern", IF($O1160="GenProg-A", "Evolutionary Search", IF($O1160="Hercules", "Learning Pattern", IF($O1160="Jaid", "True Semantic",
IF($O1160="Kali-A", "True Search", IF($O1160="kPAR", "True Pattern", IF($O1160="Nopol", "True Semantic", IF($O1160="RSRepair-A", "Evolutionary Search", IF($O1160="SequenceR", "Deep Learning", IF($O1160="SimFix", "Search Like Pattern", IF($O1160="SketchFix", "True Pattern", IF($O1160="SOFix", "True Pattern", IF($O1160="ssFix", "Search Like Pattern", IF($O1160="TBar", "True Pattern", ""))))))))))))))))))))</f>
        <v>True Pattern</v>
      </c>
      <c r="Q1160" s="13" t="str">
        <f>IF(NOT(ISERR(SEARCH("*_Buggy",$A1160))), "Buggy", IF(NOT(ISERR(SEARCH("*_Fixed",$A1160))), "Fixed", IF(NOT(ISERR(SEARCH("*_Repaired",$A1160))), "Repaired", "")))</f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v>1</v>
      </c>
      <c r="W1160" s="13" t="str">
        <f>MID(A1160, SEARCH("_", A1160) +1, SEARCH("_", A1160, SEARCH("_", A1160) +1) - SEARCH("_", A1160) -1)</f>
        <v>Lang-22</v>
      </c>
      <c r="Y1160" t="str">
        <f>IF(AND($S635=1,$S1160=1,$V635=1,$V1160=1), "YES", "NO")</f>
        <v>NO</v>
      </c>
      <c r="Z1160" t="str">
        <f>IF(AND($S635=1,$S1160=1,$V635&gt;1,$V1160&gt;1), "YES", "NO")</f>
        <v>NO</v>
      </c>
      <c r="AA1160" t="str">
        <f>IF(AND($S635&gt;1,$S1160&gt;1,$S635=$V635,$S1160=$V1160), "YES", "NO")</f>
        <v>NO</v>
      </c>
      <c r="AB1160" t="str">
        <f>IF(AND($S635&gt;1,$S1160&gt;1,$S635&lt;$V635,$S1160&lt;$V1160), "YES", "NO")</f>
        <v>NO</v>
      </c>
      <c r="AC1160" t="str">
        <f>IF(AND($V635&gt;10,$V1160&gt;10), "YES", "NO")</f>
        <v>NO</v>
      </c>
      <c r="AD1160"/>
    </row>
    <row r="1161" spans="1:30" ht="15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>LEFT($A1161,FIND("_",$A1161)-1)</f>
        <v>AVATAR</v>
      </c>
      <c r="P1161" s="13" t="str">
        <f>IF($O1161="ACS", "True Search", IF($O1161="Arja", "Evolutionary Search", IF($O1161="AVATAR", "True Pattern", IF($O1161="CapGen", "Search Like Pattern", IF($O1161="Cardumen", "True Semantic", IF($O1161="DynaMoth", "True Semantic", IF($O1161="FixMiner", "True Pattern", IF($O1161="GenProg-A", "Evolutionary Search", IF($O1161="Hercules", "Learning Pattern", IF($O1161="Jaid", "True Semantic",
IF($O1161="Kali-A", "True Search", IF($O1161="kPAR", "True Pattern", IF($O1161="Nopol", "True Semantic", IF($O1161="RSRepair-A", "Evolutionary Search", IF($O1161="SequenceR", "Deep Learning", IF($O1161="SimFix", "Search Like Pattern", IF($O1161="SketchFix", "True Pattern", IF($O1161="SOFix", "True Pattern", IF($O1161="ssFix", "Search Like Pattern", IF($O1161="TBar", "True Pattern", ""))))))))))))))))))))</f>
        <v>True Pattern</v>
      </c>
      <c r="Q1161" s="13" t="str">
        <f>IF(NOT(ISERR(SEARCH("*_Buggy",$A1161))), "Buggy", IF(NOT(ISERR(SEARCH("*_Fixed",$A1161))), "Fixed", IF(NOT(ISERR(SEARCH("*_Repaired",$A1161))), "Repaired", "")))</f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v>1</v>
      </c>
      <c r="W1161" s="13" t="str">
        <f>MID(A1161, SEARCH("_", A1161) +1, SEARCH("_", A1161, SEARCH("_", A1161) +1) - SEARCH("_", A1161) -1)</f>
        <v>Lang-27</v>
      </c>
      <c r="Y1161" t="str">
        <f>IF(AND($S636=1,$S1161=1,$V636=1,$V1161=1), "YES", "NO")</f>
        <v>NO</v>
      </c>
      <c r="Z1161" t="str">
        <f>IF(AND($S636=1,$S1161=1,$V636&gt;1,$V1161&gt;1), "YES", "NO")</f>
        <v>NO</v>
      </c>
      <c r="AA1161" t="str">
        <f>IF(AND($S636&gt;1,$S1161&gt;1,$S636=$V636,$S1161=$V1161), "YES", "NO")</f>
        <v>NO</v>
      </c>
      <c r="AB1161" t="str">
        <f>IF(AND($S636&gt;1,$S1161&gt;1,$S636&lt;$V636,$S1161&lt;$V1161), "YES", "NO")</f>
        <v>NO</v>
      </c>
      <c r="AC1161" t="str">
        <f>IF(AND($V636&gt;10,$V1161&gt;10), "YES", "NO")</f>
        <v>NO</v>
      </c>
      <c r="AD1161"/>
    </row>
    <row r="1162" spans="1:30" ht="15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>LEFT($A1162,FIND("_",$A1162)-1)</f>
        <v>AVATAR</v>
      </c>
      <c r="P1162" s="13" t="str">
        <f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>IF(NOT(ISERR(SEARCH("*_Buggy",$A1162))), "Buggy", IF(NOT(ISERR(SEARCH("*_Fixed",$A1162))), "Fixed", IF(NOT(ISERR(SEARCH("*_Repaired",$A1162))), "Repaired", "")))</f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v>1</v>
      </c>
      <c r="W1162" s="13" t="str">
        <f>MID(A1162, SEARCH("_", A1162) +1, SEARCH("_", A1162, SEARCH("_", A1162) +1) - SEARCH("_", A1162) -1)</f>
        <v>Lang-39</v>
      </c>
      <c r="Y1162" t="str">
        <f>IF(AND($S637=1,$S1162=1,$V637=1,$V1162=1), "YES", "NO")</f>
        <v>NO</v>
      </c>
      <c r="Z1162" t="str">
        <f>IF(AND($S637=1,$S1162=1,$V637&gt;1,$V1162&gt;1), "YES", "NO")</f>
        <v>NO</v>
      </c>
      <c r="AA1162" t="str">
        <f>IF(AND($S637&gt;1,$S1162&gt;1,$S637=$V637,$S1162=$V1162), "YES", "NO")</f>
        <v>NO</v>
      </c>
      <c r="AB1162" t="str">
        <f>IF(AND($S637&gt;1,$S1162&gt;1,$S637&lt;$V637,$S1162&lt;$V1162), "YES", "NO")</f>
        <v>NO</v>
      </c>
      <c r="AC1162" t="str">
        <f>IF(AND($V637&gt;10,$V1162&gt;10), "YES", "NO")</f>
        <v>NO</v>
      </c>
      <c r="AD1162"/>
    </row>
    <row r="1163" spans="1:30" ht="15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>LEFT($A1163,FIND("_",$A1163)-1)</f>
        <v>AVATAR</v>
      </c>
      <c r="P1163" s="13" t="str">
        <f>IF($O1163="ACS", "True Search", IF($O1163="Arja", "Evolutionary Search", IF($O1163="AVATAR", "True Pattern", IF($O1163="CapGen", "Search Like Pattern", IF($O1163="Cardumen", "True Semantic", IF($O1163="DynaMoth", "True Semantic", IF($O1163="FixMiner", "True Pattern", IF($O1163="GenProg-A", "Evolutionary Search", IF($O1163="Hercules", "Learning Pattern", IF($O1163="Jaid", "True Semantic",
IF($O1163="Kali-A", "True Search", IF($O1163="kPAR", "True Pattern", IF($O1163="Nopol", "True Semantic", IF($O1163="RSRepair-A", "Evolutionary Search", IF($O1163="SequenceR", "Deep Learning", IF($O1163="SimFix", "Search Like Pattern", IF($O1163="SketchFix", "True Pattern", IF($O1163="SOFix", "True Pattern", IF($O1163="ssFix", "Search Like Pattern", IF($O1163="TBar", "True Pattern", ""))))))))))))))))))))</f>
        <v>True Pattern</v>
      </c>
      <c r="Q1163" s="13" t="str">
        <f>IF(NOT(ISERR(SEARCH("*_Buggy",$A1163))), "Buggy", IF(NOT(ISERR(SEARCH("*_Fixed",$A1163))), "Fixed", IF(NOT(ISERR(SEARCH("*_Repaired",$A1163))), "Repaired", "")))</f>
        <v>Repaired</v>
      </c>
      <c r="R1163" s="13" t="s">
        <v>1669</v>
      </c>
      <c r="S1163" s="25">
        <v>2</v>
      </c>
      <c r="T1163" s="25">
        <v>1</v>
      </c>
      <c r="U1163" s="25">
        <v>3</v>
      </c>
      <c r="V1163" s="13">
        <v>3</v>
      </c>
      <c r="W1163" s="13" t="str">
        <f>MID(A1163, SEARCH("_", A1163) +1, SEARCH("_", A1163, SEARCH("_", A1163) +1) - SEARCH("_", A1163) -1)</f>
        <v>Lang-51</v>
      </c>
      <c r="Y1163" t="str">
        <f>IF(AND($S638=1,$S1163=1,$V638=1,$V1163=1), "YES", "NO")</f>
        <v>NO</v>
      </c>
      <c r="Z1163" t="str">
        <f>IF(AND($S638=1,$S1163=1,$V638&gt;1,$V1163&gt;1), "YES", "NO")</f>
        <v>NO</v>
      </c>
      <c r="AA1163" t="str">
        <f>IF(AND($S638&gt;1,$S1163&gt;1,$S638=$V638,$S1163=$V1163), "YES", "NO")</f>
        <v>NO</v>
      </c>
      <c r="AB1163" t="str">
        <f>IF(AND($S638&gt;1,$S1163&gt;1,$S638&lt;$V638,$S1163&lt;$V1163), "YES", "NO")</f>
        <v>NO</v>
      </c>
      <c r="AC1163" t="str">
        <f>IF(AND($V638&gt;10,$V1163&gt;10), "YES", "NO")</f>
        <v>NO</v>
      </c>
      <c r="AD1163"/>
    </row>
    <row r="1164" spans="1:30" ht="15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>LEFT($A1164,FIND("_",$A1164)-1)</f>
        <v>AVATAR</v>
      </c>
      <c r="P1164" s="13" t="str">
        <f>IF($O1164="ACS", "True Search", IF($O1164="Arja", "Evolutionary Search", IF($O1164="AVATAR", "True Pattern", IF($O1164="CapGen", "Search Like Pattern", IF($O1164="Cardumen", "True Semantic", IF($O1164="DynaMoth", "True Semantic", IF($O1164="FixMiner", "True Pattern", IF($O1164="GenProg-A", "Evolutionary Search", IF($O1164="Hercules", "Learning Pattern", IF($O1164="Jaid", "True Semantic",
IF($O1164="Kali-A", "True Search", IF($O1164="kPAR", "True Pattern", IF($O1164="Nopol", "True Semantic", IF($O1164="RSRepair-A", "Evolutionary Search", IF($O1164="SequenceR", "Deep Learning", IF($O1164="SimFix", "Search Like Pattern", IF($O1164="SketchFix", "True Pattern", IF($O1164="SOFix", "True Pattern", IF($O1164="ssFix", "Search Like Pattern", IF($O1164="TBar", "True Pattern", ""))))))))))))))))))))</f>
        <v>True Pattern</v>
      </c>
      <c r="Q1164" s="13" t="str">
        <f>IF(NOT(ISERR(SEARCH("*_Buggy",$A1164))), "Buggy", IF(NOT(ISERR(SEARCH("*_Fixed",$A1164))), "Fixed", IF(NOT(ISERR(SEARCH("*_Repaired",$A1164))), "Repaired", "")))</f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v>1</v>
      </c>
      <c r="W1164" s="13" t="str">
        <f>MID(A1164, SEARCH("_", A1164) +1, SEARCH("_", A1164, SEARCH("_", A1164) +1) - SEARCH("_", A1164) -1)</f>
        <v>Lang-57</v>
      </c>
      <c r="Y1164" t="str">
        <f>IF(AND($S639=1,$S1164=1,$V639=1,$V1164=1), "YES", "NO")</f>
        <v>YES</v>
      </c>
      <c r="Z1164" t="str">
        <f>IF(AND($S639=1,$S1164=1,$V639&gt;1,$V1164&gt;1), "YES", "NO")</f>
        <v>NO</v>
      </c>
      <c r="AA1164" t="str">
        <f>IF(AND($S639&gt;1,$S1164&gt;1,$S639=$V639,$S1164=$V1164), "YES", "NO")</f>
        <v>NO</v>
      </c>
      <c r="AB1164" t="str">
        <f>IF(AND($S639&gt;1,$S1164&gt;1,$S639&lt;$V639,$S1164&lt;$V1164), "YES", "NO")</f>
        <v>NO</v>
      </c>
      <c r="AC1164" t="str">
        <f>IF(AND($V639&gt;10,$V1164&gt;10), "YES", "NO")</f>
        <v>NO</v>
      </c>
      <c r="AD1164"/>
    </row>
    <row r="1165" spans="1:30" ht="15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>LEFT($A1165,FIND("_",$A1165)-1)</f>
        <v>AVATAR</v>
      </c>
      <c r="P1165" s="13" t="str">
        <f>IF($O1165="ACS", "True Search", IF($O1165="Arja", "Evolutionary Search", IF($O1165="AVATAR", "True Pattern", IF($O1165="CapGen", "Search Like Pattern", IF($O1165="Cardumen", "True Semantic", IF($O1165="DynaMoth", "True Semantic", IF($O1165="FixMiner", "True Pattern", IF($O1165="GenProg-A", "Evolutionary Search", IF($O1165="Hercules", "Learning Pattern", IF($O1165="Jaid", "True Semantic",
IF($O1165="Kali-A", "True Search", IF($O1165="kPAR", "True Pattern", IF($O1165="Nopol", "True Semantic", IF($O1165="RSRepair-A", "Evolutionary Search", IF($O1165="SequenceR", "Deep Learning", IF($O1165="SimFix", "Search Like Pattern", IF($O1165="SketchFix", "True Pattern", IF($O1165="SOFix", "True Pattern", IF($O1165="ssFix", "Search Like Pattern", IF($O1165="TBar", "True Pattern", ""))))))))))))))))))))</f>
        <v>True Pattern</v>
      </c>
      <c r="Q1165" s="13" t="str">
        <f>IF(NOT(ISERR(SEARCH("*_Buggy",$A1165))), "Buggy", IF(NOT(ISERR(SEARCH("*_Fixed",$A1165))), "Fixed", IF(NOT(ISERR(SEARCH("*_Repaired",$A1165))), "Repaired", "")))</f>
        <v>Repaired</v>
      </c>
      <c r="R1165" s="13" t="s">
        <v>1669</v>
      </c>
      <c r="S1165" s="25">
        <v>1</v>
      </c>
      <c r="T1165" s="25">
        <v>0</v>
      </c>
      <c r="U1165" s="13">
        <v>1</v>
      </c>
      <c r="V1165" s="13">
        <v>1</v>
      </c>
      <c r="W1165" s="13" t="str">
        <f>MID(A1165, SEARCH("_", A1165) +1, SEARCH("_", A1165, SEARCH("_", A1165) +1) - SEARCH("_", A1165) -1)</f>
        <v>Lang-58</v>
      </c>
      <c r="Y1165" t="str">
        <f>IF(AND($S640=1,$S1165=1,$V640=1,$V1165=1), "YES", "NO")</f>
        <v>NO</v>
      </c>
      <c r="Z1165" t="str">
        <f>IF(AND($S640=1,$S1165=1,$V640&gt;1,$V1165&gt;1), "YES", "NO")</f>
        <v>NO</v>
      </c>
      <c r="AA1165" t="str">
        <f>IF(AND($S640&gt;1,$S1165&gt;1,$S640=$V640,$S1165=$V1165), "YES", "NO")</f>
        <v>NO</v>
      </c>
      <c r="AB1165" t="str">
        <f>IF(AND($S640&gt;1,$S1165&gt;1,$S640&lt;$V640,$S1165&lt;$V1165), "YES", "NO")</f>
        <v>NO</v>
      </c>
      <c r="AC1165" t="str">
        <f>IF(AND($V640&gt;10,$V1165&gt;10), "YES", "NO")</f>
        <v>NO</v>
      </c>
      <c r="AD1165"/>
    </row>
    <row r="1166" spans="1:30" ht="15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>LEFT($A1166,FIND("_",$A1166)-1)</f>
        <v>AVATAR</v>
      </c>
      <c r="P1166" s="13" t="str">
        <f>IF($O1166="ACS", "True Search", IF($O1166="Arja", "Evolutionary Search", IF($O1166="AVATAR", "True Pattern", IF($O1166="CapGen", "Search Like Pattern", IF($O1166="Cardumen", "True Semantic", IF($O1166="DynaMoth", "True Semantic", IF($O1166="FixMiner", "True Pattern", IF($O1166="GenProg-A", "Evolutionary Search", IF($O1166="Hercules", "Learning Pattern", IF($O1166="Jaid", "True Semantic",
IF($O1166="Kali-A", "True Search", IF($O1166="kPAR", "True Pattern", IF($O1166="Nopol", "True Semantic", IF($O1166="RSRepair-A", "Evolutionary Search", IF($O1166="SequenceR", "Deep Learning", IF($O1166="SimFix", "Search Like Pattern", IF($O1166="SketchFix", "True Pattern", IF($O1166="SOFix", "True Pattern", IF($O1166="ssFix", "Search Like Pattern", IF($O1166="TBar", "True Pattern", ""))))))))))))))))))))</f>
        <v>True Pattern</v>
      </c>
      <c r="Q1166" s="13" t="str">
        <f>IF(NOT(ISERR(SEARCH("*_Buggy",$A1166))), "Buggy", IF(NOT(ISERR(SEARCH("*_Fixed",$A1166))), "Fixed", IF(NOT(ISERR(SEARCH("*_Repaired",$A1166))), "Repaired", "")))</f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v>1</v>
      </c>
      <c r="W1166" s="13" t="str">
        <f>MID(A1166, SEARCH("_", A1166) +1, SEARCH("_", A1166, SEARCH("_", A1166) +1) - SEARCH("_", A1166) -1)</f>
        <v>Lang-59</v>
      </c>
      <c r="Y1166" t="str">
        <f>IF(AND($S641=1,$S1166=1,$V641=1,$V1166=1), "YES", "NO")</f>
        <v>YES</v>
      </c>
      <c r="Z1166" t="str">
        <f>IF(AND($S641=1,$S1166=1,$V641&gt;1,$V1166&gt;1), "YES", "NO")</f>
        <v>NO</v>
      </c>
      <c r="AA1166" t="str">
        <f>IF(AND($S641&gt;1,$S1166&gt;1,$S641=$V641,$S1166=$V1166), "YES", "NO")</f>
        <v>NO</v>
      </c>
      <c r="AB1166" t="str">
        <f>IF(AND($S641&gt;1,$S1166&gt;1,$S641&lt;$V641,$S1166&lt;$V1166), "YES", "NO")</f>
        <v>NO</v>
      </c>
      <c r="AC1166" t="str">
        <f>IF(AND($V641&gt;10,$V1166&gt;10), "YES", "NO")</f>
        <v>NO</v>
      </c>
      <c r="AD1166"/>
    </row>
    <row r="1167" spans="1:30" ht="15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>LEFT($A1167,FIND("_",$A1167)-1)</f>
        <v>AVATAR</v>
      </c>
      <c r="P1167" s="13" t="str">
        <f>IF($O1167="ACS", "True Search", IF($O1167="Arja", "Evolutionary Search", IF($O1167="AVATAR", "True Pattern", IF($O1167="CapGen", "Search Like Pattern", IF($O1167="Cardumen", "True Semantic", IF($O1167="DynaMoth", "True Semantic", IF($O1167="FixMiner", "True Pattern", IF($O1167="GenProg-A", "Evolutionary Search", IF($O1167="Hercules", "Learning Pattern", IF($O1167="Jaid", "True Semantic",
IF($O1167="Kali-A", "True Search", IF($O1167="kPAR", "True Pattern", IF($O1167="Nopol", "True Semantic", IF($O1167="RSRepair-A", "Evolutionary Search", IF($O1167="SequenceR", "Deep Learning", IF($O1167="SimFix", "Search Like Pattern", IF($O1167="SketchFix", "True Pattern", IF($O1167="SOFix", "True Pattern", IF($O1167="ssFix", "Search Like Pattern", IF($O1167="TBar", "True Pattern", ""))))))))))))))))))))</f>
        <v>True Pattern</v>
      </c>
      <c r="Q1167" s="13" t="str">
        <f>IF(NOT(ISERR(SEARCH("*_Buggy",$A1167))), "Buggy", IF(NOT(ISERR(SEARCH("*_Fixed",$A1167))), "Fixed", IF(NOT(ISERR(SEARCH("*_Repaired",$A1167))), "Repaired", "")))</f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v>1</v>
      </c>
      <c r="W1167" s="13" t="str">
        <f>MID(A1167, SEARCH("_", A1167) +1, SEARCH("_", A1167, SEARCH("_", A1167) +1) - SEARCH("_", A1167) -1)</f>
        <v>Lang-6</v>
      </c>
      <c r="Y1167" t="str">
        <f>IF(AND($S642=1,$S1167=1,$V642=1,$V1167=1), "YES", "NO")</f>
        <v>YES</v>
      </c>
      <c r="Z1167" t="str">
        <f>IF(AND($S642=1,$S1167=1,$V642&gt;1,$V1167&gt;1), "YES", "NO")</f>
        <v>NO</v>
      </c>
      <c r="AA1167" t="str">
        <f>IF(AND($S642&gt;1,$S1167&gt;1,$S642=$V642,$S1167=$V1167), "YES", "NO")</f>
        <v>NO</v>
      </c>
      <c r="AB1167" t="str">
        <f>IF(AND($S642&gt;1,$S1167&gt;1,$S642&lt;$V642,$S1167&lt;$V1167), "YES", "NO")</f>
        <v>NO</v>
      </c>
      <c r="AC1167" t="str">
        <f>IF(AND($V642&gt;10,$V1167&gt;10), "YES", "NO")</f>
        <v>NO</v>
      </c>
      <c r="AD1167"/>
    </row>
    <row r="1168" spans="1:30" ht="15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>LEFT($A1168,FIND("_",$A1168)-1)</f>
        <v>AVATAR</v>
      </c>
      <c r="P1168" s="13" t="str">
        <f>IF($O1168="ACS", "True Search", IF($O1168="Arja", "Evolutionary Search", IF($O1168="AVATAR", "True Pattern", IF($O1168="CapGen", "Search Like Pattern", IF($O1168="Cardumen", "True Semantic", IF($O1168="DynaMoth", "True Semantic", IF($O1168="FixMiner", "True Pattern", IF($O1168="GenProg-A", "Evolutionary Search", IF($O1168="Hercules", "Learning Pattern", IF($O1168="Jaid", "True Semantic",
IF($O1168="Kali-A", "True Search", IF($O1168="kPAR", "True Pattern", IF($O1168="Nopol", "True Semantic", IF($O1168="RSRepair-A", "Evolutionary Search", IF($O1168="SequenceR", "Deep Learning", IF($O1168="SimFix", "Search Like Pattern", IF($O1168="SketchFix", "True Pattern", IF($O1168="SOFix", "True Pattern", IF($O1168="ssFix", "Search Like Pattern", IF($O1168="TBar", "True Pattern", ""))))))))))))))))))))</f>
        <v>True Pattern</v>
      </c>
      <c r="Q1168" s="13" t="str">
        <f>IF(NOT(ISERR(SEARCH("*_Buggy",$A1168))), "Buggy", IF(NOT(ISERR(SEARCH("*_Fixed",$A1168))), "Fixed", IF(NOT(ISERR(SEARCH("*_Repaired",$A1168))), "Repaired", "")))</f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v>1</v>
      </c>
      <c r="W1168" s="13" t="str">
        <f>MID(A1168, SEARCH("_", A1168) +1, SEARCH("_", A1168, SEARCH("_", A1168) +1) - SEARCH("_", A1168) -1)</f>
        <v>Lang-63</v>
      </c>
      <c r="Y1168" t="str">
        <f>IF(AND($S643=1,$S1168=1,$V643=1,$V1168=1), "YES", "NO")</f>
        <v>NO</v>
      </c>
      <c r="Z1168" t="str">
        <f>IF(AND($S643=1,$S1168=1,$V643&gt;1,$V1168&gt;1), "YES", "NO")</f>
        <v>NO</v>
      </c>
      <c r="AA1168" t="str">
        <f>IF(AND($S643&gt;1,$S1168&gt;1,$S643=$V643,$S1168=$V1168), "YES", "NO")</f>
        <v>NO</v>
      </c>
      <c r="AB1168" t="str">
        <f>IF(AND($S643&gt;1,$S1168&gt;1,$S643&lt;$V643,$S1168&lt;$V1168), "YES", "NO")</f>
        <v>NO</v>
      </c>
      <c r="AC1168" t="str">
        <f>IF(AND($V643&gt;10,$V1168&gt;10), "YES", "NO")</f>
        <v>NO</v>
      </c>
      <c r="AD1168"/>
    </row>
    <row r="1169" spans="1:30" ht="15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>LEFT($A1169,FIND("_",$A1169)-1)</f>
        <v>AVATAR</v>
      </c>
      <c r="P1169" s="13" t="str">
        <f>IF($O1169="ACS", "True Search", IF($O1169="Arja", "Evolutionary Search", IF($O1169="AVATAR", "True Pattern", IF($O1169="CapGen", "Search Like Pattern", IF($O1169="Cardumen", "True Semantic", IF($O1169="DynaMoth", "True Semantic", IF($O1169="FixMiner", "True Pattern", IF($O1169="GenProg-A", "Evolutionary Search", IF($O1169="Hercules", "Learning Pattern", IF($O1169="Jaid", "True Semantic",
IF($O1169="Kali-A", "True Search", IF($O1169="kPAR", "True Pattern", IF($O1169="Nopol", "True Semantic", IF($O1169="RSRepair-A", "Evolutionary Search", IF($O1169="SequenceR", "Deep Learning", IF($O1169="SimFix", "Search Like Pattern", IF($O1169="SketchFix", "True Pattern", IF($O1169="SOFix", "True Pattern", IF($O1169="ssFix", "Search Like Pattern", IF($O1169="TBar", "True Pattern", ""))))))))))))))))))))</f>
        <v>True Pattern</v>
      </c>
      <c r="Q1169" s="13" t="str">
        <f>IF(NOT(ISERR(SEARCH("*_Buggy",$A1169))), "Buggy", IF(NOT(ISERR(SEARCH("*_Fixed",$A1169))), "Fixed", IF(NOT(ISERR(SEARCH("*_Repaired",$A1169))), "Repaired", "")))</f>
        <v>Repaired</v>
      </c>
      <c r="R1169" s="13" t="s">
        <v>1668</v>
      </c>
      <c r="S1169" s="25">
        <v>1</v>
      </c>
      <c r="T1169" s="25">
        <v>1</v>
      </c>
      <c r="U1169" s="25">
        <v>3</v>
      </c>
      <c r="V1169" s="13">
        <v>3</v>
      </c>
      <c r="W1169" s="13" t="str">
        <f>MID(A1169, SEARCH("_", A1169) +1, SEARCH("_", A1169, SEARCH("_", A1169) +1) - SEARCH("_", A1169) -1)</f>
        <v>Lang-7</v>
      </c>
      <c r="Y1169" t="str">
        <f>IF(AND($S644=1,$S1169=1,$V644=1,$V1169=1), "YES", "NO")</f>
        <v>NO</v>
      </c>
      <c r="Z1169" t="str">
        <f>IF(AND($S644=1,$S1169=1,$V644&gt;1,$V1169&gt;1), "YES", "NO")</f>
        <v>NO</v>
      </c>
      <c r="AA1169" t="str">
        <f>IF(AND($S644&gt;1,$S1169&gt;1,$S644=$V644,$S1169=$V1169), "YES", "NO")</f>
        <v>NO</v>
      </c>
      <c r="AB1169" t="str">
        <f>IF(AND($S644&gt;1,$S1169&gt;1,$S644&lt;$V644,$S1169&lt;$V1169), "YES", "NO")</f>
        <v>NO</v>
      </c>
      <c r="AC1169" t="str">
        <f>IF(AND($V644&gt;10,$V1169&gt;10), "YES", "NO")</f>
        <v>NO</v>
      </c>
      <c r="AD1169"/>
    </row>
    <row r="1170" spans="1:30" ht="15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>LEFT($A1170,FIND("_",$A1170)-1)</f>
        <v>AVATAR</v>
      </c>
      <c r="P1170" s="13" t="str">
        <f>IF($O1170="ACS", "True Search", IF($O1170="Arja", "Evolutionary Search", IF($O1170="AVATAR", "True Pattern", IF($O1170="CapGen", "Search Like Pattern", IF($O1170="Cardumen", "True Semantic", IF($O1170="DynaMoth", "True Semantic", IF($O1170="FixMiner", "True Pattern", IF($O1170="GenProg-A", "Evolutionary Search", IF($O1170="Hercules", "Learning Pattern", IF($O1170="Jaid", "True Semantic",
IF($O1170="Kali-A", "True Search", IF($O1170="kPAR", "True Pattern", IF($O1170="Nopol", "True Semantic", IF($O1170="RSRepair-A", "Evolutionary Search", IF($O1170="SequenceR", "Deep Learning", IF($O1170="SimFix", "Search Like Pattern", IF($O1170="SketchFix", "True Pattern", IF($O1170="SOFix", "True Pattern", IF($O1170="ssFix", "Search Like Pattern", IF($O1170="TBar", "True Pattern", ""))))))))))))))))))))</f>
        <v>True Pattern</v>
      </c>
      <c r="Q1170" s="13" t="str">
        <f>IF(NOT(ISERR(SEARCH("*_Buggy",$A1170))), "Buggy", IF(NOT(ISERR(SEARCH("*_Fixed",$A1170))), "Fixed", IF(NOT(ISERR(SEARCH("*_Repaired",$A1170))), "Repaired", "")))</f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v>1</v>
      </c>
      <c r="W1170" s="13" t="str">
        <f>MID(A1170, SEARCH("_", A1170) +1, SEARCH("_", A1170, SEARCH("_", A1170) +1) - SEARCH("_", A1170) -1)</f>
        <v>Math-104</v>
      </c>
      <c r="Y1170" t="str">
        <f>IF(AND($S645=1,$S1170=1,$V645=1,$V1170=1), "YES", "NO")</f>
        <v>YES</v>
      </c>
      <c r="Z1170" t="str">
        <f>IF(AND($S645=1,$S1170=1,$V645&gt;1,$V1170&gt;1), "YES", "NO")</f>
        <v>NO</v>
      </c>
      <c r="AA1170" t="str">
        <f>IF(AND($S645&gt;1,$S1170&gt;1,$S645=$V645,$S1170=$V1170), "YES", "NO")</f>
        <v>NO</v>
      </c>
      <c r="AB1170" t="str">
        <f>IF(AND($S645&gt;1,$S1170&gt;1,$S645&lt;$V645,$S1170&lt;$V1170), "YES", "NO")</f>
        <v>NO</v>
      </c>
      <c r="AC1170" t="str">
        <f>IF(AND($V645&gt;10,$V1170&gt;10), "YES", "NO")</f>
        <v>NO</v>
      </c>
      <c r="AD1170"/>
    </row>
    <row r="1171" spans="1:30" ht="15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>LEFT($A1171,FIND("_",$A1171)-1)</f>
        <v>AVATAR</v>
      </c>
      <c r="P1171" s="13" t="str">
        <f>IF($O1171="ACS", "True Search", IF($O1171="Arja", "Evolutionary Search", IF($O1171="AVATAR", "True Pattern", IF($O1171="CapGen", "Search Like Pattern", IF($O1171="Cardumen", "True Semantic", IF($O1171="DynaMoth", "True Semantic", IF($O1171="FixMiner", "True Pattern", IF($O1171="GenProg-A", "Evolutionary Search", IF($O1171="Hercules", "Learning Pattern", IF($O1171="Jaid", "True Semantic",
IF($O1171="Kali-A", "True Search", IF($O1171="kPAR", "True Pattern", IF($O1171="Nopol", "True Semantic", IF($O1171="RSRepair-A", "Evolutionary Search", IF($O1171="SequenceR", "Deep Learning", IF($O1171="SimFix", "Search Like Pattern", IF($O1171="SketchFix", "True Pattern", IF($O1171="SOFix", "True Pattern", IF($O1171="ssFix", "Search Like Pattern", IF($O1171="TBar", "True Pattern", ""))))))))))))))))))))</f>
        <v>True Pattern</v>
      </c>
      <c r="Q1171" s="13" t="str">
        <f>IF(NOT(ISERR(SEARCH("*_Buggy",$A1171))), "Buggy", IF(NOT(ISERR(SEARCH("*_Fixed",$A1171))), "Fixed", IF(NOT(ISERR(SEARCH("*_Repaired",$A1171))), "Repaired", "")))</f>
        <v>Repaired</v>
      </c>
      <c r="R1171" s="13" t="s">
        <v>1669</v>
      </c>
      <c r="S1171" s="25">
        <v>1</v>
      </c>
      <c r="T1171" s="25">
        <v>1</v>
      </c>
      <c r="U1171" s="25">
        <v>14</v>
      </c>
      <c r="V1171" s="13">
        <v>14</v>
      </c>
      <c r="W1171" s="13" t="str">
        <f>MID(A1171, SEARCH("_", A1171) +1, SEARCH("_", A1171, SEARCH("_", A1171) +1) - SEARCH("_", A1171) -1)</f>
        <v>Math-28</v>
      </c>
      <c r="Y1171" t="str">
        <f>IF(AND($S646=1,$S1171=1,$V646=1,$V1171=1), "YES", "NO")</f>
        <v>NO</v>
      </c>
      <c r="Z1171" t="str">
        <f>IF(AND($S646=1,$S1171=1,$V646&gt;1,$V1171&gt;1), "YES", "NO")</f>
        <v>NO</v>
      </c>
      <c r="AA1171" t="str">
        <f>IF(AND($S646&gt;1,$S1171&gt;1,$S646=$V646,$S1171=$V1171), "YES", "NO")</f>
        <v>NO</v>
      </c>
      <c r="AB1171" t="str">
        <f>IF(AND($S646&gt;1,$S1171&gt;1,$S646&lt;$V646,$S1171&lt;$V1171), "YES", "NO")</f>
        <v>NO</v>
      </c>
      <c r="AC1171" t="str">
        <f>IF(AND($V646&gt;10,$V1171&gt;10), "YES", "NO")</f>
        <v>NO</v>
      </c>
      <c r="AD1171"/>
    </row>
    <row r="1172" spans="1:30" ht="15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>LEFT($A1172,FIND("_",$A1172)-1)</f>
        <v>AVATAR</v>
      </c>
      <c r="P1172" s="13" t="str">
        <f>IF($O1172="ACS", "True Search", IF($O1172="Arja", "Evolutionary Search", IF($O1172="AVATAR", "True Pattern", IF($O1172="CapGen", "Search Like Pattern", IF($O1172="Cardumen", "True Semantic", IF($O1172="DynaMoth", "True Semantic", IF($O1172="FixMiner", "True Pattern", IF($O1172="GenProg-A", "Evolutionary Search", IF($O1172="Hercules", "Learning Pattern", IF($O1172="Jaid", "True Semantic",
IF($O1172="Kali-A", "True Search", IF($O1172="kPAR", "True Pattern", IF($O1172="Nopol", "True Semantic", IF($O1172="RSRepair-A", "Evolutionary Search", IF($O1172="SequenceR", "Deep Learning", IF($O1172="SimFix", "Search Like Pattern", IF($O1172="SketchFix", "True Pattern", IF($O1172="SOFix", "True Pattern", IF($O1172="ssFix", "Search Like Pattern", IF($O1172="TBar", "True Pattern", ""))))))))))))))))))))</f>
        <v>True Pattern</v>
      </c>
      <c r="Q1172" s="13" t="str">
        <f>IF(NOT(ISERR(SEARCH("*_Buggy",$A1172))), "Buggy", IF(NOT(ISERR(SEARCH("*_Fixed",$A1172))), "Fixed", IF(NOT(ISERR(SEARCH("*_Repaired",$A1172))), "Repaired", "")))</f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v>1</v>
      </c>
      <c r="W1172" s="13" t="str">
        <f>MID(A1172, SEARCH("_", A1172) +1, SEARCH("_", A1172, SEARCH("_", A1172) +1) - SEARCH("_", A1172) -1)</f>
        <v>Math-33</v>
      </c>
      <c r="Y1172" t="str">
        <f>IF(AND($S647=1,$S1172=1,$V647=1,$V1172=1), "YES", "NO")</f>
        <v>YES</v>
      </c>
      <c r="Z1172" t="str">
        <f>IF(AND($S647=1,$S1172=1,$V647&gt;1,$V1172&gt;1), "YES", "NO")</f>
        <v>NO</v>
      </c>
      <c r="AA1172" t="str">
        <f>IF(AND($S647&gt;1,$S1172&gt;1,$S647=$V647,$S1172=$V1172), "YES", "NO")</f>
        <v>NO</v>
      </c>
      <c r="AB1172" t="str">
        <f>IF(AND($S647&gt;1,$S1172&gt;1,$S647&lt;$V647,$S1172&lt;$V1172), "YES", "NO")</f>
        <v>NO</v>
      </c>
      <c r="AC1172" t="str">
        <f>IF(AND($V647&gt;10,$V1172&gt;10), "YES", "NO")</f>
        <v>NO</v>
      </c>
      <c r="AD1172"/>
    </row>
    <row r="1173" spans="1:30" ht="15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>LEFT($A1173,FIND("_",$A1173)-1)</f>
        <v>AVATAR</v>
      </c>
      <c r="P1173" s="13" t="str">
        <f>IF($O1173="ACS", "True Search", IF($O1173="Arja", "Evolutionary Search", IF($O1173="AVATAR", "True Pattern", IF($O1173="CapGen", "Search Like Pattern", IF($O1173="Cardumen", "True Semantic", IF($O1173="DynaMoth", "True Semantic", IF($O1173="FixMiner", "True Pattern", IF($O1173="GenProg-A", "Evolutionary Search", IF($O1173="Hercules", "Learning Pattern", IF($O1173="Jaid", "True Semantic",
IF($O1173="Kali-A", "True Search", IF($O1173="kPAR", "True Pattern", IF($O1173="Nopol", "True Semantic", IF($O1173="RSRepair-A", "Evolutionary Search", IF($O1173="SequenceR", "Deep Learning", IF($O1173="SimFix", "Search Like Pattern", IF($O1173="SketchFix", "True Pattern", IF($O1173="SOFix", "True Pattern", IF($O1173="ssFix", "Search Like Pattern", IF($O1173="TBar", "True Pattern", ""))))))))))))))))))))</f>
        <v>True Pattern</v>
      </c>
      <c r="Q1173" s="13" t="str">
        <f>IF(NOT(ISERR(SEARCH("*_Buggy",$A1173))), "Buggy", IF(NOT(ISERR(SEARCH("*_Fixed",$A1173))), "Fixed", IF(NOT(ISERR(SEARCH("*_Repaired",$A1173))), "Repaired", "")))</f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v>1</v>
      </c>
      <c r="W1173" s="13" t="str">
        <f>MID(A1173, SEARCH("_", A1173) +1, SEARCH("_", A1173, SEARCH("_", A1173) +1) - SEARCH("_", A1173) -1)</f>
        <v>Math-50</v>
      </c>
      <c r="Y1173" t="str">
        <f>IF(AND($S648=1,$S1173=1,$V648=1,$V1173=1), "YES", "NO")</f>
        <v>NO</v>
      </c>
      <c r="Z1173" t="str">
        <f>IF(AND($S648=1,$S1173=1,$V648&gt;1,$V1173&gt;1), "YES", "NO")</f>
        <v>NO</v>
      </c>
      <c r="AA1173" t="str">
        <f>IF(AND($S648&gt;1,$S1173&gt;1,$S648=$V648,$S1173=$V1173), "YES", "NO")</f>
        <v>NO</v>
      </c>
      <c r="AB1173" t="str">
        <f>IF(AND($S648&gt;1,$S1173&gt;1,$S648&lt;$V648,$S1173&lt;$V1173), "YES", "NO")</f>
        <v>NO</v>
      </c>
      <c r="AC1173" t="str">
        <f>IF(AND($V648&gt;10,$V1173&gt;10), "YES", "NO")</f>
        <v>NO</v>
      </c>
      <c r="AD1173"/>
    </row>
    <row r="1174" spans="1:30" ht="15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>LEFT($A1174,FIND("_",$A1174)-1)</f>
        <v>AVATAR</v>
      </c>
      <c r="P1174" s="13" t="str">
        <f>IF($O1174="ACS", "True Search", IF($O1174="Arja", "Evolutionary Search", IF($O1174="AVATAR", "True Pattern", IF($O1174="CapGen", "Search Like Pattern", IF($O1174="Cardumen", "True Semantic", IF($O1174="DynaMoth", "True Semantic", IF($O1174="FixMiner", "True Pattern", IF($O1174="GenProg-A", "Evolutionary Search", IF($O1174="Hercules", "Learning Pattern", IF($O1174="Jaid", "True Semantic",
IF($O1174="Kali-A", "True Search", IF($O1174="kPAR", "True Pattern", IF($O1174="Nopol", "True Semantic", IF($O1174="RSRepair-A", "Evolutionary Search", IF($O1174="SequenceR", "Deep Learning", IF($O1174="SimFix", "Search Like Pattern", IF($O1174="SketchFix", "True Pattern", IF($O1174="SOFix", "True Pattern", IF($O1174="ssFix", "Search Like Pattern", IF($O1174="TBar", "True Pattern", ""))))))))))))))))))))</f>
        <v>True Pattern</v>
      </c>
      <c r="Q1174" s="13" t="str">
        <f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v>1</v>
      </c>
      <c r="W1174" s="13" t="str">
        <f>MID(A1174, SEARCH("_", A1174) +1, SEARCH("_", A1174, SEARCH("_", A1174) +1) - SEARCH("_", A1174) -1)</f>
        <v>Math-57</v>
      </c>
      <c r="Y1174" t="str">
        <f>IF(AND($S649=1,$S1174=1,$V649=1,$V1174=1), "YES", "NO")</f>
        <v>YES</v>
      </c>
      <c r="Z1174" t="str">
        <f>IF(AND($S649=1,$S1174=1,$V649&gt;1,$V1174&gt;1), "YES", "NO")</f>
        <v>NO</v>
      </c>
      <c r="AA1174" t="str">
        <f>IF(AND($S649&gt;1,$S1174&gt;1,$S649=$V649,$S1174=$V1174), "YES", "NO")</f>
        <v>NO</v>
      </c>
      <c r="AB1174" t="str">
        <f>IF(AND($S649&gt;1,$S1174&gt;1,$S649&lt;$V649,$S1174&lt;$V1174), "YES", "NO")</f>
        <v>NO</v>
      </c>
      <c r="AC1174" t="str">
        <f>IF(AND($V649&gt;10,$V1174&gt;10), "YES", "NO")</f>
        <v>NO</v>
      </c>
      <c r="AD1174"/>
    </row>
    <row r="1175" spans="1:30" ht="15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>LEFT($A1175,FIND("_",$A1175)-1)</f>
        <v>AVATAR</v>
      </c>
      <c r="P1175" s="13" t="str">
        <f>IF($O1175="ACS", "True Search", IF($O1175="Arja", "Evolutionary Search", IF($O1175="AVATAR", "True Pattern", IF($O1175="CapGen", "Search Like Pattern", IF($O1175="Cardumen", "True Semantic", IF($O1175="DynaMoth", "True Semantic", IF($O1175="FixMiner", "True Pattern", IF($O1175="GenProg-A", "Evolutionary Search", IF($O1175="Hercules", "Learning Pattern", IF($O1175="Jaid", "True Semantic",
IF($O1175="Kali-A", "True Search", IF($O1175="kPAR", "True Pattern", IF($O1175="Nopol", "True Semantic", IF($O1175="RSRepair-A", "Evolutionary Search", IF($O1175="SequenceR", "Deep Learning", IF($O1175="SimFix", "Search Like Pattern", IF($O1175="SketchFix", "True Pattern", IF($O1175="SOFix", "True Pattern", IF($O1175="ssFix", "Search Like Pattern", IF($O1175="TBar", "True Pattern", ""))))))))))))))))))))</f>
        <v>True Pattern</v>
      </c>
      <c r="Q1175" s="13" t="str">
        <f>IF(NOT(ISERR(SEARCH("*_Buggy",$A1175))), "Buggy", IF(NOT(ISERR(SEARCH("*_Fixed",$A1175))), "Fixed", IF(NOT(ISERR(SEARCH("*_Repaired",$A1175))), "Repaired", "")))</f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v>1</v>
      </c>
      <c r="W1175" s="13" t="str">
        <f>MID(A1175, SEARCH("_", A1175) +1, SEARCH("_", A1175, SEARCH("_", A1175) +1) - SEARCH("_", A1175) -1)</f>
        <v>Math-62</v>
      </c>
      <c r="Y1175" t="str">
        <f>IF(AND($S650=1,$S1175=1,$V650=1,$V1175=1), "YES", "NO")</f>
        <v>NO</v>
      </c>
      <c r="Z1175" t="str">
        <f>IF(AND($S650=1,$S1175=1,$V650&gt;1,$V1175&gt;1), "YES", "NO")</f>
        <v>NO</v>
      </c>
      <c r="AA1175" t="str">
        <f>IF(AND($S650&gt;1,$S1175&gt;1,$S650=$V650,$S1175=$V1175), "YES", "NO")</f>
        <v>NO</v>
      </c>
      <c r="AB1175" t="str">
        <f>IF(AND($S650&gt;1,$S1175&gt;1,$S650&lt;$V650,$S1175&lt;$V1175), "YES", "NO")</f>
        <v>NO</v>
      </c>
      <c r="AC1175" t="str">
        <f>IF(AND($V650&gt;10,$V1175&gt;10), "YES", "NO")</f>
        <v>NO</v>
      </c>
      <c r="AD1175"/>
    </row>
    <row r="1176" spans="1:30" ht="15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>LEFT($A1176,FIND("_",$A1176)-1)</f>
        <v>AVATAR</v>
      </c>
      <c r="P1176" s="13" t="str">
        <f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>IF(NOT(ISERR(SEARCH("*_Buggy",$A1176))), "Buggy", IF(NOT(ISERR(SEARCH("*_Fixed",$A1176))), "Fixed", IF(NOT(ISERR(SEARCH("*_Repaired",$A1176))), "Repaired", "")))</f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v>1</v>
      </c>
      <c r="W1176" s="13" t="str">
        <f>MID(A1176, SEARCH("_", A1176) +1, SEARCH("_", A1176, SEARCH("_", A1176) +1) - SEARCH("_", A1176) -1)</f>
        <v>Math-80</v>
      </c>
      <c r="Y1176" t="str">
        <f>IF(AND($S651=1,$S1176=1,$V651=1,$V1176=1), "YES", "NO")</f>
        <v>YES</v>
      </c>
      <c r="Z1176" t="str">
        <f>IF(AND($S651=1,$S1176=1,$V651&gt;1,$V1176&gt;1), "YES", "NO")</f>
        <v>NO</v>
      </c>
      <c r="AA1176" t="str">
        <f>IF(AND($S651&gt;1,$S1176&gt;1,$S651=$V651,$S1176=$V1176), "YES", "NO")</f>
        <v>NO</v>
      </c>
      <c r="AB1176" t="str">
        <f>IF(AND($S651&gt;1,$S1176&gt;1,$S651&lt;$V651,$S1176&lt;$V1176), "YES", "NO")</f>
        <v>NO</v>
      </c>
      <c r="AC1176" t="str">
        <f>IF(AND($V651&gt;10,$V1176&gt;10), "YES", "NO")</f>
        <v>NO</v>
      </c>
      <c r="AD1176"/>
    </row>
    <row r="1177" spans="1:30" ht="15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>LEFT($A1177,FIND("_",$A1177)-1)</f>
        <v>AVATAR</v>
      </c>
      <c r="P1177" s="13" t="str">
        <f>IF($O1177="ACS", "True Search", IF($O1177="Arja", "Evolutionary Search", IF($O1177="AVATAR", "True Pattern", IF($O1177="CapGen", "Search Like Pattern", IF($O1177="Cardumen", "True Semantic", IF($O1177="DynaMoth", "True Semantic", IF($O1177="FixMiner", "True Pattern", IF($O1177="GenProg-A", "Evolutionary Search", IF($O1177="Hercules", "Learning Pattern", IF($O1177="Jaid", "True Semantic",
IF($O1177="Kali-A", "True Search", IF($O1177="kPAR", "True Pattern", IF($O1177="Nopol", "True Semantic", IF($O1177="RSRepair-A", "Evolutionary Search", IF($O1177="SequenceR", "Deep Learning", IF($O1177="SimFix", "Search Like Pattern", IF($O1177="SketchFix", "True Pattern", IF($O1177="SOFix", "True Pattern", IF($O1177="ssFix", "Search Like Pattern", IF($O1177="TBar", "True Pattern", ""))))))))))))))))))))</f>
        <v>True Pattern</v>
      </c>
      <c r="Q1177" s="13" t="str">
        <f>IF(NOT(ISERR(SEARCH("*_Buggy",$A1177))), "Buggy", IF(NOT(ISERR(SEARCH("*_Fixed",$A1177))), "Fixed", IF(NOT(ISERR(SEARCH("*_Repaired",$A1177))), "Repaired", "")))</f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v>1</v>
      </c>
      <c r="W1177" s="13" t="str">
        <f>MID(A1177, SEARCH("_", A1177) +1, SEARCH("_", A1177, SEARCH("_", A1177) +1) - SEARCH("_", A1177) -1)</f>
        <v>Math-81</v>
      </c>
      <c r="Y1177" t="str">
        <f>IF(AND($S652=1,$S1177=1,$V652=1,$V1177=1), "YES", "NO")</f>
        <v>NO</v>
      </c>
      <c r="Z1177" t="str">
        <f>IF(AND($S652=1,$S1177=1,$V652&gt;1,$V1177&gt;1), "YES", "NO")</f>
        <v>NO</v>
      </c>
      <c r="AA1177" t="str">
        <f>IF(AND($S652&gt;1,$S1177&gt;1,$S652=$V652,$S1177=$V1177), "YES", "NO")</f>
        <v>NO</v>
      </c>
      <c r="AB1177" t="str">
        <f>IF(AND($S652&gt;1,$S1177&gt;1,$S652&lt;$V652,$S1177&lt;$V1177), "YES", "NO")</f>
        <v>NO</v>
      </c>
      <c r="AC1177" t="str">
        <f>IF(AND($V652&gt;10,$V1177&gt;10), "YES", "NO")</f>
        <v>NO</v>
      </c>
      <c r="AD1177"/>
    </row>
    <row r="1178" spans="1:30" ht="15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>LEFT($A1178,FIND("_",$A1178)-1)</f>
        <v>AVATAR</v>
      </c>
      <c r="P1178" s="13" t="str">
        <f>IF($O1178="ACS", "True Search", IF($O1178="Arja", "Evolutionary Search", IF($O1178="AVATAR", "True Pattern", IF($O1178="CapGen", "Search Like Pattern", IF($O1178="Cardumen", "True Semantic", IF($O1178="DynaMoth", "True Semantic", IF($O1178="FixMiner", "True Pattern", IF($O1178="GenProg-A", "Evolutionary Search", IF($O1178="Hercules", "Learning Pattern", IF($O1178="Jaid", "True Semantic",
IF($O1178="Kali-A", "True Search", IF($O1178="kPAR", "True Pattern", IF($O1178="Nopol", "True Semantic", IF($O1178="RSRepair-A", "Evolutionary Search", IF($O1178="SequenceR", "Deep Learning", IF($O1178="SimFix", "Search Like Pattern", IF($O1178="SketchFix", "True Pattern", IF($O1178="SOFix", "True Pattern", IF($O1178="ssFix", "Search Like Pattern", IF($O1178="TBar", "True Pattern", ""))))))))))))))))))))</f>
        <v>True Pattern</v>
      </c>
      <c r="Q1178" s="13" t="str">
        <f>IF(NOT(ISERR(SEARCH("*_Buggy",$A1178))), "Buggy", IF(NOT(ISERR(SEARCH("*_Fixed",$A1178))), "Fixed", IF(NOT(ISERR(SEARCH("*_Repaired",$A1178))), "Repaired", "")))</f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v>1</v>
      </c>
      <c r="W1178" s="13" t="str">
        <f>MID(A1178, SEARCH("_", A1178) +1, SEARCH("_", A1178, SEARCH("_", A1178) +1) - SEARCH("_", A1178) -1)</f>
        <v>Math-82</v>
      </c>
      <c r="Y1178" t="str">
        <f>IF(AND($S653=1,$S1178=1,$V653=1,$V1178=1), "YES", "NO")</f>
        <v>YES</v>
      </c>
      <c r="Z1178" t="str">
        <f>IF(AND($S653=1,$S1178=1,$V653&gt;1,$V1178&gt;1), "YES", "NO")</f>
        <v>NO</v>
      </c>
      <c r="AA1178" t="str">
        <f>IF(AND($S653&gt;1,$S1178&gt;1,$S653=$V653,$S1178=$V1178), "YES", "NO")</f>
        <v>NO</v>
      </c>
      <c r="AB1178" t="str">
        <f>IF(AND($S653&gt;1,$S1178&gt;1,$S653&lt;$V653,$S1178&lt;$V1178), "YES", "NO")</f>
        <v>NO</v>
      </c>
      <c r="AC1178" t="str">
        <f>IF(AND($V653&gt;10,$V1178&gt;10), "YES", "NO")</f>
        <v>NO</v>
      </c>
      <c r="AD1178"/>
    </row>
    <row r="1179" spans="1:30" ht="15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>LEFT($A1179,FIND("_",$A1179)-1)</f>
        <v>AVATAR</v>
      </c>
      <c r="P1179" s="13" t="str">
        <f>IF($O1179="ACS", "True Search", IF($O1179="Arja", "Evolutionary Search", IF($O1179="AVATAR", "True Pattern", IF($O1179="CapGen", "Search Like Pattern", IF($O1179="Cardumen", "True Semantic", IF($O1179="DynaMoth", "True Semantic", IF($O1179="FixMiner", "True Pattern", IF($O1179="GenProg-A", "Evolutionary Search", IF($O1179="Hercules", "Learning Pattern", IF($O1179="Jaid", "True Semantic",
IF($O1179="Kali-A", "True Search", IF($O1179="kPAR", "True Pattern", IF($O1179="Nopol", "True Semantic", IF($O1179="RSRepair-A", "Evolutionary Search", IF($O1179="SequenceR", "Deep Learning", IF($O1179="SimFix", "Search Like Pattern", IF($O1179="SketchFix", "True Pattern", IF($O1179="SOFix", "True Pattern", IF($O1179="ssFix", "Search Like Pattern", IF($O1179="TBar", "True Pattern", ""))))))))))))))))))))</f>
        <v>True Pattern</v>
      </c>
      <c r="Q1179" s="13" t="str">
        <f>IF(NOT(ISERR(SEARCH("*_Buggy",$A1179))), "Buggy", IF(NOT(ISERR(SEARCH("*_Fixed",$A1179))), "Fixed", IF(NOT(ISERR(SEARCH("*_Repaired",$A1179))), "Repaired", "")))</f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v>1</v>
      </c>
      <c r="W1179" s="13" t="str">
        <f>MID(A1179, SEARCH("_", A1179) +1, SEARCH("_", A1179, SEARCH("_", A1179) +1) - SEARCH("_", A1179) -1)</f>
        <v>Math-84</v>
      </c>
      <c r="Y1179" t="str">
        <f>IF(AND($S654=1,$S1179=1,$V654=1,$V1179=1), "YES", "NO")</f>
        <v>NO</v>
      </c>
      <c r="Z1179" t="str">
        <f>IF(AND($S654=1,$S1179=1,$V654&gt;1,$V1179&gt;1), "YES", "NO")</f>
        <v>NO</v>
      </c>
      <c r="AA1179" t="str">
        <f>IF(AND($S654&gt;1,$S1179&gt;1,$S654=$V654,$S1179=$V1179), "YES", "NO")</f>
        <v>NO</v>
      </c>
      <c r="AB1179" t="str">
        <f>IF(AND($S654&gt;1,$S1179&gt;1,$S654&lt;$V654,$S1179&lt;$V1179), "YES", "NO")</f>
        <v>NO</v>
      </c>
      <c r="AC1179" t="str">
        <f>IF(AND($V654&gt;10,$V1179&gt;10), "YES", "NO")</f>
        <v>NO</v>
      </c>
      <c r="AD1179"/>
    </row>
    <row r="1180" spans="1:30" ht="15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>LEFT($A1180,FIND("_",$A1180)-1)</f>
        <v>AVATAR</v>
      </c>
      <c r="P1180" s="13" t="str">
        <f>IF($O1180="ACS", "True Search", IF($O1180="Arja", "Evolutionary Search", IF($O1180="AVATAR", "True Pattern", IF($O1180="CapGen", "Search Like Pattern", IF($O1180="Cardumen", "True Semantic", IF($O1180="DynaMoth", "True Semantic", IF($O1180="FixMiner", "True Pattern", IF($O1180="GenProg-A", "Evolutionary Search", IF($O1180="Hercules", "Learning Pattern", IF($O1180="Jaid", "True Semantic",
IF($O1180="Kali-A", "True Search", IF($O1180="kPAR", "True Pattern", IF($O1180="Nopol", "True Semantic", IF($O1180="RSRepair-A", "Evolutionary Search", IF($O1180="SequenceR", "Deep Learning", IF($O1180="SimFix", "Search Like Pattern", IF($O1180="SketchFix", "True Pattern", IF($O1180="SOFix", "True Pattern", IF($O1180="ssFix", "Search Like Pattern", IF($O1180="TBar", "True Pattern", ""))))))))))))))))))))</f>
        <v>True Pattern</v>
      </c>
      <c r="Q1180" s="13" t="str">
        <f>IF(NOT(ISERR(SEARCH("*_Buggy",$A1180))), "Buggy", IF(NOT(ISERR(SEARCH("*_Fixed",$A1180))), "Fixed", IF(NOT(ISERR(SEARCH("*_Repaired",$A1180))), "Repaired", "")))</f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v>1</v>
      </c>
      <c r="W1180" s="13" t="str">
        <f>MID(A1180, SEARCH("_", A1180) +1, SEARCH("_", A1180, SEARCH("_", A1180) +1) - SEARCH("_", A1180) -1)</f>
        <v>Math-85</v>
      </c>
      <c r="Y1180" t="str">
        <f>IF(AND($S655=1,$S1180=1,$V655=1,$V1180=1), "YES", "NO")</f>
        <v>YES</v>
      </c>
      <c r="Z1180" t="str">
        <f>IF(AND($S655=1,$S1180=1,$V655&gt;1,$V1180&gt;1), "YES", "NO")</f>
        <v>NO</v>
      </c>
      <c r="AA1180" t="str">
        <f>IF(AND($S655&gt;1,$S1180&gt;1,$S655=$V655,$S1180=$V1180), "YES", "NO")</f>
        <v>NO</v>
      </c>
      <c r="AB1180" t="str">
        <f>IF(AND($S655&gt;1,$S1180&gt;1,$S655&lt;$V655,$S1180&lt;$V1180), "YES", "NO")</f>
        <v>NO</v>
      </c>
      <c r="AC1180" t="str">
        <f>IF(AND($V655&gt;10,$V1180&gt;10), "YES", "NO")</f>
        <v>NO</v>
      </c>
      <c r="AD1180"/>
    </row>
    <row r="1181" spans="1:30" ht="15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>LEFT($A1181,FIND("_",$A1181)-1)</f>
        <v>AVATAR</v>
      </c>
      <c r="P1181" s="13" t="str">
        <f>IF($O1181="ACS", "True Search", IF($O1181="Arja", "Evolutionary Search", IF($O1181="AVATAR", "True Pattern", IF($O1181="CapGen", "Search Like Pattern", IF($O1181="Cardumen", "True Semantic", IF($O1181="DynaMoth", "True Semantic", IF($O1181="FixMiner", "True Pattern", IF($O1181="GenProg-A", "Evolutionary Search", IF($O1181="Hercules", "Learning Pattern", IF($O1181="Jaid", "True Semantic",
IF($O1181="Kali-A", "True Search", IF($O1181="kPAR", "True Pattern", IF($O1181="Nopol", "True Semantic", IF($O1181="RSRepair-A", "Evolutionary Search", IF($O1181="SequenceR", "Deep Learning", IF($O1181="SimFix", "Search Like Pattern", IF($O1181="SketchFix", "True Pattern", IF($O1181="SOFix", "True Pattern", IF($O1181="ssFix", "Search Like Pattern", IF($O1181="TBar", "True Pattern", ""))))))))))))))))))))</f>
        <v>True Pattern</v>
      </c>
      <c r="Q1181" s="13" t="str">
        <f>IF(NOT(ISERR(SEARCH("*_Buggy",$A1181))), "Buggy", IF(NOT(ISERR(SEARCH("*_Fixed",$A1181))), "Fixed", IF(NOT(ISERR(SEARCH("*_Repaired",$A1181))), "Repaired", "")))</f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v>1</v>
      </c>
      <c r="W1181" s="13" t="str">
        <f>MID(A1181, SEARCH("_", A1181) +1, SEARCH("_", A1181, SEARCH("_", A1181) +1) - SEARCH("_", A1181) -1)</f>
        <v>Math-88</v>
      </c>
      <c r="Y1181" t="str">
        <f>IF(AND($S656=1,$S1181=1,$V656=1,$V1181=1), "YES", "NO")</f>
        <v>NO</v>
      </c>
      <c r="Z1181" t="str">
        <f>IF(AND($S656=1,$S1181=1,$V656&gt;1,$V1181&gt;1), "YES", "NO")</f>
        <v>NO</v>
      </c>
      <c r="AA1181" t="str">
        <f>IF(AND($S656&gt;1,$S1181&gt;1,$S656=$V656,$S1181=$V1181), "YES", "NO")</f>
        <v>NO</v>
      </c>
      <c r="AB1181" t="str">
        <f>IF(AND($S656&gt;1,$S1181&gt;1,$S656&lt;$V656,$S1181&lt;$V1181), "YES", "NO")</f>
        <v>NO</v>
      </c>
      <c r="AC1181" t="str">
        <f>IF(AND($V656&gt;10,$V1181&gt;10), "YES", "NO")</f>
        <v>NO</v>
      </c>
      <c r="AD1181"/>
    </row>
    <row r="1182" spans="1:30" ht="15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>LEFT($A1182,FIND("_",$A1182)-1)</f>
        <v>AVATAR</v>
      </c>
      <c r="P1182" s="13" t="str">
        <f>IF($O1182="ACS", "True Search", IF($O1182="Arja", "Evolutionary Search", IF($O1182="AVATAR", "True Pattern", IF($O1182="CapGen", "Search Like Pattern", IF($O1182="Cardumen", "True Semantic", IF($O1182="DynaMoth", "True Semantic", IF($O1182="FixMiner", "True Pattern", IF($O1182="GenProg-A", "Evolutionary Search", IF($O1182="Hercules", "Learning Pattern", IF($O1182="Jaid", "True Semantic",
IF($O1182="Kali-A", "True Search", IF($O1182="kPAR", "True Pattern", IF($O1182="Nopol", "True Semantic", IF($O1182="RSRepair-A", "Evolutionary Search", IF($O1182="SequenceR", "Deep Learning", IF($O1182="SimFix", "Search Like Pattern", IF($O1182="SketchFix", "True Pattern", IF($O1182="SOFix", "True Pattern", IF($O1182="ssFix", "Search Like Pattern", IF($O1182="TBar", "True Pattern", ""))))))))))))))))))))</f>
        <v>True Pattern</v>
      </c>
      <c r="Q1182" s="13" t="str">
        <f>IF(NOT(ISERR(SEARCH("*_Buggy",$A1182))), "Buggy", IF(NOT(ISERR(SEARCH("*_Fixed",$A1182))), "Fixed", IF(NOT(ISERR(SEARCH("*_Repaired",$A1182))), "Repaired", "")))</f>
        <v>Repaired</v>
      </c>
      <c r="R1182" s="13" t="s">
        <v>1668</v>
      </c>
      <c r="S1182" s="25">
        <v>1</v>
      </c>
      <c r="T1182" s="25">
        <v>6</v>
      </c>
      <c r="U1182" s="25">
        <v>1</v>
      </c>
      <c r="V1182" s="13">
        <v>6</v>
      </c>
      <c r="W1182" s="13" t="str">
        <f>MID(A1182, SEARCH("_", A1182) +1, SEARCH("_", A1182, SEARCH("_", A1182) +1) - SEARCH("_", A1182) -1)</f>
        <v>Math-89</v>
      </c>
      <c r="Y1182" t="str">
        <f>IF(AND($S657=1,$S1182=1,$V657=1,$V1182=1), "YES", "NO")</f>
        <v>NO</v>
      </c>
      <c r="Z1182" t="str">
        <f>IF(AND($S657=1,$S1182=1,$V657&gt;1,$V1182&gt;1), "YES", "NO")</f>
        <v>NO</v>
      </c>
      <c r="AA1182" t="str">
        <f>IF(AND($S657&gt;1,$S1182&gt;1,$S657=$V657,$S1182=$V1182), "YES", "NO")</f>
        <v>NO</v>
      </c>
      <c r="AB1182" t="str">
        <f>IF(AND($S657&gt;1,$S1182&gt;1,$S657&lt;$V657,$S1182&lt;$V1182), "YES", "NO")</f>
        <v>NO</v>
      </c>
      <c r="AC1182" t="str">
        <f>IF(AND($V657&gt;10,$V1182&gt;10), "YES", "NO")</f>
        <v>NO</v>
      </c>
      <c r="AD1182"/>
    </row>
    <row r="1183" spans="1:30" ht="15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>LEFT($A1183,FIND("_",$A1183)-1)</f>
        <v>AVATAR</v>
      </c>
      <c r="P1183" s="13" t="str">
        <f>IF($O1183="ACS", "True Search", IF($O1183="Arja", "Evolutionary Search", IF($O1183="AVATAR", "True Pattern", IF($O1183="CapGen", "Search Like Pattern", IF($O1183="Cardumen", "True Semantic", IF($O1183="DynaMoth", "True Semantic", IF($O1183="FixMiner", "True Pattern", IF($O1183="GenProg-A", "Evolutionary Search", IF($O1183="Hercules", "Learning Pattern", IF($O1183="Jaid", "True Semantic",
IF($O1183="Kali-A", "True Search", IF($O1183="kPAR", "True Pattern", IF($O1183="Nopol", "True Semantic", IF($O1183="RSRepair-A", "Evolutionary Search", IF($O1183="SequenceR", "Deep Learning", IF($O1183="SimFix", "Search Like Pattern", IF($O1183="SketchFix", "True Pattern", IF($O1183="SOFix", "True Pattern", IF($O1183="ssFix", "Search Like Pattern", IF($O1183="TBar", "True Pattern", ""))))))))))))))))))))</f>
        <v>True Pattern</v>
      </c>
      <c r="Q1183" s="13" t="str">
        <f>IF(NOT(ISERR(SEARCH("*_Buggy",$A1183))), "Buggy", IF(NOT(ISERR(SEARCH("*_Fixed",$A1183))), "Fixed", IF(NOT(ISERR(SEARCH("*_Repaired",$A1183))), "Repaired", "")))</f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v>1</v>
      </c>
      <c r="W1183" s="13" t="str">
        <f>MID(A1183, SEARCH("_", A1183) +1, SEARCH("_", A1183, SEARCH("_", A1183) +1) - SEARCH("_", A1183) -1)</f>
        <v>Math-95</v>
      </c>
      <c r="Y1183" t="str">
        <f>IF(AND($S658=1,$S1183=1,$V658=1,$V1183=1), "YES", "NO")</f>
        <v>NO</v>
      </c>
      <c r="Z1183" t="str">
        <f>IF(AND($S658=1,$S1183=1,$V658&gt;1,$V1183&gt;1), "YES", "NO")</f>
        <v>NO</v>
      </c>
      <c r="AA1183" t="str">
        <f>IF(AND($S658&gt;1,$S1183&gt;1,$S658=$V658,$S1183=$V1183), "YES", "NO")</f>
        <v>NO</v>
      </c>
      <c r="AB1183" t="str">
        <f>IF(AND($S658&gt;1,$S1183&gt;1,$S658&lt;$V658,$S1183&lt;$V1183), "YES", "NO")</f>
        <v>NO</v>
      </c>
      <c r="AC1183" t="str">
        <f>IF(AND($V658&gt;10,$V1183&gt;10), "YES", "NO")</f>
        <v>NO</v>
      </c>
      <c r="AD1183"/>
    </row>
    <row r="1184" spans="1:30" ht="15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>LEFT($A1184,FIND("_",$A1184)-1)</f>
        <v>AVATAR</v>
      </c>
      <c r="P1184" s="13" t="str">
        <f>IF($O1184="ACS", "True Search", IF($O1184="Arja", "Evolutionary Search", IF($O1184="AVATAR", "True Pattern", IF($O1184="CapGen", "Search Like Pattern", IF($O1184="Cardumen", "True Semantic", IF($O1184="DynaMoth", "True Semantic", IF($O1184="FixMiner", "True Pattern", IF($O1184="GenProg-A", "Evolutionary Search", IF($O1184="Hercules", "Learning Pattern", IF($O1184="Jaid", "True Semantic",
IF($O1184="Kali-A", "True Search", IF($O1184="kPAR", "True Pattern", IF($O1184="Nopol", "True Semantic", IF($O1184="RSRepair-A", "Evolutionary Search", IF($O1184="SequenceR", "Deep Learning", IF($O1184="SimFix", "Search Like Pattern", IF($O1184="SketchFix", "True Pattern", IF($O1184="SOFix", "True Pattern", IF($O1184="ssFix", "Search Like Pattern", IF($O1184="TBar", "True Pattern", ""))))))))))))))))))))</f>
        <v>True Pattern</v>
      </c>
      <c r="Q1184" s="13" t="str">
        <f>IF(NOT(ISERR(SEARCH("*_Buggy",$A1184))), "Buggy", IF(NOT(ISERR(SEARCH("*_Fixed",$A1184))), "Fixed", IF(NOT(ISERR(SEARCH("*_Repaired",$A1184))), "Repaired", "")))</f>
        <v>Repaired</v>
      </c>
      <c r="R1184" s="13" t="s">
        <v>1668</v>
      </c>
      <c r="S1184" s="25">
        <v>1</v>
      </c>
      <c r="T1184" s="25">
        <v>4</v>
      </c>
      <c r="U1184" s="25">
        <v>1</v>
      </c>
      <c r="V1184" s="13">
        <v>4</v>
      </c>
      <c r="W1184" s="13" t="str">
        <f>MID(A1184, SEARCH("_", A1184) +1, SEARCH("_", A1184, SEARCH("_", A1184) +1) - SEARCH("_", A1184) -1)</f>
        <v>Mockito-29</v>
      </c>
      <c r="Y1184" t="str">
        <f>IF(AND($S659=1,$S1184=1,$V659=1,$V1184=1), "YES", "NO")</f>
        <v>NO</v>
      </c>
      <c r="Z1184" t="str">
        <f>IF(AND($S659=1,$S1184=1,$V659&gt;1,$V1184&gt;1), "YES", "NO")</f>
        <v>NO</v>
      </c>
      <c r="AA1184" t="str">
        <f>IF(AND($S659&gt;1,$S1184&gt;1,$S659=$V659,$S1184=$V1184), "YES", "NO")</f>
        <v>NO</v>
      </c>
      <c r="AB1184" t="str">
        <f>IF(AND($S659&gt;1,$S1184&gt;1,$S659&lt;$V659,$S1184&lt;$V1184), "YES", "NO")</f>
        <v>NO</v>
      </c>
      <c r="AC1184" t="str">
        <f>IF(AND($V659&gt;10,$V1184&gt;10), "YES", "NO")</f>
        <v>NO</v>
      </c>
      <c r="AD1184"/>
    </row>
    <row r="1185" spans="1:30" ht="15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>LEFT($A1185,FIND("_",$A1185)-1)</f>
        <v>AVATAR</v>
      </c>
      <c r="P1185" s="13" t="str">
        <f>IF($O1185="ACS", "True Search", IF($O1185="Arja", "Evolutionary Search", IF($O1185="AVATAR", "True Pattern", IF($O1185="CapGen", "Search Like Pattern", IF($O1185="Cardumen", "True Semantic", IF($O1185="DynaMoth", "True Semantic", IF($O1185="FixMiner", "True Pattern", IF($O1185="GenProg-A", "Evolutionary Search", IF($O1185="Hercules", "Learning Pattern", IF($O1185="Jaid", "True Semantic",
IF($O1185="Kali-A", "True Search", IF($O1185="kPAR", "True Pattern", IF($O1185="Nopol", "True Semantic", IF($O1185="RSRepair-A", "Evolutionary Search", IF($O1185="SequenceR", "Deep Learning", IF($O1185="SimFix", "Search Like Pattern", IF($O1185="SketchFix", "True Pattern", IF($O1185="SOFix", "True Pattern", IF($O1185="ssFix", "Search Like Pattern", IF($O1185="TBar", "True Pattern", ""))))))))))))))))))))</f>
        <v>True Pattern</v>
      </c>
      <c r="Q1185" s="13" t="str">
        <f>IF(NOT(ISERR(SEARCH("*_Buggy",$A1185))), "Buggy", IF(NOT(ISERR(SEARCH("*_Fixed",$A1185))), "Fixed", IF(NOT(ISERR(SEARCH("*_Repaired",$A1185))), "Repaired", "")))</f>
        <v>Repaired</v>
      </c>
      <c r="R1185" s="13" t="s">
        <v>1668</v>
      </c>
      <c r="S1185" s="25">
        <v>1</v>
      </c>
      <c r="T1185" s="25">
        <v>4</v>
      </c>
      <c r="U1185" s="25">
        <v>1</v>
      </c>
      <c r="V1185" s="13">
        <v>4</v>
      </c>
      <c r="W1185" s="13" t="str">
        <f>MID(A1185, SEARCH("_", A1185) +1, SEARCH("_", A1185, SEARCH("_", A1185) +1) - SEARCH("_", A1185) -1)</f>
        <v>Mockito-38</v>
      </c>
      <c r="Y1185" t="str">
        <f>IF(AND($S660=1,$S1185=1,$V660=1,$V1185=1), "YES", "NO")</f>
        <v>NO</v>
      </c>
      <c r="Z1185" t="str">
        <f>IF(AND($S660=1,$S1185=1,$V660&gt;1,$V1185&gt;1), "YES", "NO")</f>
        <v>NO</v>
      </c>
      <c r="AA1185" t="str">
        <f>IF(AND($S660&gt;1,$S1185&gt;1,$S660=$V660,$S1185=$V1185), "YES", "NO")</f>
        <v>NO</v>
      </c>
      <c r="AB1185" t="str">
        <f>IF(AND($S660&gt;1,$S1185&gt;1,$S660&lt;$V660,$S1185&lt;$V1185), "YES", "NO")</f>
        <v>NO</v>
      </c>
      <c r="AC1185" t="str">
        <f>IF(AND($V660&gt;10,$V1185&gt;10), "YES", "NO")</f>
        <v>NO</v>
      </c>
      <c r="AD1185"/>
    </row>
    <row r="1186" spans="1:30" ht="15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>LEFT($A1186,FIND("_",$A1186)-1)</f>
        <v>AVATAR</v>
      </c>
      <c r="P1186" s="13" t="str">
        <f>IF($O1186="ACS", "True Search", IF($O1186="Arja", "Evolutionary Search", IF($O1186="AVATAR", "True Pattern", IF($O1186="CapGen", "Search Like Pattern", IF($O1186="Cardumen", "True Semantic", IF($O1186="DynaMoth", "True Semantic", IF($O1186="FixMiner", "True Pattern", IF($O1186="GenProg-A", "Evolutionary Search", IF($O1186="Hercules", "Learning Pattern", IF($O1186="Jaid", "True Semantic",
IF($O1186="Kali-A", "True Search", IF($O1186="kPAR", "True Pattern", IF($O1186="Nopol", "True Semantic", IF($O1186="RSRepair-A", "Evolutionary Search", IF($O1186="SequenceR", "Deep Learning", IF($O1186="SimFix", "Search Like Pattern", IF($O1186="SketchFix", "True Pattern", IF($O1186="SOFix", "True Pattern", IF($O1186="ssFix", "Search Like Pattern", IF($O1186="TBar", "True Pattern", ""))))))))))))))))))))</f>
        <v>True Pattern</v>
      </c>
      <c r="Q1186" s="13" t="str">
        <f>IF(NOT(ISERR(SEARCH("*_Buggy",$A1186))), "Buggy", IF(NOT(ISERR(SEARCH("*_Fixed",$A1186))), "Fixed", IF(NOT(ISERR(SEARCH("*_Repaired",$A1186))), "Repaired", "")))</f>
        <v>Repaired</v>
      </c>
      <c r="R1186" s="13" t="s">
        <v>1669</v>
      </c>
      <c r="S1186" s="25">
        <v>1</v>
      </c>
      <c r="T1186" s="25">
        <v>1</v>
      </c>
      <c r="U1186" s="25">
        <v>29</v>
      </c>
      <c r="V1186" s="13">
        <v>29</v>
      </c>
      <c r="W1186" s="13" t="str">
        <f>MID(A1186, SEARCH("_", A1186) +1, SEARCH("_", A1186, SEARCH("_", A1186) +1) - SEARCH("_", A1186) -1)</f>
        <v>Time-18</v>
      </c>
      <c r="Y1186" t="str">
        <f>IF(AND($S661=1,$S1186=1,$V661=1,$V1186=1), "YES", "NO")</f>
        <v>NO</v>
      </c>
      <c r="Z1186" t="str">
        <f>IF(AND($S661=1,$S1186=1,$V661&gt;1,$V1186&gt;1), "YES", "NO")</f>
        <v>NO</v>
      </c>
      <c r="AA1186" t="str">
        <f>IF(AND($S661&gt;1,$S1186&gt;1,$S661=$V661,$S1186=$V1186), "YES", "NO")</f>
        <v>NO</v>
      </c>
      <c r="AB1186" t="str">
        <f>IF(AND($S661&gt;1,$S1186&gt;1,$S661&lt;$V661,$S1186&lt;$V1186), "YES", "NO")</f>
        <v>NO</v>
      </c>
      <c r="AC1186" t="str">
        <f>IF(AND($V661&gt;10,$V1186&gt;10), "YES", "NO")</f>
        <v>YES</v>
      </c>
      <c r="AD1186"/>
    </row>
    <row r="1187" spans="1:30" ht="15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>LEFT($A1187,FIND("_",$A1187)-1)</f>
        <v>DynaMoth</v>
      </c>
      <c r="P1187" s="13" t="str">
        <f>IF($O1187="ACS", "True Search", IF($O1187="Arja", "Evolutionary Search", IF($O1187="AVATAR", "True Pattern", IF($O1187="CapGen", "Search Like Pattern", IF($O1187="Cardumen", "True Semantic", IF($O1187="DynaMoth", "True Semantic", IF($O1187="FixMiner", "True Pattern", IF($O1187="GenProg-A", "Evolutionary Search", IF($O1187="Hercules", "Learning Pattern", IF($O1187="Jaid", "True Semantic",
IF($O1187="Kali-A", "True Search", IF($O1187="kPAR", "True Pattern", IF($O1187="Nopol", "True Semantic", IF($O1187="RSRepair-A", "Evolutionary Search", IF($O1187="SequenceR", "Deep Learning", IF($O1187="SimFix", "Search Like Pattern", IF($O1187="SketchFix", "True Pattern", IF($O1187="SOFix", "True Pattern", IF($O1187="ssFix", "Search Like Pattern", IF($O1187="TBar", "True Pattern", ""))))))))))))))))))))</f>
        <v>True Semantic</v>
      </c>
      <c r="Q1187" s="13" t="str">
        <f>IF(NOT(ISERR(SEARCH("*_Buggy",$A1187))), "Buggy", IF(NOT(ISERR(SEARCH("*_Fixed",$A1187))), "Fixed", IF(NOT(ISERR(SEARCH("*_Repaired",$A1187))), "Repaired", "")))</f>
        <v>Repaired</v>
      </c>
      <c r="R1187" s="13" t="s">
        <v>1669</v>
      </c>
      <c r="S1187" s="25">
        <v>1</v>
      </c>
      <c r="T1187" s="25">
        <v>4</v>
      </c>
      <c r="U1187" s="25">
        <v>2</v>
      </c>
      <c r="V1187" s="13">
        <v>4</v>
      </c>
      <c r="W1187" s="13" t="str">
        <f>MID(A1187, SEARCH("_", A1187) +1, SEARCH("_", A1187, SEARCH("_", A1187) +1) - SEARCH("_", A1187) -1)</f>
        <v>Chart-1</v>
      </c>
      <c r="Y1187" t="str">
        <f>IF(AND($S662=1,$S1187=1,$V662=1,$V1187=1), "YES", "NO")</f>
        <v>NO</v>
      </c>
      <c r="Z1187" t="str">
        <f>IF(AND($S662=1,$S1187=1,$V662&gt;1,$V1187&gt;1), "YES", "NO")</f>
        <v>NO</v>
      </c>
      <c r="AA1187" t="str">
        <f>IF(AND($S662&gt;1,$S1187&gt;1,$S662=$V662,$S1187=$V1187), "YES", "NO")</f>
        <v>NO</v>
      </c>
      <c r="AB1187" t="str">
        <f>IF(AND($S662&gt;1,$S1187&gt;1,$S662&lt;$V662,$S1187&lt;$V1187), "YES", "NO")</f>
        <v>NO</v>
      </c>
      <c r="AC1187" t="str">
        <f>IF(AND($V662&gt;10,$V1187&gt;10), "YES", "NO")</f>
        <v>NO</v>
      </c>
      <c r="AD1187"/>
    </row>
    <row r="1188" spans="1:30" ht="15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>LEFT($A1188,FIND("_",$A1188)-1)</f>
        <v>DynaMoth</v>
      </c>
      <c r="P1188" s="13" t="str">
        <f>IF($O1188="ACS", "True Search", IF($O1188="Arja", "Evolutionary Search", IF($O1188="AVATAR", "True Pattern", IF($O1188="CapGen", "Search Like Pattern", IF($O1188="Cardumen", "True Semantic", IF($O1188="DynaMoth", "True Semantic", IF($O1188="FixMiner", "True Pattern", IF($O1188="GenProg-A", "Evolutionary Search", IF($O1188="Hercules", "Learning Pattern", IF($O1188="Jaid", "True Semantic",
IF($O1188="Kali-A", "True Search", IF($O1188="kPAR", "True Pattern", IF($O1188="Nopol", "True Semantic", IF($O1188="RSRepair-A", "Evolutionary Search", IF($O1188="SequenceR", "Deep Learning", IF($O1188="SimFix", "Search Like Pattern", IF($O1188="SketchFix", "True Pattern", IF($O1188="SOFix", "True Pattern", IF($O1188="ssFix", "Search Like Pattern", IF($O1188="TBar", "True Pattern", ""))))))))))))))))))))</f>
        <v>True Semantic</v>
      </c>
      <c r="Q1188" s="13" t="str">
        <f>IF(NOT(ISERR(SEARCH("*_Buggy",$A1188))), "Buggy", IF(NOT(ISERR(SEARCH("*_Fixed",$A1188))), "Fixed", IF(NOT(ISERR(SEARCH("*_Repaired",$A1188))), "Repaired", "")))</f>
        <v>Repaired</v>
      </c>
      <c r="R1188" s="13" t="s">
        <v>1669</v>
      </c>
      <c r="S1188" s="25">
        <v>1</v>
      </c>
      <c r="T1188" s="25">
        <v>9</v>
      </c>
      <c r="U1188" s="25">
        <v>7</v>
      </c>
      <c r="V1188" s="13">
        <v>9</v>
      </c>
      <c r="W1188" s="13" t="str">
        <f>MID(A1188, SEARCH("_", A1188) +1, SEARCH("_", A1188, SEARCH("_", A1188) +1) - SEARCH("_", A1188) -1)</f>
        <v>Chart-13</v>
      </c>
      <c r="Y1188" t="str">
        <f>IF(AND($S663=1,$S1188=1,$V663=1,$V1188=1), "YES", "NO")</f>
        <v>NO</v>
      </c>
      <c r="Z1188" t="str">
        <f>IF(AND($S663=1,$S1188=1,$V663&gt;1,$V1188&gt;1), "YES", "NO")</f>
        <v>NO</v>
      </c>
      <c r="AA1188" t="str">
        <f>IF(AND($S663&gt;1,$S1188&gt;1,$S663=$V663,$S1188=$V1188), "YES", "NO")</f>
        <v>NO</v>
      </c>
      <c r="AB1188" t="str">
        <f>IF(AND($S663&gt;1,$S1188&gt;1,$S663&lt;$V663,$S1188&lt;$V1188), "YES", "NO")</f>
        <v>NO</v>
      </c>
      <c r="AC1188" t="str">
        <f>IF(AND($V663&gt;10,$V1188&gt;10), "YES", "NO")</f>
        <v>NO</v>
      </c>
      <c r="AD1188"/>
    </row>
    <row r="1189" spans="1:30" ht="15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>LEFT($A1189,FIND("_",$A1189)-1)</f>
        <v>DynaMoth</v>
      </c>
      <c r="P1189" s="13" t="str">
        <f>IF($O1189="ACS", "True Search", IF($O1189="Arja", "Evolutionary Search", IF($O1189="AVATAR", "True Pattern", IF($O1189="CapGen", "Search Like Pattern", IF($O1189="Cardumen", "True Semantic", IF($O1189="DynaMoth", "True Semantic", IF($O1189="FixMiner", "True Pattern", IF($O1189="GenProg-A", "Evolutionary Search", IF($O1189="Hercules", "Learning Pattern", IF($O1189="Jaid", "True Semantic",
IF($O1189="Kali-A", "True Search", IF($O1189="kPAR", "True Pattern", IF($O1189="Nopol", "True Semantic", IF($O1189="RSRepair-A", "Evolutionary Search", IF($O1189="SequenceR", "Deep Learning", IF($O1189="SimFix", "Search Like Pattern", IF($O1189="SketchFix", "True Pattern", IF($O1189="SOFix", "True Pattern", IF($O1189="ssFix", "Search Like Pattern", IF($O1189="TBar", "True Pattern", ""))))))))))))))))))))</f>
        <v>True Semantic</v>
      </c>
      <c r="Q1189" s="13" t="str">
        <f>IF(NOT(ISERR(SEARCH("*_Buggy",$A1189))), "Buggy", IF(NOT(ISERR(SEARCH("*_Fixed",$A1189))), "Fixed", IF(NOT(ISERR(SEARCH("*_Repaired",$A1189))), "Repaired", "")))</f>
        <v>Repaired</v>
      </c>
      <c r="R1189" s="13" t="s">
        <v>1669</v>
      </c>
      <c r="S1189" s="25">
        <v>1</v>
      </c>
      <c r="T1189" s="25">
        <v>9</v>
      </c>
      <c r="U1189" s="25">
        <v>7</v>
      </c>
      <c r="V1189" s="13">
        <v>9</v>
      </c>
      <c r="W1189" s="13" t="str">
        <f>MID(A1189, SEARCH("_", A1189) +1, SEARCH("_", A1189, SEARCH("_", A1189) +1) - SEARCH("_", A1189) -1)</f>
        <v>Chart-25</v>
      </c>
      <c r="Y1189" t="str">
        <f>IF(AND($S664=1,$S1189=1,$V664=1,$V1189=1), "YES", "NO")</f>
        <v>NO</v>
      </c>
      <c r="Z1189" t="str">
        <f>IF(AND($S664=1,$S1189=1,$V664&gt;1,$V1189&gt;1), "YES", "NO")</f>
        <v>NO</v>
      </c>
      <c r="AA1189" t="str">
        <f>IF(AND($S664&gt;1,$S1189&gt;1,$S664=$V664,$S1189=$V1189), "YES", "NO")</f>
        <v>NO</v>
      </c>
      <c r="AB1189" t="str">
        <f>IF(AND($S664&gt;1,$S1189&gt;1,$S664&lt;$V664,$S1189&lt;$V1189), "YES", "NO")</f>
        <v>NO</v>
      </c>
      <c r="AC1189" t="str">
        <f>IF(AND($V664&gt;10,$V1189&gt;10), "YES", "NO")</f>
        <v>NO</v>
      </c>
      <c r="AD1189"/>
    </row>
    <row r="1190" spans="1:30" ht="15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>LEFT($A1190,FIND("_",$A1190)-1)</f>
        <v>DynaMoth</v>
      </c>
      <c r="P1190" s="13" t="str">
        <f>IF($O1190="ACS", "True Search", IF($O1190="Arja", "Evolutionary Search", IF($O1190="AVATAR", "True Pattern", IF($O1190="CapGen", "Search Like Pattern", IF($O1190="Cardumen", "True Semantic", IF($O1190="DynaMoth", "True Semantic", IF($O1190="FixMiner", "True Pattern", IF($O1190="GenProg-A", "Evolutionary Search", IF($O1190="Hercules", "Learning Pattern", IF($O1190="Jaid", "True Semantic",
IF($O1190="Kali-A", "True Search", IF($O1190="kPAR", "True Pattern", IF($O1190="Nopol", "True Semantic", IF($O1190="RSRepair-A", "Evolutionary Search", IF($O1190="SequenceR", "Deep Learning", IF($O1190="SimFix", "Search Like Pattern", IF($O1190="SketchFix", "True Pattern", IF($O1190="SOFix", "True Pattern", IF($O1190="ssFix", "Search Like Pattern", IF($O1190="TBar", "True Pattern", ""))))))))))))))))))))</f>
        <v>True Semantic</v>
      </c>
      <c r="Q1190" s="13" t="str">
        <f>IF(NOT(ISERR(SEARCH("*_Buggy",$A1190))), "Buggy", IF(NOT(ISERR(SEARCH("*_Fixed",$A1190))), "Fixed", IF(NOT(ISERR(SEARCH("*_Repaired",$A1190))), "Repaired", "")))</f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v>1</v>
      </c>
      <c r="W1190" s="13" t="str">
        <f>MID(A1190, SEARCH("_", A1190) +1, SEARCH("_", A1190, SEARCH("_", A1190) +1) - SEARCH("_", A1190) -1)</f>
        <v>Chart-5</v>
      </c>
      <c r="Y1190" t="str">
        <f>IF(AND($S665=1,$S1190=1,$V665=1,$V1190=1), "YES", "NO")</f>
        <v>NO</v>
      </c>
      <c r="Z1190" t="str">
        <f>IF(AND($S665=1,$S1190=1,$V665&gt;1,$V1190&gt;1), "YES", "NO")</f>
        <v>NO</v>
      </c>
      <c r="AA1190" t="str">
        <f>IF(AND($S665&gt;1,$S1190&gt;1,$S665=$V665,$S1190=$V1190), "YES", "NO")</f>
        <v>NO</v>
      </c>
      <c r="AB1190" t="str">
        <f>IF(AND($S665&gt;1,$S1190&gt;1,$S665&lt;$V665,$S1190&lt;$V1190), "YES", "NO")</f>
        <v>NO</v>
      </c>
      <c r="AC1190" t="str">
        <f>IF(AND($V665&gt;10,$V1190&gt;10), "YES", "NO")</f>
        <v>NO</v>
      </c>
      <c r="AD1190"/>
    </row>
    <row r="1191" spans="1:30" ht="15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>LEFT($A1191,FIND("_",$A1191)-1)</f>
        <v>DynaMoth</v>
      </c>
      <c r="P1191" s="13" t="str">
        <f>IF($O1191="ACS", "True Search", IF($O1191="Arja", "Evolutionary Search", IF($O1191="AVATAR", "True Pattern", IF($O1191="CapGen", "Search Like Pattern", IF($O1191="Cardumen", "True Semantic", IF($O1191="DynaMoth", "True Semantic", IF($O1191="FixMiner", "True Pattern", IF($O1191="GenProg-A", "Evolutionary Search", IF($O1191="Hercules", "Learning Pattern", IF($O1191="Jaid", "True Semantic",
IF($O1191="Kali-A", "True Search", IF($O1191="kPAR", "True Pattern", IF($O1191="Nopol", "True Semantic", IF($O1191="RSRepair-A", "Evolutionary Search", IF($O1191="SequenceR", "Deep Learning", IF($O1191="SimFix", "Search Like Pattern", IF($O1191="SketchFix", "True Pattern", IF($O1191="SOFix", "True Pattern", IF($O1191="ssFix", "Search Like Pattern", IF($O1191="TBar", "True Pattern", ""))))))))))))))))))))</f>
        <v>True Semantic</v>
      </c>
      <c r="Q1191" s="13" t="str">
        <f>IF(NOT(ISERR(SEARCH("*_Buggy",$A1191))), "Buggy", IF(NOT(ISERR(SEARCH("*_Fixed",$A1191))), "Fixed", IF(NOT(ISERR(SEARCH("*_Repaired",$A1191))), "Repaired", "")))</f>
        <v>Repaired</v>
      </c>
      <c r="R1191" s="13" t="s">
        <v>1668</v>
      </c>
      <c r="S1191" s="25">
        <v>1</v>
      </c>
      <c r="T1191" s="25">
        <v>3</v>
      </c>
      <c r="U1191" s="25">
        <v>1</v>
      </c>
      <c r="V1191" s="13">
        <v>3</v>
      </c>
      <c r="W1191" s="13" t="str">
        <f>MID(A1191, SEARCH("_", A1191) +1, SEARCH("_", A1191, SEARCH("_", A1191) +1) - SEARCH("_", A1191) -1)</f>
        <v>Lang-46</v>
      </c>
      <c r="Y1191" t="str">
        <f>IF(AND($S666=1,$S1191=1,$V666=1,$V1191=1), "YES", "NO")</f>
        <v>NO</v>
      </c>
      <c r="Z1191" t="str">
        <f>IF(AND($S666=1,$S1191=1,$V666&gt;1,$V1191&gt;1), "YES", "NO")</f>
        <v>NO</v>
      </c>
      <c r="AA1191" t="str">
        <f>IF(AND($S666&gt;1,$S1191&gt;1,$S666=$V666,$S1191=$V1191), "YES", "NO")</f>
        <v>NO</v>
      </c>
      <c r="AB1191" t="str">
        <f>IF(AND($S666&gt;1,$S1191&gt;1,$S666&lt;$V666,$S1191&lt;$V1191), "YES", "NO")</f>
        <v>NO</v>
      </c>
      <c r="AC1191" t="str">
        <f>IF(AND($V666&gt;10,$V1191&gt;10), "YES", "NO")</f>
        <v>NO</v>
      </c>
      <c r="AD1191"/>
    </row>
    <row r="1192" spans="1:30" ht="15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>LEFT($A1192,FIND("_",$A1192)-1)</f>
        <v>DynaMoth</v>
      </c>
      <c r="P1192" s="13" t="str">
        <f>IF($O1192="ACS", "True Search", IF($O1192="Arja", "Evolutionary Search", IF($O1192="AVATAR", "True Pattern", IF($O1192="CapGen", "Search Like Pattern", IF($O1192="Cardumen", "True Semantic", IF($O1192="DynaMoth", "True Semantic", IF($O1192="FixMiner", "True Pattern", IF($O1192="GenProg-A", "Evolutionary Search", IF($O1192="Hercules", "Learning Pattern", IF($O1192="Jaid", "True Semantic",
IF($O1192="Kali-A", "True Search", IF($O1192="kPAR", "True Pattern", IF($O1192="Nopol", "True Semantic", IF($O1192="RSRepair-A", "Evolutionary Search", IF($O1192="SequenceR", "Deep Learning", IF($O1192="SimFix", "Search Like Pattern", IF($O1192="SketchFix", "True Pattern", IF($O1192="SOFix", "True Pattern", IF($O1192="ssFix", "Search Like Pattern", IF($O1192="TBar", "True Pattern", ""))))))))))))))))))))</f>
        <v>True Semantic</v>
      </c>
      <c r="Q1192" s="13" t="str">
        <f>IF(NOT(ISERR(SEARCH("*_Buggy",$A1192))), "Buggy", IF(NOT(ISERR(SEARCH("*_Fixed",$A1192))), "Fixed", IF(NOT(ISERR(SEARCH("*_Repaired",$A1192))), "Repaired", "")))</f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v>4</v>
      </c>
      <c r="W1192" s="13" t="str">
        <f>MID(A1192, SEARCH("_", A1192) +1, SEARCH("_", A1192, SEARCH("_", A1192) +1) - SEARCH("_", A1192) -1)</f>
        <v>Lang-51</v>
      </c>
      <c r="Y1192" t="str">
        <f>IF(AND($S667=1,$S1192=1,$V667=1,$V1192=1), "YES", "NO")</f>
        <v>NO</v>
      </c>
      <c r="Z1192" t="str">
        <f>IF(AND($S667=1,$S1192=1,$V667&gt;1,$V1192&gt;1), "YES", "NO")</f>
        <v>NO</v>
      </c>
      <c r="AA1192" t="str">
        <f>IF(AND($S667&gt;1,$S1192&gt;1,$S667=$V667,$S1192=$V1192), "YES", "NO")</f>
        <v>NO</v>
      </c>
      <c r="AB1192" t="str">
        <f>IF(AND($S667&gt;1,$S1192&gt;1,$S667&lt;$V667,$S1192&lt;$V1192), "YES", "NO")</f>
        <v>NO</v>
      </c>
      <c r="AC1192" t="str">
        <f>IF(AND($V667&gt;10,$V1192&gt;10), "YES", "NO")</f>
        <v>NO</v>
      </c>
      <c r="AD1192"/>
    </row>
    <row r="1193" spans="1:30" ht="15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>LEFT($A1193,FIND("_",$A1193)-1)</f>
        <v>DynaMoth</v>
      </c>
      <c r="P1193" s="13" t="str">
        <f>IF($O1193="ACS", "True Search", IF($O1193="Arja", "Evolutionary Search", IF($O1193="AVATAR", "True Pattern", IF($O1193="CapGen", "Search Like Pattern", IF($O1193="Cardumen", "True Semantic", IF($O1193="DynaMoth", "True Semantic", IF($O1193="FixMiner", "True Pattern", IF($O1193="GenProg-A", "Evolutionary Search", IF($O1193="Hercules", "Learning Pattern", IF($O1193="Jaid", "True Semantic",
IF($O1193="Kali-A", "True Search", IF($O1193="kPAR", "True Pattern", IF($O1193="Nopol", "True Semantic", IF($O1193="RSRepair-A", "Evolutionary Search", IF($O1193="SequenceR", "Deep Learning", IF($O1193="SimFix", "Search Like Pattern", IF($O1193="SketchFix", "True Pattern", IF($O1193="SOFix", "True Pattern", IF($O1193="ssFix", "Search Like Pattern", IF($O1193="TBar", "True Pattern", ""))))))))))))))))))))</f>
        <v>True Semantic</v>
      </c>
      <c r="Q1193" s="13" t="str">
        <f>IF(NOT(ISERR(SEARCH("*_Buggy",$A1193))), "Buggy", IF(NOT(ISERR(SEARCH("*_Fixed",$A1193))), "Fixed", IF(NOT(ISERR(SEARCH("*_Repaired",$A1193))), "Repaired", "")))</f>
        <v>Repaired</v>
      </c>
      <c r="R1193" s="13" t="s">
        <v>1668</v>
      </c>
      <c r="S1193" s="25">
        <v>1</v>
      </c>
      <c r="T1193" s="25">
        <v>3</v>
      </c>
      <c r="U1193" s="25">
        <v>1</v>
      </c>
      <c r="V1193" s="13">
        <v>3</v>
      </c>
      <c r="W1193" s="13" t="str">
        <f>MID(A1193, SEARCH("_", A1193) +1, SEARCH("_", A1193, SEARCH("_", A1193) +1) - SEARCH("_", A1193) -1)</f>
        <v>Lang-55</v>
      </c>
      <c r="Y1193" t="str">
        <f>IF(AND($S668=1,$S1193=1,$V668=1,$V1193=1), "YES", "NO")</f>
        <v>NO</v>
      </c>
      <c r="Z1193" t="str">
        <f>IF(AND($S668=1,$S1193=1,$V668&gt;1,$V1193&gt;1), "YES", "NO")</f>
        <v>NO</v>
      </c>
      <c r="AA1193" t="str">
        <f>IF(AND($S668&gt;1,$S1193&gt;1,$S668=$V668,$S1193=$V1193), "YES", "NO")</f>
        <v>NO</v>
      </c>
      <c r="AB1193" t="str">
        <f>IF(AND($S668&gt;1,$S1193&gt;1,$S668&lt;$V668,$S1193&lt;$V1193), "YES", "NO")</f>
        <v>NO</v>
      </c>
      <c r="AC1193" t="str">
        <f>IF(AND($V668&gt;10,$V1193&gt;10), "YES", "NO")</f>
        <v>NO</v>
      </c>
      <c r="AD1193"/>
    </row>
    <row r="1194" spans="1:30" ht="15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>LEFT($A1194,FIND("_",$A1194)-1)</f>
        <v>DynaMoth</v>
      </c>
      <c r="P1194" s="13" t="str">
        <f>IF($O1194="ACS", "True Search", IF($O1194="Arja", "Evolutionary Search", IF($O1194="AVATAR", "True Pattern", IF($O1194="CapGen", "Search Like Pattern", IF($O1194="Cardumen", "True Semantic", IF($O1194="DynaMoth", "True Semantic", IF($O1194="FixMiner", "True Pattern", IF($O1194="GenProg-A", "Evolutionary Search", IF($O1194="Hercules", "Learning Pattern", IF($O1194="Jaid", "True Semantic",
IF($O1194="Kali-A", "True Search", IF($O1194="kPAR", "True Pattern", IF($O1194="Nopol", "True Semantic", IF($O1194="RSRepair-A", "Evolutionary Search", IF($O1194="SequenceR", "Deep Learning", IF($O1194="SimFix", "Search Like Pattern", IF($O1194="SketchFix", "True Pattern", IF($O1194="SOFix", "True Pattern", IF($O1194="ssFix", "Search Like Pattern", IF($O1194="TBar", "True Pattern", ""))))))))))))))))))))</f>
        <v>True Semantic</v>
      </c>
      <c r="Q1194" s="13" t="str">
        <f>IF(NOT(ISERR(SEARCH("*_Buggy",$A1194))), "Buggy", IF(NOT(ISERR(SEARCH("*_Fixed",$A1194))), "Fixed", IF(NOT(ISERR(SEARCH("*_Repaired",$A1194))), "Repaired", "")))</f>
        <v>Repaired</v>
      </c>
      <c r="R1194" s="13" t="s">
        <v>1669</v>
      </c>
      <c r="S1194" s="25">
        <v>2</v>
      </c>
      <c r="T1194" s="25">
        <v>2</v>
      </c>
      <c r="U1194" s="25">
        <v>5</v>
      </c>
      <c r="V1194" s="13">
        <v>5</v>
      </c>
      <c r="W1194" s="13" t="str">
        <f>MID(A1194, SEARCH("_", A1194) +1, SEARCH("_", A1194, SEARCH("_", A1194) +1) - SEARCH("_", A1194) -1)</f>
        <v>Lang-58</v>
      </c>
      <c r="Y1194" t="str">
        <f>IF(AND($S669=1,$S1194=1,$V669=1,$V1194=1), "YES", "NO")</f>
        <v>NO</v>
      </c>
      <c r="Z1194" t="str">
        <f>IF(AND($S669=1,$S1194=1,$V669&gt;1,$V1194&gt;1), "YES", "NO")</f>
        <v>NO</v>
      </c>
      <c r="AA1194" t="str">
        <f>IF(AND($S669&gt;1,$S1194&gt;1,$S669=$V669,$S1194=$V1194), "YES", "NO")</f>
        <v>NO</v>
      </c>
      <c r="AB1194" t="str">
        <f>IF(AND($S669&gt;1,$S1194&gt;1,$S669&lt;$V669,$S1194&lt;$V1194), "YES", "NO")</f>
        <v>NO</v>
      </c>
      <c r="AC1194" t="str">
        <f>IF(AND($V669&gt;10,$V1194&gt;10), "YES", "NO")</f>
        <v>NO</v>
      </c>
      <c r="AD1194"/>
    </row>
    <row r="1195" spans="1:30" ht="15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>LEFT($A1195,FIND("_",$A1195)-1)</f>
        <v>DynaMoth</v>
      </c>
      <c r="P1195" s="13" t="str">
        <f>IF($O1195="ACS", "True Search", IF($O1195="Arja", "Evolutionary Search", IF($O1195="AVATAR", "True Pattern", IF($O1195="CapGen", "Search Like Pattern", IF($O1195="Cardumen", "True Semantic", IF($O1195="DynaMoth", "True Semantic", IF($O1195="FixMiner", "True Pattern", IF($O1195="GenProg-A", "Evolutionary Search", IF($O1195="Hercules", "Learning Pattern", IF($O1195="Jaid", "True Semantic",
IF($O1195="Kali-A", "True Search", IF($O1195="kPAR", "True Pattern", IF($O1195="Nopol", "True Semantic", IF($O1195="RSRepair-A", "Evolutionary Search", IF($O1195="SequenceR", "Deep Learning", IF($O1195="SimFix", "Search Like Pattern", IF($O1195="SketchFix", "True Pattern", IF($O1195="SOFix", "True Pattern", IF($O1195="ssFix", "Search Like Pattern", IF($O1195="TBar", "True Pattern", ""))))))))))))))))))))</f>
        <v>True Semantic</v>
      </c>
      <c r="Q1195" s="13" t="str">
        <f>IF(NOT(ISERR(SEARCH("*_Buggy",$A1195))), "Buggy", IF(NOT(ISERR(SEARCH("*_Fixed",$A1195))), "Fixed", IF(NOT(ISERR(SEARCH("*_Repaired",$A1195))), "Repaired", "")))</f>
        <v>Repaired</v>
      </c>
      <c r="R1195" s="13" t="s">
        <v>1669</v>
      </c>
      <c r="S1195" s="25">
        <v>1</v>
      </c>
      <c r="T1195" s="25">
        <v>3</v>
      </c>
      <c r="U1195" s="25">
        <v>1</v>
      </c>
      <c r="V1195" s="13">
        <v>3</v>
      </c>
      <c r="W1195" s="13" t="str">
        <f>MID(A1195, SEARCH("_", A1195) +1, SEARCH("_", A1195, SEARCH("_", A1195) +1) - SEARCH("_", A1195) -1)</f>
        <v>Lang-63</v>
      </c>
      <c r="Y1195" t="str">
        <f>IF(AND($S670=1,$S1195=1,$V670=1,$V1195=1), "YES", "NO")</f>
        <v>NO</v>
      </c>
      <c r="Z1195" t="str">
        <f>IF(AND($S670=1,$S1195=1,$V670&gt;1,$V1195&gt;1), "YES", "NO")</f>
        <v>NO</v>
      </c>
      <c r="AA1195" t="str">
        <f>IF(AND($S670&gt;1,$S1195&gt;1,$S670=$V670,$S1195=$V1195), "YES", "NO")</f>
        <v>NO</v>
      </c>
      <c r="AB1195" t="str">
        <f>IF(AND($S670&gt;1,$S1195&gt;1,$S670&lt;$V670,$S1195&lt;$V1195), "YES", "NO")</f>
        <v>NO</v>
      </c>
      <c r="AC1195" t="str">
        <f>IF(AND($V670&gt;10,$V1195&gt;10), "YES", "NO")</f>
        <v>NO</v>
      </c>
      <c r="AD1195"/>
    </row>
    <row r="1196" spans="1:30" ht="15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>LEFT($A1196,FIND("_",$A1196)-1)</f>
        <v>DynaMoth</v>
      </c>
      <c r="P1196" s="13" t="str">
        <f>IF($O1196="ACS", "True Search", IF($O1196="Arja", "Evolutionary Search", IF($O1196="AVATAR", "True Pattern", IF($O1196="CapGen", "Search Like Pattern", IF($O1196="Cardumen", "True Semantic", IF($O1196="DynaMoth", "True Semantic", IF($O1196="FixMiner", "True Pattern", IF($O1196="GenProg-A", "Evolutionary Search", IF($O1196="Hercules", "Learning Pattern", IF($O1196="Jaid", "True Semantic",
IF($O1196="Kali-A", "True Search", IF($O1196="kPAR", "True Pattern", IF($O1196="Nopol", "True Semantic", IF($O1196="RSRepair-A", "Evolutionary Search", IF($O1196="SequenceR", "Deep Learning", IF($O1196="SimFix", "Search Like Pattern", IF($O1196="SketchFix", "True Pattern", IF($O1196="SOFix", "True Pattern", IF($O1196="ssFix", "Search Like Pattern", IF($O1196="TBar", "True Pattern", ""))))))))))))))))))))</f>
        <v>True Semantic</v>
      </c>
      <c r="Q1196" s="13" t="str">
        <f>IF(NOT(ISERR(SEARCH("*_Buggy",$A1196))), "Buggy", IF(NOT(ISERR(SEARCH("*_Fixed",$A1196))), "Fixed", IF(NOT(ISERR(SEARCH("*_Repaired",$A1196))), "Repaired", "")))</f>
        <v>Repaired</v>
      </c>
      <c r="R1196" s="13" t="s">
        <v>1669</v>
      </c>
      <c r="S1196" s="25">
        <v>1</v>
      </c>
      <c r="T1196" s="25">
        <v>1</v>
      </c>
      <c r="U1196" s="25">
        <v>2</v>
      </c>
      <c r="V1196" s="13">
        <v>2</v>
      </c>
      <c r="W1196" s="13" t="str">
        <f>MID(A1196, SEARCH("_", A1196) +1, SEARCH("_", A1196, SEARCH("_", A1196) +1) - SEARCH("_", A1196) -1)</f>
        <v>Math-101</v>
      </c>
      <c r="Y1196" t="str">
        <f>IF(AND($S671=1,$S1196=1,$V671=1,$V1196=1), "YES", "NO")</f>
        <v>NO</v>
      </c>
      <c r="Z1196" t="str">
        <f>IF(AND($S671=1,$S1196=1,$V671&gt;1,$V1196&gt;1), "YES", "NO")</f>
        <v>YES</v>
      </c>
      <c r="AA1196" t="str">
        <f>IF(AND($S671&gt;1,$S1196&gt;1,$S671=$V671,$S1196=$V1196), "YES", "NO")</f>
        <v>NO</v>
      </c>
      <c r="AB1196" t="str">
        <f>IF(AND($S671&gt;1,$S1196&gt;1,$S671&lt;$V671,$S1196&lt;$V1196), "YES", "NO")</f>
        <v>NO</v>
      </c>
      <c r="AC1196" t="str">
        <f>IF(AND($V671&gt;10,$V1196&gt;10), "YES", "NO")</f>
        <v>NO</v>
      </c>
      <c r="AD1196"/>
    </row>
    <row r="1197" spans="1:30" ht="15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>LEFT($A1197,FIND("_",$A1197)-1)</f>
        <v>DynaMoth</v>
      </c>
      <c r="P1197" s="13" t="str">
        <f>IF($O1197="ACS", "True Search", IF($O1197="Arja", "Evolutionary Search", IF($O1197="AVATAR", "True Pattern", IF($O1197="CapGen", "Search Like Pattern", IF($O1197="Cardumen", "True Semantic", IF($O1197="DynaMoth", "True Semantic", IF($O1197="FixMiner", "True Pattern", IF($O1197="GenProg-A", "Evolutionary Search", IF($O1197="Hercules", "Learning Pattern", IF($O1197="Jaid", "True Semantic",
IF($O1197="Kali-A", "True Search", IF($O1197="kPAR", "True Pattern", IF($O1197="Nopol", "True Semantic", IF($O1197="RSRepair-A", "Evolutionary Search", IF($O1197="SequenceR", "Deep Learning", IF($O1197="SimFix", "Search Like Pattern", IF($O1197="SketchFix", "True Pattern", IF($O1197="SOFix", "True Pattern", IF($O1197="ssFix", "Search Like Pattern", IF($O1197="TBar", "True Pattern", ""))))))))))))))))))))</f>
        <v>True Semantic</v>
      </c>
      <c r="Q1197" s="13" t="str">
        <f>IF(NOT(ISERR(SEARCH("*_Buggy",$A1197))), "Buggy", IF(NOT(ISERR(SEARCH("*_Fixed",$A1197))), "Fixed", IF(NOT(ISERR(SEARCH("*_Repaired",$A1197))), "Repaired", "")))</f>
        <v>Repaired</v>
      </c>
      <c r="R1197" s="13" t="s">
        <v>1669</v>
      </c>
      <c r="S1197" s="25">
        <v>1</v>
      </c>
      <c r="T1197" s="25">
        <v>3</v>
      </c>
      <c r="U1197" s="25">
        <v>1</v>
      </c>
      <c r="V1197" s="13">
        <v>3</v>
      </c>
      <c r="W1197" s="13" t="str">
        <f>MID(A1197, SEARCH("_", A1197) +1, SEARCH("_", A1197, SEARCH("_", A1197) +1) - SEARCH("_", A1197) -1)</f>
        <v>Math-105</v>
      </c>
      <c r="Y1197" t="str">
        <f>IF(AND($S672=1,$S1197=1,$V672=1,$V1197=1), "YES", "NO")</f>
        <v>NO</v>
      </c>
      <c r="Z1197" t="str">
        <f>IF(AND($S672=1,$S1197=1,$V672&gt;1,$V1197&gt;1), "YES", "NO")</f>
        <v>NO</v>
      </c>
      <c r="AA1197" t="str">
        <f>IF(AND($S672&gt;1,$S1197&gt;1,$S672=$V672,$S1197=$V1197), "YES", "NO")</f>
        <v>NO</v>
      </c>
      <c r="AB1197" t="str">
        <f>IF(AND($S672&gt;1,$S1197&gt;1,$S672&lt;$V672,$S1197&lt;$V1197), "YES", "NO")</f>
        <v>NO</v>
      </c>
      <c r="AC1197" t="str">
        <f>IF(AND($V672&gt;10,$V1197&gt;10), "YES", "NO")</f>
        <v>NO</v>
      </c>
      <c r="AD1197"/>
    </row>
    <row r="1198" spans="1:30" ht="15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>LEFT($A1198,FIND("_",$A1198)-1)</f>
        <v>DynaMoth</v>
      </c>
      <c r="P1198" s="13" t="str">
        <f>IF($O1198="ACS", "True Search", IF($O1198="Arja", "Evolutionary Search", IF($O1198="AVATAR", "True Pattern", IF($O1198="CapGen", "Search Like Pattern", IF($O1198="Cardumen", "True Semantic", IF($O1198="DynaMoth", "True Semantic", IF($O1198="FixMiner", "True Pattern", IF($O1198="GenProg-A", "Evolutionary Search", IF($O1198="Hercules", "Learning Pattern", IF($O1198="Jaid", "True Semantic",
IF($O1198="Kali-A", "True Search", IF($O1198="kPAR", "True Pattern", IF($O1198="Nopol", "True Semantic", IF($O1198="RSRepair-A", "Evolutionary Search", IF($O1198="SequenceR", "Deep Learning", IF($O1198="SimFix", "Search Like Pattern", IF($O1198="SketchFix", "True Pattern", IF($O1198="SOFix", "True Pattern", IF($O1198="ssFix", "Search Like Pattern", IF($O1198="TBar", "True Pattern", ""))))))))))))))))))))</f>
        <v>True Semantic</v>
      </c>
      <c r="Q1198" s="13" t="str">
        <f>IF(NOT(ISERR(SEARCH("*_Buggy",$A1198))), "Buggy", IF(NOT(ISERR(SEARCH("*_Fixed",$A1198))), "Fixed", IF(NOT(ISERR(SEARCH("*_Repaired",$A1198))), "Repaired", "")))</f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v>1</v>
      </c>
      <c r="W1198" s="13" t="str">
        <f>MID(A1198, SEARCH("_", A1198) +1, SEARCH("_", A1198, SEARCH("_", A1198) +1) - SEARCH("_", A1198) -1)</f>
        <v>Math-20</v>
      </c>
      <c r="Y1198" t="str">
        <f>IF(AND($S673=1,$S1198=1,$V673=1,$V1198=1), "YES", "NO")</f>
        <v>NO</v>
      </c>
      <c r="Z1198" t="str">
        <f>IF(AND($S673=1,$S1198=1,$V673&gt;1,$V1198&gt;1), "YES", "NO")</f>
        <v>NO</v>
      </c>
      <c r="AA1198" t="str">
        <f>IF(AND($S673&gt;1,$S1198&gt;1,$S673=$V673,$S1198=$V1198), "YES", "NO")</f>
        <v>NO</v>
      </c>
      <c r="AB1198" t="str">
        <f>IF(AND($S673&gt;1,$S1198&gt;1,$S673&lt;$V673,$S1198&lt;$V1198), "YES", "NO")</f>
        <v>NO</v>
      </c>
      <c r="AC1198" t="str">
        <f>IF(AND($V673&gt;10,$V1198&gt;10), "YES", "NO")</f>
        <v>NO</v>
      </c>
      <c r="AD1198"/>
    </row>
    <row r="1199" spans="1:30" ht="15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>LEFT($A1199,FIND("_",$A1199)-1)</f>
        <v>DynaMoth</v>
      </c>
      <c r="P1199" s="13" t="str">
        <f>IF($O1199="ACS", "True Search", IF($O1199="Arja", "Evolutionary Search", IF($O1199="AVATAR", "True Pattern", IF($O1199="CapGen", "Search Like Pattern", IF($O1199="Cardumen", "True Semantic", IF($O1199="DynaMoth", "True Semantic", IF($O1199="FixMiner", "True Pattern", IF($O1199="GenProg-A", "Evolutionary Search", IF($O1199="Hercules", "Learning Pattern", IF($O1199="Jaid", "True Semantic",
IF($O1199="Kali-A", "True Search", IF($O1199="kPAR", "True Pattern", IF($O1199="Nopol", "True Semantic", IF($O1199="RSRepair-A", "Evolutionary Search", IF($O1199="SequenceR", "Deep Learning", IF($O1199="SimFix", "Search Like Pattern", IF($O1199="SketchFix", "True Pattern", IF($O1199="SOFix", "True Pattern", IF($O1199="ssFix", "Search Like Pattern", IF($O1199="TBar", "True Pattern", ""))))))))))))))))))))</f>
        <v>True Semantic</v>
      </c>
      <c r="Q1199" s="13" t="str">
        <f>IF(NOT(ISERR(SEARCH("*_Buggy",$A1199))), "Buggy", IF(NOT(ISERR(SEARCH("*_Fixed",$A1199))), "Fixed", IF(NOT(ISERR(SEARCH("*_Repaired",$A1199))), "Repaired", "")))</f>
        <v>Repaired</v>
      </c>
      <c r="R1199" s="13" t="s">
        <v>1669</v>
      </c>
      <c r="S1199" s="25">
        <v>1</v>
      </c>
      <c r="T1199" s="25">
        <v>3</v>
      </c>
      <c r="U1199" s="25">
        <v>1</v>
      </c>
      <c r="V1199" s="13">
        <v>3</v>
      </c>
      <c r="W1199" s="13" t="str">
        <f>MID(A1199, SEARCH("_", A1199) +1, SEARCH("_", A1199, SEARCH("_", A1199) +1) - SEARCH("_", A1199) -1)</f>
        <v>Math-28</v>
      </c>
      <c r="Y1199" t="str">
        <f>IF(AND($S674=1,$S1199=1,$V674=1,$V1199=1), "YES", "NO")</f>
        <v>NO</v>
      </c>
      <c r="Z1199" t="str">
        <f>IF(AND($S674=1,$S1199=1,$V674&gt;1,$V1199&gt;1), "YES", "NO")</f>
        <v>NO</v>
      </c>
      <c r="AA1199" t="str">
        <f>IF(AND($S674&gt;1,$S1199&gt;1,$S674=$V674,$S1199=$V1199), "YES", "NO")</f>
        <v>NO</v>
      </c>
      <c r="AB1199" t="str">
        <f>IF(AND($S674&gt;1,$S1199&gt;1,$S674&lt;$V674,$S1199&lt;$V1199), "YES", "NO")</f>
        <v>NO</v>
      </c>
      <c r="AC1199" t="str">
        <f>IF(AND($V674&gt;10,$V1199&gt;10), "YES", "NO")</f>
        <v>NO</v>
      </c>
      <c r="AD1199"/>
    </row>
    <row r="1200" spans="1:30" ht="15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>LEFT($A1200,FIND("_",$A1200)-1)</f>
        <v>DynaMoth</v>
      </c>
      <c r="P1200" s="13" t="str">
        <f>IF($O1200="ACS", "True Search", IF($O1200="Arja", "Evolutionary Search", IF($O1200="AVATAR", "True Pattern", IF($O1200="CapGen", "Search Like Pattern", IF($O1200="Cardumen", "True Semantic", IF($O1200="DynaMoth", "True Semantic", IF($O1200="FixMiner", "True Pattern", IF($O1200="GenProg-A", "Evolutionary Search", IF($O1200="Hercules", "Learning Pattern", IF($O1200="Jaid", "True Semantic",
IF($O1200="Kali-A", "True Search", IF($O1200="kPAR", "True Pattern", IF($O1200="Nopol", "True Semantic", IF($O1200="RSRepair-A", "Evolutionary Search", IF($O1200="SequenceR", "Deep Learning", IF($O1200="SimFix", "Search Like Pattern", IF($O1200="SketchFix", "True Pattern", IF($O1200="SOFix", "True Pattern", IF($O1200="ssFix", "Search Like Pattern", IF($O1200="TBar", "True Pattern", ""))))))))))))))))))))</f>
        <v>True Semantic</v>
      </c>
      <c r="Q1200" s="13" t="str">
        <f>IF(NOT(ISERR(SEARCH("*_Buggy",$A1200))), "Buggy", IF(NOT(ISERR(SEARCH("*_Fixed",$A1200))), "Fixed", IF(NOT(ISERR(SEARCH("*_Repaired",$A1200))), "Repaired", "")))</f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v>1</v>
      </c>
      <c r="W1200" s="13" t="str">
        <f>MID(A1200, SEARCH("_", A1200) +1, SEARCH("_", A1200, SEARCH("_", A1200) +1) - SEARCH("_", A1200) -1)</f>
        <v>Math-32</v>
      </c>
      <c r="Y1200" t="str">
        <f>IF(AND($S675=1,$S1200=1,$V675=1,$V1200=1), "YES", "NO")</f>
        <v>YES</v>
      </c>
      <c r="Z1200" t="str">
        <f>IF(AND($S675=1,$S1200=1,$V675&gt;1,$V1200&gt;1), "YES", "NO")</f>
        <v>NO</v>
      </c>
      <c r="AA1200" t="str">
        <f>IF(AND($S675&gt;1,$S1200&gt;1,$S675=$V675,$S1200=$V1200), "YES", "NO")</f>
        <v>NO</v>
      </c>
      <c r="AB1200" t="str">
        <f>IF(AND($S675&gt;1,$S1200&gt;1,$S675&lt;$V675,$S1200&lt;$V1200), "YES", "NO")</f>
        <v>NO</v>
      </c>
      <c r="AC1200" t="str">
        <f>IF(AND($V675&gt;10,$V1200&gt;10), "YES", "NO")</f>
        <v>NO</v>
      </c>
      <c r="AD1200"/>
    </row>
    <row r="1201" spans="1:30" ht="15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>LEFT($A1201,FIND("_",$A1201)-1)</f>
        <v>DynaMoth</v>
      </c>
      <c r="P1201" s="13" t="str">
        <f>IF($O1201="ACS", "True Search", IF($O1201="Arja", "Evolutionary Search", IF($O1201="AVATAR", "True Pattern", IF($O1201="CapGen", "Search Like Pattern", IF($O1201="Cardumen", "True Semantic", IF($O1201="DynaMoth", "True Semantic", IF($O1201="FixMiner", "True Pattern", IF($O1201="GenProg-A", "Evolutionary Search", IF($O1201="Hercules", "Learning Pattern", IF($O1201="Jaid", "True Semantic",
IF($O1201="Kali-A", "True Search", IF($O1201="kPAR", "True Pattern", IF($O1201="Nopol", "True Semantic", IF($O1201="RSRepair-A", "Evolutionary Search", IF($O1201="SequenceR", "Deep Learning", IF($O1201="SimFix", "Search Like Pattern", IF($O1201="SketchFix", "True Pattern", IF($O1201="SOFix", "True Pattern", IF($O1201="ssFix", "Search Like Pattern", IF($O1201="TBar", "True Pattern", ""))))))))))))))))))))</f>
        <v>True Semantic</v>
      </c>
      <c r="Q1201" s="13" t="str">
        <f>IF(NOT(ISERR(SEARCH("*_Buggy",$A1201))), "Buggy", IF(NOT(ISERR(SEARCH("*_Fixed",$A1201))), "Fixed", IF(NOT(ISERR(SEARCH("*_Repaired",$A1201))), "Repaired", "")))</f>
        <v>Repaired</v>
      </c>
      <c r="R1201" s="13" t="s">
        <v>1669</v>
      </c>
      <c r="S1201" s="25">
        <v>1</v>
      </c>
      <c r="T1201" s="25">
        <v>10</v>
      </c>
      <c r="U1201" s="25">
        <v>8</v>
      </c>
      <c r="V1201" s="13">
        <v>10</v>
      </c>
      <c r="W1201" s="13" t="str">
        <f>MID(A1201, SEARCH("_", A1201) +1, SEARCH("_", A1201, SEARCH("_", A1201) +1) - SEARCH("_", A1201) -1)</f>
        <v>Math-41</v>
      </c>
      <c r="Y1201" t="str">
        <f>IF(AND($S676=1,$S1201=1,$V676=1,$V1201=1), "YES", "NO")</f>
        <v>NO</v>
      </c>
      <c r="Z1201" t="str">
        <f>IF(AND($S676=1,$S1201=1,$V676&gt;1,$V1201&gt;1), "YES", "NO")</f>
        <v>NO</v>
      </c>
      <c r="AA1201" t="str">
        <f>IF(AND($S676&gt;1,$S1201&gt;1,$S676=$V676,$S1201=$V1201), "YES", "NO")</f>
        <v>NO</v>
      </c>
      <c r="AB1201" t="str">
        <f>IF(AND($S676&gt;1,$S1201&gt;1,$S676&lt;$V676,$S1201&lt;$V1201), "YES", "NO")</f>
        <v>NO</v>
      </c>
      <c r="AC1201" t="str">
        <f>IF(AND($V676&gt;10,$V1201&gt;10), "YES", "NO")</f>
        <v>NO</v>
      </c>
      <c r="AD1201"/>
    </row>
    <row r="1202" spans="1:30" ht="15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>LEFT($A1202,FIND("_",$A1202)-1)</f>
        <v>DynaMoth</v>
      </c>
      <c r="P1202" s="13" t="str">
        <f>IF($O1202="ACS", "True Search", IF($O1202="Arja", "Evolutionary Search", IF($O1202="AVATAR", "True Pattern", IF($O1202="CapGen", "Search Like Pattern", IF($O1202="Cardumen", "True Semantic", IF($O1202="DynaMoth", "True Semantic", IF($O1202="FixMiner", "True Pattern", IF($O1202="GenProg-A", "Evolutionary Search", IF($O1202="Hercules", "Learning Pattern", IF($O1202="Jaid", "True Semantic",
IF($O1202="Kali-A", "True Search", IF($O1202="kPAR", "True Pattern", IF($O1202="Nopol", "True Semantic", IF($O1202="RSRepair-A", "Evolutionary Search", IF($O1202="SequenceR", "Deep Learning", IF($O1202="SimFix", "Search Like Pattern", IF($O1202="SketchFix", "True Pattern", IF($O1202="SOFix", "True Pattern", IF($O1202="ssFix", "Search Like Pattern", IF($O1202="TBar", "True Pattern", ""))))))))))))))))))))</f>
        <v>True Semantic</v>
      </c>
      <c r="Q1202" s="13" t="str">
        <f>IF(NOT(ISERR(SEARCH("*_Buggy",$A1202))), "Buggy", IF(NOT(ISERR(SEARCH("*_Fixed",$A1202))), "Fixed", IF(NOT(ISERR(SEARCH("*_Repaired",$A1202))), "Repaired", "")))</f>
        <v>Repaired</v>
      </c>
      <c r="R1202" s="13" t="s">
        <v>1669</v>
      </c>
      <c r="S1202" s="25">
        <v>1</v>
      </c>
      <c r="T1202" s="25">
        <v>6</v>
      </c>
      <c r="U1202" s="25">
        <v>2</v>
      </c>
      <c r="V1202" s="13">
        <v>6</v>
      </c>
      <c r="W1202" s="13" t="str">
        <f>MID(A1202, SEARCH("_", A1202) +1, SEARCH("_", A1202, SEARCH("_", A1202) +1) - SEARCH("_", A1202) -1)</f>
        <v>Math-49</v>
      </c>
      <c r="Y1202" t="str">
        <f>IF(AND($S677=1,$S1202=1,$V677=1,$V1202=1), "YES", "NO")</f>
        <v>NO</v>
      </c>
      <c r="Z1202" t="str">
        <f>IF(AND($S677=1,$S1202=1,$V677&gt;1,$V1202&gt;1), "YES", "NO")</f>
        <v>NO</v>
      </c>
      <c r="AA1202" t="str">
        <f>IF(AND($S677&gt;1,$S1202&gt;1,$S677=$V677,$S1202=$V1202), "YES", "NO")</f>
        <v>NO</v>
      </c>
      <c r="AB1202" t="str">
        <f>IF(AND($S677&gt;1,$S1202&gt;1,$S677&lt;$V677,$S1202&lt;$V1202), "YES", "NO")</f>
        <v>NO</v>
      </c>
      <c r="AC1202" t="str">
        <f>IF(AND($V677&gt;10,$V1202&gt;10), "YES", "NO")</f>
        <v>NO</v>
      </c>
      <c r="AD1202"/>
    </row>
    <row r="1203" spans="1:30" ht="15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>LEFT($A1203,FIND("_",$A1203)-1)</f>
        <v>DynaMoth</v>
      </c>
      <c r="P1203" s="13" t="str">
        <f>IF($O1203="ACS", "True Search", IF($O1203="Arja", "Evolutionary Search", IF($O1203="AVATAR", "True Pattern", IF($O1203="CapGen", "Search Like Pattern", IF($O1203="Cardumen", "True Semantic", IF($O1203="DynaMoth", "True Semantic", IF($O1203="FixMiner", "True Pattern", IF($O1203="GenProg-A", "Evolutionary Search", IF($O1203="Hercules", "Learning Pattern", IF($O1203="Jaid", "True Semantic",
IF($O1203="Kali-A", "True Search", IF($O1203="kPAR", "True Pattern", IF($O1203="Nopol", "True Semantic", IF($O1203="RSRepair-A", "Evolutionary Search", IF($O1203="SequenceR", "Deep Learning", IF($O1203="SimFix", "Search Like Pattern", IF($O1203="SketchFix", "True Pattern", IF($O1203="SOFix", "True Pattern", IF($O1203="ssFix", "Search Like Pattern", IF($O1203="TBar", "True Pattern", ""))))))))))))))))))))</f>
        <v>True Semantic</v>
      </c>
      <c r="Q1203" s="13" t="str">
        <f>IF(NOT(ISERR(SEARCH("*_Buggy",$A1203))), "Buggy", IF(NOT(ISERR(SEARCH("*_Fixed",$A1203))), "Fixed", IF(NOT(ISERR(SEARCH("*_Repaired",$A1203))), "Repaired", "")))</f>
        <v>Repaired</v>
      </c>
      <c r="R1203" s="13" t="s">
        <v>1668</v>
      </c>
      <c r="S1203" s="25">
        <v>1</v>
      </c>
      <c r="T1203" s="25">
        <v>3</v>
      </c>
      <c r="U1203" s="25">
        <v>1</v>
      </c>
      <c r="V1203" s="13">
        <v>3</v>
      </c>
      <c r="W1203" s="13" t="str">
        <f>MID(A1203, SEARCH("_", A1203) +1, SEARCH("_", A1203, SEARCH("_", A1203) +1) - SEARCH("_", A1203) -1)</f>
        <v>Math-50</v>
      </c>
      <c r="Y1203" t="str">
        <f>IF(AND($S678=1,$S1203=1,$V678=1,$V1203=1), "YES", "NO")</f>
        <v>NO</v>
      </c>
      <c r="Z1203" t="str">
        <f>IF(AND($S678=1,$S1203=1,$V678&gt;1,$V1203&gt;1), "YES", "NO")</f>
        <v>YES</v>
      </c>
      <c r="AA1203" t="str">
        <f>IF(AND($S678&gt;1,$S1203&gt;1,$S678=$V678,$S1203=$V1203), "YES", "NO")</f>
        <v>NO</v>
      </c>
      <c r="AB1203" t="str">
        <f>IF(AND($S678&gt;1,$S1203&gt;1,$S678&lt;$V678,$S1203&lt;$V1203), "YES", "NO")</f>
        <v>NO</v>
      </c>
      <c r="AC1203" t="str">
        <f>IF(AND($V678&gt;10,$V1203&gt;10), "YES", "NO")</f>
        <v>NO</v>
      </c>
      <c r="AD1203"/>
    </row>
    <row r="1204" spans="1:30" ht="15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>LEFT($A1204,FIND("_",$A1204)-1)</f>
        <v>DynaMoth</v>
      </c>
      <c r="P1204" s="13" t="str">
        <f>IF($O1204="ACS", "True Search", IF($O1204="Arja", "Evolutionary Search", IF($O1204="AVATAR", "True Pattern", IF($O1204="CapGen", "Search Like Pattern", IF($O1204="Cardumen", "True Semantic", IF($O1204="DynaMoth", "True Semantic", IF($O1204="FixMiner", "True Pattern", IF($O1204="GenProg-A", "Evolutionary Search", IF($O1204="Hercules", "Learning Pattern", IF($O1204="Jaid", "True Semantic",
IF($O1204="Kali-A", "True Search", IF($O1204="kPAR", "True Pattern", IF($O1204="Nopol", "True Semantic", IF($O1204="RSRepair-A", "Evolutionary Search", IF($O1204="SequenceR", "Deep Learning", IF($O1204="SimFix", "Search Like Pattern", IF($O1204="SketchFix", "True Pattern", IF($O1204="SOFix", "True Pattern", IF($O1204="ssFix", "Search Like Pattern", IF($O1204="TBar", "True Pattern", ""))))))))))))))))))))</f>
        <v>True Semantic</v>
      </c>
      <c r="Q1204" s="13" t="str">
        <f>IF(NOT(ISERR(SEARCH("*_Buggy",$A1204))), "Buggy", IF(NOT(ISERR(SEARCH("*_Fixed",$A1204))), "Fixed", IF(NOT(ISERR(SEARCH("*_Repaired",$A1204))), "Repaired", "")))</f>
        <v>Repaired</v>
      </c>
      <c r="R1204" s="13" t="s">
        <v>1669</v>
      </c>
      <c r="S1204" s="25">
        <v>1</v>
      </c>
      <c r="T1204" s="25">
        <v>4</v>
      </c>
      <c r="U1204" s="25">
        <v>2</v>
      </c>
      <c r="V1204" s="13">
        <v>4</v>
      </c>
      <c r="W1204" s="13" t="str">
        <f>MID(A1204, SEARCH("_", A1204) +1, SEARCH("_", A1204, SEARCH("_", A1204) +1) - SEARCH("_", A1204) -1)</f>
        <v>Math-8</v>
      </c>
      <c r="Y1204" t="str">
        <f>IF(AND($S679=1,$S1204=1,$V679=1,$V1204=1), "YES", "NO")</f>
        <v>NO</v>
      </c>
      <c r="Z1204" t="str">
        <f>IF(AND($S679=1,$S1204=1,$V679&gt;1,$V1204&gt;1), "YES", "NO")</f>
        <v>NO</v>
      </c>
      <c r="AA1204" t="str">
        <f>IF(AND($S679&gt;1,$S1204&gt;1,$S679=$V679,$S1204=$V1204), "YES", "NO")</f>
        <v>NO</v>
      </c>
      <c r="AB1204" t="str">
        <f>IF(AND($S679&gt;1,$S1204&gt;1,$S679&lt;$V679,$S1204&lt;$V1204), "YES", "NO")</f>
        <v>NO</v>
      </c>
      <c r="AC1204" t="str">
        <f>IF(AND($V679&gt;10,$V1204&gt;10), "YES", "NO")</f>
        <v>NO</v>
      </c>
      <c r="AD1204"/>
    </row>
    <row r="1205" spans="1:30" ht="15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>LEFT($A1205,FIND("_",$A1205)-1)</f>
        <v>DynaMoth</v>
      </c>
      <c r="P1205" s="13" t="str">
        <f>IF($O1205="ACS", "True Search", IF($O1205="Arja", "Evolutionary Search", IF($O1205="AVATAR", "True Pattern", IF($O1205="CapGen", "Search Like Pattern", IF($O1205="Cardumen", "True Semantic", IF($O1205="DynaMoth", "True Semantic", IF($O1205="FixMiner", "True Pattern", IF($O1205="GenProg-A", "Evolutionary Search", IF($O1205="Hercules", "Learning Pattern", IF($O1205="Jaid", "True Semantic",
IF($O1205="Kali-A", "True Search", IF($O1205="kPAR", "True Pattern", IF($O1205="Nopol", "True Semantic", IF($O1205="RSRepair-A", "Evolutionary Search", IF($O1205="SequenceR", "Deep Learning", IF($O1205="SimFix", "Search Like Pattern", IF($O1205="SketchFix", "True Pattern", IF($O1205="SOFix", "True Pattern", IF($O1205="ssFix", "Search Like Pattern", IF($O1205="TBar", "True Pattern", ""))))))))))))))))))))</f>
        <v>True Semantic</v>
      </c>
      <c r="Q1205" s="13" t="str">
        <f>IF(NOT(ISERR(SEARCH("*_Buggy",$A1205))), "Buggy", IF(NOT(ISERR(SEARCH("*_Fixed",$A1205))), "Fixed", IF(NOT(ISERR(SEARCH("*_Repaired",$A1205))), "Repaired", "")))</f>
        <v>Repaired</v>
      </c>
      <c r="R1205" s="13" t="s">
        <v>1669</v>
      </c>
      <c r="S1205" s="25">
        <v>2</v>
      </c>
      <c r="T1205" s="25">
        <v>8</v>
      </c>
      <c r="U1205" s="25">
        <v>6</v>
      </c>
      <c r="V1205" s="13">
        <v>9</v>
      </c>
      <c r="W1205" s="13" t="str">
        <f>MID(A1205, SEARCH("_", A1205) +1, SEARCH("_", A1205, SEARCH("_", A1205) +1) - SEARCH("_", A1205) -1)</f>
        <v>Math-80</v>
      </c>
      <c r="Y1205" t="str">
        <f>IF(AND($S680=1,$S1205=1,$V680=1,$V1205=1), "YES", "NO")</f>
        <v>NO</v>
      </c>
      <c r="Z1205" t="str">
        <f>IF(AND($S680=1,$S1205=1,$V680&gt;1,$V1205&gt;1), "YES", "NO")</f>
        <v>NO</v>
      </c>
      <c r="AA1205" t="str">
        <f>IF(AND($S680&gt;1,$S1205&gt;1,$S680=$V680,$S1205=$V1205), "YES", "NO")</f>
        <v>NO</v>
      </c>
      <c r="AB1205" t="str">
        <f>IF(AND($S680&gt;1,$S1205&gt;1,$S680&lt;$V680,$S1205&lt;$V1205), "YES", "NO")</f>
        <v>NO</v>
      </c>
      <c r="AC1205" t="str">
        <f>IF(AND($V680&gt;10,$V1205&gt;10), "YES", "NO")</f>
        <v>NO</v>
      </c>
      <c r="AD1205"/>
    </row>
    <row r="1206" spans="1:30" ht="15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>LEFT($A1206,FIND("_",$A1206)-1)</f>
        <v>DynaMoth</v>
      </c>
      <c r="P1206" s="13" t="str">
        <f>IF($O1206="ACS", "True Search", IF($O1206="Arja", "Evolutionary Search", IF($O1206="AVATAR", "True Pattern", IF($O1206="CapGen", "Search Like Pattern", IF($O1206="Cardumen", "True Semantic", IF($O1206="DynaMoth", "True Semantic", IF($O1206="FixMiner", "True Pattern", IF($O1206="GenProg-A", "Evolutionary Search", IF($O1206="Hercules", "Learning Pattern", IF($O1206="Jaid", "True Semantic",
IF($O1206="Kali-A", "True Search", IF($O1206="kPAR", "True Pattern", IF($O1206="Nopol", "True Semantic", IF($O1206="RSRepair-A", "Evolutionary Search", IF($O1206="SequenceR", "Deep Learning", IF($O1206="SimFix", "Search Like Pattern", IF($O1206="SketchFix", "True Pattern", IF($O1206="SOFix", "True Pattern", IF($O1206="ssFix", "Search Like Pattern", IF($O1206="TBar", "True Pattern", ""))))))))))))))))))))</f>
        <v>True Semantic</v>
      </c>
      <c r="Q1206" s="13" t="str">
        <f>IF(NOT(ISERR(SEARCH("*_Buggy",$A1206))), "Buggy", IF(NOT(ISERR(SEARCH("*_Fixed",$A1206))), "Fixed", IF(NOT(ISERR(SEARCH("*_Repaired",$A1206))), "Repaired", "")))</f>
        <v>Repaired</v>
      </c>
      <c r="R1206" s="13" t="s">
        <v>1669</v>
      </c>
      <c r="S1206" s="25">
        <v>4</v>
      </c>
      <c r="T1206" s="25">
        <v>17</v>
      </c>
      <c r="U1206" s="25">
        <v>15</v>
      </c>
      <c r="V1206" s="13">
        <v>27</v>
      </c>
      <c r="W1206" s="13" t="str">
        <f>MID(A1206, SEARCH("_", A1206) +1, SEARCH("_", A1206, SEARCH("_", A1206) +1) - SEARCH("_", A1206) -1)</f>
        <v>Math-81</v>
      </c>
      <c r="Y1206" t="str">
        <f>IF(AND($S681=1,$S1206=1,$V681=1,$V1206=1), "YES", "NO")</f>
        <v>NO</v>
      </c>
      <c r="Z1206" t="str">
        <f>IF(AND($S681=1,$S1206=1,$V681&gt;1,$V1206&gt;1), "YES", "NO")</f>
        <v>NO</v>
      </c>
      <c r="AA1206" t="str">
        <f>IF(AND($S681&gt;1,$S1206&gt;1,$S681=$V681,$S1206=$V1206), "YES", "NO")</f>
        <v>NO</v>
      </c>
      <c r="AB1206" t="str">
        <f>IF(AND($S681&gt;1,$S1206&gt;1,$S681&lt;$V681,$S1206&lt;$V1206), "YES", "NO")</f>
        <v>YES</v>
      </c>
      <c r="AC1206" t="str">
        <f>IF(AND($V681&gt;10,$V1206&gt;10), "YES", "NO")</f>
        <v>NO</v>
      </c>
      <c r="AD1206"/>
    </row>
    <row r="1207" spans="1:30" ht="15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>LEFT($A1207,FIND("_",$A1207)-1)</f>
        <v>DynaMoth</v>
      </c>
      <c r="P1207" s="13" t="str">
        <f>IF($O1207="ACS", "True Search", IF($O1207="Arja", "Evolutionary Search", IF($O1207="AVATAR", "True Pattern", IF($O1207="CapGen", "Search Like Pattern", IF($O1207="Cardumen", "True Semantic", IF($O1207="DynaMoth", "True Semantic", IF($O1207="FixMiner", "True Pattern", IF($O1207="GenProg-A", "Evolutionary Search", IF($O1207="Hercules", "Learning Pattern", IF($O1207="Jaid", "True Semantic",
IF($O1207="Kali-A", "True Search", IF($O1207="kPAR", "True Pattern", IF($O1207="Nopol", "True Semantic", IF($O1207="RSRepair-A", "Evolutionary Search", IF($O1207="SequenceR", "Deep Learning", IF($O1207="SimFix", "Search Like Pattern", IF($O1207="SketchFix", "True Pattern", IF($O1207="SOFix", "True Pattern", IF($O1207="ssFix", "Search Like Pattern", IF($O1207="TBar", "True Pattern", ""))))))))))))))))))))</f>
        <v>True Semantic</v>
      </c>
      <c r="Q1207" s="13" t="str">
        <f>IF(NOT(ISERR(SEARCH("*_Buggy",$A1207))), "Buggy", IF(NOT(ISERR(SEARCH("*_Fixed",$A1207))), "Fixed", IF(NOT(ISERR(SEARCH("*_Repaired",$A1207))), "Repaired", "")))</f>
        <v>Repaired</v>
      </c>
      <c r="R1207" s="13" t="s">
        <v>1669</v>
      </c>
      <c r="S1207" s="25">
        <v>1</v>
      </c>
      <c r="T1207" s="25">
        <v>3</v>
      </c>
      <c r="U1207" s="25">
        <v>1</v>
      </c>
      <c r="V1207" s="13">
        <v>3</v>
      </c>
      <c r="W1207" s="13" t="str">
        <f>MID(A1207, SEARCH("_", A1207) +1, SEARCH("_", A1207, SEARCH("_", A1207) +1) - SEARCH("_", A1207) -1)</f>
        <v>Math-82</v>
      </c>
      <c r="Y1207" t="str">
        <f>IF(AND($S682=1,$S1207=1,$V682=1,$V1207=1), "YES", "NO")</f>
        <v>NO</v>
      </c>
      <c r="Z1207" t="str">
        <f>IF(AND($S682=1,$S1207=1,$V682&gt;1,$V1207&gt;1), "YES", "NO")</f>
        <v>NO</v>
      </c>
      <c r="AA1207" t="str">
        <f>IF(AND($S682&gt;1,$S1207&gt;1,$S682=$V682,$S1207=$V1207), "YES", "NO")</f>
        <v>NO</v>
      </c>
      <c r="AB1207" t="str">
        <f>IF(AND($S682&gt;1,$S1207&gt;1,$S682&lt;$V682,$S1207&lt;$V1207), "YES", "NO")</f>
        <v>NO</v>
      </c>
      <c r="AC1207" t="str">
        <f>IF(AND($V682&gt;10,$V1207&gt;10), "YES", "NO")</f>
        <v>NO</v>
      </c>
      <c r="AD1207"/>
    </row>
    <row r="1208" spans="1:30" ht="15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>LEFT($A1208,FIND("_",$A1208)-1)</f>
        <v>DynaMoth</v>
      </c>
      <c r="P1208" s="13" t="str">
        <f>IF($O1208="ACS", "True Search", IF($O1208="Arja", "Evolutionary Search", IF($O1208="AVATAR", "True Pattern", IF($O1208="CapGen", "Search Like Pattern", IF($O1208="Cardumen", "True Semantic", IF($O1208="DynaMoth", "True Semantic", IF($O1208="FixMiner", "True Pattern", IF($O1208="GenProg-A", "Evolutionary Search", IF($O1208="Hercules", "Learning Pattern", IF($O1208="Jaid", "True Semantic",
IF($O1208="Kali-A", "True Search", IF($O1208="kPAR", "True Pattern", IF($O1208="Nopol", "True Semantic", IF($O1208="RSRepair-A", "Evolutionary Search", IF($O1208="SequenceR", "Deep Learning", IF($O1208="SimFix", "Search Like Pattern", IF($O1208="SketchFix", "True Pattern", IF($O1208="SOFix", "True Pattern", IF($O1208="ssFix", "Search Like Pattern", IF($O1208="TBar", "True Pattern", ""))))))))))))))))))))</f>
        <v>True Semantic</v>
      </c>
      <c r="Q1208" s="13" t="str">
        <f>IF(NOT(ISERR(SEARCH("*_Buggy",$A1208))), "Buggy", IF(NOT(ISERR(SEARCH("*_Fixed",$A1208))), "Fixed", IF(NOT(ISERR(SEARCH("*_Repaired",$A1208))), "Repaired", "")))</f>
        <v>Repaired</v>
      </c>
      <c r="R1208" s="13" t="s">
        <v>1669</v>
      </c>
      <c r="S1208" s="25">
        <v>1</v>
      </c>
      <c r="T1208" s="25">
        <v>9</v>
      </c>
      <c r="U1208" s="25">
        <v>7</v>
      </c>
      <c r="V1208" s="13">
        <v>9</v>
      </c>
      <c r="W1208" s="13" t="str">
        <f>MID(A1208, SEARCH("_", A1208) +1, SEARCH("_", A1208, SEARCH("_", A1208) +1) - SEARCH("_", A1208) -1)</f>
        <v>Math-85</v>
      </c>
      <c r="Y1208" t="str">
        <f>IF(AND($S683=1,$S1208=1,$V683=1,$V1208=1), "YES", "NO")</f>
        <v>NO</v>
      </c>
      <c r="Z1208" t="str">
        <f>IF(AND($S683=1,$S1208=1,$V683&gt;1,$V1208&gt;1), "YES", "NO")</f>
        <v>NO</v>
      </c>
      <c r="AA1208" t="str">
        <f>IF(AND($S683&gt;1,$S1208&gt;1,$S683=$V683,$S1208=$V1208), "YES", "NO")</f>
        <v>NO</v>
      </c>
      <c r="AB1208" t="str">
        <f>IF(AND($S683&gt;1,$S1208&gt;1,$S683&lt;$V683,$S1208&lt;$V1208), "YES", "NO")</f>
        <v>NO</v>
      </c>
      <c r="AC1208" t="str">
        <f>IF(AND($V683&gt;10,$V1208&gt;10), "YES", "NO")</f>
        <v>NO</v>
      </c>
      <c r="AD1208"/>
    </row>
    <row r="1209" spans="1:30" ht="15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>LEFT($A1209,FIND("_",$A1209)-1)</f>
        <v>DynaMoth</v>
      </c>
      <c r="P1209" s="13" t="str">
        <f>IF($O1209="ACS", "True Search", IF($O1209="Arja", "Evolutionary Search", IF($O1209="AVATAR", "True Pattern", IF($O1209="CapGen", "Search Like Pattern", IF($O1209="Cardumen", "True Semantic", IF($O1209="DynaMoth", "True Semantic", IF($O1209="FixMiner", "True Pattern", IF($O1209="GenProg-A", "Evolutionary Search", IF($O1209="Hercules", "Learning Pattern", IF($O1209="Jaid", "True Semantic",
IF($O1209="Kali-A", "True Search", IF($O1209="kPAR", "True Pattern", IF($O1209="Nopol", "True Semantic", IF($O1209="RSRepair-A", "Evolutionary Search", IF($O1209="SequenceR", "Deep Learning", IF($O1209="SimFix", "Search Like Pattern", IF($O1209="SketchFix", "True Pattern", IF($O1209="SOFix", "True Pattern", IF($O1209="ssFix", "Search Like Pattern", IF($O1209="TBar", "True Pattern", ""))))))))))))))))))))</f>
        <v>True Semantic</v>
      </c>
      <c r="Q1209" s="13" t="str">
        <f>IF(NOT(ISERR(SEARCH("*_Buggy",$A1209))), "Buggy", IF(NOT(ISERR(SEARCH("*_Fixed",$A1209))), "Fixed", IF(NOT(ISERR(SEARCH("*_Repaired",$A1209))), "Repaired", "")))</f>
        <v>Repaired</v>
      </c>
      <c r="R1209" s="13" t="s">
        <v>1669</v>
      </c>
      <c r="S1209" s="25">
        <v>1</v>
      </c>
      <c r="T1209" s="25">
        <v>3</v>
      </c>
      <c r="U1209" s="25">
        <v>1</v>
      </c>
      <c r="V1209" s="13">
        <v>3</v>
      </c>
      <c r="W1209" s="13" t="str">
        <f>MID(A1209, SEARCH("_", A1209) +1, SEARCH("_", A1209, SEARCH("_", A1209) +1) - SEARCH("_", A1209) -1)</f>
        <v>Math-88</v>
      </c>
      <c r="Y1209" t="str">
        <f>IF(AND($S684=1,$S1209=1,$V684=1,$V1209=1), "YES", "NO")</f>
        <v>NO</v>
      </c>
      <c r="Z1209" t="str">
        <f>IF(AND($S684=1,$S1209=1,$V684&gt;1,$V1209&gt;1), "YES", "NO")</f>
        <v>NO</v>
      </c>
      <c r="AA1209" t="str">
        <f>IF(AND($S684&gt;1,$S1209&gt;1,$S684=$V684,$S1209=$V1209), "YES", "NO")</f>
        <v>NO</v>
      </c>
      <c r="AB1209" t="str">
        <f>IF(AND($S684&gt;1,$S1209&gt;1,$S684&lt;$V684,$S1209&lt;$V1209), "YES", "NO")</f>
        <v>NO</v>
      </c>
      <c r="AC1209" t="str">
        <f>IF(AND($V684&gt;10,$V1209&gt;10), "YES", "NO")</f>
        <v>NO</v>
      </c>
      <c r="AD1209"/>
    </row>
    <row r="1210" spans="1:30" ht="15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>LEFT($A1210,FIND("_",$A1210)-1)</f>
        <v>DynaMoth</v>
      </c>
      <c r="P1210" s="13" t="str">
        <f>IF($O1210="ACS", "True Search", IF($O1210="Arja", "Evolutionary Search", IF($O1210="AVATAR", "True Pattern", IF($O1210="CapGen", "Search Like Pattern", IF($O1210="Cardumen", "True Semantic", IF($O1210="DynaMoth", "True Semantic", IF($O1210="FixMiner", "True Pattern", IF($O1210="GenProg-A", "Evolutionary Search", IF($O1210="Hercules", "Learning Pattern", IF($O1210="Jaid", "True Semantic",
IF($O1210="Kali-A", "True Search", IF($O1210="kPAR", "True Pattern", IF($O1210="Nopol", "True Semantic", IF($O1210="RSRepair-A", "Evolutionary Search", IF($O1210="SequenceR", "Deep Learning", IF($O1210="SimFix", "Search Like Pattern", IF($O1210="SketchFix", "True Pattern", IF($O1210="SOFix", "True Pattern", IF($O1210="ssFix", "Search Like Pattern", IF($O1210="TBar", "True Pattern", ""))))))))))))))))))))</f>
        <v>True Semantic</v>
      </c>
      <c r="Q1210" s="13" t="str">
        <f>IF(NOT(ISERR(SEARCH("*_Buggy",$A1210))), "Buggy", IF(NOT(ISERR(SEARCH("*_Fixed",$A1210))), "Fixed", IF(NOT(ISERR(SEARCH("*_Repaired",$A1210))), "Repaired", "")))</f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v>6</v>
      </c>
      <c r="W1210" s="13" t="str">
        <f>MID(A1210, SEARCH("_", A1210) +1, SEARCH("_", A1210, SEARCH("_", A1210) +1) - SEARCH("_", A1210) -1)</f>
        <v>Math-97</v>
      </c>
      <c r="Y1210" t="str">
        <f>IF(AND($S685=1,$S1210=1,$V685=1,$V1210=1), "YES", "NO")</f>
        <v>NO</v>
      </c>
      <c r="Z1210" t="str">
        <f>IF(AND($S685=1,$S1210=1,$V685&gt;1,$V1210&gt;1), "YES", "NO")</f>
        <v>NO</v>
      </c>
      <c r="AA1210" t="str">
        <f>IF(AND($S685&gt;1,$S1210&gt;1,$S685=$V685,$S1210=$V1210), "YES", "NO")</f>
        <v>NO</v>
      </c>
      <c r="AB1210" t="str">
        <f>IF(AND($S685&gt;1,$S1210&gt;1,$S685&lt;$V685,$S1210&lt;$V1210), "YES", "NO")</f>
        <v>YES</v>
      </c>
      <c r="AC1210" t="str">
        <f>IF(AND($V685&gt;10,$V1210&gt;10), "YES", "NO")</f>
        <v>NO</v>
      </c>
      <c r="AD1210"/>
    </row>
    <row r="1211" spans="1:30" ht="15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>LEFT($A1211,FIND("_",$A1211)-1)</f>
        <v>FixMiner</v>
      </c>
      <c r="P1211" s="13" t="str">
        <f>IF($O1211="ACS", "True Search", IF($O1211="Arja", "Evolutionary Search", IF($O1211="AVATAR", "True Pattern", IF($O1211="CapGen", "Search Like Pattern", IF($O1211="Cardumen", "True Semantic", IF($O1211="DynaMoth", "True Semantic", IF($O1211="FixMiner", "True Pattern", IF($O1211="GenProg-A", "Evolutionary Search", IF($O1211="Hercules", "Learning Pattern", IF($O1211="Jaid", "True Semantic",
IF($O1211="Kali-A", "True Search", IF($O1211="kPAR", "True Pattern", IF($O1211="Nopol", "True Semantic", IF($O1211="RSRepair-A", "Evolutionary Search", IF($O1211="SequenceR", "Deep Learning", IF($O1211="SimFix", "Search Like Pattern", IF($O1211="SketchFix", "True Pattern", IF($O1211="SOFix", "True Pattern", IF($O1211="ssFix", "Search Like Pattern", IF($O1211="TBar", "True Pattern", ""))))))))))))))))))))</f>
        <v>True Pattern</v>
      </c>
      <c r="Q1211" s="13" t="str">
        <f>IF(NOT(ISERR(SEARCH("*_Buggy",$A1211))), "Buggy", IF(NOT(ISERR(SEARCH("*_Fixed",$A1211))), "Fixed", IF(NOT(ISERR(SEARCH("*_Repaired",$A1211))), "Repaired", "")))</f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v>1</v>
      </c>
      <c r="W1211" s="13" t="str">
        <f>MID(A1211, SEARCH("_", A1211) +1, SEARCH("_", A1211, SEARCH("_", A1211) +1) - SEARCH("_", A1211) -1)</f>
        <v>Chart-1</v>
      </c>
      <c r="Y1211" t="str">
        <f>IF(AND($S686=1,$S1211=1,$V686=1,$V1211=1), "YES", "NO")</f>
        <v>YES</v>
      </c>
      <c r="Z1211" t="str">
        <f>IF(AND($S686=1,$S1211=1,$V686&gt;1,$V1211&gt;1), "YES", "NO")</f>
        <v>NO</v>
      </c>
      <c r="AA1211" t="str">
        <f>IF(AND($S686&gt;1,$S1211&gt;1,$S686=$V686,$S1211=$V1211), "YES", "NO")</f>
        <v>NO</v>
      </c>
      <c r="AB1211" t="str">
        <f>IF(AND($S686&gt;1,$S1211&gt;1,$S686&lt;$V686,$S1211&lt;$V1211), "YES", "NO")</f>
        <v>NO</v>
      </c>
      <c r="AC1211" t="str">
        <f>IF(AND($V686&gt;10,$V1211&gt;10), "YES", "NO")</f>
        <v>NO</v>
      </c>
      <c r="AD1211"/>
    </row>
    <row r="1212" spans="1:30" ht="15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>LEFT($A1212,FIND("_",$A1212)-1)</f>
        <v>FixMiner</v>
      </c>
      <c r="P1212" s="13" t="str">
        <f>IF($O1212="ACS", "True Search", IF($O1212="Arja", "Evolutionary Search", IF($O1212="AVATAR", "True Pattern", IF($O1212="CapGen", "Search Like Pattern", IF($O1212="Cardumen", "True Semantic", IF($O1212="DynaMoth", "True Semantic", IF($O1212="FixMiner", "True Pattern", IF($O1212="GenProg-A", "Evolutionary Search", IF($O1212="Hercules", "Learning Pattern", IF($O1212="Jaid", "True Semantic",
IF($O1212="Kali-A", "True Search", IF($O1212="kPAR", "True Pattern", IF($O1212="Nopol", "True Semantic", IF($O1212="RSRepair-A", "Evolutionary Search", IF($O1212="SequenceR", "Deep Learning", IF($O1212="SimFix", "Search Like Pattern", IF($O1212="SketchFix", "True Pattern", IF($O1212="SOFix", "True Pattern", IF($O1212="ssFix", "Search Like Pattern", IF($O1212="TBar", "True Pattern", ""))))))))))))))))))))</f>
        <v>True Pattern</v>
      </c>
      <c r="Q1212" s="13" t="str">
        <f>IF(NOT(ISERR(SEARCH("*_Buggy",$A1212))), "Buggy", IF(NOT(ISERR(SEARCH("*_Fixed",$A1212))), "Fixed", IF(NOT(ISERR(SEARCH("*_Repaired",$A1212))), "Repaired", "")))</f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v>1</v>
      </c>
      <c r="W1212" s="13" t="str">
        <f>MID(A1212, SEARCH("_", A1212) +1, SEARCH("_", A1212, SEARCH("_", A1212) +1) - SEARCH("_", A1212) -1)</f>
        <v>Chart-11</v>
      </c>
      <c r="Y1212" t="str">
        <f>IF(AND($S687=1,$S1212=1,$V687=1,$V1212=1), "YES", "NO")</f>
        <v>YES</v>
      </c>
      <c r="Z1212" t="str">
        <f>IF(AND($S687=1,$S1212=1,$V687&gt;1,$V1212&gt;1), "YES", "NO")</f>
        <v>NO</v>
      </c>
      <c r="AA1212" t="str">
        <f>IF(AND($S687&gt;1,$S1212&gt;1,$S687=$V687,$S1212=$V1212), "YES", "NO")</f>
        <v>NO</v>
      </c>
      <c r="AB1212" t="str">
        <f>IF(AND($S687&gt;1,$S1212&gt;1,$S687&lt;$V687,$S1212&lt;$V1212), "YES", "NO")</f>
        <v>NO</v>
      </c>
      <c r="AC1212" t="str">
        <f>IF(AND($V687&gt;10,$V1212&gt;10), "YES", "NO")</f>
        <v>NO</v>
      </c>
      <c r="AD1212"/>
    </row>
    <row r="1213" spans="1:30" ht="15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>LEFT($A1213,FIND("_",$A1213)-1)</f>
        <v>FixMiner</v>
      </c>
      <c r="P1213" s="13" t="str">
        <f>IF($O1213="ACS", "True Search", IF($O1213="Arja", "Evolutionary Search", IF($O1213="AVATAR", "True Pattern", IF($O1213="CapGen", "Search Like Pattern", IF($O1213="Cardumen", "True Semantic", IF($O1213="DynaMoth", "True Semantic", IF($O1213="FixMiner", "True Pattern", IF($O1213="GenProg-A", "Evolutionary Search", IF($O1213="Hercules", "Learning Pattern", IF($O1213="Jaid", "True Semantic",
IF($O1213="Kali-A", "True Search", IF($O1213="kPAR", "True Pattern", IF($O1213="Nopol", "True Semantic", IF($O1213="RSRepair-A", "Evolutionary Search", IF($O1213="SequenceR", "Deep Learning", IF($O1213="SimFix", "Search Like Pattern", IF($O1213="SketchFix", "True Pattern", IF($O1213="SOFix", "True Pattern", IF($O1213="ssFix", "Search Like Pattern", IF($O1213="TBar", "True Pattern", ""))))))))))))))))))))</f>
        <v>True Pattern</v>
      </c>
      <c r="Q1213" s="13" t="str">
        <f>IF(NOT(ISERR(SEARCH("*_Buggy",$A1213))), "Buggy", IF(NOT(ISERR(SEARCH("*_Fixed",$A1213))), "Fixed", IF(NOT(ISERR(SEARCH("*_Repaired",$A1213))), "Repaired", "")))</f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v>1</v>
      </c>
      <c r="W1213" s="13" t="str">
        <f>MID(A1213, SEARCH("_", A1213) +1, SEARCH("_", A1213, SEARCH("_", A1213) +1) - SEARCH("_", A1213) -1)</f>
        <v>Chart-12</v>
      </c>
      <c r="Y1213" t="str">
        <f>IF(AND($S688=1,$S1213=1,$V688=1,$V1213=1), "YES", "NO")</f>
        <v>YES</v>
      </c>
      <c r="Z1213" t="str">
        <f>IF(AND($S688=1,$S1213=1,$V688&gt;1,$V1213&gt;1), "YES", "NO")</f>
        <v>NO</v>
      </c>
      <c r="AA1213" t="str">
        <f>IF(AND($S688&gt;1,$S1213&gt;1,$S688=$V688,$S1213=$V1213), "YES", "NO")</f>
        <v>NO</v>
      </c>
      <c r="AB1213" t="str">
        <f>IF(AND($S688&gt;1,$S1213&gt;1,$S688&lt;$V688,$S1213&lt;$V1213), "YES", "NO")</f>
        <v>NO</v>
      </c>
      <c r="AC1213" t="str">
        <f>IF(AND($V688&gt;10,$V1213&gt;10), "YES", "NO")</f>
        <v>NO</v>
      </c>
      <c r="AD1213"/>
    </row>
    <row r="1214" spans="1:30" ht="15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>LEFT($A1214,FIND("_",$A1214)-1)</f>
        <v>FixMiner</v>
      </c>
      <c r="P1214" s="13" t="str">
        <f>IF($O1214="ACS", "True Search", IF($O1214="Arja", "Evolutionary Search", IF($O1214="AVATAR", "True Pattern", IF($O1214="CapGen", "Search Like Pattern", IF($O1214="Cardumen", "True Semantic", IF($O1214="DynaMoth", "True Semantic", IF($O1214="FixMiner", "True Pattern", IF($O1214="GenProg-A", "Evolutionary Search", IF($O1214="Hercules", "Learning Pattern", IF($O1214="Jaid", "True Semantic",
IF($O1214="Kali-A", "True Search", IF($O1214="kPAR", "True Pattern", IF($O1214="Nopol", "True Semantic", IF($O1214="RSRepair-A", "Evolutionary Search", IF($O1214="SequenceR", "Deep Learning", IF($O1214="SimFix", "Search Like Pattern", IF($O1214="SketchFix", "True Pattern", IF($O1214="SOFix", "True Pattern", IF($O1214="ssFix", "Search Like Pattern", IF($O1214="TBar", "True Pattern", ""))))))))))))))))))))</f>
        <v>True Pattern</v>
      </c>
      <c r="Q1214" s="13" t="str">
        <f>IF(NOT(ISERR(SEARCH("*_Buggy",$A1214))), "Buggy", IF(NOT(ISERR(SEARCH("*_Fixed",$A1214))), "Fixed", IF(NOT(ISERR(SEARCH("*_Repaired",$A1214))), "Repaired", "")))</f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v>1</v>
      </c>
      <c r="W1214" s="13" t="str">
        <f>MID(A1214, SEARCH("_", A1214) +1, SEARCH("_", A1214, SEARCH("_", A1214) +1) - SEARCH("_", A1214) -1)</f>
        <v>Chart-13</v>
      </c>
      <c r="Y1214" t="str">
        <f>IF(AND($S689=1,$S1214=1,$V689=1,$V1214=1), "YES", "NO")</f>
        <v>YES</v>
      </c>
      <c r="Z1214" t="str">
        <f>IF(AND($S689=1,$S1214=1,$V689&gt;1,$V1214&gt;1), "YES", "NO")</f>
        <v>NO</v>
      </c>
      <c r="AA1214" t="str">
        <f>IF(AND($S689&gt;1,$S1214&gt;1,$S689=$V689,$S1214=$V1214), "YES", "NO")</f>
        <v>NO</v>
      </c>
      <c r="AB1214" t="str">
        <f>IF(AND($S689&gt;1,$S1214&gt;1,$S689&lt;$V689,$S1214&lt;$V1214), "YES", "NO")</f>
        <v>NO</v>
      </c>
      <c r="AC1214" t="str">
        <f>IF(AND($V689&gt;10,$V1214&gt;10), "YES", "NO")</f>
        <v>NO</v>
      </c>
      <c r="AD1214"/>
    </row>
    <row r="1215" spans="1:30" ht="15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>LEFT($A1215,FIND("_",$A1215)-1)</f>
        <v>FixMiner</v>
      </c>
      <c r="P1215" s="13" t="str">
        <f>IF($O1215="ACS", "True Search", IF($O1215="Arja", "Evolutionary Search", IF($O1215="AVATAR", "True Pattern", IF($O1215="CapGen", "Search Like Pattern", IF($O1215="Cardumen", "True Semantic", IF($O1215="DynaMoth", "True Semantic", IF($O1215="FixMiner", "True Pattern", IF($O1215="GenProg-A", "Evolutionary Search", IF($O1215="Hercules", "Learning Pattern", IF($O1215="Jaid", "True Semantic",
IF($O1215="Kali-A", "True Search", IF($O1215="kPAR", "True Pattern", IF($O1215="Nopol", "True Semantic", IF($O1215="RSRepair-A", "Evolutionary Search", IF($O1215="SequenceR", "Deep Learning", IF($O1215="SimFix", "Search Like Pattern", IF($O1215="SketchFix", "True Pattern", IF($O1215="SOFix", "True Pattern", IF($O1215="ssFix", "Search Like Pattern", IF($O1215="TBar", "True Pattern", ""))))))))))))))))))))</f>
        <v>True Pattern</v>
      </c>
      <c r="Q1215" s="13" t="str">
        <f>IF(NOT(ISERR(SEARCH("*_Buggy",$A1215))), "Buggy", IF(NOT(ISERR(SEARCH("*_Fixed",$A1215))), "Fixed", IF(NOT(ISERR(SEARCH("*_Repaired",$A1215))), "Repaired", "")))</f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v>1</v>
      </c>
      <c r="W1215" s="13" t="str">
        <f>MID(A1215, SEARCH("_", A1215) +1, SEARCH("_", A1215, SEARCH("_", A1215) +1) - SEARCH("_", A1215) -1)</f>
        <v>Chart-17</v>
      </c>
      <c r="Y1215" t="str">
        <f>IF(AND($S690=1,$S1215=1,$V690=1,$V1215=1), "YES", "NO")</f>
        <v>NO</v>
      </c>
      <c r="Z1215" t="str">
        <f>IF(AND($S690=1,$S1215=1,$V690&gt;1,$V1215&gt;1), "YES", "NO")</f>
        <v>NO</v>
      </c>
      <c r="AA1215" t="str">
        <f>IF(AND($S690&gt;1,$S1215&gt;1,$S690=$V690,$S1215=$V1215), "YES", "NO")</f>
        <v>NO</v>
      </c>
      <c r="AB1215" t="str">
        <f>IF(AND($S690&gt;1,$S1215&gt;1,$S690&lt;$V690,$S1215&lt;$V1215), "YES", "NO")</f>
        <v>NO</v>
      </c>
      <c r="AC1215" t="str">
        <f>IF(AND($V690&gt;10,$V1215&gt;10), "YES", "NO")</f>
        <v>NO</v>
      </c>
      <c r="AD1215"/>
    </row>
    <row r="1216" spans="1:30" ht="15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>LEFT($A1216,FIND("_",$A1216)-1)</f>
        <v>FixMiner</v>
      </c>
      <c r="P1216" s="13" t="str">
        <f>IF($O1216="ACS", "True Search", IF($O1216="Arja", "Evolutionary Search", IF($O1216="AVATAR", "True Pattern", IF($O1216="CapGen", "Search Like Pattern", IF($O1216="Cardumen", "True Semantic", IF($O1216="DynaMoth", "True Semantic", IF($O1216="FixMiner", "True Pattern", IF($O1216="GenProg-A", "Evolutionary Search", IF($O1216="Hercules", "Learning Pattern", IF($O1216="Jaid", "True Semantic",
IF($O1216="Kali-A", "True Search", IF($O1216="kPAR", "True Pattern", IF($O1216="Nopol", "True Semantic", IF($O1216="RSRepair-A", "Evolutionary Search", IF($O1216="SequenceR", "Deep Learning", IF($O1216="SimFix", "Search Like Pattern", IF($O1216="SketchFix", "True Pattern", IF($O1216="SOFix", "True Pattern", IF($O1216="ssFix", "Search Like Pattern", IF($O1216="TBar", "True Pattern", ""))))))))))))))))))))</f>
        <v>True Pattern</v>
      </c>
      <c r="Q1216" s="13" t="str">
        <f>IF(NOT(ISERR(SEARCH("*_Buggy",$A1216))), "Buggy", IF(NOT(ISERR(SEARCH("*_Fixed",$A1216))), "Fixed", IF(NOT(ISERR(SEARCH("*_Repaired",$A1216))), "Repaired", "")))</f>
        <v>Repaired</v>
      </c>
      <c r="R1216" s="13" t="s">
        <v>1668</v>
      </c>
      <c r="S1216" s="25">
        <v>1</v>
      </c>
      <c r="T1216" s="25">
        <v>4</v>
      </c>
      <c r="U1216" s="25">
        <v>1</v>
      </c>
      <c r="V1216" s="13">
        <v>4</v>
      </c>
      <c r="W1216" s="13" t="str">
        <f>MID(A1216, SEARCH("_", A1216) +1, SEARCH("_", A1216, SEARCH("_", A1216) +1) - SEARCH("_", A1216) -1)</f>
        <v>Chart-19</v>
      </c>
      <c r="Y1216" t="str">
        <f>IF(AND($S691=1,$S1216=1,$V691=1,$V1216=1), "YES", "NO")</f>
        <v>NO</v>
      </c>
      <c r="Z1216" t="str">
        <f>IF(AND($S691=1,$S1216=1,$V691&gt;1,$V1216&gt;1), "YES", "NO")</f>
        <v>NO</v>
      </c>
      <c r="AA1216" t="str">
        <f>IF(AND($S691&gt;1,$S1216&gt;1,$S691=$V691,$S1216=$V1216), "YES", "NO")</f>
        <v>NO</v>
      </c>
      <c r="AB1216" t="str">
        <f>IF(AND($S691&gt;1,$S1216&gt;1,$S691&lt;$V691,$S1216&lt;$V1216), "YES", "NO")</f>
        <v>NO</v>
      </c>
      <c r="AC1216" t="str">
        <f>IF(AND($V691&gt;10,$V1216&gt;10), "YES", "NO")</f>
        <v>NO</v>
      </c>
      <c r="AD1216"/>
    </row>
    <row r="1217" spans="1:30" ht="15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>LEFT($A1217,FIND("_",$A1217)-1)</f>
        <v>FixMiner</v>
      </c>
      <c r="P1217" s="13" t="str">
        <f>IF($O1217="ACS", "True Search", IF($O1217="Arja", "Evolutionary Search", IF($O1217="AVATAR", "True Pattern", IF($O1217="CapGen", "Search Like Pattern", IF($O1217="Cardumen", "True Semantic", IF($O1217="DynaMoth", "True Semantic", IF($O1217="FixMiner", "True Pattern", IF($O1217="GenProg-A", "Evolutionary Search", IF($O1217="Hercules", "Learning Pattern", IF($O1217="Jaid", "True Semantic",
IF($O1217="Kali-A", "True Search", IF($O1217="kPAR", "True Pattern", IF($O1217="Nopol", "True Semantic", IF($O1217="RSRepair-A", "Evolutionary Search", IF($O1217="SequenceR", "Deep Learning", IF($O1217="SimFix", "Search Like Pattern", IF($O1217="SketchFix", "True Pattern", IF($O1217="SOFix", "True Pattern", IF($O1217="ssFix", "Search Like Pattern", IF($O1217="TBar", "True Pattern", ""))))))))))))))))))))</f>
        <v>True Pattern</v>
      </c>
      <c r="Q1217" s="13" t="str">
        <f>IF(NOT(ISERR(SEARCH("*_Buggy",$A1217))), "Buggy", IF(NOT(ISERR(SEARCH("*_Fixed",$A1217))), "Fixed", IF(NOT(ISERR(SEARCH("*_Repaired",$A1217))), "Repaired", "")))</f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v>1</v>
      </c>
      <c r="W1217" s="13" t="str">
        <f>MID(A1217, SEARCH("_", A1217) +1, SEARCH("_", A1217, SEARCH("_", A1217) +1) - SEARCH("_", A1217) -1)</f>
        <v>Chart-24</v>
      </c>
      <c r="Y1217" t="str">
        <f>IF(AND($S692=1,$S1217=1,$V692=1,$V1217=1), "YES", "NO")</f>
        <v>YES</v>
      </c>
      <c r="Z1217" t="str">
        <f>IF(AND($S692=1,$S1217=1,$V692&gt;1,$V1217&gt;1), "YES", "NO")</f>
        <v>NO</v>
      </c>
      <c r="AA1217" t="str">
        <f>IF(AND($S692&gt;1,$S1217&gt;1,$S692=$V692,$S1217=$V1217), "YES", "NO")</f>
        <v>NO</v>
      </c>
      <c r="AB1217" t="str">
        <f>IF(AND($S692&gt;1,$S1217&gt;1,$S692&lt;$V692,$S1217&lt;$V1217), "YES", "NO")</f>
        <v>NO</v>
      </c>
      <c r="AC1217" t="str">
        <f>IF(AND($V692&gt;10,$V1217&gt;10), "YES", "NO")</f>
        <v>NO</v>
      </c>
      <c r="AD1217"/>
    </row>
    <row r="1218" spans="1:30" ht="15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>LEFT($A1218,FIND("_",$A1218)-1)</f>
        <v>FixMiner</v>
      </c>
      <c r="P1218" s="13" t="str">
        <f>IF($O1218="ACS", "True Search", IF($O1218="Arja", "Evolutionary Search", IF($O1218="AVATAR", "True Pattern", IF($O1218="CapGen", "Search Like Pattern", IF($O1218="Cardumen", "True Semantic", IF($O1218="DynaMoth", "True Semantic", IF($O1218="FixMiner", "True Pattern", IF($O1218="GenProg-A", "Evolutionary Search", IF($O1218="Hercules", "Learning Pattern", IF($O1218="Jaid", "True Semantic",
IF($O1218="Kali-A", "True Search", IF($O1218="kPAR", "True Pattern", IF($O1218="Nopol", "True Semantic", IF($O1218="RSRepair-A", "Evolutionary Search", IF($O1218="SequenceR", "Deep Learning", IF($O1218="SimFix", "Search Like Pattern", IF($O1218="SketchFix", "True Pattern", IF($O1218="SOFix", "True Pattern", IF($O1218="ssFix", "Search Like Pattern", IF($O1218="TBar", "True Pattern", ""))))))))))))))))))))</f>
        <v>True Pattern</v>
      </c>
      <c r="Q1218" s="13" t="str">
        <f>IF(NOT(ISERR(SEARCH("*_Buggy",$A1218))), "Buggy", IF(NOT(ISERR(SEARCH("*_Fixed",$A1218))), "Fixed", IF(NOT(ISERR(SEARCH("*_Repaired",$A1218))), "Repaired", "")))</f>
        <v>Repaired</v>
      </c>
      <c r="R1218" s="13" t="s">
        <v>1668</v>
      </c>
      <c r="S1218" s="25">
        <v>2</v>
      </c>
      <c r="T1218" s="25">
        <v>4</v>
      </c>
      <c r="U1218" s="25">
        <v>1</v>
      </c>
      <c r="V1218" s="13">
        <v>4</v>
      </c>
      <c r="W1218" s="13" t="str">
        <f>MID(A1218, SEARCH("_", A1218) +1, SEARCH("_", A1218, SEARCH("_", A1218) +1) - SEARCH("_", A1218) -1)</f>
        <v>Chart-26</v>
      </c>
      <c r="Y1218" t="str">
        <f>IF(AND($S693=1,$S1218=1,$V693=1,$V1218=1), "YES", "NO")</f>
        <v>NO</v>
      </c>
      <c r="Z1218" t="str">
        <f>IF(AND($S693=1,$S1218=1,$V693&gt;1,$V1218&gt;1), "YES", "NO")</f>
        <v>NO</v>
      </c>
      <c r="AA1218" t="str">
        <f>IF(AND($S693&gt;1,$S1218&gt;1,$S693=$V693,$S1218=$V1218), "YES", "NO")</f>
        <v>NO</v>
      </c>
      <c r="AB1218" t="str">
        <f>IF(AND($S693&gt;1,$S1218&gt;1,$S693&lt;$V693,$S1218&lt;$V1218), "YES", "NO")</f>
        <v>NO</v>
      </c>
      <c r="AC1218" t="str">
        <f>IF(AND($V693&gt;10,$V1218&gt;10), "YES", "NO")</f>
        <v>NO</v>
      </c>
      <c r="AD1218"/>
    </row>
    <row r="1219" spans="1:30" ht="15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>LEFT($A1219,FIND("_",$A1219)-1)</f>
        <v>FixMiner</v>
      </c>
      <c r="P1219" s="13" t="str">
        <f>IF($O1219="ACS", "True Search", IF($O1219="Arja", "Evolutionary Search", IF($O1219="AVATAR", "True Pattern", IF($O1219="CapGen", "Search Like Pattern", IF($O1219="Cardumen", "True Semantic", IF($O1219="DynaMoth", "True Semantic", IF($O1219="FixMiner", "True Pattern", IF($O1219="GenProg-A", "Evolutionary Search", IF($O1219="Hercules", "Learning Pattern", IF($O1219="Jaid", "True Semantic",
IF($O1219="Kali-A", "True Search", IF($O1219="kPAR", "True Pattern", IF($O1219="Nopol", "True Semantic", IF($O1219="RSRepair-A", "Evolutionary Search", IF($O1219="SequenceR", "Deep Learning", IF($O1219="SimFix", "Search Like Pattern", IF($O1219="SketchFix", "True Pattern", IF($O1219="SOFix", "True Pattern", IF($O1219="ssFix", "Search Like Pattern", IF($O1219="TBar", "True Pattern", ""))))))))))))))))))))</f>
        <v>True Pattern</v>
      </c>
      <c r="Q1219" s="13" t="str">
        <f>IF(NOT(ISERR(SEARCH("*_Buggy",$A1219))), "Buggy", IF(NOT(ISERR(SEARCH("*_Fixed",$A1219))), "Fixed", IF(NOT(ISERR(SEARCH("*_Repaired",$A1219))), "Repaired", "")))</f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v>1</v>
      </c>
      <c r="W1219" s="13" t="str">
        <f>MID(A1219, SEARCH("_", A1219) +1, SEARCH("_", A1219, SEARCH("_", A1219) +1) - SEARCH("_", A1219) -1)</f>
        <v>Chart-3</v>
      </c>
      <c r="Y1219" t="str">
        <f>IF(AND($S694=1,$S1219=1,$V694=1,$V1219=1), "YES", "NO")</f>
        <v>NO</v>
      </c>
      <c r="Z1219" t="str">
        <f>IF(AND($S694=1,$S1219=1,$V694&gt;1,$V1219&gt;1), "YES", "NO")</f>
        <v>NO</v>
      </c>
      <c r="AA1219" t="str">
        <f>IF(AND($S694&gt;1,$S1219&gt;1,$S694=$V694,$S1219=$V1219), "YES", "NO")</f>
        <v>NO</v>
      </c>
      <c r="AB1219" t="str">
        <f>IF(AND($S694&gt;1,$S1219&gt;1,$S694&lt;$V694,$S1219&lt;$V1219), "YES", "NO")</f>
        <v>NO</v>
      </c>
      <c r="AC1219" t="str">
        <f>IF(AND($V694&gt;10,$V1219&gt;10), "YES", "NO")</f>
        <v>NO</v>
      </c>
      <c r="AD1219"/>
    </row>
    <row r="1220" spans="1:30" ht="15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>LEFT($A1220,FIND("_",$A1220)-1)</f>
        <v>FixMiner</v>
      </c>
      <c r="P1220" s="13" t="str">
        <f>IF($O1220="ACS", "True Search", IF($O1220="Arja", "Evolutionary Search", IF($O1220="AVATAR", "True Pattern", IF($O1220="CapGen", "Search Like Pattern", IF($O1220="Cardumen", "True Semantic", IF($O1220="DynaMoth", "True Semantic", IF($O1220="FixMiner", "True Pattern", IF($O1220="GenProg-A", "Evolutionary Search", IF($O1220="Hercules", "Learning Pattern", IF($O1220="Jaid", "True Semantic",
IF($O1220="Kali-A", "True Search", IF($O1220="kPAR", "True Pattern", IF($O1220="Nopol", "True Semantic", IF($O1220="RSRepair-A", "Evolutionary Search", IF($O1220="SequenceR", "Deep Learning", IF($O1220="SimFix", "Search Like Pattern", IF($O1220="SketchFix", "True Pattern", IF($O1220="SOFix", "True Pattern", IF($O1220="ssFix", "Search Like Pattern", IF($O1220="TBar", "True Pattern", ""))))))))))))))))))))</f>
        <v>True Pattern</v>
      </c>
      <c r="Q1220" s="13" t="str">
        <f>IF(NOT(ISERR(SEARCH("*_Buggy",$A1220))), "Buggy", IF(NOT(ISERR(SEARCH("*_Fixed",$A1220))), "Fixed", IF(NOT(ISERR(SEARCH("*_Repaired",$A1220))), "Repaired", "")))</f>
        <v>Repaired</v>
      </c>
      <c r="R1220" s="13" t="s">
        <v>1668</v>
      </c>
      <c r="S1220" s="25">
        <v>2</v>
      </c>
      <c r="T1220" s="25">
        <v>4</v>
      </c>
      <c r="U1220" s="25">
        <v>1</v>
      </c>
      <c r="V1220" s="13">
        <v>4</v>
      </c>
      <c r="W1220" s="13" t="str">
        <f>MID(A1220, SEARCH("_", A1220) +1, SEARCH("_", A1220, SEARCH("_", A1220) +1) - SEARCH("_", A1220) -1)</f>
        <v>Chart-4</v>
      </c>
      <c r="Y1220" t="str">
        <f>IF(AND($S695=1,$S1220=1,$V695=1,$V1220=1), "YES", "NO")</f>
        <v>NO</v>
      </c>
      <c r="Z1220" t="str">
        <f>IF(AND($S695=1,$S1220=1,$V695&gt;1,$V1220&gt;1), "YES", "NO")</f>
        <v>NO</v>
      </c>
      <c r="AA1220" t="str">
        <f>IF(AND($S695&gt;1,$S1220&gt;1,$S695=$V695,$S1220=$V1220), "YES", "NO")</f>
        <v>NO</v>
      </c>
      <c r="AB1220" t="str">
        <f>IF(AND($S695&gt;1,$S1220&gt;1,$S695&lt;$V695,$S1220&lt;$V1220), "YES", "NO")</f>
        <v>NO</v>
      </c>
      <c r="AC1220" t="str">
        <f>IF(AND($V695&gt;10,$V1220&gt;10), "YES", "NO")</f>
        <v>NO</v>
      </c>
      <c r="AD1220"/>
    </row>
    <row r="1221" spans="1:30" ht="15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>LEFT($A1221,FIND("_",$A1221)-1)</f>
        <v>FixMiner</v>
      </c>
      <c r="P1221" s="13" t="str">
        <f>IF($O1221="ACS", "True Search", IF($O1221="Arja", "Evolutionary Search", IF($O1221="AVATAR", "True Pattern", IF($O1221="CapGen", "Search Like Pattern", IF($O1221="Cardumen", "True Semantic", IF($O1221="DynaMoth", "True Semantic", IF($O1221="FixMiner", "True Pattern", IF($O1221="GenProg-A", "Evolutionary Search", IF($O1221="Hercules", "Learning Pattern", IF($O1221="Jaid", "True Semantic",
IF($O1221="Kali-A", "True Search", IF($O1221="kPAR", "True Pattern", IF($O1221="Nopol", "True Semantic", IF($O1221="RSRepair-A", "Evolutionary Search", IF($O1221="SequenceR", "Deep Learning", IF($O1221="SimFix", "Search Like Pattern", IF($O1221="SketchFix", "True Pattern", IF($O1221="SOFix", "True Pattern", IF($O1221="ssFix", "Search Like Pattern", IF($O1221="TBar", "True Pattern", ""))))))))))))))))))))</f>
        <v>True Pattern</v>
      </c>
      <c r="Q1221" s="13" t="str">
        <f>IF(NOT(ISERR(SEARCH("*_Buggy",$A1221))), "Buggy", IF(NOT(ISERR(SEARCH("*_Fixed",$A1221))), "Fixed", IF(NOT(ISERR(SEARCH("*_Repaired",$A1221))), "Repaired", "")))</f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v>1</v>
      </c>
      <c r="W1221" s="13" t="str">
        <f>MID(A1221, SEARCH("_", A1221) +1, SEARCH("_", A1221, SEARCH("_", A1221) +1) - SEARCH("_", A1221) -1)</f>
        <v>Chart-7</v>
      </c>
      <c r="Y1221" t="str">
        <f>IF(AND($S696=1,$S1221=1,$V696=1,$V1221=1), "YES", "NO")</f>
        <v>NO</v>
      </c>
      <c r="Z1221" t="str">
        <f>IF(AND($S696=1,$S1221=1,$V696&gt;1,$V1221&gt;1), "YES", "NO")</f>
        <v>NO</v>
      </c>
      <c r="AA1221" t="str">
        <f>IF(AND($S696&gt;1,$S1221&gt;1,$S696=$V696,$S1221=$V1221), "YES", "NO")</f>
        <v>NO</v>
      </c>
      <c r="AB1221" t="str">
        <f>IF(AND($S696&gt;1,$S1221&gt;1,$S696&lt;$V696,$S1221&lt;$V1221), "YES", "NO")</f>
        <v>NO</v>
      </c>
      <c r="AC1221" t="str">
        <f>IF(AND($V696&gt;10,$V1221&gt;10), "YES", "NO")</f>
        <v>NO</v>
      </c>
      <c r="AD1221"/>
    </row>
    <row r="1222" spans="1:30" ht="15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>LEFT($A1222,FIND("_",$A1222)-1)</f>
        <v>FixMiner</v>
      </c>
      <c r="P1222" s="13" t="str">
        <f>IF($O1222="ACS", "True Search", IF($O1222="Arja", "Evolutionary Search", IF($O1222="AVATAR", "True Pattern", IF($O1222="CapGen", "Search Like Pattern", IF($O1222="Cardumen", "True Semantic", IF($O1222="DynaMoth", "True Semantic", IF($O1222="FixMiner", "True Pattern", IF($O1222="GenProg-A", "Evolutionary Search", IF($O1222="Hercules", "Learning Pattern", IF($O1222="Jaid", "True Semantic",
IF($O1222="Kali-A", "True Search", IF($O1222="kPAR", "True Pattern", IF($O1222="Nopol", "True Semantic", IF($O1222="RSRepair-A", "Evolutionary Search", IF($O1222="SequenceR", "Deep Learning", IF($O1222="SimFix", "Search Like Pattern", IF($O1222="SketchFix", "True Pattern", IF($O1222="SOFix", "True Pattern", IF($O1222="ssFix", "Search Like Pattern", IF($O1222="TBar", "True Pattern", ""))))))))))))))))))))</f>
        <v>True Pattern</v>
      </c>
      <c r="Q1222" s="13" t="str">
        <f>IF(NOT(ISERR(SEARCH("*_Buggy",$A1222))), "Buggy", IF(NOT(ISERR(SEARCH("*_Fixed",$A1222))), "Fixed", IF(NOT(ISERR(SEARCH("*_Repaired",$A1222))), "Repaired", "")))</f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v>1</v>
      </c>
      <c r="W1222" s="13" t="str">
        <f>MID(A1222, SEARCH("_", A1222) +1, SEARCH("_", A1222, SEARCH("_", A1222) +1) - SEARCH("_", A1222) -1)</f>
        <v>Closure-10</v>
      </c>
      <c r="Y1222" t="str">
        <f>IF(AND($S697=1,$S1222=1,$V697=1,$V1222=1), "YES", "NO")</f>
        <v>YES</v>
      </c>
      <c r="Z1222" t="str">
        <f>IF(AND($S697=1,$S1222=1,$V697&gt;1,$V1222&gt;1), "YES", "NO")</f>
        <v>NO</v>
      </c>
      <c r="AA1222" t="str">
        <f>IF(AND($S697&gt;1,$S1222&gt;1,$S697=$V697,$S1222=$V1222), "YES", "NO")</f>
        <v>NO</v>
      </c>
      <c r="AB1222" t="str">
        <f>IF(AND($S697&gt;1,$S1222&gt;1,$S697&lt;$V697,$S1222&lt;$V1222), "YES", "NO")</f>
        <v>NO</v>
      </c>
      <c r="AC1222" t="str">
        <f>IF(AND($V697&gt;10,$V1222&gt;10), "YES", "NO")</f>
        <v>NO</v>
      </c>
      <c r="AD1222"/>
    </row>
    <row r="1223" spans="1:30" ht="15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>LEFT($A1223,FIND("_",$A1223)-1)</f>
        <v>FixMiner</v>
      </c>
      <c r="P1223" s="13" t="str">
        <f>IF($O1223="ACS", "True Search", IF($O1223="Arja", "Evolutionary Search", IF($O1223="AVATAR", "True Pattern", IF($O1223="CapGen", "Search Like Pattern", IF($O1223="Cardumen", "True Semantic", IF($O1223="DynaMoth", "True Semantic", IF($O1223="FixMiner", "True Pattern", IF($O1223="GenProg-A", "Evolutionary Search", IF($O1223="Hercules", "Learning Pattern", IF($O1223="Jaid", "True Semantic",
IF($O1223="Kali-A", "True Search", IF($O1223="kPAR", "True Pattern", IF($O1223="Nopol", "True Semantic", IF($O1223="RSRepair-A", "Evolutionary Search", IF($O1223="SequenceR", "Deep Learning", IF($O1223="SimFix", "Search Like Pattern", IF($O1223="SketchFix", "True Pattern", IF($O1223="SOFix", "True Pattern", IF($O1223="ssFix", "Search Like Pattern", IF($O1223="TBar", "True Pattern", ""))))))))))))))))))))</f>
        <v>True Pattern</v>
      </c>
      <c r="Q1223" s="13" t="str">
        <f>IF(NOT(ISERR(SEARCH("*_Buggy",$A1223))), "Buggy", IF(NOT(ISERR(SEARCH("*_Fixed",$A1223))), "Fixed", IF(NOT(ISERR(SEARCH("*_Repaired",$A1223))), "Repaired", "")))</f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v>1</v>
      </c>
      <c r="W1223" s="13" t="str">
        <f>MID(A1223, SEARCH("_", A1223) +1, SEARCH("_", A1223, SEARCH("_", A1223) +1) - SEARCH("_", A1223) -1)</f>
        <v>Closure-115</v>
      </c>
      <c r="Y1223" t="str">
        <f>IF(AND($S698=1,$S1223=1,$V698=1,$V1223=1), "YES", "NO")</f>
        <v>NO</v>
      </c>
      <c r="Z1223" t="str">
        <f>IF(AND($S698=1,$S1223=1,$V698&gt;1,$V1223&gt;1), "YES", "NO")</f>
        <v>NO</v>
      </c>
      <c r="AA1223" t="str">
        <f>IF(AND($S698&gt;1,$S1223&gt;1,$S698=$V698,$S1223=$V1223), "YES", "NO")</f>
        <v>NO</v>
      </c>
      <c r="AB1223" t="str">
        <f>IF(AND($S698&gt;1,$S1223&gt;1,$S698&lt;$V698,$S1223&lt;$V1223), "YES", "NO")</f>
        <v>NO</v>
      </c>
      <c r="AC1223" t="str">
        <f>IF(AND($V698&gt;10,$V1223&gt;10), "YES", "NO")</f>
        <v>NO</v>
      </c>
      <c r="AD1223"/>
    </row>
    <row r="1224" spans="1:30" ht="15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>LEFT($A1224,FIND("_",$A1224)-1)</f>
        <v>FixMiner</v>
      </c>
      <c r="P1224" s="13" t="str">
        <f>IF($O1224="ACS", "True Search", IF($O1224="Arja", "Evolutionary Search", IF($O1224="AVATAR", "True Pattern", IF($O1224="CapGen", "Search Like Pattern", IF($O1224="Cardumen", "True Semantic", IF($O1224="DynaMoth", "True Semantic", IF($O1224="FixMiner", "True Pattern", IF($O1224="GenProg-A", "Evolutionary Search", IF($O1224="Hercules", "Learning Pattern", IF($O1224="Jaid", "True Semantic",
IF($O1224="Kali-A", "True Search", IF($O1224="kPAR", "True Pattern", IF($O1224="Nopol", "True Semantic", IF($O1224="RSRepair-A", "Evolutionary Search", IF($O1224="SequenceR", "Deep Learning", IF($O1224="SimFix", "Search Like Pattern", IF($O1224="SketchFix", "True Pattern", IF($O1224="SOFix", "True Pattern", IF($O1224="ssFix", "Search Like Pattern", IF($O1224="TBar", "True Pattern", ""))))))))))))))))))))</f>
        <v>True Pattern</v>
      </c>
      <c r="Q1224" s="13" t="str">
        <f>IF(NOT(ISERR(SEARCH("*_Buggy",$A1224))), "Buggy", IF(NOT(ISERR(SEARCH("*_Fixed",$A1224))), "Fixed", IF(NOT(ISERR(SEARCH("*_Repaired",$A1224))), "Repaired", "")))</f>
        <v>Repaired</v>
      </c>
      <c r="R1224" s="13" t="s">
        <v>1668</v>
      </c>
      <c r="S1224" s="25">
        <v>2</v>
      </c>
      <c r="T1224" s="25">
        <v>3</v>
      </c>
      <c r="U1224" s="25">
        <v>1</v>
      </c>
      <c r="V1224" s="13">
        <v>3</v>
      </c>
      <c r="W1224" s="13" t="str">
        <f>MID(A1224, SEARCH("_", A1224) +1, SEARCH("_", A1224, SEARCH("_", A1224) +1) - SEARCH("_", A1224) -1)</f>
        <v>Closure-13</v>
      </c>
      <c r="Y1224" t="str">
        <f>IF(AND($S699=1,$S1224=1,$V699=1,$V1224=1), "YES", "NO")</f>
        <v>NO</v>
      </c>
      <c r="Z1224" t="str">
        <f>IF(AND($S699=1,$S1224=1,$V699&gt;1,$V1224&gt;1), "YES", "NO")</f>
        <v>NO</v>
      </c>
      <c r="AA1224" t="str">
        <f>IF(AND($S699&gt;1,$S1224&gt;1,$S699=$V699,$S1224=$V1224), "YES", "NO")</f>
        <v>NO</v>
      </c>
      <c r="AB1224" t="str">
        <f>IF(AND($S699&gt;1,$S1224&gt;1,$S699&lt;$V699,$S1224&lt;$V1224), "YES", "NO")</f>
        <v>NO</v>
      </c>
      <c r="AC1224" t="str">
        <f>IF(AND($V699&gt;10,$V1224&gt;10), "YES", "NO")</f>
        <v>NO</v>
      </c>
      <c r="AD1224"/>
    </row>
    <row r="1225" spans="1:30" ht="15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>LEFT($A1225,FIND("_",$A1225)-1)</f>
        <v>FixMiner</v>
      </c>
      <c r="P1225" s="13" t="str">
        <f>IF($O1225="ACS", "True Search", IF($O1225="Arja", "Evolutionary Search", IF($O1225="AVATAR", "True Pattern", IF($O1225="CapGen", "Search Like Pattern", IF($O1225="Cardumen", "True Semantic", IF($O1225="DynaMoth", "True Semantic", IF($O1225="FixMiner", "True Pattern", IF($O1225="GenProg-A", "Evolutionary Search", IF($O1225="Hercules", "Learning Pattern", IF($O1225="Jaid", "True Semantic",
IF($O1225="Kali-A", "True Search", IF($O1225="kPAR", "True Pattern", IF($O1225="Nopol", "True Semantic", IF($O1225="RSRepair-A", "Evolutionary Search", IF($O1225="SequenceR", "Deep Learning", IF($O1225="SimFix", "Search Like Pattern", IF($O1225="SketchFix", "True Pattern", IF($O1225="SOFix", "True Pattern", IF($O1225="ssFix", "Search Like Pattern", IF($O1225="TBar", "True Pattern", ""))))))))))))))))))))</f>
        <v>True Pattern</v>
      </c>
      <c r="Q1225" s="13" t="str">
        <f>IF(NOT(ISERR(SEARCH("*_Buggy",$A1225))), "Buggy", IF(NOT(ISERR(SEARCH("*_Fixed",$A1225))), "Fixed", IF(NOT(ISERR(SEARCH("*_Repaired",$A1225))), "Repaired", "")))</f>
        <v>Repaired</v>
      </c>
      <c r="R1225" s="13" t="s">
        <v>1669</v>
      </c>
      <c r="S1225" s="25">
        <v>1</v>
      </c>
      <c r="T1225" s="25">
        <v>1</v>
      </c>
      <c r="U1225" s="25">
        <v>2</v>
      </c>
      <c r="V1225" s="13">
        <v>2</v>
      </c>
      <c r="W1225" s="13" t="str">
        <f>MID(A1225, SEARCH("_", A1225) +1, SEARCH("_", A1225, SEARCH("_", A1225) +1) - SEARCH("_", A1225) -1)</f>
        <v>Closure-19</v>
      </c>
      <c r="Y1225" t="str">
        <f>IF(AND($S700=1,$S1225=1,$V700=1,$V1225=1), "YES", "NO")</f>
        <v>NO</v>
      </c>
      <c r="Z1225" t="str">
        <f>IF(AND($S700=1,$S1225=1,$V700&gt;1,$V1225&gt;1), "YES", "NO")</f>
        <v>NO</v>
      </c>
      <c r="AA1225" t="str">
        <f>IF(AND($S700&gt;1,$S1225&gt;1,$S700=$V700,$S1225=$V1225), "YES", "NO")</f>
        <v>NO</v>
      </c>
      <c r="AB1225" t="str">
        <f>IF(AND($S700&gt;1,$S1225&gt;1,$S700&lt;$V700,$S1225&lt;$V1225), "YES", "NO")</f>
        <v>NO</v>
      </c>
      <c r="AC1225" t="str">
        <f>IF(AND($V700&gt;10,$V1225&gt;10), "YES", "NO")</f>
        <v>NO</v>
      </c>
      <c r="AD1225"/>
    </row>
    <row r="1226" spans="1:30" ht="15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>LEFT($A1226,FIND("_",$A1226)-1)</f>
        <v>FixMiner</v>
      </c>
      <c r="P1226" s="13" t="str">
        <f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>IF(NOT(ISERR(SEARCH("*_Buggy",$A1226))), "Buggy", IF(NOT(ISERR(SEARCH("*_Fixed",$A1226))), "Fixed", IF(NOT(ISERR(SEARCH("*_Repaired",$A1226))), "Repaired", "")))</f>
        <v>Repaired</v>
      </c>
      <c r="R1226" s="13" t="s">
        <v>1668</v>
      </c>
      <c r="S1226" s="25">
        <v>2</v>
      </c>
      <c r="T1226" s="13">
        <v>2</v>
      </c>
      <c r="U1226" s="25">
        <v>0</v>
      </c>
      <c r="V1226" s="13">
        <v>2</v>
      </c>
      <c r="W1226" s="13" t="str">
        <f>MID(A1226, SEARCH("_", A1226) +1, SEARCH("_", A1226, SEARCH("_", A1226) +1) - SEARCH("_", A1226) -1)</f>
        <v>Closure-2</v>
      </c>
      <c r="Y1226" t="str">
        <f>IF(AND($S701=1,$S1226=1,$V701=1,$V1226=1), "YES", "NO")</f>
        <v>NO</v>
      </c>
      <c r="Z1226" t="str">
        <f>IF(AND($S701=1,$S1226=1,$V701&gt;1,$V1226&gt;1), "YES", "NO")</f>
        <v>NO</v>
      </c>
      <c r="AA1226" t="str">
        <f>IF(AND($S701&gt;1,$S1226&gt;1,$S701=$V701,$S1226=$V1226), "YES", "NO")</f>
        <v>NO</v>
      </c>
      <c r="AB1226" t="str">
        <f>IF(AND($S701&gt;1,$S1226&gt;1,$S701&lt;$V701,$S1226&lt;$V1226), "YES", "NO")</f>
        <v>NO</v>
      </c>
      <c r="AC1226" t="str">
        <f>IF(AND($V701&gt;10,$V1226&gt;10), "YES", "NO")</f>
        <v>NO</v>
      </c>
      <c r="AD1226"/>
    </row>
    <row r="1227" spans="1:30" ht="15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>LEFT($A1227,FIND("_",$A1227)-1)</f>
        <v>FixMiner</v>
      </c>
      <c r="P1227" s="13" t="str">
        <f>IF($O1227="ACS", "True Search", IF($O1227="Arja", "Evolutionary Search", IF($O1227="AVATAR", "True Pattern", IF($O1227="CapGen", "Search Like Pattern", IF($O1227="Cardumen", "True Semantic", IF($O1227="DynaMoth", "True Semantic", IF($O1227="FixMiner", "True Pattern", IF($O1227="GenProg-A", "Evolutionary Search", IF($O1227="Hercules", "Learning Pattern", IF($O1227="Jaid", "True Semantic",
IF($O1227="Kali-A", "True Search", IF($O1227="kPAR", "True Pattern", IF($O1227="Nopol", "True Semantic", IF($O1227="RSRepair-A", "Evolutionary Search", IF($O1227="SequenceR", "Deep Learning", IF($O1227="SimFix", "Search Like Pattern", IF($O1227="SketchFix", "True Pattern", IF($O1227="SOFix", "True Pattern", IF($O1227="ssFix", "Search Like Pattern", IF($O1227="TBar", "True Pattern", ""))))))))))))))))))))</f>
        <v>True Pattern</v>
      </c>
      <c r="Q1227" s="13" t="str">
        <f>IF(NOT(ISERR(SEARCH("*_Buggy",$A1227))), "Buggy", IF(NOT(ISERR(SEARCH("*_Fixed",$A1227))), "Fixed", IF(NOT(ISERR(SEARCH("*_Repaired",$A1227))), "Repaired", "")))</f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v>1</v>
      </c>
      <c r="W1227" s="13" t="str">
        <f>MID(A1227, SEARCH("_", A1227) +1, SEARCH("_", A1227, SEARCH("_", A1227) +1) - SEARCH("_", A1227) -1)</f>
        <v>Closure-38</v>
      </c>
      <c r="Y1227" t="str">
        <f>IF(AND($S702=1,$S1227=1,$V702=1,$V1227=1), "YES", "NO")</f>
        <v>YES</v>
      </c>
      <c r="Z1227" t="str">
        <f>IF(AND($S702=1,$S1227=1,$V702&gt;1,$V1227&gt;1), "YES", "NO")</f>
        <v>NO</v>
      </c>
      <c r="AA1227" t="str">
        <f>IF(AND($S702&gt;1,$S1227&gt;1,$S702=$V702,$S1227=$V1227), "YES", "NO")</f>
        <v>NO</v>
      </c>
      <c r="AB1227" t="str">
        <f>IF(AND($S702&gt;1,$S1227&gt;1,$S702&lt;$V702,$S1227&lt;$V1227), "YES", "NO")</f>
        <v>NO</v>
      </c>
      <c r="AC1227" t="str">
        <f>IF(AND($V702&gt;10,$V1227&gt;10), "YES", "NO")</f>
        <v>NO</v>
      </c>
      <c r="AD1227"/>
    </row>
    <row r="1228" spans="1:30" ht="15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>LEFT($A1228,FIND("_",$A1228)-1)</f>
        <v>FixMiner</v>
      </c>
      <c r="P1228" s="13" t="str">
        <f>IF($O1228="ACS", "True Search", IF($O1228="Arja", "Evolutionary Search", IF($O1228="AVATAR", "True Pattern", IF($O1228="CapGen", "Search Like Pattern", IF($O1228="Cardumen", "True Semantic", IF($O1228="DynaMoth", "True Semantic", IF($O1228="FixMiner", "True Pattern", IF($O1228="GenProg-A", "Evolutionary Search", IF($O1228="Hercules", "Learning Pattern", IF($O1228="Jaid", "True Semantic",
IF($O1228="Kali-A", "True Search", IF($O1228="kPAR", "True Pattern", IF($O1228="Nopol", "True Semantic", IF($O1228="RSRepair-A", "Evolutionary Search", IF($O1228="SequenceR", "Deep Learning", IF($O1228="SimFix", "Search Like Pattern", IF($O1228="SketchFix", "True Pattern", IF($O1228="SOFix", "True Pattern", IF($O1228="ssFix", "Search Like Pattern", IF($O1228="TBar", "True Pattern", ""))))))))))))))))))))</f>
        <v>True Pattern</v>
      </c>
      <c r="Q1228" s="13" t="str">
        <f>IF(NOT(ISERR(SEARCH("*_Buggy",$A1228))), "Buggy", IF(NOT(ISERR(SEARCH("*_Fixed",$A1228))), "Fixed", IF(NOT(ISERR(SEARCH("*_Repaired",$A1228))), "Repaired", "")))</f>
        <v>Repaired</v>
      </c>
      <c r="R1228" s="13" t="s">
        <v>1668</v>
      </c>
      <c r="S1228" s="25">
        <v>1</v>
      </c>
      <c r="T1228" s="25">
        <v>1</v>
      </c>
      <c r="U1228" s="25">
        <v>16</v>
      </c>
      <c r="V1228" s="13">
        <v>16</v>
      </c>
      <c r="W1228" s="13" t="str">
        <f>MID(A1228, SEARCH("_", A1228) +1, SEARCH("_", A1228, SEARCH("_", A1228) +1) - SEARCH("_", A1228) -1)</f>
        <v>Closure-46</v>
      </c>
      <c r="Y1228" t="str">
        <f>IF(AND($S703=1,$S1228=1,$V703=1,$V1228=1), "YES", "NO")</f>
        <v>NO</v>
      </c>
      <c r="Z1228" t="str">
        <f>IF(AND($S703=1,$S1228=1,$V703&gt;1,$V1228&gt;1), "YES", "NO")</f>
        <v>YES</v>
      </c>
      <c r="AA1228" t="str">
        <f>IF(AND($S703&gt;1,$S1228&gt;1,$S703=$V703,$S1228=$V1228), "YES", "NO")</f>
        <v>NO</v>
      </c>
      <c r="AB1228" t="str">
        <f>IF(AND($S703&gt;1,$S1228&gt;1,$S703&lt;$V703,$S1228&lt;$V1228), "YES", "NO")</f>
        <v>NO</v>
      </c>
      <c r="AC1228" t="str">
        <f>IF(AND($V703&gt;10,$V1228&gt;10), "YES", "NO")</f>
        <v>YES</v>
      </c>
      <c r="AD1228"/>
    </row>
    <row r="1229" spans="1:30" ht="15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>LEFT($A1229,FIND("_",$A1229)-1)</f>
        <v>FixMiner</v>
      </c>
      <c r="P1229" s="13" t="str">
        <f>IF($O1229="ACS", "True Search", IF($O1229="Arja", "Evolutionary Search", IF($O1229="AVATAR", "True Pattern", IF($O1229="CapGen", "Search Like Pattern", IF($O1229="Cardumen", "True Semantic", IF($O1229="DynaMoth", "True Semantic", IF($O1229="FixMiner", "True Pattern", IF($O1229="GenProg-A", "Evolutionary Search", IF($O1229="Hercules", "Learning Pattern", IF($O1229="Jaid", "True Semantic",
IF($O1229="Kali-A", "True Search", IF($O1229="kPAR", "True Pattern", IF($O1229="Nopol", "True Semantic", IF($O1229="RSRepair-A", "Evolutionary Search", IF($O1229="SequenceR", "Deep Learning", IF($O1229="SimFix", "Search Like Pattern", IF($O1229="SketchFix", "True Pattern", IF($O1229="SOFix", "True Pattern", IF($O1229="ssFix", "Search Like Pattern", IF($O1229="TBar", "True Pattern", ""))))))))))))))))))))</f>
        <v>True Pattern</v>
      </c>
      <c r="Q1229" s="13" t="str">
        <f>IF(NOT(ISERR(SEARCH("*_Buggy",$A1229))), "Buggy", IF(NOT(ISERR(SEARCH("*_Fixed",$A1229))), "Fixed", IF(NOT(ISERR(SEARCH("*_Repaired",$A1229))), "Repaired", "")))</f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v>1</v>
      </c>
      <c r="W1229" s="13" t="str">
        <f>MID(A1229, SEARCH("_", A1229) +1, SEARCH("_", A1229, SEARCH("_", A1229) +1) - SEARCH("_", A1229) -1)</f>
        <v>Closure-62</v>
      </c>
      <c r="Y1229" t="str">
        <f>IF(AND($S704=1,$S1229=1,$V704=1,$V1229=1), "YES", "NO")</f>
        <v>YES</v>
      </c>
      <c r="Z1229" t="str">
        <f>IF(AND($S704=1,$S1229=1,$V704&gt;1,$V1229&gt;1), "YES", "NO")</f>
        <v>NO</v>
      </c>
      <c r="AA1229" t="str">
        <f>IF(AND($S704&gt;1,$S1229&gt;1,$S704=$V704,$S1229=$V1229), "YES", "NO")</f>
        <v>NO</v>
      </c>
      <c r="AB1229" t="str">
        <f>IF(AND($S704&gt;1,$S1229&gt;1,$S704&lt;$V704,$S1229&lt;$V1229), "YES", "NO")</f>
        <v>NO</v>
      </c>
      <c r="AC1229" t="str">
        <f>IF(AND($V704&gt;10,$V1229&gt;10), "YES", "NO")</f>
        <v>NO</v>
      </c>
      <c r="AD1229"/>
    </row>
    <row r="1230" spans="1:30" ht="15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>LEFT($A1230,FIND("_",$A1230)-1)</f>
        <v>FixMiner</v>
      </c>
      <c r="P1230" s="13" t="str">
        <f>IF($O1230="ACS", "True Search", IF($O1230="Arja", "Evolutionary Search", IF($O1230="AVATAR", "True Pattern", IF($O1230="CapGen", "Search Like Pattern", IF($O1230="Cardumen", "True Semantic", IF($O1230="DynaMoth", "True Semantic", IF($O1230="FixMiner", "True Pattern", IF($O1230="GenProg-A", "Evolutionary Search", IF($O1230="Hercules", "Learning Pattern", IF($O1230="Jaid", "True Semantic",
IF($O1230="Kali-A", "True Search", IF($O1230="kPAR", "True Pattern", IF($O1230="Nopol", "True Semantic", IF($O1230="RSRepair-A", "Evolutionary Search", IF($O1230="SequenceR", "Deep Learning", IF($O1230="SimFix", "Search Like Pattern", IF($O1230="SketchFix", "True Pattern", IF($O1230="SOFix", "True Pattern", IF($O1230="ssFix", "Search Like Pattern", IF($O1230="TBar", "True Pattern", ""))))))))))))))))))))</f>
        <v>True Pattern</v>
      </c>
      <c r="Q1230" s="13" t="str">
        <f>IF(NOT(ISERR(SEARCH("*_Buggy",$A1230))), "Buggy", IF(NOT(ISERR(SEARCH("*_Fixed",$A1230))), "Fixed", IF(NOT(ISERR(SEARCH("*_Repaired",$A1230))), "Repaired", "")))</f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v>1</v>
      </c>
      <c r="W1230" s="13" t="str">
        <f>MID(A1230, SEARCH("_", A1230) +1, SEARCH("_", A1230, SEARCH("_", A1230) +1) - SEARCH("_", A1230) -1)</f>
        <v>Closure-73</v>
      </c>
      <c r="Y1230" t="str">
        <f>IF(AND($S705=1,$S1230=1,$V705=1,$V1230=1), "YES", "NO")</f>
        <v>YES</v>
      </c>
      <c r="Z1230" t="str">
        <f>IF(AND($S705=1,$S1230=1,$V705&gt;1,$V1230&gt;1), "YES", "NO")</f>
        <v>NO</v>
      </c>
      <c r="AA1230" t="str">
        <f>IF(AND($S705&gt;1,$S1230&gt;1,$S705=$V705,$S1230=$V1230), "YES", "NO")</f>
        <v>NO</v>
      </c>
      <c r="AB1230" t="str">
        <f>IF(AND($S705&gt;1,$S1230&gt;1,$S705&lt;$V705,$S1230&lt;$V1230), "YES", "NO")</f>
        <v>NO</v>
      </c>
      <c r="AC1230" t="str">
        <f>IF(AND($V705&gt;10,$V1230&gt;10), "YES", "NO")</f>
        <v>NO</v>
      </c>
      <c r="AD1230"/>
    </row>
    <row r="1231" spans="1:30" ht="15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>LEFT($A1231,FIND("_",$A1231)-1)</f>
        <v>FixMiner</v>
      </c>
      <c r="P1231" s="13" t="str">
        <f>IF($O1231="ACS", "True Search", IF($O1231="Arja", "Evolutionary Search", IF($O1231="AVATAR", "True Pattern", IF($O1231="CapGen", "Search Like Pattern", IF($O1231="Cardumen", "True Semantic", IF($O1231="DynaMoth", "True Semantic", IF($O1231="FixMiner", "True Pattern", IF($O1231="GenProg-A", "Evolutionary Search", IF($O1231="Hercules", "Learning Pattern", IF($O1231="Jaid", "True Semantic",
IF($O1231="Kali-A", "True Search", IF($O1231="kPAR", "True Pattern", IF($O1231="Nopol", "True Semantic", IF($O1231="RSRepair-A", "Evolutionary Search", IF($O1231="SequenceR", "Deep Learning", IF($O1231="SimFix", "Search Like Pattern", IF($O1231="SketchFix", "True Pattern", IF($O1231="SOFix", "True Pattern", IF($O1231="ssFix", "Search Like Pattern", IF($O1231="TBar", "True Pattern", ""))))))))))))))))))))</f>
        <v>True Pattern</v>
      </c>
      <c r="Q1231" s="13" t="str">
        <f>IF(NOT(ISERR(SEARCH("*_Buggy",$A1231))), "Buggy", IF(NOT(ISERR(SEARCH("*_Fixed",$A1231))), "Fixed", IF(NOT(ISERR(SEARCH("*_Repaired",$A1231))), "Repaired", "")))</f>
        <v>Repaired</v>
      </c>
      <c r="R1231" s="13" t="s">
        <v>1668</v>
      </c>
      <c r="S1231" s="25">
        <v>1</v>
      </c>
      <c r="T1231" s="25">
        <v>1</v>
      </c>
      <c r="U1231" s="25">
        <v>7</v>
      </c>
      <c r="V1231" s="13">
        <v>7</v>
      </c>
      <c r="W1231" s="13" t="str">
        <f>MID(A1231, SEARCH("_", A1231) +1, SEARCH("_", A1231, SEARCH("_", A1231) +1) - SEARCH("_", A1231) -1)</f>
        <v>Lang-10</v>
      </c>
      <c r="Y1231" t="str">
        <f>IF(AND($S706=1,$S1231=1,$V706=1,$V1231=1), "YES", "NO")</f>
        <v>NO</v>
      </c>
      <c r="Z1231" t="str">
        <f>IF(AND($S706=1,$S1231=1,$V706&gt;1,$V1231&gt;1), "YES", "NO")</f>
        <v>NO</v>
      </c>
      <c r="AA1231" t="str">
        <f>IF(AND($S706&gt;1,$S1231&gt;1,$S706=$V706,$S1231=$V1231), "YES", "NO")</f>
        <v>NO</v>
      </c>
      <c r="AB1231" t="str">
        <f>IF(AND($S706&gt;1,$S1231&gt;1,$S706&lt;$V706,$S1231&lt;$V1231), "YES", "NO")</f>
        <v>NO</v>
      </c>
      <c r="AC1231" t="str">
        <f>IF(AND($V706&gt;10,$V1231&gt;10), "YES", "NO")</f>
        <v>NO</v>
      </c>
      <c r="AD1231"/>
    </row>
    <row r="1232" spans="1:30" ht="15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>LEFT($A1232,FIND("_",$A1232)-1)</f>
        <v>FixMiner</v>
      </c>
      <c r="P1232" s="13" t="str">
        <f>IF($O1232="ACS", "True Search", IF($O1232="Arja", "Evolutionary Search", IF($O1232="AVATAR", "True Pattern", IF($O1232="CapGen", "Search Like Pattern", IF($O1232="Cardumen", "True Semantic", IF($O1232="DynaMoth", "True Semantic", IF($O1232="FixMiner", "True Pattern", IF($O1232="GenProg-A", "Evolutionary Search", IF($O1232="Hercules", "Learning Pattern", IF($O1232="Jaid", "True Semantic",
IF($O1232="Kali-A", "True Search", IF($O1232="kPAR", "True Pattern", IF($O1232="Nopol", "True Semantic", IF($O1232="RSRepair-A", "Evolutionary Search", IF($O1232="SequenceR", "Deep Learning", IF($O1232="SimFix", "Search Like Pattern", IF($O1232="SketchFix", "True Pattern", IF($O1232="SOFix", "True Pattern", IF($O1232="ssFix", "Search Like Pattern", IF($O1232="TBar", "True Pattern", ""))))))))))))))))))))</f>
        <v>True Pattern</v>
      </c>
      <c r="Q1232" s="13" t="str">
        <f>IF(NOT(ISERR(SEARCH("*_Buggy",$A1232))), "Buggy", IF(NOT(ISERR(SEARCH("*_Fixed",$A1232))), "Fixed", IF(NOT(ISERR(SEARCH("*_Repaired",$A1232))), "Repaired", "")))</f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v>1</v>
      </c>
      <c r="W1232" s="13" t="str">
        <f>MID(A1232, SEARCH("_", A1232) +1, SEARCH("_", A1232, SEARCH("_", A1232) +1) - SEARCH("_", A1232) -1)</f>
        <v>Lang-19</v>
      </c>
      <c r="Y1232" t="str">
        <f>IF(AND($S707=1,$S1232=1,$V707=1,$V1232=1), "YES", "NO")</f>
        <v>NO</v>
      </c>
      <c r="Z1232" t="str">
        <f>IF(AND($S707=1,$S1232=1,$V707&gt;1,$V1232&gt;1), "YES", "NO")</f>
        <v>NO</v>
      </c>
      <c r="AA1232" t="str">
        <f>IF(AND($S707&gt;1,$S1232&gt;1,$S707=$V707,$S1232=$V1232), "YES", "NO")</f>
        <v>NO</v>
      </c>
      <c r="AB1232" t="str">
        <f>IF(AND($S707&gt;1,$S1232&gt;1,$S707&lt;$V707,$S1232&lt;$V1232), "YES", "NO")</f>
        <v>NO</v>
      </c>
      <c r="AC1232" t="str">
        <f>IF(AND($V707&gt;10,$V1232&gt;10), "YES", "NO")</f>
        <v>NO</v>
      </c>
      <c r="AD1232"/>
    </row>
    <row r="1233" spans="1:30" ht="15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>LEFT($A1233,FIND("_",$A1233)-1)</f>
        <v>FixMiner</v>
      </c>
      <c r="P1233" s="13" t="str">
        <f>IF($O1233="ACS", "True Search", IF($O1233="Arja", "Evolutionary Search", IF($O1233="AVATAR", "True Pattern", IF($O1233="CapGen", "Search Like Pattern", IF($O1233="Cardumen", "True Semantic", IF($O1233="DynaMoth", "True Semantic", IF($O1233="FixMiner", "True Pattern", IF($O1233="GenProg-A", "Evolutionary Search", IF($O1233="Hercules", "Learning Pattern", IF($O1233="Jaid", "True Semantic",
IF($O1233="Kali-A", "True Search", IF($O1233="kPAR", "True Pattern", IF($O1233="Nopol", "True Semantic", IF($O1233="RSRepair-A", "Evolutionary Search", IF($O1233="SequenceR", "Deep Learning", IF($O1233="SimFix", "Search Like Pattern", IF($O1233="SketchFix", "True Pattern", IF($O1233="SOFix", "True Pattern", IF($O1233="ssFix", "Search Like Pattern", IF($O1233="TBar", "True Pattern", ""))))))))))))))))))))</f>
        <v>True Pattern</v>
      </c>
      <c r="Q1233" s="13" t="str">
        <f>IF(NOT(ISERR(SEARCH("*_Buggy",$A1233))), "Buggy", IF(NOT(ISERR(SEARCH("*_Fixed",$A1233))), "Fixed", IF(NOT(ISERR(SEARCH("*_Repaired",$A1233))), "Repaired", "")))</f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v>1</v>
      </c>
      <c r="W1233" s="13" t="str">
        <f>MID(A1233, SEARCH("_", A1233) +1, SEARCH("_", A1233, SEARCH("_", A1233) +1) - SEARCH("_", A1233) -1)</f>
        <v>Lang-22</v>
      </c>
      <c r="Y1233" t="str">
        <f>IF(AND($S708=1,$S1233=1,$V708=1,$V1233=1), "YES", "NO")</f>
        <v>NO</v>
      </c>
      <c r="Z1233" t="str">
        <f>IF(AND($S708=1,$S1233=1,$V708&gt;1,$V1233&gt;1), "YES", "NO")</f>
        <v>NO</v>
      </c>
      <c r="AA1233" t="str">
        <f>IF(AND($S708&gt;1,$S1233&gt;1,$S708=$V708,$S1233=$V1233), "YES", "NO")</f>
        <v>NO</v>
      </c>
      <c r="AB1233" t="str">
        <f>IF(AND($S708&gt;1,$S1233&gt;1,$S708&lt;$V708,$S1233&lt;$V1233), "YES", "NO")</f>
        <v>NO</v>
      </c>
      <c r="AC1233" t="str">
        <f>IF(AND($V708&gt;10,$V1233&gt;10), "YES", "NO")</f>
        <v>NO</v>
      </c>
      <c r="AD1233"/>
    </row>
    <row r="1234" spans="1:30" ht="15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>LEFT($A1234,FIND("_",$A1234)-1)</f>
        <v>FixMiner</v>
      </c>
      <c r="P1234" s="13" t="str">
        <f>IF($O1234="ACS", "True Search", IF($O1234="Arja", "Evolutionary Search", IF($O1234="AVATAR", "True Pattern", IF($O1234="CapGen", "Search Like Pattern", IF($O1234="Cardumen", "True Semantic", IF($O1234="DynaMoth", "True Semantic", IF($O1234="FixMiner", "True Pattern", IF($O1234="GenProg-A", "Evolutionary Search", IF($O1234="Hercules", "Learning Pattern", IF($O1234="Jaid", "True Semantic",
IF($O1234="Kali-A", "True Search", IF($O1234="kPAR", "True Pattern", IF($O1234="Nopol", "True Semantic", IF($O1234="RSRepair-A", "Evolutionary Search", IF($O1234="SequenceR", "Deep Learning", IF($O1234="SimFix", "Search Like Pattern", IF($O1234="SketchFix", "True Pattern", IF($O1234="SOFix", "True Pattern", IF($O1234="ssFix", "Search Like Pattern", IF($O1234="TBar", "True Pattern", ""))))))))))))))))))))</f>
        <v>True Pattern</v>
      </c>
      <c r="Q1234" s="13" t="str">
        <f>IF(NOT(ISERR(SEARCH("*_Buggy",$A1234))), "Buggy", IF(NOT(ISERR(SEARCH("*_Fixed",$A1234))), "Fixed", IF(NOT(ISERR(SEARCH("*_Repaired",$A1234))), "Repaired", "")))</f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v>1</v>
      </c>
      <c r="W1234" s="13" t="str">
        <f>MID(A1234, SEARCH("_", A1234) +1, SEARCH("_", A1234, SEARCH("_", A1234) +1) - SEARCH("_", A1234) -1)</f>
        <v>Lang-56</v>
      </c>
      <c r="Y1234" t="str">
        <f>IF(AND($S709=1,$S1234=1,$V709=1,$V1234=1), "YES", "NO")</f>
        <v>NO</v>
      </c>
      <c r="Z1234" t="str">
        <f>IF(AND($S709=1,$S1234=1,$V709&gt;1,$V1234&gt;1), "YES", "NO")</f>
        <v>NO</v>
      </c>
      <c r="AA1234" t="str">
        <f>IF(AND($S709&gt;1,$S1234&gt;1,$S709=$V709,$S1234=$V1234), "YES", "NO")</f>
        <v>NO</v>
      </c>
      <c r="AB1234" t="str">
        <f>IF(AND($S709&gt;1,$S1234&gt;1,$S709&lt;$V709,$S1234&lt;$V1234), "YES", "NO")</f>
        <v>NO</v>
      </c>
      <c r="AC1234" t="str">
        <f>IF(AND($V709&gt;10,$V1234&gt;10), "YES", "NO")</f>
        <v>NO</v>
      </c>
      <c r="AD1234"/>
    </row>
    <row r="1235" spans="1:30" ht="15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>LEFT($A1235,FIND("_",$A1235)-1)</f>
        <v>FixMiner</v>
      </c>
      <c r="P1235" s="13" t="str">
        <f>IF($O1235="ACS", "True Search", IF($O1235="Arja", "Evolutionary Search", IF($O1235="AVATAR", "True Pattern", IF($O1235="CapGen", "Search Like Pattern", IF($O1235="Cardumen", "True Semantic", IF($O1235="DynaMoth", "True Semantic", IF($O1235="FixMiner", "True Pattern", IF($O1235="GenProg-A", "Evolutionary Search", IF($O1235="Hercules", "Learning Pattern", IF($O1235="Jaid", "True Semantic",
IF($O1235="Kali-A", "True Search", IF($O1235="kPAR", "True Pattern", IF($O1235="Nopol", "True Semantic", IF($O1235="RSRepair-A", "Evolutionary Search", IF($O1235="SequenceR", "Deep Learning", IF($O1235="SimFix", "Search Like Pattern", IF($O1235="SketchFix", "True Pattern", IF($O1235="SOFix", "True Pattern", IF($O1235="ssFix", "Search Like Pattern", IF($O1235="TBar", "True Pattern", ""))))))))))))))))))))</f>
        <v>True Pattern</v>
      </c>
      <c r="Q1235" s="13" t="str">
        <f>IF(NOT(ISERR(SEARCH("*_Buggy",$A1235))), "Buggy", IF(NOT(ISERR(SEARCH("*_Fixed",$A1235))), "Fixed", IF(NOT(ISERR(SEARCH("*_Repaired",$A1235))), "Repaired", "")))</f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v>1</v>
      </c>
      <c r="W1235" s="13" t="str">
        <f>MID(A1235, SEARCH("_", A1235) +1, SEARCH("_", A1235, SEARCH("_", A1235) +1) - SEARCH("_", A1235) -1)</f>
        <v>Lang-57</v>
      </c>
      <c r="Y1235" t="str">
        <f>IF(AND($S710=1,$S1235=1,$V710=1,$V1235=1), "YES", "NO")</f>
        <v>YES</v>
      </c>
      <c r="Z1235" t="str">
        <f>IF(AND($S710=1,$S1235=1,$V710&gt;1,$V1235&gt;1), "YES", "NO")</f>
        <v>NO</v>
      </c>
      <c r="AA1235" t="str">
        <f>IF(AND($S710&gt;1,$S1235&gt;1,$S710=$V710,$S1235=$V1235), "YES", "NO")</f>
        <v>NO</v>
      </c>
      <c r="AB1235" t="str">
        <f>IF(AND($S710&gt;1,$S1235&gt;1,$S710&lt;$V710,$S1235&lt;$V1235), "YES", "NO")</f>
        <v>NO</v>
      </c>
      <c r="AC1235" t="str">
        <f>IF(AND($V710&gt;10,$V1235&gt;10), "YES", "NO")</f>
        <v>NO</v>
      </c>
      <c r="AD1235"/>
    </row>
    <row r="1236" spans="1:30" ht="15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>LEFT($A1236,FIND("_",$A1236)-1)</f>
        <v>FixMiner</v>
      </c>
      <c r="P1236" s="13" t="str">
        <f>IF($O1236="ACS", "True Search", IF($O1236="Arja", "Evolutionary Search", IF($O1236="AVATAR", "True Pattern", IF($O1236="CapGen", "Search Like Pattern", IF($O1236="Cardumen", "True Semantic", IF($O1236="DynaMoth", "True Semantic", IF($O1236="FixMiner", "True Pattern", IF($O1236="GenProg-A", "Evolutionary Search", IF($O1236="Hercules", "Learning Pattern", IF($O1236="Jaid", "True Semantic",
IF($O1236="Kali-A", "True Search", IF($O1236="kPAR", "True Pattern", IF($O1236="Nopol", "True Semantic", IF($O1236="RSRepair-A", "Evolutionary Search", IF($O1236="SequenceR", "Deep Learning", IF($O1236="SimFix", "Search Like Pattern", IF($O1236="SketchFix", "True Pattern", IF($O1236="SOFix", "True Pattern", IF($O1236="ssFix", "Search Like Pattern", IF($O1236="TBar", "True Pattern", ""))))))))))))))))))))</f>
        <v>True Pattern</v>
      </c>
      <c r="Q1236" s="13" t="str">
        <f>IF(NOT(ISERR(SEARCH("*_Buggy",$A1236))), "Buggy", IF(NOT(ISERR(SEARCH("*_Fixed",$A1236))), "Fixed", IF(NOT(ISERR(SEARCH("*_Repaired",$A1236))), "Repaired", "")))</f>
        <v>Repaired</v>
      </c>
      <c r="R1236" s="13" t="s">
        <v>1669</v>
      </c>
      <c r="S1236" s="25">
        <v>1</v>
      </c>
      <c r="T1236" s="25">
        <v>1</v>
      </c>
      <c r="U1236" s="25">
        <v>2</v>
      </c>
      <c r="V1236" s="13">
        <v>2</v>
      </c>
      <c r="W1236" s="13" t="str">
        <f>MID(A1236, SEARCH("_", A1236) +1, SEARCH("_", A1236, SEARCH("_", A1236) +1) - SEARCH("_", A1236) -1)</f>
        <v>Lang-58</v>
      </c>
      <c r="Y1236" t="str">
        <f>IF(AND($S711=1,$S1236=1,$V711=1,$V1236=1), "YES", "NO")</f>
        <v>NO</v>
      </c>
      <c r="Z1236" t="str">
        <f>IF(AND($S711=1,$S1236=1,$V711&gt;1,$V1236&gt;1), "YES", "NO")</f>
        <v>YES</v>
      </c>
      <c r="AA1236" t="str">
        <f>IF(AND($S711&gt;1,$S1236&gt;1,$S711=$V711,$S1236=$V1236), "YES", "NO")</f>
        <v>NO</v>
      </c>
      <c r="AB1236" t="str">
        <f>IF(AND($S711&gt;1,$S1236&gt;1,$S711&lt;$V711,$S1236&lt;$V1236), "YES", "NO")</f>
        <v>NO</v>
      </c>
      <c r="AC1236" t="str">
        <f>IF(AND($V711&gt;10,$V1236&gt;10), "YES", "NO")</f>
        <v>NO</v>
      </c>
      <c r="AD1236"/>
    </row>
    <row r="1237" spans="1:30" ht="15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>LEFT($A1237,FIND("_",$A1237)-1)</f>
        <v>FixMiner</v>
      </c>
      <c r="P1237" s="13" t="str">
        <f>IF($O1237="ACS", "True Search", IF($O1237="Arja", "Evolutionary Search", IF($O1237="AVATAR", "True Pattern", IF($O1237="CapGen", "Search Like Pattern", IF($O1237="Cardumen", "True Semantic", IF($O1237="DynaMoth", "True Semantic", IF($O1237="FixMiner", "True Pattern", IF($O1237="GenProg-A", "Evolutionary Search", IF($O1237="Hercules", "Learning Pattern", IF($O1237="Jaid", "True Semantic",
IF($O1237="Kali-A", "True Search", IF($O1237="kPAR", "True Pattern", IF($O1237="Nopol", "True Semantic", IF($O1237="RSRepair-A", "Evolutionary Search", IF($O1237="SequenceR", "Deep Learning", IF($O1237="SimFix", "Search Like Pattern", IF($O1237="SketchFix", "True Pattern", IF($O1237="SOFix", "True Pattern", IF($O1237="ssFix", "Search Like Pattern", IF($O1237="TBar", "True Pattern", ""))))))))))))))))))))</f>
        <v>True Pattern</v>
      </c>
      <c r="Q1237" s="13" t="str">
        <f>IF(NOT(ISERR(SEARCH("*_Buggy",$A1237))), "Buggy", IF(NOT(ISERR(SEARCH("*_Fixed",$A1237))), "Fixed", IF(NOT(ISERR(SEARCH("*_Repaired",$A1237))), "Repaired", "")))</f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v>1</v>
      </c>
      <c r="W1237" s="13" t="str">
        <f>MID(A1237, SEARCH("_", A1237) +1, SEARCH("_", A1237, SEARCH("_", A1237) +1) - SEARCH("_", A1237) -1)</f>
        <v>Lang-59</v>
      </c>
      <c r="Y1237" t="str">
        <f>IF(AND($S712=1,$S1237=1,$V712=1,$V1237=1), "YES", "NO")</f>
        <v>YES</v>
      </c>
      <c r="Z1237" t="str">
        <f>IF(AND($S712=1,$S1237=1,$V712&gt;1,$V1237&gt;1), "YES", "NO")</f>
        <v>NO</v>
      </c>
      <c r="AA1237" t="str">
        <f>IF(AND($S712&gt;1,$S1237&gt;1,$S712=$V712,$S1237=$V1237), "YES", "NO")</f>
        <v>NO</v>
      </c>
      <c r="AB1237" t="str">
        <f>IF(AND($S712&gt;1,$S1237&gt;1,$S712&lt;$V712,$S1237&lt;$V1237), "YES", "NO")</f>
        <v>NO</v>
      </c>
      <c r="AC1237" t="str">
        <f>IF(AND($V712&gt;10,$V1237&gt;10), "YES", "NO")</f>
        <v>NO</v>
      </c>
      <c r="AD1237"/>
    </row>
    <row r="1238" spans="1:30" ht="15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>LEFT($A1238,FIND("_",$A1238)-1)</f>
        <v>FixMiner</v>
      </c>
      <c r="P1238" s="13" t="str">
        <f>IF($O1238="ACS", "True Search", IF($O1238="Arja", "Evolutionary Search", IF($O1238="AVATAR", "True Pattern", IF($O1238="CapGen", "Search Like Pattern", IF($O1238="Cardumen", "True Semantic", IF($O1238="DynaMoth", "True Semantic", IF($O1238="FixMiner", "True Pattern", IF($O1238="GenProg-A", "Evolutionary Search", IF($O1238="Hercules", "Learning Pattern", IF($O1238="Jaid", "True Semantic",
IF($O1238="Kali-A", "True Search", IF($O1238="kPAR", "True Pattern", IF($O1238="Nopol", "True Semantic", IF($O1238="RSRepair-A", "Evolutionary Search", IF($O1238="SequenceR", "Deep Learning", IF($O1238="SimFix", "Search Like Pattern", IF($O1238="SketchFix", "True Pattern", IF($O1238="SOFix", "True Pattern", IF($O1238="ssFix", "Search Like Pattern", IF($O1238="TBar", "True Pattern", ""))))))))))))))))))))</f>
        <v>True Pattern</v>
      </c>
      <c r="Q1238" s="13" t="str">
        <f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3</v>
      </c>
      <c r="U1238" s="25">
        <v>2</v>
      </c>
      <c r="V1238" s="13">
        <v>3</v>
      </c>
      <c r="W1238" s="13" t="str">
        <f>MID(A1238, SEARCH("_", A1238) +1, SEARCH("_", A1238, SEARCH("_", A1238) +1) - SEARCH("_", A1238) -1)</f>
        <v>Lang-63</v>
      </c>
      <c r="Y1238" t="str">
        <f>IF(AND($S713=1,$S1238=1,$V713=1,$V1238=1), "YES", "NO")</f>
        <v>NO</v>
      </c>
      <c r="Z1238" t="str">
        <f>IF(AND($S713=1,$S1238=1,$V713&gt;1,$V1238&gt;1), "YES", "NO")</f>
        <v>NO</v>
      </c>
      <c r="AA1238" t="str">
        <f>IF(AND($S713&gt;1,$S1238&gt;1,$S713=$V713,$S1238=$V1238), "YES", "NO")</f>
        <v>NO</v>
      </c>
      <c r="AB1238" t="str">
        <f>IF(AND($S713&gt;1,$S1238&gt;1,$S713&lt;$V713,$S1238&lt;$V1238), "YES", "NO")</f>
        <v>YES</v>
      </c>
      <c r="AC1238" t="str">
        <f>IF(AND($V713&gt;10,$V1238&gt;10), "YES", "NO")</f>
        <v>NO</v>
      </c>
      <c r="AD1238"/>
    </row>
    <row r="1239" spans="1:30" ht="15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>LEFT($A1239,FIND("_",$A1239)-1)</f>
        <v>FixMiner</v>
      </c>
      <c r="P1239" s="13" t="str">
        <f>IF($O1239="ACS", "True Search", IF($O1239="Arja", "Evolutionary Search", IF($O1239="AVATAR", "True Pattern", IF($O1239="CapGen", "Search Like Pattern", IF($O1239="Cardumen", "True Semantic", IF($O1239="DynaMoth", "True Semantic", IF($O1239="FixMiner", "True Pattern", IF($O1239="GenProg-A", "Evolutionary Search", IF($O1239="Hercules", "Learning Pattern", IF($O1239="Jaid", "True Semantic",
IF($O1239="Kali-A", "True Search", IF($O1239="kPAR", "True Pattern", IF($O1239="Nopol", "True Semantic", IF($O1239="RSRepair-A", "Evolutionary Search", IF($O1239="SequenceR", "Deep Learning", IF($O1239="SimFix", "Search Like Pattern", IF($O1239="SketchFix", "True Pattern", IF($O1239="SOFix", "True Pattern", IF($O1239="ssFix", "Search Like Pattern", IF($O1239="TBar", "True Pattern", ""))))))))))))))))))))</f>
        <v>True Pattern</v>
      </c>
      <c r="Q1239" s="13" t="str">
        <f>IF(NOT(ISERR(SEARCH("*_Buggy",$A1239))), "Buggy", IF(NOT(ISERR(SEARCH("*_Fixed",$A1239))), "Fixed", IF(NOT(ISERR(SEARCH("*_Repaired",$A1239))), "Repaired", "")))</f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v>1</v>
      </c>
      <c r="W1239" s="13" t="str">
        <f>MID(A1239, SEARCH("_", A1239) +1, SEARCH("_", A1239, SEARCH("_", A1239) +1) - SEARCH("_", A1239) -1)</f>
        <v>Lang-7</v>
      </c>
      <c r="Y1239" t="str">
        <f>IF(AND($S714=1,$S1239=1,$V714=1,$V1239=1), "YES", "NO")</f>
        <v>NO</v>
      </c>
      <c r="Z1239" t="str">
        <f>IF(AND($S714=1,$S1239=1,$V714&gt;1,$V1239&gt;1), "YES", "NO")</f>
        <v>NO</v>
      </c>
      <c r="AA1239" t="str">
        <f>IF(AND($S714&gt;1,$S1239&gt;1,$S714=$V714,$S1239=$V1239), "YES", "NO")</f>
        <v>NO</v>
      </c>
      <c r="AB1239" t="str">
        <f>IF(AND($S714&gt;1,$S1239&gt;1,$S714&lt;$V714,$S1239&lt;$V1239), "YES", "NO")</f>
        <v>NO</v>
      </c>
      <c r="AC1239" t="str">
        <f>IF(AND($V714&gt;10,$V1239&gt;10), "YES", "NO")</f>
        <v>NO</v>
      </c>
      <c r="AD1239"/>
    </row>
    <row r="1240" spans="1:30" ht="15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>LEFT($A1240,FIND("_",$A1240)-1)</f>
        <v>FixMiner</v>
      </c>
      <c r="P1240" s="13" t="str">
        <f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>IF(NOT(ISERR(SEARCH("*_Buggy",$A1240))), "Buggy", IF(NOT(ISERR(SEARCH("*_Fixed",$A1240))), "Fixed", IF(NOT(ISERR(SEARCH("*_Repaired",$A1240))), "Repaired", "")))</f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v>1</v>
      </c>
      <c r="W1240" s="13" t="str">
        <f>MID(A1240, SEARCH("_", A1240) +1, SEARCH("_", A1240, SEARCH("_", A1240) +1) - SEARCH("_", A1240) -1)</f>
        <v>Math-20</v>
      </c>
      <c r="Y1240" t="str">
        <f>IF(AND($S715=1,$S1240=1,$V715=1,$V1240=1), "YES", "NO")</f>
        <v>NO</v>
      </c>
      <c r="Z1240" t="str">
        <f>IF(AND($S715=1,$S1240=1,$V715&gt;1,$V1240&gt;1), "YES", "NO")</f>
        <v>NO</v>
      </c>
      <c r="AA1240" t="str">
        <f>IF(AND($S715&gt;1,$S1240&gt;1,$S715=$V715,$S1240=$V1240), "YES", "NO")</f>
        <v>NO</v>
      </c>
      <c r="AB1240" t="str">
        <f>IF(AND($S715&gt;1,$S1240&gt;1,$S715&lt;$V715,$S1240&lt;$V1240), "YES", "NO")</f>
        <v>NO</v>
      </c>
      <c r="AC1240" t="str">
        <f>IF(AND($V715&gt;10,$V1240&gt;10), "YES", "NO")</f>
        <v>NO</v>
      </c>
      <c r="AD1240"/>
    </row>
    <row r="1241" spans="1:30" ht="15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>LEFT($A1241,FIND("_",$A1241)-1)</f>
        <v>FixMiner</v>
      </c>
      <c r="P1241" s="13" t="str">
        <f>IF($O1241="ACS", "True Search", IF($O1241="Arja", "Evolutionary Search", IF($O1241="AVATAR", "True Pattern", IF($O1241="CapGen", "Search Like Pattern", IF($O1241="Cardumen", "True Semantic", IF($O1241="DynaMoth", "True Semantic", IF($O1241="FixMiner", "True Pattern", IF($O1241="GenProg-A", "Evolutionary Search", IF($O1241="Hercules", "Learning Pattern", IF($O1241="Jaid", "True Semantic",
IF($O1241="Kali-A", "True Search", IF($O1241="kPAR", "True Pattern", IF($O1241="Nopol", "True Semantic", IF($O1241="RSRepair-A", "Evolutionary Search", IF($O1241="SequenceR", "Deep Learning", IF($O1241="SimFix", "Search Like Pattern", IF($O1241="SketchFix", "True Pattern", IF($O1241="SOFix", "True Pattern", IF($O1241="ssFix", "Search Like Pattern", IF($O1241="TBar", "True Pattern", ""))))))))))))))))))))</f>
        <v>True Pattern</v>
      </c>
      <c r="Q1241" s="13" t="str">
        <f>IF(NOT(ISERR(SEARCH("*_Buggy",$A1241))), "Buggy", IF(NOT(ISERR(SEARCH("*_Fixed",$A1241))), "Fixed", IF(NOT(ISERR(SEARCH("*_Repaired",$A1241))), "Repaired", "")))</f>
        <v>Repaired</v>
      </c>
      <c r="R1241" s="13" t="s">
        <v>1669</v>
      </c>
      <c r="S1241" s="25">
        <v>1</v>
      </c>
      <c r="T1241" s="25">
        <v>1</v>
      </c>
      <c r="U1241" s="25">
        <v>9</v>
      </c>
      <c r="V1241" s="13">
        <v>9</v>
      </c>
      <c r="W1241" s="13" t="str">
        <f>MID(A1241, SEARCH("_", A1241) +1, SEARCH("_", A1241, SEARCH("_", A1241) +1) - SEARCH("_", A1241) -1)</f>
        <v>Math-28</v>
      </c>
      <c r="Y1241" t="str">
        <f>IF(AND($S716=1,$S1241=1,$V716=1,$V1241=1), "YES", "NO")</f>
        <v>NO</v>
      </c>
      <c r="Z1241" t="str">
        <f>IF(AND($S716=1,$S1241=1,$V716&gt;1,$V1241&gt;1), "YES", "NO")</f>
        <v>NO</v>
      </c>
      <c r="AA1241" t="str">
        <f>IF(AND($S716&gt;1,$S1241&gt;1,$S716=$V716,$S1241=$V1241), "YES", "NO")</f>
        <v>NO</v>
      </c>
      <c r="AB1241" t="str">
        <f>IF(AND($S716&gt;1,$S1241&gt;1,$S716&lt;$V716,$S1241&lt;$V1241), "YES", "NO")</f>
        <v>NO</v>
      </c>
      <c r="AC1241" t="str">
        <f>IF(AND($V716&gt;10,$V1241&gt;10), "YES", "NO")</f>
        <v>NO</v>
      </c>
      <c r="AD1241"/>
    </row>
    <row r="1242" spans="1:30" ht="15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>LEFT($A1242,FIND("_",$A1242)-1)</f>
        <v>FixMiner</v>
      </c>
      <c r="P1242" s="13" t="str">
        <f>IF($O1242="ACS", "True Search", IF($O1242="Arja", "Evolutionary Search", IF($O1242="AVATAR", "True Pattern", IF($O1242="CapGen", "Search Like Pattern", IF($O1242="Cardumen", "True Semantic", IF($O1242="DynaMoth", "True Semantic", IF($O1242="FixMiner", "True Pattern", IF($O1242="GenProg-A", "Evolutionary Search", IF($O1242="Hercules", "Learning Pattern", IF($O1242="Jaid", "True Semantic",
IF($O1242="Kali-A", "True Search", IF($O1242="kPAR", "True Pattern", IF($O1242="Nopol", "True Semantic", IF($O1242="RSRepair-A", "Evolutionary Search", IF($O1242="SequenceR", "Deep Learning", IF($O1242="SimFix", "Search Like Pattern", IF($O1242="SketchFix", "True Pattern", IF($O1242="SOFix", "True Pattern", IF($O1242="ssFix", "Search Like Pattern", IF($O1242="TBar", "True Pattern", ""))))))))))))))))))))</f>
        <v>True Pattern</v>
      </c>
      <c r="Q1242" s="13" t="str">
        <f>IF(NOT(ISERR(SEARCH("*_Buggy",$A1242))), "Buggy", IF(NOT(ISERR(SEARCH("*_Fixed",$A1242))), "Fixed", IF(NOT(ISERR(SEARCH("*_Repaired",$A1242))), "Repaired", "")))</f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v>1</v>
      </c>
      <c r="W1242" s="13" t="str">
        <f>MID(A1242, SEARCH("_", A1242) +1, SEARCH("_", A1242, SEARCH("_", A1242) +1) - SEARCH("_", A1242) -1)</f>
        <v>Math-30</v>
      </c>
      <c r="Y1242" t="str">
        <f>IF(AND($S717=1,$S1242=1,$V717=1,$V1242=1), "YES", "NO")</f>
        <v>YES</v>
      </c>
      <c r="Z1242" t="str">
        <f>IF(AND($S717=1,$S1242=1,$V717&gt;1,$V1242&gt;1), "YES", "NO")</f>
        <v>NO</v>
      </c>
      <c r="AA1242" t="str">
        <f>IF(AND($S717&gt;1,$S1242&gt;1,$S717=$V717,$S1242=$V1242), "YES", "NO")</f>
        <v>NO</v>
      </c>
      <c r="AB1242" t="str">
        <f>IF(AND($S717&gt;1,$S1242&gt;1,$S717&lt;$V717,$S1242&lt;$V1242), "YES", "NO")</f>
        <v>NO</v>
      </c>
      <c r="AC1242" t="str">
        <f>IF(AND($V717&gt;10,$V1242&gt;10), "YES", "NO")</f>
        <v>NO</v>
      </c>
      <c r="AD1242"/>
    </row>
    <row r="1243" spans="1:30" ht="15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>LEFT($A1243,FIND("_",$A1243)-1)</f>
        <v>FixMiner</v>
      </c>
      <c r="P1243" s="13" t="str">
        <f>IF($O1243="ACS", "True Search", IF($O1243="Arja", "Evolutionary Search", IF($O1243="AVATAR", "True Pattern", IF($O1243="CapGen", "Search Like Pattern", IF($O1243="Cardumen", "True Semantic", IF($O1243="DynaMoth", "True Semantic", IF($O1243="FixMiner", "True Pattern", IF($O1243="GenProg-A", "Evolutionary Search", IF($O1243="Hercules", "Learning Pattern", IF($O1243="Jaid", "True Semantic",
IF($O1243="Kali-A", "True Search", IF($O1243="kPAR", "True Pattern", IF($O1243="Nopol", "True Semantic", IF($O1243="RSRepair-A", "Evolutionary Search", IF($O1243="SequenceR", "Deep Learning", IF($O1243="SimFix", "Search Like Pattern", IF($O1243="SketchFix", "True Pattern", IF($O1243="SOFix", "True Pattern", IF($O1243="ssFix", "Search Like Pattern", IF($O1243="TBar", "True Pattern", ""))))))))))))))))))))</f>
        <v>True Pattern</v>
      </c>
      <c r="Q1243" s="13" t="str">
        <f>IF(NOT(ISERR(SEARCH("*_Buggy",$A1243))), "Buggy", IF(NOT(ISERR(SEARCH("*_Fixed",$A1243))), "Fixed", IF(NOT(ISERR(SEARCH("*_Repaired",$A1243))), "Repaired", "")))</f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v>1</v>
      </c>
      <c r="W1243" s="13" t="str">
        <f>MID(A1243, SEARCH("_", A1243) +1, SEARCH("_", A1243, SEARCH("_", A1243) +1) - SEARCH("_", A1243) -1)</f>
        <v>Math-33</v>
      </c>
      <c r="Y1243" t="str">
        <f>IF(AND($S718=1,$S1243=1,$V718=1,$V1243=1), "YES", "NO")</f>
        <v>YES</v>
      </c>
      <c r="Z1243" t="str">
        <f>IF(AND($S718=1,$S1243=1,$V718&gt;1,$V1243&gt;1), "YES", "NO")</f>
        <v>NO</v>
      </c>
      <c r="AA1243" t="str">
        <f>IF(AND($S718&gt;1,$S1243&gt;1,$S718=$V718,$S1243=$V1243), "YES", "NO")</f>
        <v>NO</v>
      </c>
      <c r="AB1243" t="str">
        <f>IF(AND($S718&gt;1,$S1243&gt;1,$S718&lt;$V718,$S1243&lt;$V1243), "YES", "NO")</f>
        <v>NO</v>
      </c>
      <c r="AC1243" t="str">
        <f>IF(AND($V718&gt;10,$V1243&gt;10), "YES", "NO")</f>
        <v>NO</v>
      </c>
      <c r="AD1243"/>
    </row>
    <row r="1244" spans="1:30" ht="15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>LEFT($A1244,FIND("_",$A1244)-1)</f>
        <v>FixMiner</v>
      </c>
      <c r="P1244" s="13" t="str">
        <f>IF($O1244="ACS", "True Search", IF($O1244="Arja", "Evolutionary Search", IF($O1244="AVATAR", "True Pattern", IF($O1244="CapGen", "Search Like Pattern", IF($O1244="Cardumen", "True Semantic", IF($O1244="DynaMoth", "True Semantic", IF($O1244="FixMiner", "True Pattern", IF($O1244="GenProg-A", "Evolutionary Search", IF($O1244="Hercules", "Learning Pattern", IF($O1244="Jaid", "True Semantic",
IF($O1244="Kali-A", "True Search", IF($O1244="kPAR", "True Pattern", IF($O1244="Nopol", "True Semantic", IF($O1244="RSRepair-A", "Evolutionary Search", IF($O1244="SequenceR", "Deep Learning", IF($O1244="SimFix", "Search Like Pattern", IF($O1244="SketchFix", "True Pattern", IF($O1244="SOFix", "True Pattern", IF($O1244="ssFix", "Search Like Pattern", IF($O1244="TBar", "True Pattern", ""))))))))))))))))))))</f>
        <v>True Pattern</v>
      </c>
      <c r="Q1244" s="13" t="str">
        <f>IF(NOT(ISERR(SEARCH("*_Buggy",$A1244))), "Buggy", IF(NOT(ISERR(SEARCH("*_Fixed",$A1244))), "Fixed", IF(NOT(ISERR(SEARCH("*_Repaired",$A1244))), "Repaired", "")))</f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v>1</v>
      </c>
      <c r="W1244" s="13" t="str">
        <f>MID(A1244, SEARCH("_", A1244) +1, SEARCH("_", A1244, SEARCH("_", A1244) +1) - SEARCH("_", A1244) -1)</f>
        <v>Math-34</v>
      </c>
      <c r="Y1244" t="str">
        <f>IF(AND($S719=1,$S1244=1,$V719=1,$V1244=1), "YES", "NO")</f>
        <v>YES</v>
      </c>
      <c r="Z1244" t="str">
        <f>IF(AND($S719=1,$S1244=1,$V719&gt;1,$V1244&gt;1), "YES", "NO")</f>
        <v>NO</v>
      </c>
      <c r="AA1244" t="str">
        <f>IF(AND($S719&gt;1,$S1244&gt;1,$S719=$V719,$S1244=$V1244), "YES", "NO")</f>
        <v>NO</v>
      </c>
      <c r="AB1244" t="str">
        <f>IF(AND($S719&gt;1,$S1244&gt;1,$S719&lt;$V719,$S1244&lt;$V1244), "YES", "NO")</f>
        <v>NO</v>
      </c>
      <c r="AC1244" t="str">
        <f>IF(AND($V719&gt;10,$V1244&gt;10), "YES", "NO")</f>
        <v>NO</v>
      </c>
      <c r="AD1244"/>
    </row>
    <row r="1245" spans="1:30" ht="15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>LEFT($A1245,FIND("_",$A1245)-1)</f>
        <v>FixMiner</v>
      </c>
      <c r="P1245" s="13" t="str">
        <f>IF($O1245="ACS", "True Search", IF($O1245="Arja", "Evolutionary Search", IF($O1245="AVATAR", "True Pattern", IF($O1245="CapGen", "Search Like Pattern", IF($O1245="Cardumen", "True Semantic", IF($O1245="DynaMoth", "True Semantic", IF($O1245="FixMiner", "True Pattern", IF($O1245="GenProg-A", "Evolutionary Search", IF($O1245="Hercules", "Learning Pattern", IF($O1245="Jaid", "True Semantic",
IF($O1245="Kali-A", "True Search", IF($O1245="kPAR", "True Pattern", IF($O1245="Nopol", "True Semantic", IF($O1245="RSRepair-A", "Evolutionary Search", IF($O1245="SequenceR", "Deep Learning", IF($O1245="SimFix", "Search Like Pattern", IF($O1245="SketchFix", "True Pattern", IF($O1245="SOFix", "True Pattern", IF($O1245="ssFix", "Search Like Pattern", IF($O1245="TBar", "True Pattern", ""))))))))))))))))))))</f>
        <v>True Pattern</v>
      </c>
      <c r="Q1245" s="13" t="str">
        <f>IF(NOT(ISERR(SEARCH("*_Buggy",$A1245))), "Buggy", IF(NOT(ISERR(SEARCH("*_Fixed",$A1245))), "Fixed", IF(NOT(ISERR(SEARCH("*_Repaired",$A1245))), "Repaired", "")))</f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v>1</v>
      </c>
      <c r="W1245" s="13" t="str">
        <f>MID(A1245, SEARCH("_", A1245) +1, SEARCH("_", A1245, SEARCH("_", A1245) +1) - SEARCH("_", A1245) -1)</f>
        <v>Math-35</v>
      </c>
      <c r="Y1245" t="str">
        <f>IF(AND($S720=1,$S1245=1,$V720=1,$V1245=1), "YES", "NO")</f>
        <v>NO</v>
      </c>
      <c r="Z1245" t="str">
        <f>IF(AND($S720=1,$S1245=1,$V720&gt;1,$V1245&gt;1), "YES", "NO")</f>
        <v>NO</v>
      </c>
      <c r="AA1245" t="str">
        <f>IF(AND($S720&gt;1,$S1245&gt;1,$S720=$V720,$S1245=$V1245), "YES", "NO")</f>
        <v>NO</v>
      </c>
      <c r="AB1245" t="str">
        <f>IF(AND($S720&gt;1,$S1245&gt;1,$S720&lt;$V720,$S1245&lt;$V1245), "YES", "NO")</f>
        <v>NO</v>
      </c>
      <c r="AC1245" t="str">
        <f>IF(AND($V720&gt;10,$V1245&gt;10), "YES", "NO")</f>
        <v>NO</v>
      </c>
      <c r="AD1245"/>
    </row>
    <row r="1246" spans="1:30" ht="15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>LEFT($A1246,FIND("_",$A1246)-1)</f>
        <v>FixMiner</v>
      </c>
      <c r="P1246" s="13" t="str">
        <f>IF($O1246="ACS", "True Search", IF($O1246="Arja", "Evolutionary Search", IF($O1246="AVATAR", "True Pattern", IF($O1246="CapGen", "Search Like Pattern", IF($O1246="Cardumen", "True Semantic", IF($O1246="DynaMoth", "True Semantic", IF($O1246="FixMiner", "True Pattern", IF($O1246="GenProg-A", "Evolutionary Search", IF($O1246="Hercules", "Learning Pattern", IF($O1246="Jaid", "True Semantic",
IF($O1246="Kali-A", "True Search", IF($O1246="kPAR", "True Pattern", IF($O1246="Nopol", "True Semantic", IF($O1246="RSRepair-A", "Evolutionary Search", IF($O1246="SequenceR", "Deep Learning", IF($O1246="SimFix", "Search Like Pattern", IF($O1246="SketchFix", "True Pattern", IF($O1246="SOFix", "True Pattern", IF($O1246="ssFix", "Search Like Pattern", IF($O1246="TBar", "True Pattern", ""))))))))))))))))))))</f>
        <v>True Pattern</v>
      </c>
      <c r="Q1246" s="13" t="str">
        <f>IF(NOT(ISERR(SEARCH("*_Buggy",$A1246))), "Buggy", IF(NOT(ISERR(SEARCH("*_Fixed",$A1246))), "Fixed", IF(NOT(ISERR(SEARCH("*_Repaired",$A1246))), "Repaired", "")))</f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v>1</v>
      </c>
      <c r="W1246" s="13" t="str">
        <f>MID(A1246, SEARCH("_", A1246) +1, SEARCH("_", A1246, SEARCH("_", A1246) +1) - SEARCH("_", A1246) -1)</f>
        <v>Math-50</v>
      </c>
      <c r="Y1246" t="str">
        <f>IF(AND($S721=1,$S1246=1,$V721=1,$V1246=1), "YES", "NO")</f>
        <v>NO</v>
      </c>
      <c r="Z1246" t="str">
        <f>IF(AND($S721=1,$S1246=1,$V721&gt;1,$V1246&gt;1), "YES", "NO")</f>
        <v>NO</v>
      </c>
      <c r="AA1246" t="str">
        <f>IF(AND($S721&gt;1,$S1246&gt;1,$S721=$V721,$S1246=$V1246), "YES", "NO")</f>
        <v>NO</v>
      </c>
      <c r="AB1246" t="str">
        <f>IF(AND($S721&gt;1,$S1246&gt;1,$S721&lt;$V721,$S1246&lt;$V1246), "YES", "NO")</f>
        <v>NO</v>
      </c>
      <c r="AC1246" t="str">
        <f>IF(AND($V721&gt;10,$V1246&gt;10), "YES", "NO")</f>
        <v>NO</v>
      </c>
      <c r="AD1246"/>
    </row>
    <row r="1247" spans="1:30" ht="15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>LEFT($A1247,FIND("_",$A1247)-1)</f>
        <v>FixMiner</v>
      </c>
      <c r="P1247" s="13" t="str">
        <f>IF($O1247="ACS", "True Search", IF($O1247="Arja", "Evolutionary Search", IF($O1247="AVATAR", "True Pattern", IF($O1247="CapGen", "Search Like Pattern", IF($O1247="Cardumen", "True Semantic", IF($O1247="DynaMoth", "True Semantic", IF($O1247="FixMiner", "True Pattern", IF($O1247="GenProg-A", "Evolutionary Search", IF($O1247="Hercules", "Learning Pattern", IF($O1247="Jaid", "True Semantic",
IF($O1247="Kali-A", "True Search", IF($O1247="kPAR", "True Pattern", IF($O1247="Nopol", "True Semantic", IF($O1247="RSRepair-A", "Evolutionary Search", IF($O1247="SequenceR", "Deep Learning", IF($O1247="SimFix", "Search Like Pattern", IF($O1247="SketchFix", "True Pattern", IF($O1247="SOFix", "True Pattern", IF($O1247="ssFix", "Search Like Pattern", IF($O1247="TBar", "True Pattern", ""))))))))))))))))))))</f>
        <v>True Pattern</v>
      </c>
      <c r="Q1247" s="13" t="str">
        <f>IF(NOT(ISERR(SEARCH("*_Buggy",$A1247))), "Buggy", IF(NOT(ISERR(SEARCH("*_Fixed",$A1247))), "Fixed", IF(NOT(ISERR(SEARCH("*_Repaired",$A1247))), "Repaired", "")))</f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v>1</v>
      </c>
      <c r="W1247" s="13" t="str">
        <f>MID(A1247, SEARCH("_", A1247) +1, SEARCH("_", A1247, SEARCH("_", A1247) +1) - SEARCH("_", A1247) -1)</f>
        <v>Math-57</v>
      </c>
      <c r="Y1247" t="str">
        <f>IF(AND($S722=1,$S1247=1,$V722=1,$V1247=1), "YES", "NO")</f>
        <v>YES</v>
      </c>
      <c r="Z1247" t="str">
        <f>IF(AND($S722=1,$S1247=1,$V722&gt;1,$V1247&gt;1), "YES", "NO")</f>
        <v>NO</v>
      </c>
      <c r="AA1247" t="str">
        <f>IF(AND($S722&gt;1,$S1247&gt;1,$S722=$V722,$S1247=$V1247), "YES", "NO")</f>
        <v>NO</v>
      </c>
      <c r="AB1247" t="str">
        <f>IF(AND($S722&gt;1,$S1247&gt;1,$S722&lt;$V722,$S1247&lt;$V1247), "YES", "NO")</f>
        <v>NO</v>
      </c>
      <c r="AC1247" t="str">
        <f>IF(AND($V722&gt;10,$V1247&gt;10), "YES", "NO")</f>
        <v>NO</v>
      </c>
      <c r="AD1247"/>
    </row>
    <row r="1248" spans="1:30" ht="15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>LEFT($A1248,FIND("_",$A1248)-1)</f>
        <v>FixMiner</v>
      </c>
      <c r="P1248" s="13" t="str">
        <f>IF($O1248="ACS", "True Search", IF($O1248="Arja", "Evolutionary Search", IF($O1248="AVATAR", "True Pattern", IF($O1248="CapGen", "Search Like Pattern", IF($O1248="Cardumen", "True Semantic", IF($O1248="DynaMoth", "True Semantic", IF($O1248="FixMiner", "True Pattern", IF($O1248="GenProg-A", "Evolutionary Search", IF($O1248="Hercules", "Learning Pattern", IF($O1248="Jaid", "True Semantic",
IF($O1248="Kali-A", "True Search", IF($O1248="kPAR", "True Pattern", IF($O1248="Nopol", "True Semantic", IF($O1248="RSRepair-A", "Evolutionary Search", IF($O1248="SequenceR", "Deep Learning", IF($O1248="SimFix", "Search Like Pattern", IF($O1248="SketchFix", "True Pattern", IF($O1248="SOFix", "True Pattern", IF($O1248="ssFix", "Search Like Pattern", IF($O1248="TBar", "True Pattern", ""))))))))))))))))))))</f>
        <v>True Pattern</v>
      </c>
      <c r="Q1248" s="13" t="str">
        <f>IF(NOT(ISERR(SEARCH("*_Buggy",$A1248))), "Buggy", IF(NOT(ISERR(SEARCH("*_Fixed",$A1248))), "Fixed", IF(NOT(ISERR(SEARCH("*_Repaired",$A1248))), "Repaired", "")))</f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v>1</v>
      </c>
      <c r="W1248" s="13" t="str">
        <f>MID(A1248, SEARCH("_", A1248) +1, SEARCH("_", A1248, SEARCH("_", A1248) +1) - SEARCH("_", A1248) -1)</f>
        <v>Math-63</v>
      </c>
      <c r="Y1248" t="str">
        <f>IF(AND($S723=1,$S1248=1,$V723=1,$V1248=1), "YES", "NO")</f>
        <v>YES</v>
      </c>
      <c r="Z1248" t="str">
        <f>IF(AND($S723=1,$S1248=1,$V723&gt;1,$V1248&gt;1), "YES", "NO")</f>
        <v>NO</v>
      </c>
      <c r="AA1248" t="str">
        <f>IF(AND($S723&gt;1,$S1248&gt;1,$S723=$V723,$S1248=$V1248), "YES", "NO")</f>
        <v>NO</v>
      </c>
      <c r="AB1248" t="str">
        <f>IF(AND($S723&gt;1,$S1248&gt;1,$S723&lt;$V723,$S1248&lt;$V1248), "YES", "NO")</f>
        <v>NO</v>
      </c>
      <c r="AC1248" t="str">
        <f>IF(AND($V723&gt;10,$V1248&gt;10), "YES", "NO")</f>
        <v>NO</v>
      </c>
      <c r="AD1248"/>
    </row>
    <row r="1249" spans="1:30" ht="15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>LEFT($A1249,FIND("_",$A1249)-1)</f>
        <v>FixMiner</v>
      </c>
      <c r="P1249" s="13" t="str">
        <f>IF($O1249="ACS", "True Search", IF($O1249="Arja", "Evolutionary Search", IF($O1249="AVATAR", "True Pattern", IF($O1249="CapGen", "Search Like Pattern", IF($O1249="Cardumen", "True Semantic", IF($O1249="DynaMoth", "True Semantic", IF($O1249="FixMiner", "True Pattern", IF($O1249="GenProg-A", "Evolutionary Search", IF($O1249="Hercules", "Learning Pattern", IF($O1249="Jaid", "True Semantic",
IF($O1249="Kali-A", "True Search", IF($O1249="kPAR", "True Pattern", IF($O1249="Nopol", "True Semantic", IF($O1249="RSRepair-A", "Evolutionary Search", IF($O1249="SequenceR", "Deep Learning", IF($O1249="SimFix", "Search Like Pattern", IF($O1249="SketchFix", "True Pattern", IF($O1249="SOFix", "True Pattern", IF($O1249="ssFix", "Search Like Pattern", IF($O1249="TBar", "True Pattern", ""))))))))))))))))))))</f>
        <v>True Pattern</v>
      </c>
      <c r="Q1249" s="13" t="str">
        <f>IF(NOT(ISERR(SEARCH("*_Buggy",$A1249))), "Buggy", IF(NOT(ISERR(SEARCH("*_Fixed",$A1249))), "Fixed", IF(NOT(ISERR(SEARCH("*_Repaired",$A1249))), "Repaired", "")))</f>
        <v>Repaired</v>
      </c>
      <c r="R1249" s="13" t="s">
        <v>1669</v>
      </c>
      <c r="S1249" s="25">
        <v>2</v>
      </c>
      <c r="T1249" s="25">
        <v>3</v>
      </c>
      <c r="U1249" s="25">
        <v>1</v>
      </c>
      <c r="V1249" s="13">
        <v>3</v>
      </c>
      <c r="W1249" s="13" t="str">
        <f>MID(A1249, SEARCH("_", A1249) +1, SEARCH("_", A1249, SEARCH("_", A1249) +1) - SEARCH("_", A1249) -1)</f>
        <v>Math-64</v>
      </c>
      <c r="Y1249" t="str">
        <f>IF(AND($S724=1,$S1249=1,$V724=1,$V1249=1), "YES", "NO")</f>
        <v>NO</v>
      </c>
      <c r="Z1249" t="str">
        <f>IF(AND($S724=1,$S1249=1,$V724&gt;1,$V1249&gt;1), "YES", "NO")</f>
        <v>NO</v>
      </c>
      <c r="AA1249" t="str">
        <f>IF(AND($S724&gt;1,$S1249&gt;1,$S724=$V724,$S1249=$V1249), "YES", "NO")</f>
        <v>NO</v>
      </c>
      <c r="AB1249" t="str">
        <f>IF(AND($S724&gt;1,$S1249&gt;1,$S724&lt;$V724,$S1249&lt;$V1249), "YES", "NO")</f>
        <v>YES</v>
      </c>
      <c r="AC1249" t="str">
        <f>IF(AND($V724&gt;10,$V1249&gt;10), "YES", "NO")</f>
        <v>NO</v>
      </c>
      <c r="AD1249"/>
    </row>
    <row r="1250" spans="1:30" ht="15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>LEFT($A1250,FIND("_",$A1250)-1)</f>
        <v>FixMiner</v>
      </c>
      <c r="P1250" s="13" t="str">
        <f>IF($O1250="ACS", "True Search", IF($O1250="Arja", "Evolutionary Search", IF($O1250="AVATAR", "True Pattern", IF($O1250="CapGen", "Search Like Pattern", IF($O1250="Cardumen", "True Semantic", IF($O1250="DynaMoth", "True Semantic", IF($O1250="FixMiner", "True Pattern", IF($O1250="GenProg-A", "Evolutionary Search", IF($O1250="Hercules", "Learning Pattern", IF($O1250="Jaid", "True Semantic",
IF($O1250="Kali-A", "True Search", IF($O1250="kPAR", "True Pattern", IF($O1250="Nopol", "True Semantic", IF($O1250="RSRepair-A", "Evolutionary Search", IF($O1250="SequenceR", "Deep Learning", IF($O1250="SimFix", "Search Like Pattern", IF($O1250="SketchFix", "True Pattern", IF($O1250="SOFix", "True Pattern", IF($O1250="ssFix", "Search Like Pattern", IF($O1250="TBar", "True Pattern", ""))))))))))))))))))))</f>
        <v>True Pattern</v>
      </c>
      <c r="Q1250" s="13" t="str">
        <f>IF(NOT(ISERR(SEARCH("*_Buggy",$A1250))), "Buggy", IF(NOT(ISERR(SEARCH("*_Fixed",$A1250))), "Fixed", IF(NOT(ISERR(SEARCH("*_Repaired",$A1250))), "Repaired", "")))</f>
        <v>Repaired</v>
      </c>
      <c r="R1250" s="13" t="s">
        <v>1669</v>
      </c>
      <c r="S1250" s="25">
        <v>2</v>
      </c>
      <c r="T1250" s="25">
        <v>8</v>
      </c>
      <c r="U1250" s="25">
        <v>7</v>
      </c>
      <c r="V1250" s="13">
        <v>13</v>
      </c>
      <c r="W1250" s="13" t="str">
        <f>MID(A1250, SEARCH("_", A1250) +1, SEARCH("_", A1250, SEARCH("_", A1250) +1) - SEARCH("_", A1250) -1)</f>
        <v>Math-68</v>
      </c>
      <c r="Y1250" t="str">
        <f>IF(AND($S725=1,$S1250=1,$V725=1,$V1250=1), "YES", "NO")</f>
        <v>NO</v>
      </c>
      <c r="Z1250" t="str">
        <f>IF(AND($S725=1,$S1250=1,$V725&gt;1,$V1250&gt;1), "YES", "NO")</f>
        <v>NO</v>
      </c>
      <c r="AA1250" t="str">
        <f>IF(AND($S725&gt;1,$S1250&gt;1,$S725=$V725,$S1250=$V1250), "YES", "NO")</f>
        <v>NO</v>
      </c>
      <c r="AB1250" t="str">
        <f>IF(AND($S725&gt;1,$S1250&gt;1,$S725&lt;$V725,$S1250&lt;$V1250), "YES", "NO")</f>
        <v>YES</v>
      </c>
      <c r="AC1250" t="str">
        <f>IF(AND($V725&gt;10,$V1250&gt;10), "YES", "NO")</f>
        <v>YES</v>
      </c>
      <c r="AD1250"/>
    </row>
    <row r="1251" spans="1:30" ht="15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>LEFT($A1251,FIND("_",$A1251)-1)</f>
        <v>FixMiner</v>
      </c>
      <c r="P1251" s="13" t="str">
        <f>IF($O1251="ACS", "True Search", IF($O1251="Arja", "Evolutionary Search", IF($O1251="AVATAR", "True Pattern", IF($O1251="CapGen", "Search Like Pattern", IF($O1251="Cardumen", "True Semantic", IF($O1251="DynaMoth", "True Semantic", IF($O1251="FixMiner", "True Pattern", IF($O1251="GenProg-A", "Evolutionary Search", IF($O1251="Hercules", "Learning Pattern", IF($O1251="Jaid", "True Semantic",
IF($O1251="Kali-A", "True Search", IF($O1251="kPAR", "True Pattern", IF($O1251="Nopol", "True Semantic", IF($O1251="RSRepair-A", "Evolutionary Search", IF($O1251="SequenceR", "Deep Learning", IF($O1251="SimFix", "Search Like Pattern", IF($O1251="SketchFix", "True Pattern", IF($O1251="SOFix", "True Pattern", IF($O1251="ssFix", "Search Like Pattern", IF($O1251="TBar", "True Pattern", ""))))))))))))))))))))</f>
        <v>True Pattern</v>
      </c>
      <c r="Q1251" s="13" t="str">
        <f>IF(NOT(ISERR(SEARCH("*_Buggy",$A1251))), "Buggy", IF(NOT(ISERR(SEARCH("*_Fixed",$A1251))), "Fixed", IF(NOT(ISERR(SEARCH("*_Repaired",$A1251))), "Repaired", "")))</f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v>1</v>
      </c>
      <c r="W1251" s="13" t="str">
        <f>MID(A1251, SEARCH("_", A1251) +1, SEARCH("_", A1251, SEARCH("_", A1251) +1) - SEARCH("_", A1251) -1)</f>
        <v>Math-70</v>
      </c>
      <c r="Y1251" t="str">
        <f>IF(AND($S726=1,$S1251=1,$V726=1,$V1251=1), "YES", "NO")</f>
        <v>YES</v>
      </c>
      <c r="Z1251" t="str">
        <f>IF(AND($S726=1,$S1251=1,$V726&gt;1,$V1251&gt;1), "YES", "NO")</f>
        <v>NO</v>
      </c>
      <c r="AA1251" t="str">
        <f>IF(AND($S726&gt;1,$S1251&gt;1,$S726=$V726,$S1251=$V1251), "YES", "NO")</f>
        <v>NO</v>
      </c>
      <c r="AB1251" t="str">
        <f>IF(AND($S726&gt;1,$S1251&gt;1,$S726&lt;$V726,$S1251&lt;$V1251), "YES", "NO")</f>
        <v>NO</v>
      </c>
      <c r="AC1251" t="str">
        <f>IF(AND($V726&gt;10,$V1251&gt;10), "YES", "NO")</f>
        <v>NO</v>
      </c>
      <c r="AD1251"/>
    </row>
    <row r="1252" spans="1:30" ht="15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>LEFT($A1252,FIND("_",$A1252)-1)</f>
        <v>FixMiner</v>
      </c>
      <c r="P1252" s="13" t="str">
        <f>IF($O1252="ACS", "True Search", IF($O1252="Arja", "Evolutionary Search", IF($O1252="AVATAR", "True Pattern", IF($O1252="CapGen", "Search Like Pattern", IF($O1252="Cardumen", "True Semantic", IF($O1252="DynaMoth", "True Semantic", IF($O1252="FixMiner", "True Pattern", IF($O1252="GenProg-A", "Evolutionary Search", IF($O1252="Hercules", "Learning Pattern", IF($O1252="Jaid", "True Semantic",
IF($O1252="Kali-A", "True Search", IF($O1252="kPAR", "True Pattern", IF($O1252="Nopol", "True Semantic", IF($O1252="RSRepair-A", "Evolutionary Search", IF($O1252="SequenceR", "Deep Learning", IF($O1252="SimFix", "Search Like Pattern", IF($O1252="SketchFix", "True Pattern", IF($O1252="SOFix", "True Pattern", IF($O1252="ssFix", "Search Like Pattern", IF($O1252="TBar", "True Pattern", ""))))))))))))))))))))</f>
        <v>True Pattern</v>
      </c>
      <c r="Q1252" s="13" t="str">
        <f>IF(NOT(ISERR(SEARCH("*_Buggy",$A1252))), "Buggy", IF(NOT(ISERR(SEARCH("*_Fixed",$A1252))), "Fixed", IF(NOT(ISERR(SEARCH("*_Repaired",$A1252))), "Repaired", "")))</f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v>1</v>
      </c>
      <c r="W1252" s="13" t="str">
        <f>MID(A1252, SEARCH("_", A1252) +1, SEARCH("_", A1252, SEARCH("_", A1252) +1) - SEARCH("_", A1252) -1)</f>
        <v>Math-75</v>
      </c>
      <c r="Y1252" t="str">
        <f>IF(AND($S727=1,$S1252=1,$V727=1,$V1252=1), "YES", "NO")</f>
        <v>YES</v>
      </c>
      <c r="Z1252" t="str">
        <f>IF(AND($S727=1,$S1252=1,$V727&gt;1,$V1252&gt;1), "YES", "NO")</f>
        <v>NO</v>
      </c>
      <c r="AA1252" t="str">
        <f>IF(AND($S727&gt;1,$S1252&gt;1,$S727=$V727,$S1252=$V1252), "YES", "NO")</f>
        <v>NO</v>
      </c>
      <c r="AB1252" t="str">
        <f>IF(AND($S727&gt;1,$S1252&gt;1,$S727&lt;$V727,$S1252&lt;$V1252), "YES", "NO")</f>
        <v>NO</v>
      </c>
      <c r="AC1252" t="str">
        <f>IF(AND($V727&gt;10,$V1252&gt;10), "YES", "NO")</f>
        <v>NO</v>
      </c>
      <c r="AD1252"/>
    </row>
    <row r="1253" spans="1:30" ht="15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>LEFT($A1253,FIND("_",$A1253)-1)</f>
        <v>FixMiner</v>
      </c>
      <c r="P1253" s="13" t="str">
        <f>IF($O1253="ACS", "True Search", IF($O1253="Arja", "Evolutionary Search", IF($O1253="AVATAR", "True Pattern", IF($O1253="CapGen", "Search Like Pattern", IF($O1253="Cardumen", "True Semantic", IF($O1253="DynaMoth", "True Semantic", IF($O1253="FixMiner", "True Pattern", IF($O1253="GenProg-A", "Evolutionary Search", IF($O1253="Hercules", "Learning Pattern", IF($O1253="Jaid", "True Semantic",
IF($O1253="Kali-A", "True Search", IF($O1253="kPAR", "True Pattern", IF($O1253="Nopol", "True Semantic", IF($O1253="RSRepair-A", "Evolutionary Search", IF($O1253="SequenceR", "Deep Learning", IF($O1253="SimFix", "Search Like Pattern", IF($O1253="SketchFix", "True Pattern", IF($O1253="SOFix", "True Pattern", IF($O1253="ssFix", "Search Like Pattern", IF($O1253="TBar", "True Pattern", ""))))))))))))))))))))</f>
        <v>True Pattern</v>
      </c>
      <c r="Q1253" s="13" t="str">
        <f>IF(NOT(ISERR(SEARCH("*_Buggy",$A1253))), "Buggy", IF(NOT(ISERR(SEARCH("*_Fixed",$A1253))), "Fixed", IF(NOT(ISERR(SEARCH("*_Repaired",$A1253))), "Repaired", "")))</f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v>2</v>
      </c>
      <c r="W1253" s="13" t="str">
        <f>MID(A1253, SEARCH("_", A1253) +1, SEARCH("_", A1253, SEARCH("_", A1253) +1) - SEARCH("_", A1253) -1)</f>
        <v>Math-79</v>
      </c>
      <c r="Y1253" t="str">
        <f>IF(AND($S728=1,$S1253=1,$V728=1,$V1253=1), "YES", "NO")</f>
        <v>NO</v>
      </c>
      <c r="Z1253" t="str">
        <f>IF(AND($S728=1,$S1253=1,$V728&gt;1,$V1253&gt;1), "YES", "NO")</f>
        <v>NO</v>
      </c>
      <c r="AA1253" t="str">
        <f>IF(AND($S728&gt;1,$S1253&gt;1,$S728=$V728,$S1253=$V1253), "YES", "NO")</f>
        <v>YES</v>
      </c>
      <c r="AB1253" t="str">
        <f>IF(AND($S728&gt;1,$S1253&gt;1,$S728&lt;$V728,$S1253&lt;$V1253), "YES", "NO")</f>
        <v>NO</v>
      </c>
      <c r="AC1253" t="str">
        <f>IF(AND($V728&gt;10,$V1253&gt;10), "YES", "NO")</f>
        <v>NO</v>
      </c>
      <c r="AD1253"/>
    </row>
    <row r="1254" spans="1:30" ht="15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>LEFT($A1254,FIND("_",$A1254)-1)</f>
        <v>FixMiner</v>
      </c>
      <c r="P1254" s="13" t="str">
        <f>IF($O1254="ACS", "True Search", IF($O1254="Arja", "Evolutionary Search", IF($O1254="AVATAR", "True Pattern", IF($O1254="CapGen", "Search Like Pattern", IF($O1254="Cardumen", "True Semantic", IF($O1254="DynaMoth", "True Semantic", IF($O1254="FixMiner", "True Pattern", IF($O1254="GenProg-A", "Evolutionary Search", IF($O1254="Hercules", "Learning Pattern", IF($O1254="Jaid", "True Semantic",
IF($O1254="Kali-A", "True Search", IF($O1254="kPAR", "True Pattern", IF($O1254="Nopol", "True Semantic", IF($O1254="RSRepair-A", "Evolutionary Search", IF($O1254="SequenceR", "Deep Learning", IF($O1254="SimFix", "Search Like Pattern", IF($O1254="SketchFix", "True Pattern", IF($O1254="SOFix", "True Pattern", IF($O1254="ssFix", "Search Like Pattern", IF($O1254="TBar", "True Pattern", ""))))))))))))))))))))</f>
        <v>True Pattern</v>
      </c>
      <c r="Q1254" s="13" t="str">
        <f>IF(NOT(ISERR(SEARCH("*_Buggy",$A1254))), "Buggy", IF(NOT(ISERR(SEARCH("*_Fixed",$A1254))), "Fixed", IF(NOT(ISERR(SEARCH("*_Repaired",$A1254))), "Repaired", "")))</f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v>1</v>
      </c>
      <c r="W1254" s="13" t="str">
        <f>MID(A1254, SEARCH("_", A1254) +1, SEARCH("_", A1254, SEARCH("_", A1254) +1) - SEARCH("_", A1254) -1)</f>
        <v>Math-80</v>
      </c>
      <c r="Y1254" t="str">
        <f>IF(AND($S729=1,$S1254=1,$V729=1,$V1254=1), "YES", "NO")</f>
        <v>YES</v>
      </c>
      <c r="Z1254" t="str">
        <f>IF(AND($S729=1,$S1254=1,$V729&gt;1,$V1254&gt;1), "YES", "NO")</f>
        <v>NO</v>
      </c>
      <c r="AA1254" t="str">
        <f>IF(AND($S729&gt;1,$S1254&gt;1,$S729=$V729,$S1254=$V1254), "YES", "NO")</f>
        <v>NO</v>
      </c>
      <c r="AB1254" t="str">
        <f>IF(AND($S729&gt;1,$S1254&gt;1,$S729&lt;$V729,$S1254&lt;$V1254), "YES", "NO")</f>
        <v>NO</v>
      </c>
      <c r="AC1254" t="str">
        <f>IF(AND($V729&gt;10,$V1254&gt;10), "YES", "NO")</f>
        <v>NO</v>
      </c>
      <c r="AD1254"/>
    </row>
    <row r="1255" spans="1:30" ht="15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>LEFT($A1255,FIND("_",$A1255)-1)</f>
        <v>FixMiner</v>
      </c>
      <c r="P1255" s="13" t="str">
        <f>IF($O1255="ACS", "True Search", IF($O1255="Arja", "Evolutionary Search", IF($O1255="AVATAR", "True Pattern", IF($O1255="CapGen", "Search Like Pattern", IF($O1255="Cardumen", "True Semantic", IF($O1255="DynaMoth", "True Semantic", IF($O1255="FixMiner", "True Pattern", IF($O1255="GenProg-A", "Evolutionary Search", IF($O1255="Hercules", "Learning Pattern", IF($O1255="Jaid", "True Semantic",
IF($O1255="Kali-A", "True Search", IF($O1255="kPAR", "True Pattern", IF($O1255="Nopol", "True Semantic", IF($O1255="RSRepair-A", "Evolutionary Search", IF($O1255="SequenceR", "Deep Learning", IF($O1255="SimFix", "Search Like Pattern", IF($O1255="SketchFix", "True Pattern", IF($O1255="SOFix", "True Pattern", IF($O1255="ssFix", "Search Like Pattern", IF($O1255="TBar", "True Pattern", ""))))))))))))))))))))</f>
        <v>True Pattern</v>
      </c>
      <c r="Q1255" s="13" t="str">
        <f>IF(NOT(ISERR(SEARCH("*_Buggy",$A1255))), "Buggy", IF(NOT(ISERR(SEARCH("*_Fixed",$A1255))), "Fixed", IF(NOT(ISERR(SEARCH("*_Repaired",$A1255))), "Repaired", "")))</f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v>1</v>
      </c>
      <c r="W1255" s="13" t="str">
        <f>MID(A1255, SEARCH("_", A1255) +1, SEARCH("_", A1255, SEARCH("_", A1255) +1) - SEARCH("_", A1255) -1)</f>
        <v>Math-81</v>
      </c>
      <c r="Y1255" t="str">
        <f>IF(AND($S730=1,$S1255=1,$V730=1,$V1255=1), "YES", "NO")</f>
        <v>NO</v>
      </c>
      <c r="Z1255" t="str">
        <f>IF(AND($S730=1,$S1255=1,$V730&gt;1,$V1255&gt;1), "YES", "NO")</f>
        <v>NO</v>
      </c>
      <c r="AA1255" t="str">
        <f>IF(AND($S730&gt;1,$S1255&gt;1,$S730=$V730,$S1255=$V1255), "YES", "NO")</f>
        <v>NO</v>
      </c>
      <c r="AB1255" t="str">
        <f>IF(AND($S730&gt;1,$S1255&gt;1,$S730&lt;$V730,$S1255&lt;$V1255), "YES", "NO")</f>
        <v>NO</v>
      </c>
      <c r="AC1255" t="str">
        <f>IF(AND($V730&gt;10,$V1255&gt;10), "YES", "NO")</f>
        <v>NO</v>
      </c>
      <c r="AD1255"/>
    </row>
    <row r="1256" spans="1:30" ht="15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>LEFT($A1256,FIND("_",$A1256)-1)</f>
        <v>FixMiner</v>
      </c>
      <c r="P1256" s="13" t="str">
        <f>IF($O1256="ACS", "True Search", IF($O1256="Arja", "Evolutionary Search", IF($O1256="AVATAR", "True Pattern", IF($O1256="CapGen", "Search Like Pattern", IF($O1256="Cardumen", "True Semantic", IF($O1256="DynaMoth", "True Semantic", IF($O1256="FixMiner", "True Pattern", IF($O1256="GenProg-A", "Evolutionary Search", IF($O1256="Hercules", "Learning Pattern", IF($O1256="Jaid", "True Semantic",
IF($O1256="Kali-A", "True Search", IF($O1256="kPAR", "True Pattern", IF($O1256="Nopol", "True Semantic", IF($O1256="RSRepair-A", "Evolutionary Search", IF($O1256="SequenceR", "Deep Learning", IF($O1256="SimFix", "Search Like Pattern", IF($O1256="SketchFix", "True Pattern", IF($O1256="SOFix", "True Pattern", IF($O1256="ssFix", "Search Like Pattern", IF($O1256="TBar", "True Pattern", ""))))))))))))))))))))</f>
        <v>True Pattern</v>
      </c>
      <c r="Q1256" s="13" t="str">
        <f>IF(NOT(ISERR(SEARCH("*_Buggy",$A1256))), "Buggy", IF(NOT(ISERR(SEARCH("*_Fixed",$A1256))), "Fixed", IF(NOT(ISERR(SEARCH("*_Repaired",$A1256))), "Repaired", "")))</f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v>1</v>
      </c>
      <c r="W1256" s="13" t="str">
        <f>MID(A1256, SEARCH("_", A1256) +1, SEARCH("_", A1256, SEARCH("_", A1256) +1) - SEARCH("_", A1256) -1)</f>
        <v>Math-82</v>
      </c>
      <c r="Y1256" t="str">
        <f>IF(AND($S731=1,$S1256=1,$V731=1,$V1256=1), "YES", "NO")</f>
        <v>YES</v>
      </c>
      <c r="Z1256" t="str">
        <f>IF(AND($S731=1,$S1256=1,$V731&gt;1,$V1256&gt;1), "YES", "NO")</f>
        <v>NO</v>
      </c>
      <c r="AA1256" t="str">
        <f>IF(AND($S731&gt;1,$S1256&gt;1,$S731=$V731,$S1256=$V1256), "YES", "NO")</f>
        <v>NO</v>
      </c>
      <c r="AB1256" t="str">
        <f>IF(AND($S731&gt;1,$S1256&gt;1,$S731&lt;$V731,$S1256&lt;$V1256), "YES", "NO")</f>
        <v>NO</v>
      </c>
      <c r="AC1256" t="str">
        <f>IF(AND($V731&gt;10,$V1256&gt;10), "YES", "NO")</f>
        <v>NO</v>
      </c>
      <c r="AD1256"/>
    </row>
    <row r="1257" spans="1:30" ht="15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>LEFT($A1257,FIND("_",$A1257)-1)</f>
        <v>FixMiner</v>
      </c>
      <c r="P1257" s="13" t="str">
        <f>IF($O1257="ACS", "True Search", IF($O1257="Arja", "Evolutionary Search", IF($O1257="AVATAR", "True Pattern", IF($O1257="CapGen", "Search Like Pattern", IF($O1257="Cardumen", "True Semantic", IF($O1257="DynaMoth", "True Semantic", IF($O1257="FixMiner", "True Pattern", IF($O1257="GenProg-A", "Evolutionary Search", IF($O1257="Hercules", "Learning Pattern", IF($O1257="Jaid", "True Semantic",
IF($O1257="Kali-A", "True Search", IF($O1257="kPAR", "True Pattern", IF($O1257="Nopol", "True Semantic", IF($O1257="RSRepair-A", "Evolutionary Search", IF($O1257="SequenceR", "Deep Learning", IF($O1257="SimFix", "Search Like Pattern", IF($O1257="SketchFix", "True Pattern", IF($O1257="SOFix", "True Pattern", IF($O1257="ssFix", "Search Like Pattern", IF($O1257="TBar", "True Pattern", ""))))))))))))))))))))</f>
        <v>True Pattern</v>
      </c>
      <c r="Q1257" s="13" t="str">
        <f>IF(NOT(ISERR(SEARCH("*_Buggy",$A1257))), "Buggy", IF(NOT(ISERR(SEARCH("*_Fixed",$A1257))), "Fixed", IF(NOT(ISERR(SEARCH("*_Repaired",$A1257))), "Repaired", "")))</f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v>1</v>
      </c>
      <c r="W1257" s="13" t="str">
        <f>MID(A1257, SEARCH("_", A1257) +1, SEARCH("_", A1257, SEARCH("_", A1257) +1) - SEARCH("_", A1257) -1)</f>
        <v>Math-84</v>
      </c>
      <c r="Y1257" t="str">
        <f>IF(AND($S732=1,$S1257=1,$V732=1,$V1257=1), "YES", "NO")</f>
        <v>NO</v>
      </c>
      <c r="Z1257" t="str">
        <f>IF(AND($S732=1,$S1257=1,$V732&gt;1,$V1257&gt;1), "YES", "NO")</f>
        <v>NO</v>
      </c>
      <c r="AA1257" t="str">
        <f>IF(AND($S732&gt;1,$S1257&gt;1,$S732=$V732,$S1257=$V1257), "YES", "NO")</f>
        <v>NO</v>
      </c>
      <c r="AB1257" t="str">
        <f>IF(AND($S732&gt;1,$S1257&gt;1,$S732&lt;$V732,$S1257&lt;$V1257), "YES", "NO")</f>
        <v>NO</v>
      </c>
      <c r="AC1257" t="str">
        <f>IF(AND($V732&gt;10,$V1257&gt;10), "YES", "NO")</f>
        <v>NO</v>
      </c>
      <c r="AD1257"/>
    </row>
    <row r="1258" spans="1:30" ht="15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>LEFT($A1258,FIND("_",$A1258)-1)</f>
        <v>FixMiner</v>
      </c>
      <c r="P1258" s="13" t="str">
        <f>IF($O1258="ACS", "True Search", IF($O1258="Arja", "Evolutionary Search", IF($O1258="AVATAR", "True Pattern", IF($O1258="CapGen", "Search Like Pattern", IF($O1258="Cardumen", "True Semantic", IF($O1258="DynaMoth", "True Semantic", IF($O1258="FixMiner", "True Pattern", IF($O1258="GenProg-A", "Evolutionary Search", IF($O1258="Hercules", "Learning Pattern", IF($O1258="Jaid", "True Semantic",
IF($O1258="Kali-A", "True Search", IF($O1258="kPAR", "True Pattern", IF($O1258="Nopol", "True Semantic", IF($O1258="RSRepair-A", "Evolutionary Search", IF($O1258="SequenceR", "Deep Learning", IF($O1258="SimFix", "Search Like Pattern", IF($O1258="SketchFix", "True Pattern", IF($O1258="SOFix", "True Pattern", IF($O1258="ssFix", "Search Like Pattern", IF($O1258="TBar", "True Pattern", ""))))))))))))))))))))</f>
        <v>True Pattern</v>
      </c>
      <c r="Q1258" s="13" t="str">
        <f>IF(NOT(ISERR(SEARCH("*_Buggy",$A1258))), "Buggy", IF(NOT(ISERR(SEARCH("*_Fixed",$A1258))), "Fixed", IF(NOT(ISERR(SEARCH("*_Repaired",$A1258))), "Repaired", "")))</f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v>1</v>
      </c>
      <c r="W1258" s="13" t="str">
        <f>MID(A1258, SEARCH("_", A1258) +1, SEARCH("_", A1258, SEARCH("_", A1258) +1) - SEARCH("_", A1258) -1)</f>
        <v>Math-85</v>
      </c>
      <c r="Y1258" t="str">
        <f>IF(AND($S733=1,$S1258=1,$V733=1,$V1258=1), "YES", "NO")</f>
        <v>YES</v>
      </c>
      <c r="Z1258" t="str">
        <f>IF(AND($S733=1,$S1258=1,$V733&gt;1,$V1258&gt;1), "YES", "NO")</f>
        <v>NO</v>
      </c>
      <c r="AA1258" t="str">
        <f>IF(AND($S733&gt;1,$S1258&gt;1,$S733=$V733,$S1258=$V1258), "YES", "NO")</f>
        <v>NO</v>
      </c>
      <c r="AB1258" t="str">
        <f>IF(AND($S733&gt;1,$S1258&gt;1,$S733&lt;$V733,$S1258&lt;$V1258), "YES", "NO")</f>
        <v>NO</v>
      </c>
      <c r="AC1258" t="str">
        <f>IF(AND($V733&gt;10,$V1258&gt;10), "YES", "NO")</f>
        <v>NO</v>
      </c>
      <c r="AD1258"/>
    </row>
    <row r="1259" spans="1:30" ht="15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>LEFT($A1259,FIND("_",$A1259)-1)</f>
        <v>FixMiner</v>
      </c>
      <c r="P1259" s="13" t="str">
        <f>IF($O1259="ACS", "True Search", IF($O1259="Arja", "Evolutionary Search", IF($O1259="AVATAR", "True Pattern", IF($O1259="CapGen", "Search Like Pattern", IF($O1259="Cardumen", "True Semantic", IF($O1259="DynaMoth", "True Semantic", IF($O1259="FixMiner", "True Pattern", IF($O1259="GenProg-A", "Evolutionary Search", IF($O1259="Hercules", "Learning Pattern", IF($O1259="Jaid", "True Semantic",
IF($O1259="Kali-A", "True Search", IF($O1259="kPAR", "True Pattern", IF($O1259="Nopol", "True Semantic", IF($O1259="RSRepair-A", "Evolutionary Search", IF($O1259="SequenceR", "Deep Learning", IF($O1259="SimFix", "Search Like Pattern", IF($O1259="SketchFix", "True Pattern", IF($O1259="SOFix", "True Pattern", IF($O1259="ssFix", "Search Like Pattern", IF($O1259="TBar", "True Pattern", ""))))))))))))))))))))</f>
        <v>True Pattern</v>
      </c>
      <c r="Q1259" s="13" t="str">
        <f>IF(NOT(ISERR(SEARCH("*_Buggy",$A1259))), "Buggy", IF(NOT(ISERR(SEARCH("*_Fixed",$A1259))), "Fixed", IF(NOT(ISERR(SEARCH("*_Repaired",$A1259))), "Repaired", "")))</f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v>1</v>
      </c>
      <c r="W1259" s="13" t="str">
        <f>MID(A1259, SEARCH("_", A1259) +1, SEARCH("_", A1259, SEARCH("_", A1259) +1) - SEARCH("_", A1259) -1)</f>
        <v>Math-88</v>
      </c>
      <c r="Y1259" t="str">
        <f>IF(AND($S734=1,$S1259=1,$V734=1,$V1259=1), "YES", "NO")</f>
        <v>NO</v>
      </c>
      <c r="Z1259" t="str">
        <f>IF(AND($S734=1,$S1259=1,$V734&gt;1,$V1259&gt;1), "YES", "NO")</f>
        <v>NO</v>
      </c>
      <c r="AA1259" t="str">
        <f>IF(AND($S734&gt;1,$S1259&gt;1,$S734=$V734,$S1259=$V1259), "YES", "NO")</f>
        <v>NO</v>
      </c>
      <c r="AB1259" t="str">
        <f>IF(AND($S734&gt;1,$S1259&gt;1,$S734&lt;$V734,$S1259&lt;$V1259), "YES", "NO")</f>
        <v>NO</v>
      </c>
      <c r="AC1259" t="str">
        <f>IF(AND($V734&gt;10,$V1259&gt;10), "YES", "NO")</f>
        <v>NO</v>
      </c>
      <c r="AD1259"/>
    </row>
    <row r="1260" spans="1:30" ht="15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>LEFT($A1260,FIND("_",$A1260)-1)</f>
        <v>FixMiner</v>
      </c>
      <c r="P1260" s="13" t="str">
        <f>IF($O1260="ACS", "True Search", IF($O1260="Arja", "Evolutionary Search", IF($O1260="AVATAR", "True Pattern", IF($O1260="CapGen", "Search Like Pattern", IF($O1260="Cardumen", "True Semantic", IF($O1260="DynaMoth", "True Semantic", IF($O1260="FixMiner", "True Pattern", IF($O1260="GenProg-A", "Evolutionary Search", IF($O1260="Hercules", "Learning Pattern", IF($O1260="Jaid", "True Semantic",
IF($O1260="Kali-A", "True Search", IF($O1260="kPAR", "True Pattern", IF($O1260="Nopol", "True Semantic", IF($O1260="RSRepair-A", "Evolutionary Search", IF($O1260="SequenceR", "Deep Learning", IF($O1260="SimFix", "Search Like Pattern", IF($O1260="SketchFix", "True Pattern", IF($O1260="SOFix", "True Pattern", IF($O1260="ssFix", "Search Like Pattern", IF($O1260="TBar", "True Pattern", ""))))))))))))))))))))</f>
        <v>True Pattern</v>
      </c>
      <c r="Q1260" s="13" t="str">
        <f>IF(NOT(ISERR(SEARCH("*_Buggy",$A1260))), "Buggy", IF(NOT(ISERR(SEARCH("*_Fixed",$A1260))), "Fixed", IF(NOT(ISERR(SEARCH("*_Repaired",$A1260))), "Repaired", "")))</f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v>1</v>
      </c>
      <c r="W1260" s="13" t="str">
        <f>MID(A1260, SEARCH("_", A1260) +1, SEARCH("_", A1260, SEARCH("_", A1260) +1) - SEARCH("_", A1260) -1)</f>
        <v>Math-95</v>
      </c>
      <c r="Y1260" t="str">
        <f>IF(AND($S735=1,$S1260=1,$V735=1,$V1260=1), "YES", "NO")</f>
        <v>NO</v>
      </c>
      <c r="Z1260" t="str">
        <f>IF(AND($S735=1,$S1260=1,$V735&gt;1,$V1260&gt;1), "YES", "NO")</f>
        <v>NO</v>
      </c>
      <c r="AA1260" t="str">
        <f>IF(AND($S735&gt;1,$S1260&gt;1,$S735=$V735,$S1260=$V1260), "YES", "NO")</f>
        <v>NO</v>
      </c>
      <c r="AB1260" t="str">
        <f>IF(AND($S735&gt;1,$S1260&gt;1,$S735&lt;$V735,$S1260&lt;$V1260), "YES", "NO")</f>
        <v>NO</v>
      </c>
      <c r="AC1260" t="str">
        <f>IF(AND($V735&gt;10,$V1260&gt;10), "YES", "NO")</f>
        <v>NO</v>
      </c>
      <c r="AD1260"/>
    </row>
    <row r="1261" spans="1:30" ht="15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>LEFT($A1261,FIND("_",$A1261)-1)</f>
        <v>FixMiner</v>
      </c>
      <c r="P1261" s="13" t="str">
        <f>IF($O1261="ACS", "True Search", IF($O1261="Arja", "Evolutionary Search", IF($O1261="AVATAR", "True Pattern", IF($O1261="CapGen", "Search Like Pattern", IF($O1261="Cardumen", "True Semantic", IF($O1261="DynaMoth", "True Semantic", IF($O1261="FixMiner", "True Pattern", IF($O1261="GenProg-A", "Evolutionary Search", IF($O1261="Hercules", "Learning Pattern", IF($O1261="Jaid", "True Semantic",
IF($O1261="Kali-A", "True Search", IF($O1261="kPAR", "True Pattern", IF($O1261="Nopol", "True Semantic", IF($O1261="RSRepair-A", "Evolutionary Search", IF($O1261="SequenceR", "Deep Learning", IF($O1261="SimFix", "Search Like Pattern", IF($O1261="SketchFix", "True Pattern", IF($O1261="SOFix", "True Pattern", IF($O1261="ssFix", "Search Like Pattern", IF($O1261="TBar", "True Pattern", ""))))))))))))))))))))</f>
        <v>True Pattern</v>
      </c>
      <c r="Q1261" s="13" t="str">
        <f>IF(NOT(ISERR(SEARCH("*_Buggy",$A1261))), "Buggy", IF(NOT(ISERR(SEARCH("*_Fixed",$A1261))), "Fixed", IF(NOT(ISERR(SEARCH("*_Repaired",$A1261))), "Repaired", "")))</f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v>1</v>
      </c>
      <c r="W1261" s="13" t="str">
        <f>MID(A1261, SEARCH("_", A1261) +1, SEARCH("_", A1261, SEARCH("_", A1261) +1) - SEARCH("_", A1261) -1)</f>
        <v>Math-97</v>
      </c>
      <c r="Y1261" t="str">
        <f>IF(AND($S736=1,$S1261=1,$V736=1,$V1261=1), "YES", "NO")</f>
        <v>NO</v>
      </c>
      <c r="Z1261" t="str">
        <f>IF(AND($S736=1,$S1261=1,$V736&gt;1,$V1261&gt;1), "YES", "NO")</f>
        <v>NO</v>
      </c>
      <c r="AA1261" t="str">
        <f>IF(AND($S736&gt;1,$S1261&gt;1,$S736=$V736,$S1261=$V1261), "YES", "NO")</f>
        <v>NO</v>
      </c>
      <c r="AB1261" t="str">
        <f>IF(AND($S736&gt;1,$S1261&gt;1,$S736&lt;$V736,$S1261&lt;$V1261), "YES", "NO")</f>
        <v>NO</v>
      </c>
      <c r="AC1261" t="str">
        <f>IF(AND($V736&gt;10,$V1261&gt;10), "YES", "NO")</f>
        <v>NO</v>
      </c>
      <c r="AD1261"/>
    </row>
    <row r="1262" spans="1:30" ht="15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>LEFT($A1262,FIND("_",$A1262)-1)</f>
        <v>FixMiner</v>
      </c>
      <c r="P1262" s="13" t="str">
        <f>IF($O1262="ACS", "True Search", IF($O1262="Arja", "Evolutionary Search", IF($O1262="AVATAR", "True Pattern", IF($O1262="CapGen", "Search Like Pattern", IF($O1262="Cardumen", "True Semantic", IF($O1262="DynaMoth", "True Semantic", IF($O1262="FixMiner", "True Pattern", IF($O1262="GenProg-A", "Evolutionary Search", IF($O1262="Hercules", "Learning Pattern", IF($O1262="Jaid", "True Semantic",
IF($O1262="Kali-A", "True Search", IF($O1262="kPAR", "True Pattern", IF($O1262="Nopol", "True Semantic", IF($O1262="RSRepair-A", "Evolutionary Search", IF($O1262="SequenceR", "Deep Learning", IF($O1262="SimFix", "Search Like Pattern", IF($O1262="SketchFix", "True Pattern", IF($O1262="SOFix", "True Pattern", IF($O1262="ssFix", "Search Like Pattern", IF($O1262="TBar", "True Pattern", ""))))))))))))))))))))</f>
        <v>True Pattern</v>
      </c>
      <c r="Q1262" s="13" t="str">
        <f>IF(NOT(ISERR(SEARCH("*_Buggy",$A1262))), "Buggy", IF(NOT(ISERR(SEARCH("*_Fixed",$A1262))), "Fixed", IF(NOT(ISERR(SEARCH("*_Repaired",$A1262))), "Repaired", "")))</f>
        <v>Repaired</v>
      </c>
      <c r="R1262" s="13" t="s">
        <v>1668</v>
      </c>
      <c r="S1262" s="25">
        <v>1</v>
      </c>
      <c r="T1262" s="25">
        <v>4</v>
      </c>
      <c r="U1262" s="25">
        <v>1</v>
      </c>
      <c r="V1262" s="13">
        <v>4</v>
      </c>
      <c r="W1262" s="13" t="str">
        <f>MID(A1262, SEARCH("_", A1262) +1, SEARCH("_", A1262, SEARCH("_", A1262) +1) - SEARCH("_", A1262) -1)</f>
        <v>Mockito-29</v>
      </c>
      <c r="Y1262" t="str">
        <f>IF(AND($S737=1,$S1262=1,$V737=1,$V1262=1), "YES", "NO")</f>
        <v>NO</v>
      </c>
      <c r="Z1262" t="str">
        <f>IF(AND($S737=1,$S1262=1,$V737&gt;1,$V1262&gt;1), "YES", "NO")</f>
        <v>NO</v>
      </c>
      <c r="AA1262" t="str">
        <f>IF(AND($S737&gt;1,$S1262&gt;1,$S737=$V737,$S1262=$V1262), "YES", "NO")</f>
        <v>NO</v>
      </c>
      <c r="AB1262" t="str">
        <f>IF(AND($S737&gt;1,$S1262&gt;1,$S737&lt;$V737,$S1262&lt;$V1262), "YES", "NO")</f>
        <v>NO</v>
      </c>
      <c r="AC1262" t="str">
        <f>IF(AND($V737&gt;10,$V1262&gt;10), "YES", "NO")</f>
        <v>NO</v>
      </c>
      <c r="AD1262"/>
    </row>
    <row r="1263" spans="1:30" ht="15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>LEFT($A1263,FIND("_",$A1263)-1)</f>
        <v>FixMiner</v>
      </c>
      <c r="P1263" s="13" t="str">
        <f>IF($O1263="ACS", "True Search", IF($O1263="Arja", "Evolutionary Search", IF($O1263="AVATAR", "True Pattern", IF($O1263="CapGen", "Search Like Pattern", IF($O1263="Cardumen", "True Semantic", IF($O1263="DynaMoth", "True Semantic", IF($O1263="FixMiner", "True Pattern", IF($O1263="GenProg-A", "Evolutionary Search", IF($O1263="Hercules", "Learning Pattern", IF($O1263="Jaid", "True Semantic",
IF($O1263="Kali-A", "True Search", IF($O1263="kPAR", "True Pattern", IF($O1263="Nopol", "True Semantic", IF($O1263="RSRepair-A", "Evolutionary Search", IF($O1263="SequenceR", "Deep Learning", IF($O1263="SimFix", "Search Like Pattern", IF($O1263="SketchFix", "True Pattern", IF($O1263="SOFix", "True Pattern", IF($O1263="ssFix", "Search Like Pattern", IF($O1263="TBar", "True Pattern", ""))))))))))))))))))))</f>
        <v>True Pattern</v>
      </c>
      <c r="Q1263" s="13" t="str">
        <f>IF(NOT(ISERR(SEARCH("*_Buggy",$A1263))), "Buggy", IF(NOT(ISERR(SEARCH("*_Fixed",$A1263))), "Fixed", IF(NOT(ISERR(SEARCH("*_Repaired",$A1263))), "Repaired", "")))</f>
        <v>Repaired</v>
      </c>
      <c r="R1263" s="13" t="s">
        <v>1668</v>
      </c>
      <c r="S1263" s="25">
        <v>1</v>
      </c>
      <c r="T1263" s="25">
        <v>4</v>
      </c>
      <c r="U1263" s="25">
        <v>1</v>
      </c>
      <c r="V1263" s="13">
        <v>4</v>
      </c>
      <c r="W1263" s="13" t="str">
        <f>MID(A1263, SEARCH("_", A1263) +1, SEARCH("_", A1263, SEARCH("_", A1263) +1) - SEARCH("_", A1263) -1)</f>
        <v>Mockito-38</v>
      </c>
      <c r="Y1263" t="str">
        <f>IF(AND($S738=1,$S1263=1,$V738=1,$V1263=1), "YES", "NO")</f>
        <v>NO</v>
      </c>
      <c r="Z1263" t="str">
        <f>IF(AND($S738=1,$S1263=1,$V738&gt;1,$V1263&gt;1), "YES", "NO")</f>
        <v>NO</v>
      </c>
      <c r="AA1263" t="str">
        <f>IF(AND($S738&gt;1,$S1263&gt;1,$S738=$V738,$S1263=$V1263), "YES", "NO")</f>
        <v>NO</v>
      </c>
      <c r="AB1263" t="str">
        <f>IF(AND($S738&gt;1,$S1263&gt;1,$S738&lt;$V738,$S1263&lt;$V1263), "YES", "NO")</f>
        <v>NO</v>
      </c>
      <c r="AC1263" t="str">
        <f>IF(AND($V738&gt;10,$V1263&gt;10), "YES", "NO")</f>
        <v>NO</v>
      </c>
      <c r="AD1263"/>
    </row>
    <row r="1264" spans="1:30" ht="15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>LEFT($A1264,FIND("_",$A1264)-1)</f>
        <v>GenProg-A</v>
      </c>
      <c r="P1264" s="13" t="str">
        <f>IF($O1264="ACS", "True Search", IF($O1264="Arja", "Evolutionary Search", IF($O1264="AVATAR", "True Pattern", IF($O1264="CapGen", "Search Like Pattern", IF($O1264="Cardumen", "True Semantic", IF($O1264="DynaMoth", "True Semantic", IF($O1264="FixMiner", "True Pattern", IF($O1264="GenProg-A", "Evolutionary Search", IF($O1264="Hercules", "Learning Pattern", IF($O1264="Jaid", "True Semantic",
IF($O1264="Kali-A", "True Search", IF($O1264="kPAR", "True Pattern", IF($O1264="Nopol", "True Semantic", IF($O1264="RSRepair-A", "Evolutionary Search", IF($O1264="SequenceR", "Deep Learning", IF($O1264="SimFix", "Search Like Pattern", IF($O1264="SketchFix", "True Pattern", IF($O1264="SOFix", "True Pattern", IF($O1264="ssFix", "Search Like Pattern", IF($O1264="TBar", "True Pattern", ""))))))))))))))))))))</f>
        <v>Evolutionary Search</v>
      </c>
      <c r="Q1264" s="13" t="str">
        <f>IF(NOT(ISERR(SEARCH("*_Buggy",$A1264))), "Buggy", IF(NOT(ISERR(SEARCH("*_Fixed",$A1264))), "Fixed", IF(NOT(ISERR(SEARCH("*_Repaired",$A1264))), "Repaired", "")))</f>
        <v>Repaired</v>
      </c>
      <c r="R1264" s="13" t="s">
        <v>1669</v>
      </c>
      <c r="S1264" s="25">
        <v>1</v>
      </c>
      <c r="T1264" s="25">
        <v>0</v>
      </c>
      <c r="U1264" s="13">
        <v>3</v>
      </c>
      <c r="V1264" s="13">
        <v>3</v>
      </c>
      <c r="W1264" s="13" t="str">
        <f>MID(A1264, SEARCH("_", A1264) +1, SEARCH("_", A1264, SEARCH("_", A1264) +1) - SEARCH("_", A1264) -1)</f>
        <v>Chart-1</v>
      </c>
      <c r="Y1264" t="str">
        <f>IF(AND($S739=1,$S1264=1,$V739=1,$V1264=1), "YES", "NO")</f>
        <v>NO</v>
      </c>
      <c r="Z1264" t="str">
        <f>IF(AND($S739=1,$S1264=1,$V739&gt;1,$V1264&gt;1), "YES", "NO")</f>
        <v>NO</v>
      </c>
      <c r="AA1264" t="str">
        <f>IF(AND($S739&gt;1,$S1264&gt;1,$S739=$V739,$S1264=$V1264), "YES", "NO")</f>
        <v>NO</v>
      </c>
      <c r="AB1264" t="str">
        <f>IF(AND($S739&gt;1,$S1264&gt;1,$S739&lt;$V739,$S1264&lt;$V1264), "YES", "NO")</f>
        <v>NO</v>
      </c>
      <c r="AC1264" t="str">
        <f>IF(AND($V739&gt;10,$V1264&gt;10), "YES", "NO")</f>
        <v>NO</v>
      </c>
      <c r="AD1264"/>
    </row>
    <row r="1265" spans="1:30" ht="15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>LEFT($A1265,FIND("_",$A1265)-1)</f>
        <v>GenProg-A</v>
      </c>
      <c r="P1265" s="13" t="str">
        <f>IF($O1265="ACS", "True Search", IF($O1265="Arja", "Evolutionary Search", IF($O1265="AVATAR", "True Pattern", IF($O1265="CapGen", "Search Like Pattern", IF($O1265="Cardumen", "True Semantic", IF($O1265="DynaMoth", "True Semantic", IF($O1265="FixMiner", "True Pattern", IF($O1265="GenProg-A", "Evolutionary Search", IF($O1265="Hercules", "Learning Pattern", IF($O1265="Jaid", "True Semantic",
IF($O1265="Kali-A", "True Search", IF($O1265="kPAR", "True Pattern", IF($O1265="Nopol", "True Semantic", IF($O1265="RSRepair-A", "Evolutionary Search", IF($O1265="SequenceR", "Deep Learning", IF($O1265="SimFix", "Search Like Pattern", IF($O1265="SketchFix", "True Pattern", IF($O1265="SOFix", "True Pattern", IF($O1265="ssFix", "Search Like Pattern", IF($O1265="TBar", "True Pattern", ""))))))))))))))))))))</f>
        <v>Evolutionary Search</v>
      </c>
      <c r="Q1265" s="13" t="str">
        <f>IF(NOT(ISERR(SEARCH("*_Buggy",$A1265))), "Buggy", IF(NOT(ISERR(SEARCH("*_Fixed",$A1265))), "Fixed", IF(NOT(ISERR(SEARCH("*_Repaired",$A1265))), "Repaired", "")))</f>
        <v>Repaired</v>
      </c>
      <c r="R1265" s="13" t="s">
        <v>1669</v>
      </c>
      <c r="S1265" s="25">
        <v>1</v>
      </c>
      <c r="T1265" s="25">
        <v>5</v>
      </c>
      <c r="U1265" s="25">
        <v>1</v>
      </c>
      <c r="V1265" s="13">
        <v>5</v>
      </c>
      <c r="W1265" s="13" t="str">
        <f>MID(A1265, SEARCH("_", A1265) +1, SEARCH("_", A1265, SEARCH("_", A1265) +1) - SEARCH("_", A1265) -1)</f>
        <v>Chart-12</v>
      </c>
      <c r="Y1265" t="str">
        <f>IF(AND($S740=1,$S1265=1,$V740=1,$V1265=1), "YES", "NO")</f>
        <v>NO</v>
      </c>
      <c r="Z1265" t="str">
        <f>IF(AND($S740=1,$S1265=1,$V740&gt;1,$V1265&gt;1), "YES", "NO")</f>
        <v>NO</v>
      </c>
      <c r="AA1265" t="str">
        <f>IF(AND($S740&gt;1,$S1265&gt;1,$S740=$V740,$S1265=$V1265), "YES", "NO")</f>
        <v>NO</v>
      </c>
      <c r="AB1265" t="str">
        <f>IF(AND($S740&gt;1,$S1265&gt;1,$S740&lt;$V740,$S1265&lt;$V1265), "YES", "NO")</f>
        <v>NO</v>
      </c>
      <c r="AC1265" t="str">
        <f>IF(AND($V740&gt;10,$V1265&gt;10), "YES", "NO")</f>
        <v>NO</v>
      </c>
      <c r="AD1265"/>
    </row>
    <row r="1266" spans="1:30" ht="15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>LEFT($A1266,FIND("_",$A1266)-1)</f>
        <v>GenProg-A</v>
      </c>
      <c r="P1266" s="13" t="str">
        <f>IF($O1266="ACS", "True Search", IF($O1266="Arja", "Evolutionary Search", IF($O1266="AVATAR", "True Pattern", IF($O1266="CapGen", "Search Like Pattern", IF($O1266="Cardumen", "True Semantic", IF($O1266="DynaMoth", "True Semantic", IF($O1266="FixMiner", "True Pattern", IF($O1266="GenProg-A", "Evolutionary Search", IF($O1266="Hercules", "Learning Pattern", IF($O1266="Jaid", "True Semantic",
IF($O1266="Kali-A", "True Search", IF($O1266="kPAR", "True Pattern", IF($O1266="Nopol", "True Semantic", IF($O1266="RSRepair-A", "Evolutionary Search", IF($O1266="SequenceR", "Deep Learning", IF($O1266="SimFix", "Search Like Pattern", IF($O1266="SketchFix", "True Pattern", IF($O1266="SOFix", "True Pattern", IF($O1266="ssFix", "Search Like Pattern", IF($O1266="TBar", "True Pattern", ""))))))))))))))))))))</f>
        <v>Evolutionary Search</v>
      </c>
      <c r="Q1266" s="13" t="str">
        <f>IF(NOT(ISERR(SEARCH("*_Buggy",$A1266))), "Buggy", IF(NOT(ISERR(SEARCH("*_Fixed",$A1266))), "Fixed", IF(NOT(ISERR(SEARCH("*_Repaired",$A1266))), "Repaired", "")))</f>
        <v>Repaired</v>
      </c>
      <c r="R1266" s="13" t="s">
        <v>1669</v>
      </c>
      <c r="S1266" s="25">
        <v>2</v>
      </c>
      <c r="T1266" s="25">
        <v>5</v>
      </c>
      <c r="U1266" s="25">
        <v>9</v>
      </c>
      <c r="V1266" s="13">
        <v>10</v>
      </c>
      <c r="W1266" s="13" t="str">
        <f>MID(A1266, SEARCH("_", A1266) +1, SEARCH("_", A1266, SEARCH("_", A1266) +1) - SEARCH("_", A1266) -1)</f>
        <v>Chart-13</v>
      </c>
      <c r="Y1266" t="str">
        <f>IF(AND($S741=1,$S1266=1,$V741=1,$V1266=1), "YES", "NO")</f>
        <v>NO</v>
      </c>
      <c r="Z1266" t="str">
        <f>IF(AND($S741=1,$S1266=1,$V741&gt;1,$V1266&gt;1), "YES", "NO")</f>
        <v>NO</v>
      </c>
      <c r="AA1266" t="str">
        <f>IF(AND($S741&gt;1,$S1266&gt;1,$S741=$V741,$S1266=$V1266), "YES", "NO")</f>
        <v>NO</v>
      </c>
      <c r="AB1266" t="str">
        <f>IF(AND($S741&gt;1,$S1266&gt;1,$S741&lt;$V741,$S1266&lt;$V1266), "YES", "NO")</f>
        <v>NO</v>
      </c>
      <c r="AC1266" t="str">
        <f>IF(AND($V741&gt;10,$V1266&gt;10), "YES", "NO")</f>
        <v>NO</v>
      </c>
      <c r="AD1266"/>
    </row>
    <row r="1267" spans="1:30" ht="15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>LEFT($A1267,FIND("_",$A1267)-1)</f>
        <v>GenProg-A</v>
      </c>
      <c r="P1267" s="13" t="str">
        <f>IF($O1267="ACS", "True Search", IF($O1267="Arja", "Evolutionary Search", IF($O1267="AVATAR", "True Pattern", IF($O1267="CapGen", "Search Like Pattern", IF($O1267="Cardumen", "True Semantic", IF($O1267="DynaMoth", "True Semantic", IF($O1267="FixMiner", "True Pattern", IF($O1267="GenProg-A", "Evolutionary Search", IF($O1267="Hercules", "Learning Pattern", IF($O1267="Jaid", "True Semantic",
IF($O1267="Kali-A", "True Search", IF($O1267="kPAR", "True Pattern", IF($O1267="Nopol", "True Semantic", IF($O1267="RSRepair-A", "Evolutionary Search", IF($O1267="SequenceR", "Deep Learning", IF($O1267="SimFix", "Search Like Pattern", IF($O1267="SketchFix", "True Pattern", IF($O1267="SOFix", "True Pattern", IF($O1267="ssFix", "Search Like Pattern", IF($O1267="TBar", "True Pattern", ""))))))))))))))))))))</f>
        <v>Evolutionary Search</v>
      </c>
      <c r="Q1267" s="13" t="str">
        <f>IF(NOT(ISERR(SEARCH("*_Buggy",$A1267))), "Buggy", IF(NOT(ISERR(SEARCH("*_Fixed",$A1267))), "Fixed", IF(NOT(ISERR(SEARCH("*_Repaired",$A1267))), "Repaired", "")))</f>
        <v>Repaired</v>
      </c>
      <c r="R1267" s="13" t="s">
        <v>1669</v>
      </c>
      <c r="S1267" s="25">
        <v>1</v>
      </c>
      <c r="T1267" s="25">
        <v>1</v>
      </c>
      <c r="U1267" s="25">
        <v>3</v>
      </c>
      <c r="V1267" s="13">
        <v>3</v>
      </c>
      <c r="W1267" s="13" t="str">
        <f>MID(A1267, SEARCH("_", A1267) +1, SEARCH("_", A1267, SEARCH("_", A1267) +1) - SEARCH("_", A1267) -1)</f>
        <v>Chart-3</v>
      </c>
      <c r="Y1267" t="str">
        <f>IF(AND($S742=1,$S1267=1,$V742=1,$V1267=1), "YES", "NO")</f>
        <v>NO</v>
      </c>
      <c r="Z1267" t="str">
        <f>IF(AND($S742=1,$S1267=1,$V742&gt;1,$V1267&gt;1), "YES", "NO")</f>
        <v>YES</v>
      </c>
      <c r="AA1267" t="str">
        <f>IF(AND($S742&gt;1,$S1267&gt;1,$S742=$V742,$S1267=$V1267), "YES", "NO")</f>
        <v>NO</v>
      </c>
      <c r="AB1267" t="str">
        <f>IF(AND($S742&gt;1,$S1267&gt;1,$S742&lt;$V742,$S1267&lt;$V1267), "YES", "NO")</f>
        <v>NO</v>
      </c>
      <c r="AC1267" t="str">
        <f>IF(AND($V742&gt;10,$V1267&gt;10), "YES", "NO")</f>
        <v>NO</v>
      </c>
      <c r="AD1267"/>
    </row>
    <row r="1268" spans="1:30" ht="15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>LEFT($A1268,FIND("_",$A1268)-1)</f>
        <v>GenProg-A</v>
      </c>
      <c r="P1268" s="13" t="str">
        <f>IF($O1268="ACS", "True Search", IF($O1268="Arja", "Evolutionary Search", IF($O1268="AVATAR", "True Pattern", IF($O1268="CapGen", "Search Like Pattern", IF($O1268="Cardumen", "True Semantic", IF($O1268="DynaMoth", "True Semantic", IF($O1268="FixMiner", "True Pattern", IF($O1268="GenProg-A", "Evolutionary Search", IF($O1268="Hercules", "Learning Pattern", IF($O1268="Jaid", "True Semantic",
IF($O1268="Kali-A", "True Search", IF($O1268="kPAR", "True Pattern", IF($O1268="Nopol", "True Semantic", IF($O1268="RSRepair-A", "Evolutionary Search", IF($O1268="SequenceR", "Deep Learning", IF($O1268="SimFix", "Search Like Pattern", IF($O1268="SketchFix", "True Pattern", IF($O1268="SOFix", "True Pattern", IF($O1268="ssFix", "Search Like Pattern", IF($O1268="TBar", "True Pattern", ""))))))))))))))))))))</f>
        <v>Evolutionary Search</v>
      </c>
      <c r="Q1268" s="13" t="str">
        <f>IF(NOT(ISERR(SEARCH("*_Buggy",$A1268))), "Buggy", IF(NOT(ISERR(SEARCH("*_Fixed",$A1268))), "Fixed", IF(NOT(ISERR(SEARCH("*_Repaired",$A1268))), "Repaired", "")))</f>
        <v>Repaired</v>
      </c>
      <c r="R1268" s="13" t="s">
        <v>1669</v>
      </c>
      <c r="S1268" s="25">
        <v>1</v>
      </c>
      <c r="T1268" s="25">
        <v>0</v>
      </c>
      <c r="U1268" s="13">
        <v>3</v>
      </c>
      <c r="V1268" s="13">
        <v>3</v>
      </c>
      <c r="W1268" s="13" t="str">
        <f>MID(A1268, SEARCH("_", A1268) +1, SEARCH("_", A1268, SEARCH("_", A1268) +1) - SEARCH("_", A1268) -1)</f>
        <v>Closure-112</v>
      </c>
      <c r="Y1268" t="str">
        <f>IF(AND($S743=1,$S1268=1,$V743=1,$V1268=1), "YES", "NO")</f>
        <v>NO</v>
      </c>
      <c r="Z1268" t="str">
        <f>IF(AND($S743=1,$S1268=1,$V743&gt;1,$V1268&gt;1), "YES", "NO")</f>
        <v>YES</v>
      </c>
      <c r="AA1268" t="str">
        <f>IF(AND($S743&gt;1,$S1268&gt;1,$S743=$V743,$S1268=$V1268), "YES", "NO")</f>
        <v>NO</v>
      </c>
      <c r="AB1268" t="str">
        <f>IF(AND($S743&gt;1,$S1268&gt;1,$S743&lt;$V743,$S1268&lt;$V1268), "YES", "NO")</f>
        <v>NO</v>
      </c>
      <c r="AC1268" t="str">
        <f>IF(AND($V743&gt;10,$V1268&gt;10), "YES", "NO")</f>
        <v>NO</v>
      </c>
      <c r="AD1268"/>
    </row>
    <row r="1269" spans="1:30" ht="15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>LEFT($A1269,FIND("_",$A1269)-1)</f>
        <v>GenProg-A</v>
      </c>
      <c r="P1269" s="13" t="str">
        <f>IF($O1269="ACS", "True Search", IF($O1269="Arja", "Evolutionary Search", IF($O1269="AVATAR", "True Pattern", IF($O1269="CapGen", "Search Like Pattern", IF($O1269="Cardumen", "True Semantic", IF($O1269="DynaMoth", "True Semantic", IF($O1269="FixMiner", "True Pattern", IF($O1269="GenProg-A", "Evolutionary Search", IF($O1269="Hercules", "Learning Pattern", IF($O1269="Jaid", "True Semantic",
IF($O1269="Kali-A", "True Search", IF($O1269="kPAR", "True Pattern", IF($O1269="Nopol", "True Semantic", IF($O1269="RSRepair-A", "Evolutionary Search", IF($O1269="SequenceR", "Deep Learning", IF($O1269="SimFix", "Search Like Pattern", IF($O1269="SketchFix", "True Pattern", IF($O1269="SOFix", "True Pattern", IF($O1269="ssFix", "Search Like Pattern", IF($O1269="TBar", "True Pattern", ""))))))))))))))))))))</f>
        <v>Evolutionary Search</v>
      </c>
      <c r="Q1269" s="13" t="str">
        <f>IF(NOT(ISERR(SEARCH("*_Buggy",$A1269))), "Buggy", IF(NOT(ISERR(SEARCH("*_Fixed",$A1269))), "Fixed", IF(NOT(ISERR(SEARCH("*_Repaired",$A1269))), "Repaired", "")))</f>
        <v>Repaired</v>
      </c>
      <c r="R1269" s="13" t="s">
        <v>1668</v>
      </c>
      <c r="S1269" s="25">
        <v>1</v>
      </c>
      <c r="T1269" s="25">
        <v>0</v>
      </c>
      <c r="U1269" s="13">
        <v>7</v>
      </c>
      <c r="V1269" s="13">
        <v>7</v>
      </c>
      <c r="W1269" s="13" t="str">
        <f>MID(A1269, SEARCH("_", A1269) +1, SEARCH("_", A1269, SEARCH("_", A1269) +1) - SEARCH("_", A1269) -1)</f>
        <v>Closure-115</v>
      </c>
      <c r="Y1269" t="str">
        <f>IF(AND($S744=1,$S1269=1,$V744=1,$V1269=1), "YES", "NO")</f>
        <v>NO</v>
      </c>
      <c r="Z1269" t="str">
        <f>IF(AND($S744=1,$S1269=1,$V744&gt;1,$V1269&gt;1), "YES", "NO")</f>
        <v>NO</v>
      </c>
      <c r="AA1269" t="str">
        <f>IF(AND($S744&gt;1,$S1269&gt;1,$S744=$V744,$S1269=$V1269), "YES", "NO")</f>
        <v>NO</v>
      </c>
      <c r="AB1269" t="str">
        <f>IF(AND($S744&gt;1,$S1269&gt;1,$S744&lt;$V744,$S1269&lt;$V1269), "YES", "NO")</f>
        <v>NO</v>
      </c>
      <c r="AC1269" t="str">
        <f>IF(AND($V744&gt;10,$V1269&gt;10), "YES", "NO")</f>
        <v>NO</v>
      </c>
      <c r="AD1269"/>
    </row>
    <row r="1270" spans="1:30" ht="15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>LEFT($A1270,FIND("_",$A1270)-1)</f>
        <v>GenProg-A</v>
      </c>
      <c r="P1270" s="13" t="str">
        <f>IF($O1270="ACS", "True Search", IF($O1270="Arja", "Evolutionary Search", IF($O1270="AVATAR", "True Pattern", IF($O1270="CapGen", "Search Like Pattern", IF($O1270="Cardumen", "True Semantic", IF($O1270="DynaMoth", "True Semantic", IF($O1270="FixMiner", "True Pattern", IF($O1270="GenProg-A", "Evolutionary Search", IF($O1270="Hercules", "Learning Pattern", IF($O1270="Jaid", "True Semantic",
IF($O1270="Kali-A", "True Search", IF($O1270="kPAR", "True Pattern", IF($O1270="Nopol", "True Semantic", IF($O1270="RSRepair-A", "Evolutionary Search", IF($O1270="SequenceR", "Deep Learning", IF($O1270="SimFix", "Search Like Pattern", IF($O1270="SketchFix", "True Pattern", IF($O1270="SOFix", "True Pattern", IF($O1270="ssFix", "Search Like Pattern", IF($O1270="TBar", "True Pattern", ""))))))))))))))))))))</f>
        <v>Evolutionary Search</v>
      </c>
      <c r="Q1270" s="13" t="str">
        <f>IF(NOT(ISERR(SEARCH("*_Buggy",$A1270))), "Buggy", IF(NOT(ISERR(SEARCH("*_Fixed",$A1270))), "Fixed", IF(NOT(ISERR(SEARCH("*_Repaired",$A1270))), "Repaired", "")))</f>
        <v>Repaired</v>
      </c>
      <c r="R1270" s="13" t="s">
        <v>1669</v>
      </c>
      <c r="S1270" s="25">
        <v>1</v>
      </c>
      <c r="T1270" s="25">
        <v>0</v>
      </c>
      <c r="U1270" s="13">
        <v>28</v>
      </c>
      <c r="V1270" s="13">
        <v>28</v>
      </c>
      <c r="W1270" s="13" t="str">
        <f>MID(A1270, SEARCH("_", A1270) +1, SEARCH("_", A1270, SEARCH("_", A1270) +1) - SEARCH("_", A1270) -1)</f>
        <v>Closure-117</v>
      </c>
      <c r="Y1270" t="str">
        <f>IF(AND($S745=1,$S1270=1,$V745=1,$V1270=1), "YES", "NO")</f>
        <v>NO</v>
      </c>
      <c r="Z1270" t="str">
        <f>IF(AND($S745=1,$S1270=1,$V745&gt;1,$V1270&gt;1), "YES", "NO")</f>
        <v>NO</v>
      </c>
      <c r="AA1270" t="str">
        <f>IF(AND($S745&gt;1,$S1270&gt;1,$S745=$V745,$S1270=$V1270), "YES", "NO")</f>
        <v>NO</v>
      </c>
      <c r="AB1270" t="str">
        <f>IF(AND($S745&gt;1,$S1270&gt;1,$S745&lt;$V745,$S1270&lt;$V1270), "YES", "NO")</f>
        <v>NO</v>
      </c>
      <c r="AC1270" t="str">
        <f>IF(AND($V745&gt;10,$V1270&gt;10), "YES", "NO")</f>
        <v>YES</v>
      </c>
      <c r="AD1270"/>
    </row>
    <row r="1271" spans="1:30" ht="15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>LEFT($A1271,FIND("_",$A1271)-1)</f>
        <v>GenProg-A</v>
      </c>
      <c r="P1271" s="13" t="str">
        <f>IF($O1271="ACS", "True Search", IF($O1271="Arja", "Evolutionary Search", IF($O1271="AVATAR", "True Pattern", IF($O1271="CapGen", "Search Like Pattern", IF($O1271="Cardumen", "True Semantic", IF($O1271="DynaMoth", "True Semantic", IF($O1271="FixMiner", "True Pattern", IF($O1271="GenProg-A", "Evolutionary Search", IF($O1271="Hercules", "Learning Pattern", IF($O1271="Jaid", "True Semantic",
IF($O1271="Kali-A", "True Search", IF($O1271="kPAR", "True Pattern", IF($O1271="Nopol", "True Semantic", IF($O1271="RSRepair-A", "Evolutionary Search", IF($O1271="SequenceR", "Deep Learning", IF($O1271="SimFix", "Search Like Pattern", IF($O1271="SketchFix", "True Pattern", IF($O1271="SOFix", "True Pattern", IF($O1271="ssFix", "Search Like Pattern", IF($O1271="TBar", "True Pattern", ""))))))))))))))))))))</f>
        <v>Evolutionary Search</v>
      </c>
      <c r="Q1271" s="13" t="str">
        <f>IF(NOT(ISERR(SEARCH("*_Buggy",$A1271))), "Buggy", IF(NOT(ISERR(SEARCH("*_Fixed",$A1271))), "Fixed", IF(NOT(ISERR(SEARCH("*_Repaired",$A1271))), "Repaired", "")))</f>
        <v>Repaired</v>
      </c>
      <c r="R1271" s="13" t="s">
        <v>1669</v>
      </c>
      <c r="S1271" s="25">
        <v>1</v>
      </c>
      <c r="T1271" s="25">
        <v>0</v>
      </c>
      <c r="U1271" s="13">
        <v>16</v>
      </c>
      <c r="V1271" s="13">
        <v>16</v>
      </c>
      <c r="W1271" s="13" t="str">
        <f>MID(A1271, SEARCH("_", A1271) +1, SEARCH("_", A1271, SEARCH("_", A1271) +1) - SEARCH("_", A1271) -1)</f>
        <v>Closure-124</v>
      </c>
      <c r="Y1271" t="str">
        <f>IF(AND($S746=1,$S1271=1,$V746=1,$V1271=1), "YES", "NO")</f>
        <v>NO</v>
      </c>
      <c r="Z1271" t="str">
        <f>IF(AND($S746=1,$S1271=1,$V746&gt;1,$V1271&gt;1), "YES", "NO")</f>
        <v>NO</v>
      </c>
      <c r="AA1271" t="str">
        <f>IF(AND($S746&gt;1,$S1271&gt;1,$S746=$V746,$S1271=$V1271), "YES", "NO")</f>
        <v>NO</v>
      </c>
      <c r="AB1271" t="str">
        <f>IF(AND($S746&gt;1,$S1271&gt;1,$S746&lt;$V746,$S1271&lt;$V1271), "YES", "NO")</f>
        <v>NO</v>
      </c>
      <c r="AC1271" t="str">
        <f>IF(AND($V746&gt;10,$V1271&gt;10), "YES", "NO")</f>
        <v>NO</v>
      </c>
      <c r="AD1271"/>
    </row>
    <row r="1272" spans="1:30" ht="15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>LEFT($A1272,FIND("_",$A1272)-1)</f>
        <v>GenProg-A</v>
      </c>
      <c r="P1272" s="13" t="str">
        <f>IF($O1272="ACS", "True Search", IF($O1272="Arja", "Evolutionary Search", IF($O1272="AVATAR", "True Pattern", IF($O1272="CapGen", "Search Like Pattern", IF($O1272="Cardumen", "True Semantic", IF($O1272="DynaMoth", "True Semantic", IF($O1272="FixMiner", "True Pattern", IF($O1272="GenProg-A", "Evolutionary Search", IF($O1272="Hercules", "Learning Pattern", IF($O1272="Jaid", "True Semantic",
IF($O1272="Kali-A", "True Search", IF($O1272="kPAR", "True Pattern", IF($O1272="Nopol", "True Semantic", IF($O1272="RSRepair-A", "Evolutionary Search", IF($O1272="SequenceR", "Deep Learning", IF($O1272="SimFix", "Search Like Pattern", IF($O1272="SketchFix", "True Pattern", IF($O1272="SOFix", "True Pattern", IF($O1272="ssFix", "Search Like Pattern", IF($O1272="TBar", "True Pattern", ""))))))))))))))))))))</f>
        <v>Evolutionary Search</v>
      </c>
      <c r="Q1272" s="13" t="str">
        <f>IF(NOT(ISERR(SEARCH("*_Buggy",$A1272))), "Buggy", IF(NOT(ISERR(SEARCH("*_Fixed",$A1272))), "Fixed", IF(NOT(ISERR(SEARCH("*_Repaired",$A1272))), "Repaired", "")))</f>
        <v>Repaired</v>
      </c>
      <c r="R1272" s="13" t="s">
        <v>1669</v>
      </c>
      <c r="S1272" s="25">
        <v>1</v>
      </c>
      <c r="T1272" s="25">
        <v>0</v>
      </c>
      <c r="U1272" s="13">
        <v>6</v>
      </c>
      <c r="V1272" s="13">
        <v>6</v>
      </c>
      <c r="W1272" s="13" t="str">
        <f>MID(A1272, SEARCH("_", A1272) +1, SEARCH("_", A1272, SEARCH("_", A1272) +1) - SEARCH("_", A1272) -1)</f>
        <v>Closure-125</v>
      </c>
      <c r="Y1272" t="str">
        <f>IF(AND($S747=1,$S1272=1,$V747=1,$V1272=1), "YES", "NO")</f>
        <v>NO</v>
      </c>
      <c r="Z1272" t="str">
        <f>IF(AND($S747=1,$S1272=1,$V747&gt;1,$V1272&gt;1), "YES", "NO")</f>
        <v>NO</v>
      </c>
      <c r="AA1272" t="str">
        <f>IF(AND($S747&gt;1,$S1272&gt;1,$S747=$V747,$S1272=$V1272), "YES", "NO")</f>
        <v>NO</v>
      </c>
      <c r="AB1272" t="str">
        <f>IF(AND($S747&gt;1,$S1272&gt;1,$S747&lt;$V747,$S1272&lt;$V1272), "YES", "NO")</f>
        <v>NO</v>
      </c>
      <c r="AC1272" t="str">
        <f>IF(AND($V747&gt;10,$V1272&gt;10), "YES", "NO")</f>
        <v>NO</v>
      </c>
      <c r="AD1272"/>
    </row>
    <row r="1273" spans="1:30" ht="15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>LEFT($A1273,FIND("_",$A1273)-1)</f>
        <v>GenProg-A</v>
      </c>
      <c r="P1273" s="13" t="str">
        <f>IF($O1273="ACS", "True Search", IF($O1273="Arja", "Evolutionary Search", IF($O1273="AVATAR", "True Pattern", IF($O1273="CapGen", "Search Like Pattern", IF($O1273="Cardumen", "True Semantic", IF($O1273="DynaMoth", "True Semantic", IF($O1273="FixMiner", "True Pattern", IF($O1273="GenProg-A", "Evolutionary Search", IF($O1273="Hercules", "Learning Pattern", IF($O1273="Jaid", "True Semantic",
IF($O1273="Kali-A", "True Search", IF($O1273="kPAR", "True Pattern", IF($O1273="Nopol", "True Semantic", IF($O1273="RSRepair-A", "Evolutionary Search", IF($O1273="SequenceR", "Deep Learning", IF($O1273="SimFix", "Search Like Pattern", IF($O1273="SketchFix", "True Pattern", IF($O1273="SOFix", "True Pattern", IF($O1273="ssFix", "Search Like Pattern", IF($O1273="TBar", "True Pattern", ""))))))))))))))))))))</f>
        <v>Evolutionary Search</v>
      </c>
      <c r="Q1273" s="13" t="str">
        <f>IF(NOT(ISERR(SEARCH("*_Buggy",$A1273))), "Buggy", IF(NOT(ISERR(SEARCH("*_Fixed",$A1273))), "Fixed", IF(NOT(ISERR(SEARCH("*_Repaired",$A1273))), "Repaired", "")))</f>
        <v>Repaired</v>
      </c>
      <c r="R1273" s="13" t="s">
        <v>1668</v>
      </c>
      <c r="S1273" s="25">
        <v>1</v>
      </c>
      <c r="T1273" s="25">
        <v>0</v>
      </c>
      <c r="U1273" s="13">
        <v>8</v>
      </c>
      <c r="V1273" s="13">
        <v>8</v>
      </c>
      <c r="W1273" s="13" t="str">
        <f>MID(A1273, SEARCH("_", A1273) +1, SEARCH("_", A1273, SEARCH("_", A1273) +1) - SEARCH("_", A1273) -1)</f>
        <v>Closure-21</v>
      </c>
      <c r="Y1273" t="str">
        <f>IF(AND($S748=1,$S1273=1,$V748=1,$V1273=1), "YES", "NO")</f>
        <v>NO</v>
      </c>
      <c r="Z1273" t="str">
        <f>IF(AND($S748=1,$S1273=1,$V748&gt;1,$V1273&gt;1), "YES", "NO")</f>
        <v>NO</v>
      </c>
      <c r="AA1273" t="str">
        <f>IF(AND($S748&gt;1,$S1273&gt;1,$S748=$V748,$S1273=$V1273), "YES", "NO")</f>
        <v>NO</v>
      </c>
      <c r="AB1273" t="str">
        <f>IF(AND($S748&gt;1,$S1273&gt;1,$S748&lt;$V748,$S1273&lt;$V1273), "YES", "NO")</f>
        <v>NO</v>
      </c>
      <c r="AC1273" t="str">
        <f>IF(AND($V748&gt;10,$V1273&gt;10), "YES", "NO")</f>
        <v>NO</v>
      </c>
      <c r="AD1273"/>
    </row>
    <row r="1274" spans="1:30" ht="15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>LEFT($A1274,FIND("_",$A1274)-1)</f>
        <v>GenProg-A</v>
      </c>
      <c r="P1274" s="13" t="str">
        <f>IF($O1274="ACS", "True Search", IF($O1274="Arja", "Evolutionary Search", IF($O1274="AVATAR", "True Pattern", IF($O1274="CapGen", "Search Like Pattern", IF($O1274="Cardumen", "True Semantic", IF($O1274="DynaMoth", "True Semantic", IF($O1274="FixMiner", "True Pattern", IF($O1274="GenProg-A", "Evolutionary Search", IF($O1274="Hercules", "Learning Pattern", IF($O1274="Jaid", "True Semantic",
IF($O1274="Kali-A", "True Search", IF($O1274="kPAR", "True Pattern", IF($O1274="Nopol", "True Semantic", IF($O1274="RSRepair-A", "Evolutionary Search", IF($O1274="SequenceR", "Deep Learning", IF($O1274="SimFix", "Search Like Pattern", IF($O1274="SketchFix", "True Pattern", IF($O1274="SOFix", "True Pattern", IF($O1274="ssFix", "Search Like Pattern", IF($O1274="TBar", "True Pattern", ""))))))))))))))))))))</f>
        <v>Evolutionary Search</v>
      </c>
      <c r="Q1274" s="13" t="str">
        <f>IF(NOT(ISERR(SEARCH("*_Buggy",$A1274))), "Buggy", IF(NOT(ISERR(SEARCH("*_Fixed",$A1274))), "Fixed", IF(NOT(ISERR(SEARCH("*_Repaired",$A1274))), "Repaired", "")))</f>
        <v>Repaired</v>
      </c>
      <c r="R1274" s="13" t="s">
        <v>1669</v>
      </c>
      <c r="S1274" s="25">
        <v>1</v>
      </c>
      <c r="T1274" s="25">
        <v>5</v>
      </c>
      <c r="U1274" s="25">
        <v>3</v>
      </c>
      <c r="V1274" s="13">
        <v>5</v>
      </c>
      <c r="W1274" s="13" t="str">
        <f>MID(A1274, SEARCH("_", A1274) +1, SEARCH("_", A1274, SEARCH("_", A1274) +1) - SEARCH("_", A1274) -1)</f>
        <v>Closure-22</v>
      </c>
      <c r="Y1274" t="str">
        <f>IF(AND($S749=1,$S1274=1,$V749=1,$V1274=1), "YES", "NO")</f>
        <v>NO</v>
      </c>
      <c r="Z1274" t="str">
        <f>IF(AND($S749=1,$S1274=1,$V749&gt;1,$V1274&gt;1), "YES", "NO")</f>
        <v>NO</v>
      </c>
      <c r="AA1274" t="str">
        <f>IF(AND($S749&gt;1,$S1274&gt;1,$S749=$V749,$S1274=$V1274), "YES", "NO")</f>
        <v>NO</v>
      </c>
      <c r="AB1274" t="str">
        <f>IF(AND($S749&gt;1,$S1274&gt;1,$S749&lt;$V749,$S1274&lt;$V1274), "YES", "NO")</f>
        <v>NO</v>
      </c>
      <c r="AC1274" t="str">
        <f>IF(AND($V749&gt;10,$V1274&gt;10), "YES", "NO")</f>
        <v>NO</v>
      </c>
      <c r="AD1274"/>
    </row>
    <row r="1275" spans="1:30" ht="15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>LEFT($A1275,FIND("_",$A1275)-1)</f>
        <v>GenProg-A</v>
      </c>
      <c r="P1275" s="13" t="str">
        <f>IF($O1275="ACS", "True Search", IF($O1275="Arja", "Evolutionary Search", IF($O1275="AVATAR", "True Pattern", IF($O1275="CapGen", "Search Like Pattern", IF($O1275="Cardumen", "True Semantic", IF($O1275="DynaMoth", "True Semantic", IF($O1275="FixMiner", "True Pattern", IF($O1275="GenProg-A", "Evolutionary Search", IF($O1275="Hercules", "Learning Pattern", IF($O1275="Jaid", "True Semantic",
IF($O1275="Kali-A", "True Search", IF($O1275="kPAR", "True Pattern", IF($O1275="Nopol", "True Semantic", IF($O1275="RSRepair-A", "Evolutionary Search", IF($O1275="SequenceR", "Deep Learning", IF($O1275="SimFix", "Search Like Pattern", IF($O1275="SketchFix", "True Pattern", IF($O1275="SOFix", "True Pattern", IF($O1275="ssFix", "Search Like Pattern", IF($O1275="TBar", "True Pattern", ""))))))))))))))))))))</f>
        <v>Evolutionary Search</v>
      </c>
      <c r="Q1275" s="13" t="str">
        <f>IF(NOT(ISERR(SEARCH("*_Buggy",$A1275))), "Buggy", IF(NOT(ISERR(SEARCH("*_Fixed",$A1275))), "Fixed", IF(NOT(ISERR(SEARCH("*_Repaired",$A1275))), "Repaired", "")))</f>
        <v>Repaired</v>
      </c>
      <c r="R1275" s="13" t="s">
        <v>1669</v>
      </c>
      <c r="S1275" s="25">
        <v>1</v>
      </c>
      <c r="T1275" s="25">
        <v>0</v>
      </c>
      <c r="U1275" s="13">
        <v>14</v>
      </c>
      <c r="V1275" s="13">
        <v>14</v>
      </c>
      <c r="W1275" s="13" t="str">
        <f>MID(A1275, SEARCH("_", A1275) +1, SEARCH("_", A1275, SEARCH("_", A1275) +1) - SEARCH("_", A1275) -1)</f>
        <v>Closure-3</v>
      </c>
      <c r="Y1275" t="str">
        <f>IF(AND($S750=1,$S1275=1,$V750=1,$V1275=1), "YES", "NO")</f>
        <v>NO</v>
      </c>
      <c r="Z1275" t="str">
        <f>IF(AND($S750=1,$S1275=1,$V750&gt;1,$V1275&gt;1), "YES", "NO")</f>
        <v>NO</v>
      </c>
      <c r="AA1275" t="str">
        <f>IF(AND($S750&gt;1,$S1275&gt;1,$S750=$V750,$S1275=$V1275), "YES", "NO")</f>
        <v>NO</v>
      </c>
      <c r="AB1275" t="str">
        <f>IF(AND($S750&gt;1,$S1275&gt;1,$S750&lt;$V750,$S1275&lt;$V1275), "YES", "NO")</f>
        <v>NO</v>
      </c>
      <c r="AC1275" t="str">
        <f>IF(AND($V750&gt;10,$V1275&gt;10), "YES", "NO")</f>
        <v>NO</v>
      </c>
      <c r="AD1275"/>
    </row>
    <row r="1276" spans="1:30" ht="15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>LEFT($A1276,FIND("_",$A1276)-1)</f>
        <v>GenProg-A</v>
      </c>
      <c r="P1276" s="13" t="str">
        <f>IF($O1276="ACS", "True Search", IF($O1276="Arja", "Evolutionary Search", IF($O1276="AVATAR", "True Pattern", IF($O1276="CapGen", "Search Like Pattern", IF($O1276="Cardumen", "True Semantic", IF($O1276="DynaMoth", "True Semantic", IF($O1276="FixMiner", "True Pattern", IF($O1276="GenProg-A", "Evolutionary Search", IF($O1276="Hercules", "Learning Pattern", IF($O1276="Jaid", "True Semantic",
IF($O1276="Kali-A", "True Search", IF($O1276="kPAR", "True Pattern", IF($O1276="Nopol", "True Semantic", IF($O1276="RSRepair-A", "Evolutionary Search", IF($O1276="SequenceR", "Deep Learning", IF($O1276="SimFix", "Search Like Pattern", IF($O1276="SketchFix", "True Pattern", IF($O1276="SOFix", "True Pattern", IF($O1276="ssFix", "Search Like Pattern", IF($O1276="TBar", "True Pattern", ""))))))))))))))))))))</f>
        <v>Evolutionary Search</v>
      </c>
      <c r="Q1276" s="13" t="str">
        <f>IF(NOT(ISERR(SEARCH("*_Buggy",$A1276))), "Buggy", IF(NOT(ISERR(SEARCH("*_Fixed",$A1276))), "Fixed", IF(NOT(ISERR(SEARCH("*_Repaired",$A1276))), "Repaired", "")))</f>
        <v>Repaired</v>
      </c>
      <c r="R1276" s="13" t="s">
        <v>1669</v>
      </c>
      <c r="S1276" s="25">
        <v>1</v>
      </c>
      <c r="T1276" s="25">
        <v>1</v>
      </c>
      <c r="U1276" s="25">
        <v>22</v>
      </c>
      <c r="V1276" s="13">
        <v>22</v>
      </c>
      <c r="W1276" s="13" t="str">
        <f>MID(A1276, SEARCH("_", A1276) +1, SEARCH("_", A1276, SEARCH("_", A1276) +1) - SEARCH("_", A1276) -1)</f>
        <v>Closure-33</v>
      </c>
      <c r="Y1276" t="str">
        <f>IF(AND($S751=1,$S1276=1,$V751=1,$V1276=1), "YES", "NO")</f>
        <v>NO</v>
      </c>
      <c r="Z1276" t="str">
        <f>IF(AND($S751=1,$S1276=1,$V751&gt;1,$V1276&gt;1), "YES", "NO")</f>
        <v>YES</v>
      </c>
      <c r="AA1276" t="str">
        <f>IF(AND($S751&gt;1,$S1276&gt;1,$S751=$V751,$S1276=$V1276), "YES", "NO")</f>
        <v>NO</v>
      </c>
      <c r="AB1276" t="str">
        <f>IF(AND($S751&gt;1,$S1276&gt;1,$S751&lt;$V751,$S1276&lt;$V1276), "YES", "NO")</f>
        <v>NO</v>
      </c>
      <c r="AC1276" t="str">
        <f>IF(AND($V751&gt;10,$V1276&gt;10), "YES", "NO")</f>
        <v>NO</v>
      </c>
      <c r="AD1276"/>
    </row>
    <row r="1277" spans="1:30" ht="15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>LEFT($A1277,FIND("_",$A1277)-1)</f>
        <v>GenProg-A</v>
      </c>
      <c r="P1277" s="13" t="str">
        <f>IF($O1277="ACS", "True Search", IF($O1277="Arja", "Evolutionary Search", IF($O1277="AVATAR", "True Pattern", IF($O1277="CapGen", "Search Like Pattern", IF($O1277="Cardumen", "True Semantic", IF($O1277="DynaMoth", "True Semantic", IF($O1277="FixMiner", "True Pattern", IF($O1277="GenProg-A", "Evolutionary Search", IF($O1277="Hercules", "Learning Pattern", IF($O1277="Jaid", "True Semantic",
IF($O1277="Kali-A", "True Search", IF($O1277="kPAR", "True Pattern", IF($O1277="Nopol", "True Semantic", IF($O1277="RSRepair-A", "Evolutionary Search", IF($O1277="SequenceR", "Deep Learning", IF($O1277="SimFix", "Search Like Pattern", IF($O1277="SketchFix", "True Pattern", IF($O1277="SOFix", "True Pattern", IF($O1277="ssFix", "Search Like Pattern", IF($O1277="TBar", "True Pattern", ""))))))))))))))))))))</f>
        <v>Evolutionary Search</v>
      </c>
      <c r="Q1277" s="13" t="str">
        <f>IF(NOT(ISERR(SEARCH("*_Buggy",$A1277))), "Buggy", IF(NOT(ISERR(SEARCH("*_Fixed",$A1277))), "Fixed", IF(NOT(ISERR(SEARCH("*_Repaired",$A1277))), "Repaired", "")))</f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v>1</v>
      </c>
      <c r="W1277" s="13" t="str">
        <f>MID(A1277, SEARCH("_", A1277) +1, SEARCH("_", A1277, SEARCH("_", A1277) +1) - SEARCH("_", A1277) -1)</f>
        <v>Closure-55</v>
      </c>
      <c r="Y1277" t="str">
        <f>IF(AND($S752=1,$S1277=1,$V752=1,$V1277=1), "YES", "NO")</f>
        <v>NO</v>
      </c>
      <c r="Z1277" t="str">
        <f>IF(AND($S752=1,$S1277=1,$V752&gt;1,$V1277&gt;1), "YES", "NO")</f>
        <v>NO</v>
      </c>
      <c r="AA1277" t="str">
        <f>IF(AND($S752&gt;1,$S1277&gt;1,$S752=$V752,$S1277=$V1277), "YES", "NO")</f>
        <v>NO</v>
      </c>
      <c r="AB1277" t="str">
        <f>IF(AND($S752&gt;1,$S1277&gt;1,$S752&lt;$V752,$S1277&lt;$V1277), "YES", "NO")</f>
        <v>NO</v>
      </c>
      <c r="AC1277" t="str">
        <f>IF(AND($V752&gt;10,$V1277&gt;10), "YES", "NO")</f>
        <v>NO</v>
      </c>
      <c r="AD1277"/>
    </row>
    <row r="1278" spans="1:30" ht="15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>LEFT($A1278,FIND("_",$A1278)-1)</f>
        <v>GenProg-A</v>
      </c>
      <c r="P1278" s="13" t="str">
        <f>IF($O1278="ACS", "True Search", IF($O1278="Arja", "Evolutionary Search", IF($O1278="AVATAR", "True Pattern", IF($O1278="CapGen", "Search Like Pattern", IF($O1278="Cardumen", "True Semantic", IF($O1278="DynaMoth", "True Semantic", IF($O1278="FixMiner", "True Pattern", IF($O1278="GenProg-A", "Evolutionary Search", IF($O1278="Hercules", "Learning Pattern", IF($O1278="Jaid", "True Semantic",
IF($O1278="Kali-A", "True Search", IF($O1278="kPAR", "True Pattern", IF($O1278="Nopol", "True Semantic", IF($O1278="RSRepair-A", "Evolutionary Search", IF($O1278="SequenceR", "Deep Learning", IF($O1278="SimFix", "Search Like Pattern", IF($O1278="SketchFix", "True Pattern", IF($O1278="SOFix", "True Pattern", IF($O1278="ssFix", "Search Like Pattern", IF($O1278="TBar", "True Pattern", ""))))))))))))))))))))</f>
        <v>Evolutionary Search</v>
      </c>
      <c r="Q1278" s="13" t="str">
        <f>IF(NOT(ISERR(SEARCH("*_Buggy",$A1278))), "Buggy", IF(NOT(ISERR(SEARCH("*_Fixed",$A1278))), "Fixed", IF(NOT(ISERR(SEARCH("*_Repaired",$A1278))), "Repaired", "")))</f>
        <v>Repaired</v>
      </c>
      <c r="R1278" s="13" t="s">
        <v>1668</v>
      </c>
      <c r="S1278" s="25">
        <v>1</v>
      </c>
      <c r="T1278" s="25">
        <v>1</v>
      </c>
      <c r="U1278" s="25">
        <v>4</v>
      </c>
      <c r="V1278" s="13">
        <v>4</v>
      </c>
      <c r="W1278" s="13" t="str">
        <f>MID(A1278, SEARCH("_", A1278) +1, SEARCH("_", A1278, SEARCH("_", A1278) +1) - SEARCH("_", A1278) -1)</f>
        <v>Closure-86</v>
      </c>
      <c r="Y1278" t="str">
        <f>IF(AND($S753=1,$S1278=1,$V753=1,$V1278=1), "YES", "NO")</f>
        <v>NO</v>
      </c>
      <c r="Z1278" t="str">
        <f>IF(AND($S753=1,$S1278=1,$V753&gt;1,$V1278&gt;1), "YES", "NO")</f>
        <v>NO</v>
      </c>
      <c r="AA1278" t="str">
        <f>IF(AND($S753&gt;1,$S1278&gt;1,$S753=$V753,$S1278=$V1278), "YES", "NO")</f>
        <v>NO</v>
      </c>
      <c r="AB1278" t="str">
        <f>IF(AND($S753&gt;1,$S1278&gt;1,$S753&lt;$V753,$S1278&lt;$V1278), "YES", "NO")</f>
        <v>NO</v>
      </c>
      <c r="AC1278" t="str">
        <f>IF(AND($V753&gt;10,$V1278&gt;10), "YES", "NO")</f>
        <v>NO</v>
      </c>
      <c r="AD1278"/>
    </row>
    <row r="1279" spans="1:30" ht="15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>LEFT($A1279,FIND("_",$A1279)-1)</f>
        <v>GenProg-A</v>
      </c>
      <c r="P1279" s="13" t="str">
        <f>IF($O1279="ACS", "True Search", IF($O1279="Arja", "Evolutionary Search", IF($O1279="AVATAR", "True Pattern", IF($O1279="CapGen", "Search Like Pattern", IF($O1279="Cardumen", "True Semantic", IF($O1279="DynaMoth", "True Semantic", IF($O1279="FixMiner", "True Pattern", IF($O1279="GenProg-A", "Evolutionary Search", IF($O1279="Hercules", "Learning Pattern", IF($O1279="Jaid", "True Semantic",
IF($O1279="Kali-A", "True Search", IF($O1279="kPAR", "True Pattern", IF($O1279="Nopol", "True Semantic", IF($O1279="RSRepair-A", "Evolutionary Search", IF($O1279="SequenceR", "Deep Learning", IF($O1279="SimFix", "Search Like Pattern", IF($O1279="SketchFix", "True Pattern", IF($O1279="SOFix", "True Pattern", IF($O1279="ssFix", "Search Like Pattern", IF($O1279="TBar", "True Pattern", ""))))))))))))))))))))</f>
        <v>Evolutionary Search</v>
      </c>
      <c r="Q1279" s="13" t="str">
        <f>IF(NOT(ISERR(SEARCH("*_Buggy",$A1279))), "Buggy", IF(NOT(ISERR(SEARCH("*_Fixed",$A1279))), "Fixed", IF(NOT(ISERR(SEARCH("*_Repaired",$A1279))), "Repaired", "")))</f>
        <v>Repaired</v>
      </c>
      <c r="R1279" s="13" t="s">
        <v>1669</v>
      </c>
      <c r="S1279" s="25">
        <v>1</v>
      </c>
      <c r="T1279" s="25">
        <v>1</v>
      </c>
      <c r="U1279" s="25">
        <v>4</v>
      </c>
      <c r="V1279" s="13">
        <v>4</v>
      </c>
      <c r="W1279" s="13" t="str">
        <f>MID(A1279, SEARCH("_", A1279) +1, SEARCH("_", A1279, SEARCH("_", A1279) +1) - SEARCH("_", A1279) -1)</f>
        <v>Closure-88</v>
      </c>
      <c r="Y1279" t="str">
        <f>IF(AND($S754=1,$S1279=1,$V754=1,$V1279=1), "YES", "NO")</f>
        <v>NO</v>
      </c>
      <c r="Z1279" t="str">
        <f>IF(AND($S754=1,$S1279=1,$V754&gt;1,$V1279&gt;1), "YES", "NO")</f>
        <v>NO</v>
      </c>
      <c r="AA1279" t="str">
        <f>IF(AND($S754&gt;1,$S1279&gt;1,$S754=$V754,$S1279=$V1279), "YES", "NO")</f>
        <v>NO</v>
      </c>
      <c r="AB1279" t="str">
        <f>IF(AND($S754&gt;1,$S1279&gt;1,$S754&lt;$V754,$S1279&lt;$V1279), "YES", "NO")</f>
        <v>NO</v>
      </c>
      <c r="AC1279" t="str">
        <f>IF(AND($V754&gt;10,$V1279&gt;10), "YES", "NO")</f>
        <v>NO</v>
      </c>
      <c r="AD1279"/>
    </row>
    <row r="1280" spans="1:30" ht="15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>LEFT($A1280,FIND("_",$A1280)-1)</f>
        <v>GenProg-A</v>
      </c>
      <c r="P1280" s="13" t="str">
        <f>IF($O1280="ACS", "True Search", IF($O1280="Arja", "Evolutionary Search", IF($O1280="AVATAR", "True Pattern", IF($O1280="CapGen", "Search Like Pattern", IF($O1280="Cardumen", "True Semantic", IF($O1280="DynaMoth", "True Semantic", IF($O1280="FixMiner", "True Pattern", IF($O1280="GenProg-A", "Evolutionary Search", IF($O1280="Hercules", "Learning Pattern", IF($O1280="Jaid", "True Semantic",
IF($O1280="Kali-A", "True Search", IF($O1280="kPAR", "True Pattern", IF($O1280="Nopol", "True Semantic", IF($O1280="RSRepair-A", "Evolutionary Search", IF($O1280="SequenceR", "Deep Learning", IF($O1280="SimFix", "Search Like Pattern", IF($O1280="SketchFix", "True Pattern", IF($O1280="SOFix", "True Pattern", IF($O1280="ssFix", "Search Like Pattern", IF($O1280="TBar", "True Pattern", ""))))))))))))))))))))</f>
        <v>Evolutionary Search</v>
      </c>
      <c r="Q1280" s="13" t="str">
        <f>IF(NOT(ISERR(SEARCH("*_Buggy",$A1280))), "Buggy", IF(NOT(ISERR(SEARCH("*_Fixed",$A1280))), "Fixed", IF(NOT(ISERR(SEARCH("*_Repaired",$A1280))), "Repaired", "")))</f>
        <v>Repaired</v>
      </c>
      <c r="R1280" s="13" t="s">
        <v>1668</v>
      </c>
      <c r="S1280" s="25">
        <v>1</v>
      </c>
      <c r="T1280" s="25">
        <v>2</v>
      </c>
      <c r="U1280" s="25">
        <v>1</v>
      </c>
      <c r="V1280" s="13">
        <v>2</v>
      </c>
      <c r="W1280" s="13" t="str">
        <f>MID(A1280, SEARCH("_", A1280) +1, SEARCH("_", A1280, SEARCH("_", A1280) +1) - SEARCH("_", A1280) -1)</f>
        <v>Lang-43</v>
      </c>
      <c r="Y1280" t="str">
        <f>IF(AND($S755=1,$S1280=1,$V755=1,$V1280=1), "YES", "NO")</f>
        <v>NO</v>
      </c>
      <c r="Z1280" t="str">
        <f>IF(AND($S755=1,$S1280=1,$V755&gt;1,$V1280&gt;1), "YES", "NO")</f>
        <v>NO</v>
      </c>
      <c r="AA1280" t="str">
        <f>IF(AND($S755&gt;1,$S1280&gt;1,$S755=$V755,$S1280=$V1280), "YES", "NO")</f>
        <v>NO</v>
      </c>
      <c r="AB1280" t="str">
        <f>IF(AND($S755&gt;1,$S1280&gt;1,$S755&lt;$V755,$S1280&lt;$V1280), "YES", "NO")</f>
        <v>NO</v>
      </c>
      <c r="AC1280" t="str">
        <f>IF(AND($V755&gt;10,$V1280&gt;10), "YES", "NO")</f>
        <v>NO</v>
      </c>
      <c r="AD1280"/>
    </row>
    <row r="1281" spans="1:30" ht="15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>LEFT($A1281,FIND("_",$A1281)-1)</f>
        <v>GenProg-A</v>
      </c>
      <c r="P1281" s="13" t="str">
        <f>IF($O1281="ACS", "True Search", IF($O1281="Arja", "Evolutionary Search", IF($O1281="AVATAR", "True Pattern", IF($O1281="CapGen", "Search Like Pattern", IF($O1281="Cardumen", "True Semantic", IF($O1281="DynaMoth", "True Semantic", IF($O1281="FixMiner", "True Pattern", IF($O1281="GenProg-A", "Evolutionary Search", IF($O1281="Hercules", "Learning Pattern", IF($O1281="Jaid", "True Semantic",
IF($O1281="Kali-A", "True Search", IF($O1281="kPAR", "True Pattern", IF($O1281="Nopol", "True Semantic", IF($O1281="RSRepair-A", "Evolutionary Search", IF($O1281="SequenceR", "Deep Learning", IF($O1281="SimFix", "Search Like Pattern", IF($O1281="SketchFix", "True Pattern", IF($O1281="SOFix", "True Pattern", IF($O1281="ssFix", "Search Like Pattern", IF($O1281="TBar", "True Pattern", ""))))))))))))))))))))</f>
        <v>Evolutionary Search</v>
      </c>
      <c r="Q1281" s="13" t="str">
        <f>IF(NOT(ISERR(SEARCH("*_Buggy",$A1281))), "Buggy", IF(NOT(ISERR(SEARCH("*_Fixed",$A1281))), "Fixed", IF(NOT(ISERR(SEARCH("*_Repaired",$A1281))), "Repaired", "")))</f>
        <v>Repaired</v>
      </c>
      <c r="R1281" s="13" t="s">
        <v>1669</v>
      </c>
      <c r="S1281" s="25">
        <v>1</v>
      </c>
      <c r="T1281" s="25">
        <v>2</v>
      </c>
      <c r="U1281" s="25">
        <v>1</v>
      </c>
      <c r="V1281" s="13">
        <v>2</v>
      </c>
      <c r="W1281" s="13" t="str">
        <f>MID(A1281, SEARCH("_", A1281) +1, SEARCH("_", A1281, SEARCH("_", A1281) +1) - SEARCH("_", A1281) -1)</f>
        <v>Lang-59</v>
      </c>
      <c r="Y1281" t="str">
        <f>IF(AND($S756=1,$S1281=1,$V756=1,$V1281=1), "YES", "NO")</f>
        <v>NO</v>
      </c>
      <c r="Z1281" t="str">
        <f>IF(AND($S756=1,$S1281=1,$V756&gt;1,$V1281&gt;1), "YES", "NO")</f>
        <v>NO</v>
      </c>
      <c r="AA1281" t="str">
        <f>IF(AND($S756&gt;1,$S1281&gt;1,$S756=$V756,$S1281=$V1281), "YES", "NO")</f>
        <v>NO</v>
      </c>
      <c r="AB1281" t="str">
        <f>IF(AND($S756&gt;1,$S1281&gt;1,$S756&lt;$V756,$S1281&lt;$V1281), "YES", "NO")</f>
        <v>NO</v>
      </c>
      <c r="AC1281" t="str">
        <f>IF(AND($V756&gt;10,$V1281&gt;10), "YES", "NO")</f>
        <v>NO</v>
      </c>
      <c r="AD1281"/>
    </row>
    <row r="1282" spans="1:30" ht="15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>LEFT($A1282,FIND("_",$A1282)-1)</f>
        <v>GenProg-A</v>
      </c>
      <c r="P1282" s="13" t="str">
        <f>IF($O1282="ACS", "True Search", IF($O1282="Arja", "Evolutionary Search", IF($O1282="AVATAR", "True Pattern", IF($O1282="CapGen", "Search Like Pattern", IF($O1282="Cardumen", "True Semantic", IF($O1282="DynaMoth", "True Semantic", IF($O1282="FixMiner", "True Pattern", IF($O1282="GenProg-A", "Evolutionary Search", IF($O1282="Hercules", "Learning Pattern", IF($O1282="Jaid", "True Semantic",
IF($O1282="Kali-A", "True Search", IF($O1282="kPAR", "True Pattern", IF($O1282="Nopol", "True Semantic", IF($O1282="RSRepair-A", "Evolutionary Search", IF($O1282="SequenceR", "Deep Learning", IF($O1282="SimFix", "Search Like Pattern", IF($O1282="SketchFix", "True Pattern", IF($O1282="SOFix", "True Pattern", IF($O1282="ssFix", "Search Like Pattern", IF($O1282="TBar", "True Pattern", ""))))))))))))))))))))</f>
        <v>Evolutionary Search</v>
      </c>
      <c r="Q1282" s="13" t="str">
        <f>IF(NOT(ISERR(SEARCH("*_Buggy",$A1282))), "Buggy", IF(NOT(ISERR(SEARCH("*_Fixed",$A1282))), "Fixed", IF(NOT(ISERR(SEARCH("*_Repaired",$A1282))), "Repaired", "")))</f>
        <v>Repaired</v>
      </c>
      <c r="R1282" s="13" t="s">
        <v>1669</v>
      </c>
      <c r="S1282" s="25">
        <v>1</v>
      </c>
      <c r="T1282" s="25">
        <v>0</v>
      </c>
      <c r="U1282" s="13">
        <v>1</v>
      </c>
      <c r="V1282" s="13">
        <v>1</v>
      </c>
      <c r="W1282" s="13" t="str">
        <f>MID(A1282, SEARCH("_", A1282) +1, SEARCH("_", A1282, SEARCH("_", A1282) +1) - SEARCH("_", A1282) -1)</f>
        <v>Lang-63</v>
      </c>
      <c r="Y1282" t="str">
        <f>IF(AND($S757=1,$S1282=1,$V757=1,$V1282=1), "YES", "NO")</f>
        <v>NO</v>
      </c>
      <c r="Z1282" t="str">
        <f>IF(AND($S757=1,$S1282=1,$V757&gt;1,$V1282&gt;1), "YES", "NO")</f>
        <v>NO</v>
      </c>
      <c r="AA1282" t="str">
        <f>IF(AND($S757&gt;1,$S1282&gt;1,$S757=$V757,$S1282=$V1282), "YES", "NO")</f>
        <v>NO</v>
      </c>
      <c r="AB1282" t="str">
        <f>IF(AND($S757&gt;1,$S1282&gt;1,$S757&lt;$V757,$S1282&lt;$V1282), "YES", "NO")</f>
        <v>NO</v>
      </c>
      <c r="AC1282" t="str">
        <f>IF(AND($V757&gt;10,$V1282&gt;10), "YES", "NO")</f>
        <v>NO</v>
      </c>
      <c r="AD1282"/>
    </row>
    <row r="1283" spans="1:30" ht="15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>LEFT($A1283,FIND("_",$A1283)-1)</f>
        <v>GenProg-A</v>
      </c>
      <c r="P1283" s="13" t="str">
        <f>IF($O1283="ACS", "True Search", IF($O1283="Arja", "Evolutionary Search", IF($O1283="AVATAR", "True Pattern", IF($O1283="CapGen", "Search Like Pattern", IF($O1283="Cardumen", "True Semantic", IF($O1283="DynaMoth", "True Semantic", IF($O1283="FixMiner", "True Pattern", IF($O1283="GenProg-A", "Evolutionary Search", IF($O1283="Hercules", "Learning Pattern", IF($O1283="Jaid", "True Semantic",
IF($O1283="Kali-A", "True Search", IF($O1283="kPAR", "True Pattern", IF($O1283="Nopol", "True Semantic", IF($O1283="RSRepair-A", "Evolutionary Search", IF($O1283="SequenceR", "Deep Learning", IF($O1283="SimFix", "Search Like Pattern", IF($O1283="SketchFix", "True Pattern", IF($O1283="SOFix", "True Pattern", IF($O1283="ssFix", "Search Like Pattern", IF($O1283="TBar", "True Pattern", ""))))))))))))))))))))</f>
        <v>Evolutionary Search</v>
      </c>
      <c r="Q1283" s="13" t="str">
        <f>IF(NOT(ISERR(SEARCH("*_Buggy",$A1283))), "Buggy", IF(NOT(ISERR(SEARCH("*_Fixed",$A1283))), "Fixed", IF(NOT(ISERR(SEARCH("*_Repaired",$A1283))), "Repaired", "")))</f>
        <v>Repaired</v>
      </c>
      <c r="R1283" s="13" t="s">
        <v>1669</v>
      </c>
      <c r="S1283" s="25">
        <v>1</v>
      </c>
      <c r="T1283" s="25">
        <v>2</v>
      </c>
      <c r="U1283" s="25">
        <v>1</v>
      </c>
      <c r="V1283" s="13">
        <v>2</v>
      </c>
      <c r="W1283" s="13" t="str">
        <f>MID(A1283, SEARCH("_", A1283) +1, SEARCH("_", A1283, SEARCH("_", A1283) +1) - SEARCH("_", A1283) -1)</f>
        <v>Lang-7</v>
      </c>
      <c r="Y1283" t="str">
        <f>IF(AND($S758=1,$S1283=1,$V758=1,$V1283=1), "YES", "NO")</f>
        <v>NO</v>
      </c>
      <c r="Z1283" t="str">
        <f>IF(AND($S758=1,$S1283=1,$V758&gt;1,$V1283&gt;1), "YES", "NO")</f>
        <v>NO</v>
      </c>
      <c r="AA1283" t="str">
        <f>IF(AND($S758&gt;1,$S1283&gt;1,$S758=$V758,$S1283=$V1283), "YES", "NO")</f>
        <v>NO</v>
      </c>
      <c r="AB1283" t="str">
        <f>IF(AND($S758&gt;1,$S1283&gt;1,$S758&lt;$V758,$S1283&lt;$V1283), "YES", "NO")</f>
        <v>NO</v>
      </c>
      <c r="AC1283" t="str">
        <f>IF(AND($V758&gt;10,$V1283&gt;10), "YES", "NO")</f>
        <v>NO</v>
      </c>
      <c r="AD1283"/>
    </row>
    <row r="1284" spans="1:30" ht="15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>LEFT($A1284,FIND("_",$A1284)-1)</f>
        <v>GenProg-A</v>
      </c>
      <c r="P1284" s="13" t="str">
        <f>IF($O1284="ACS", "True Search", IF($O1284="Arja", "Evolutionary Search", IF($O1284="AVATAR", "True Pattern", IF($O1284="CapGen", "Search Like Pattern", IF($O1284="Cardumen", "True Semantic", IF($O1284="DynaMoth", "True Semantic", IF($O1284="FixMiner", "True Pattern", IF($O1284="GenProg-A", "Evolutionary Search", IF($O1284="Hercules", "Learning Pattern", IF($O1284="Jaid", "True Semantic",
IF($O1284="Kali-A", "True Search", IF($O1284="kPAR", "True Pattern", IF($O1284="Nopol", "True Semantic", IF($O1284="RSRepair-A", "Evolutionary Search", IF($O1284="SequenceR", "Deep Learning", IF($O1284="SimFix", "Search Like Pattern", IF($O1284="SketchFix", "True Pattern", IF($O1284="SOFix", "True Pattern", IF($O1284="ssFix", "Search Like Pattern", IF($O1284="TBar", "True Pattern", ""))))))))))))))))))))</f>
        <v>Evolutionary Search</v>
      </c>
      <c r="Q1284" s="13" t="str">
        <f>IF(NOT(ISERR(SEARCH("*_Buggy",$A1284))), "Buggy", IF(NOT(ISERR(SEARCH("*_Fixed",$A1284))), "Fixed", IF(NOT(ISERR(SEARCH("*_Repaired",$A1284))), "Repaired", "")))</f>
        <v>Repaired</v>
      </c>
      <c r="R1284" s="13" t="s">
        <v>1669</v>
      </c>
      <c r="S1284" s="25">
        <v>1</v>
      </c>
      <c r="T1284" s="25">
        <v>1</v>
      </c>
      <c r="U1284" s="25">
        <v>12</v>
      </c>
      <c r="V1284" s="13">
        <v>12</v>
      </c>
      <c r="W1284" s="13" t="str">
        <f>MID(A1284, SEARCH("_", A1284) +1, SEARCH("_", A1284, SEARCH("_", A1284) +1) - SEARCH("_", A1284) -1)</f>
        <v>Math-28</v>
      </c>
      <c r="Y1284" t="str">
        <f>IF(AND($S759=1,$S1284=1,$V759=1,$V1284=1), "YES", "NO")</f>
        <v>NO</v>
      </c>
      <c r="Z1284" t="str">
        <f>IF(AND($S759=1,$S1284=1,$V759&gt;1,$V1284&gt;1), "YES", "NO")</f>
        <v>NO</v>
      </c>
      <c r="AA1284" t="str">
        <f>IF(AND($S759&gt;1,$S1284&gt;1,$S759=$V759,$S1284=$V1284), "YES", "NO")</f>
        <v>NO</v>
      </c>
      <c r="AB1284" t="str">
        <f>IF(AND($S759&gt;1,$S1284&gt;1,$S759&lt;$V759,$S1284&lt;$V1284), "YES", "NO")</f>
        <v>NO</v>
      </c>
      <c r="AC1284" t="str">
        <f>IF(AND($V759&gt;10,$V1284&gt;10), "YES", "NO")</f>
        <v>NO</v>
      </c>
      <c r="AD1284"/>
    </row>
    <row r="1285" spans="1:30" ht="15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>LEFT($A1285,FIND("_",$A1285)-1)</f>
        <v>GenProg-A</v>
      </c>
      <c r="P1285" s="13" t="str">
        <f>IF($O1285="ACS", "True Search", IF($O1285="Arja", "Evolutionary Search", IF($O1285="AVATAR", "True Pattern", IF($O1285="CapGen", "Search Like Pattern", IF($O1285="Cardumen", "True Semantic", IF($O1285="DynaMoth", "True Semantic", IF($O1285="FixMiner", "True Pattern", IF($O1285="GenProg-A", "Evolutionary Search", IF($O1285="Hercules", "Learning Pattern", IF($O1285="Jaid", "True Semantic",
IF($O1285="Kali-A", "True Search", IF($O1285="kPAR", "True Pattern", IF($O1285="Nopol", "True Semantic", IF($O1285="RSRepair-A", "Evolutionary Search", IF($O1285="SequenceR", "Deep Learning", IF($O1285="SimFix", "Search Like Pattern", IF($O1285="SketchFix", "True Pattern", IF($O1285="SOFix", "True Pattern", IF($O1285="ssFix", "Search Like Pattern", IF($O1285="TBar", "True Pattern", ""))))))))))))))))))))</f>
        <v>Evolutionary Search</v>
      </c>
      <c r="Q1285" s="13" t="str">
        <f>IF(NOT(ISERR(SEARCH("*_Buggy",$A1285))), "Buggy", IF(NOT(ISERR(SEARCH("*_Fixed",$A1285))), "Fixed", IF(NOT(ISERR(SEARCH("*_Repaired",$A1285))), "Repaired", "")))</f>
        <v>Repaired</v>
      </c>
      <c r="R1285" s="13" t="s">
        <v>1668</v>
      </c>
      <c r="S1285" s="25">
        <v>1</v>
      </c>
      <c r="T1285" s="25">
        <v>0</v>
      </c>
      <c r="U1285" s="13">
        <v>1</v>
      </c>
      <c r="V1285" s="13">
        <v>1</v>
      </c>
      <c r="W1285" s="13" t="str">
        <f>MID(A1285, SEARCH("_", A1285) +1, SEARCH("_", A1285, SEARCH("_", A1285) +1) - SEARCH("_", A1285) -1)</f>
        <v>Math-50</v>
      </c>
      <c r="Y1285" t="str">
        <f>IF(AND($S760=1,$S1285=1,$V760=1,$V1285=1), "YES", "NO")</f>
        <v>NO</v>
      </c>
      <c r="Z1285" t="str">
        <f>IF(AND($S760=1,$S1285=1,$V760&gt;1,$V1285&gt;1), "YES", "NO")</f>
        <v>NO</v>
      </c>
      <c r="AA1285" t="str">
        <f>IF(AND($S760&gt;1,$S1285&gt;1,$S760=$V760,$S1285=$V1285), "YES", "NO")</f>
        <v>NO</v>
      </c>
      <c r="AB1285" t="str">
        <f>IF(AND($S760&gt;1,$S1285&gt;1,$S760&lt;$V760,$S1285&lt;$V1285), "YES", "NO")</f>
        <v>NO</v>
      </c>
      <c r="AC1285" t="str">
        <f>IF(AND($V760&gt;10,$V1285&gt;10), "YES", "NO")</f>
        <v>NO</v>
      </c>
      <c r="AD1285"/>
    </row>
    <row r="1286" spans="1:30" ht="15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>LEFT($A1286,FIND("_",$A1286)-1)</f>
        <v>GenProg-A</v>
      </c>
      <c r="P1286" s="13" t="str">
        <f>IF($O1286="ACS", "True Search", IF($O1286="Arja", "Evolutionary Search", IF($O1286="AVATAR", "True Pattern", IF($O1286="CapGen", "Search Like Pattern", IF($O1286="Cardumen", "True Semantic", IF($O1286="DynaMoth", "True Semantic", IF($O1286="FixMiner", "True Pattern", IF($O1286="GenProg-A", "Evolutionary Search", IF($O1286="Hercules", "Learning Pattern", IF($O1286="Jaid", "True Semantic",
IF($O1286="Kali-A", "True Search", IF($O1286="kPAR", "True Pattern", IF($O1286="Nopol", "True Semantic", IF($O1286="RSRepair-A", "Evolutionary Search", IF($O1286="SequenceR", "Deep Learning", IF($O1286="SimFix", "Search Like Pattern", IF($O1286="SketchFix", "True Pattern", IF($O1286="SOFix", "True Pattern", IF($O1286="ssFix", "Search Like Pattern", IF($O1286="TBar", "True Pattern", ""))))))))))))))))))))</f>
        <v>Evolutionary Search</v>
      </c>
      <c r="Q1286" s="13" t="str">
        <f>IF(NOT(ISERR(SEARCH("*_Buggy",$A1286))), "Buggy", IF(NOT(ISERR(SEARCH("*_Fixed",$A1286))), "Fixed", IF(NOT(ISERR(SEARCH("*_Repaired",$A1286))), "Repaired", "")))</f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v>1</v>
      </c>
      <c r="W1286" s="13" t="str">
        <f>MID(A1286, SEARCH("_", A1286) +1, SEARCH("_", A1286, SEARCH("_", A1286) +1) - SEARCH("_", A1286) -1)</f>
        <v>Math-70</v>
      </c>
      <c r="Y1286" t="str">
        <f>IF(AND($S761=1,$S1286=1,$V761=1,$V1286=1), "YES", "NO")</f>
        <v>YES</v>
      </c>
      <c r="Z1286" t="str">
        <f>IF(AND($S761=1,$S1286=1,$V761&gt;1,$V1286&gt;1), "YES", "NO")</f>
        <v>NO</v>
      </c>
      <c r="AA1286" t="str">
        <f>IF(AND($S761&gt;1,$S1286&gt;1,$S761=$V761,$S1286=$V1286), "YES", "NO")</f>
        <v>NO</v>
      </c>
      <c r="AB1286" t="str">
        <f>IF(AND($S761&gt;1,$S1286&gt;1,$S761&lt;$V761,$S1286&lt;$V1286), "YES", "NO")</f>
        <v>NO</v>
      </c>
      <c r="AC1286" t="str">
        <f>IF(AND($V761&gt;10,$V1286&gt;10), "YES", "NO")</f>
        <v>NO</v>
      </c>
      <c r="AD1286"/>
    </row>
    <row r="1287" spans="1:30" ht="15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>LEFT($A1287,FIND("_",$A1287)-1)</f>
        <v>GenProg-A</v>
      </c>
      <c r="P1287" s="13" t="str">
        <f>IF($O1287="ACS", "True Search", IF($O1287="Arja", "Evolutionary Search", IF($O1287="AVATAR", "True Pattern", IF($O1287="CapGen", "Search Like Pattern", IF($O1287="Cardumen", "True Semantic", IF($O1287="DynaMoth", "True Semantic", IF($O1287="FixMiner", "True Pattern", IF($O1287="GenProg-A", "Evolutionary Search", IF($O1287="Hercules", "Learning Pattern", IF($O1287="Jaid", "True Semantic",
IF($O1287="Kali-A", "True Search", IF($O1287="kPAR", "True Pattern", IF($O1287="Nopol", "True Semantic", IF($O1287="RSRepair-A", "Evolutionary Search", IF($O1287="SequenceR", "Deep Learning", IF($O1287="SimFix", "Search Like Pattern", IF($O1287="SketchFix", "True Pattern", IF($O1287="SOFix", "True Pattern", IF($O1287="ssFix", "Search Like Pattern", IF($O1287="TBar", "True Pattern", ""))))))))))))))))))))</f>
        <v>Evolutionary Search</v>
      </c>
      <c r="Q1287" s="13" t="str">
        <f>IF(NOT(ISERR(SEARCH("*_Buggy",$A1287))), "Buggy", IF(NOT(ISERR(SEARCH("*_Fixed",$A1287))), "Fixed", IF(NOT(ISERR(SEARCH("*_Repaired",$A1287))), "Repaired", "")))</f>
        <v>Repaired</v>
      </c>
      <c r="R1287" s="13" t="s">
        <v>1669</v>
      </c>
      <c r="S1287" s="25">
        <v>1</v>
      </c>
      <c r="T1287" s="25">
        <v>6</v>
      </c>
      <c r="U1287" s="25">
        <v>1</v>
      </c>
      <c r="V1287" s="13">
        <v>6</v>
      </c>
      <c r="W1287" s="13" t="str">
        <f>MID(A1287, SEARCH("_", A1287) +1, SEARCH("_", A1287, SEARCH("_", A1287) +1) - SEARCH("_", A1287) -1)</f>
        <v>Math-80</v>
      </c>
      <c r="Y1287" t="str">
        <f>IF(AND($S762=1,$S1287=1,$V762=1,$V1287=1), "YES", "NO")</f>
        <v>NO</v>
      </c>
      <c r="Z1287" t="str">
        <f>IF(AND($S762=1,$S1287=1,$V762&gt;1,$V1287&gt;1), "YES", "NO")</f>
        <v>NO</v>
      </c>
      <c r="AA1287" t="str">
        <f>IF(AND($S762&gt;1,$S1287&gt;1,$S762=$V762,$S1287=$V1287), "YES", "NO")</f>
        <v>NO</v>
      </c>
      <c r="AB1287" t="str">
        <f>IF(AND($S762&gt;1,$S1287&gt;1,$S762&lt;$V762,$S1287&lt;$V1287), "YES", "NO")</f>
        <v>NO</v>
      </c>
      <c r="AC1287" t="str">
        <f>IF(AND($V762&gt;10,$V1287&gt;10), "YES", "NO")</f>
        <v>NO</v>
      </c>
      <c r="AD1287"/>
    </row>
    <row r="1288" spans="1:30" ht="15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>LEFT($A1288,FIND("_",$A1288)-1)</f>
        <v>GenProg-A</v>
      </c>
      <c r="P1288" s="13" t="str">
        <f>IF($O1288="ACS", "True Search", IF($O1288="Arja", "Evolutionary Search", IF($O1288="AVATAR", "True Pattern", IF($O1288="CapGen", "Search Like Pattern", IF($O1288="Cardumen", "True Semantic", IF($O1288="DynaMoth", "True Semantic", IF($O1288="FixMiner", "True Pattern", IF($O1288="GenProg-A", "Evolutionary Search", IF($O1288="Hercules", "Learning Pattern", IF($O1288="Jaid", "True Semantic",
IF($O1288="Kali-A", "True Search", IF($O1288="kPAR", "True Pattern", IF($O1288="Nopol", "True Semantic", IF($O1288="RSRepair-A", "Evolutionary Search", IF($O1288="SequenceR", "Deep Learning", IF($O1288="SimFix", "Search Like Pattern", IF($O1288="SketchFix", "True Pattern", IF($O1288="SOFix", "True Pattern", IF($O1288="ssFix", "Search Like Pattern", IF($O1288="TBar", "True Pattern", ""))))))))))))))))))))</f>
        <v>Evolutionary Search</v>
      </c>
      <c r="Q1288" s="13" t="str">
        <f>IF(NOT(ISERR(SEARCH("*_Buggy",$A1288))), "Buggy", IF(NOT(ISERR(SEARCH("*_Fixed",$A1288))), "Fixed", IF(NOT(ISERR(SEARCH("*_Repaired",$A1288))), "Repaired", "")))</f>
        <v>Repaired</v>
      </c>
      <c r="R1288" s="13" t="s">
        <v>1669</v>
      </c>
      <c r="S1288" s="25">
        <v>2</v>
      </c>
      <c r="T1288" s="25">
        <v>1</v>
      </c>
      <c r="U1288" s="25">
        <v>33</v>
      </c>
      <c r="V1288" s="13">
        <v>33</v>
      </c>
      <c r="W1288" s="13" t="str">
        <f>MID(A1288, SEARCH("_", A1288) +1, SEARCH("_", A1288, SEARCH("_", A1288) +1) - SEARCH("_", A1288) -1)</f>
        <v>Math-81</v>
      </c>
      <c r="Y1288" t="str">
        <f>IF(AND($S763=1,$S1288=1,$V763=1,$V1288=1), "YES", "NO")</f>
        <v>NO</v>
      </c>
      <c r="Z1288" t="str">
        <f>IF(AND($S763=1,$S1288=1,$V763&gt;1,$V1288&gt;1), "YES", "NO")</f>
        <v>NO</v>
      </c>
      <c r="AA1288" t="str">
        <f>IF(AND($S763&gt;1,$S1288&gt;1,$S763=$V763,$S1288=$V1288), "YES", "NO")</f>
        <v>NO</v>
      </c>
      <c r="AB1288" t="str">
        <f>IF(AND($S763&gt;1,$S1288&gt;1,$S763&lt;$V763,$S1288&lt;$V1288), "YES", "NO")</f>
        <v>YES</v>
      </c>
      <c r="AC1288" t="str">
        <f>IF(AND($V763&gt;10,$V1288&gt;10), "YES", "NO")</f>
        <v>NO</v>
      </c>
      <c r="AD1288"/>
    </row>
    <row r="1289" spans="1:30" ht="15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>LEFT($A1289,FIND("_",$A1289)-1)</f>
        <v>GenProg-A</v>
      </c>
      <c r="P1289" s="13" t="str">
        <f>IF($O1289="ACS", "True Search", IF($O1289="Arja", "Evolutionary Search", IF($O1289="AVATAR", "True Pattern", IF($O1289="CapGen", "Search Like Pattern", IF($O1289="Cardumen", "True Semantic", IF($O1289="DynaMoth", "True Semantic", IF($O1289="FixMiner", "True Pattern", IF($O1289="GenProg-A", "Evolutionary Search", IF($O1289="Hercules", "Learning Pattern", IF($O1289="Jaid", "True Semantic",
IF($O1289="Kali-A", "True Search", IF($O1289="kPAR", "True Pattern", IF($O1289="Nopol", "True Semantic", IF($O1289="RSRepair-A", "Evolutionary Search", IF($O1289="SequenceR", "Deep Learning", IF($O1289="SimFix", "Search Like Pattern", IF($O1289="SketchFix", "True Pattern", IF($O1289="SOFix", "True Pattern", IF($O1289="ssFix", "Search Like Pattern", IF($O1289="TBar", "True Pattern", ""))))))))))))))))))))</f>
        <v>Evolutionary Search</v>
      </c>
      <c r="Q1289" s="13" t="str">
        <f>IF(NOT(ISERR(SEARCH("*_Buggy",$A1289))), "Buggy", IF(NOT(ISERR(SEARCH("*_Fixed",$A1289))), "Fixed", IF(NOT(ISERR(SEARCH("*_Repaired",$A1289))), "Repaired", "")))</f>
        <v>Repaired</v>
      </c>
      <c r="R1289" s="13" t="s">
        <v>1669</v>
      </c>
      <c r="S1289" s="25">
        <v>1</v>
      </c>
      <c r="T1289" s="25">
        <v>0</v>
      </c>
      <c r="U1289" s="13">
        <v>1</v>
      </c>
      <c r="V1289" s="13">
        <v>1</v>
      </c>
      <c r="W1289" s="13" t="str">
        <f>MID(A1289, SEARCH("_", A1289) +1, SEARCH("_", A1289, SEARCH("_", A1289) +1) - SEARCH("_", A1289) -1)</f>
        <v>Math-82</v>
      </c>
      <c r="Y1289" t="str">
        <f>IF(AND($S764=1,$S1289=1,$V764=1,$V1289=1), "YES", "NO")</f>
        <v>YES</v>
      </c>
      <c r="Z1289" t="str">
        <f>IF(AND($S764=1,$S1289=1,$V764&gt;1,$V1289&gt;1), "YES", "NO")</f>
        <v>NO</v>
      </c>
      <c r="AA1289" t="str">
        <f>IF(AND($S764&gt;1,$S1289&gt;1,$S764=$V764,$S1289=$V1289), "YES", "NO")</f>
        <v>NO</v>
      </c>
      <c r="AB1289" t="str">
        <f>IF(AND($S764&gt;1,$S1289&gt;1,$S764&lt;$V764,$S1289&lt;$V1289), "YES", "NO")</f>
        <v>NO</v>
      </c>
      <c r="AC1289" t="str">
        <f>IF(AND($V764&gt;10,$V1289&gt;10), "YES", "NO")</f>
        <v>NO</v>
      </c>
      <c r="AD1289"/>
    </row>
    <row r="1290" spans="1:30" ht="15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>LEFT($A1290,FIND("_",$A1290)-1)</f>
        <v>GenProg-A</v>
      </c>
      <c r="P1290" s="13" t="str">
        <f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>IF(NOT(ISERR(SEARCH("*_Buggy",$A1290))), "Buggy", IF(NOT(ISERR(SEARCH("*_Fixed",$A1290))), "Fixed", IF(NOT(ISERR(SEARCH("*_Repaired",$A1290))), "Repaired", "")))</f>
        <v>Repaired</v>
      </c>
      <c r="R1290" s="13" t="s">
        <v>1669</v>
      </c>
      <c r="S1290" s="25">
        <v>1</v>
      </c>
      <c r="T1290" s="25">
        <v>5</v>
      </c>
      <c r="U1290" s="25">
        <v>8</v>
      </c>
      <c r="V1290" s="13">
        <v>8</v>
      </c>
      <c r="W1290" s="13" t="str">
        <f>MID(A1290, SEARCH("_", A1290) +1, SEARCH("_", A1290, SEARCH("_", A1290) +1) - SEARCH("_", A1290) -1)</f>
        <v>Math-85</v>
      </c>
      <c r="Y1290" t="str">
        <f>IF(AND($S765=1,$S1290=1,$V765=1,$V1290=1), "YES", "NO")</f>
        <v>NO</v>
      </c>
      <c r="Z1290" t="str">
        <f>IF(AND($S765=1,$S1290=1,$V765&gt;1,$V1290&gt;1), "YES", "NO")</f>
        <v>NO</v>
      </c>
      <c r="AA1290" t="str">
        <f>IF(AND($S765&gt;1,$S1290&gt;1,$S765=$V765,$S1290=$V1290), "YES", "NO")</f>
        <v>NO</v>
      </c>
      <c r="AB1290" t="str">
        <f>IF(AND($S765&gt;1,$S1290&gt;1,$S765&lt;$V765,$S1290&lt;$V1290), "YES", "NO")</f>
        <v>NO</v>
      </c>
      <c r="AC1290" t="str">
        <f>IF(AND($V765&gt;10,$V1290&gt;10), "YES", "NO")</f>
        <v>NO</v>
      </c>
      <c r="AD1290"/>
    </row>
    <row r="1291" spans="1:30" ht="15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>LEFT($A1291,FIND("_",$A1291)-1)</f>
        <v>GenProg-A</v>
      </c>
      <c r="P1291" s="13" t="str">
        <f>IF($O1291="ACS", "True Search", IF($O1291="Arja", "Evolutionary Search", IF($O1291="AVATAR", "True Pattern", IF($O1291="CapGen", "Search Like Pattern", IF($O1291="Cardumen", "True Semantic", IF($O1291="DynaMoth", "True Semantic", IF($O1291="FixMiner", "True Pattern", IF($O1291="GenProg-A", "Evolutionary Search", IF($O1291="Hercules", "Learning Pattern", IF($O1291="Jaid", "True Semantic",
IF($O1291="Kali-A", "True Search", IF($O1291="kPAR", "True Pattern", IF($O1291="Nopol", "True Semantic", IF($O1291="RSRepair-A", "Evolutionary Search", IF($O1291="SequenceR", "Deep Learning", IF($O1291="SimFix", "Search Like Pattern", IF($O1291="SketchFix", "True Pattern", IF($O1291="SOFix", "True Pattern", IF($O1291="ssFix", "Search Like Pattern", IF($O1291="TBar", "True Pattern", ""))))))))))))))))))))</f>
        <v>Evolutionary Search</v>
      </c>
      <c r="Q1291" s="13" t="str">
        <f>IF(NOT(ISERR(SEARCH("*_Buggy",$A1291))), "Buggy", IF(NOT(ISERR(SEARCH("*_Fixed",$A1291))), "Fixed", IF(NOT(ISERR(SEARCH("*_Repaired",$A1291))), "Repaired", "")))</f>
        <v>Repaired</v>
      </c>
      <c r="R1291" s="13" t="s">
        <v>1669</v>
      </c>
      <c r="S1291" s="25">
        <v>2</v>
      </c>
      <c r="T1291" s="25">
        <v>8</v>
      </c>
      <c r="U1291" s="25">
        <v>3</v>
      </c>
      <c r="V1291" s="13">
        <v>9</v>
      </c>
      <c r="W1291" s="13" t="str">
        <f>MID(A1291, SEARCH("_", A1291) +1, SEARCH("_", A1291, SEARCH("_", A1291) +1) - SEARCH("_", A1291) -1)</f>
        <v>Math-95</v>
      </c>
      <c r="Y1291" t="str">
        <f>IF(AND($S766=1,$S1291=1,$V766=1,$V1291=1), "YES", "NO")</f>
        <v>NO</v>
      </c>
      <c r="Z1291" t="str">
        <f>IF(AND($S766=1,$S1291=1,$V766&gt;1,$V1291&gt;1), "YES", "NO")</f>
        <v>NO</v>
      </c>
      <c r="AA1291" t="str">
        <f>IF(AND($S766&gt;1,$S1291&gt;1,$S766=$V766,$S1291=$V1291), "YES", "NO")</f>
        <v>NO</v>
      </c>
      <c r="AB1291" t="str">
        <f>IF(AND($S766&gt;1,$S1291&gt;1,$S766&lt;$V766,$S1291&lt;$V1291), "YES", "NO")</f>
        <v>NO</v>
      </c>
      <c r="AC1291" t="str">
        <f>IF(AND($V766&gt;10,$V1291&gt;10), "YES", "NO")</f>
        <v>NO</v>
      </c>
      <c r="AD1291"/>
    </row>
    <row r="1292" spans="1:30" ht="15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>LEFT($A1292,FIND("_",$A1292)-1)</f>
        <v>Kali-A</v>
      </c>
      <c r="P1292" s="13" t="str">
        <f>IF($O1292="ACS", "True Search", IF($O1292="Arja", "Evolutionary Search", IF($O1292="AVATAR", "True Pattern", IF($O1292="CapGen", "Search Like Pattern", IF($O1292="Cardumen", "True Semantic", IF($O1292="DynaMoth", "True Semantic", IF($O1292="FixMiner", "True Pattern", IF($O1292="GenProg-A", "Evolutionary Search", IF($O1292="Hercules", "Learning Pattern", IF($O1292="Jaid", "True Semantic",
IF($O1292="Kali-A", "True Search", IF($O1292="kPAR", "True Pattern", IF($O1292="Nopol", "True Semantic", IF($O1292="RSRepair-A", "Evolutionary Search", IF($O1292="SequenceR", "Deep Learning", IF($O1292="SimFix", "Search Like Pattern", IF($O1292="SketchFix", "True Pattern", IF($O1292="SOFix", "True Pattern", IF($O1292="ssFix", "Search Like Pattern", IF($O1292="TBar", "True Pattern", ""))))))))))))))))))))</f>
        <v>True Search</v>
      </c>
      <c r="Q1292" s="13" t="str">
        <f>IF(NOT(ISERR(SEARCH("*_Buggy",$A1292))), "Buggy", IF(NOT(ISERR(SEARCH("*_Fixed",$A1292))), "Fixed", IF(NOT(ISERR(SEARCH("*_Repaired",$A1292))), "Repaired", "")))</f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v>1</v>
      </c>
      <c r="W1292" s="13" t="str">
        <f>MID(A1292, SEARCH("_", A1292) +1, SEARCH("_", A1292, SEARCH("_", A1292) +1) - SEARCH("_", A1292) -1)</f>
        <v>Chart-1</v>
      </c>
      <c r="Y1292" t="str">
        <f>IF(AND($S767=1,$S1292=1,$V767=1,$V1292=1), "YES", "NO")</f>
        <v>YES</v>
      </c>
      <c r="Z1292" t="str">
        <f>IF(AND($S767=1,$S1292=1,$V767&gt;1,$V1292&gt;1), "YES", "NO")</f>
        <v>NO</v>
      </c>
      <c r="AA1292" t="str">
        <f>IF(AND($S767&gt;1,$S1292&gt;1,$S767=$V767,$S1292=$V1292), "YES", "NO")</f>
        <v>NO</v>
      </c>
      <c r="AB1292" t="str">
        <f>IF(AND($S767&gt;1,$S1292&gt;1,$S767&lt;$V767,$S1292&lt;$V1292), "YES", "NO")</f>
        <v>NO</v>
      </c>
      <c r="AC1292" t="str">
        <f>IF(AND($V767&gt;10,$V1292&gt;10), "YES", "NO")</f>
        <v>NO</v>
      </c>
      <c r="AD1292"/>
    </row>
    <row r="1293" spans="1:30" ht="15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>LEFT($A1293,FIND("_",$A1293)-1)</f>
        <v>Kali-A</v>
      </c>
      <c r="P1293" s="13" t="str">
        <f>IF($O1293="ACS", "True Search", IF($O1293="Arja", "Evolutionary Search", IF($O1293="AVATAR", "True Pattern", IF($O1293="CapGen", "Search Like Pattern", IF($O1293="Cardumen", "True Semantic", IF($O1293="DynaMoth", "True Semantic", IF($O1293="FixMiner", "True Pattern", IF($O1293="GenProg-A", "Evolutionary Search", IF($O1293="Hercules", "Learning Pattern", IF($O1293="Jaid", "True Semantic",
IF($O1293="Kali-A", "True Search", IF($O1293="kPAR", "True Pattern", IF($O1293="Nopol", "True Semantic", IF($O1293="RSRepair-A", "Evolutionary Search", IF($O1293="SequenceR", "Deep Learning", IF($O1293="SimFix", "Search Like Pattern", IF($O1293="SketchFix", "True Pattern", IF($O1293="SOFix", "True Pattern", IF($O1293="ssFix", "Search Like Pattern", IF($O1293="TBar", "True Pattern", ""))))))))))))))))))))</f>
        <v>True Search</v>
      </c>
      <c r="Q1293" s="13" t="str">
        <f>IF(NOT(ISERR(SEARCH("*_Buggy",$A1293))), "Buggy", IF(NOT(ISERR(SEARCH("*_Fixed",$A1293))), "Fixed", IF(NOT(ISERR(SEARCH("*_Repaired",$A1293))), "Repaired", "")))</f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v>1</v>
      </c>
      <c r="W1293" s="13" t="str">
        <f>MID(A1293, SEARCH("_", A1293) +1, SEARCH("_", A1293, SEARCH("_", A1293) +1) - SEARCH("_", A1293) -1)</f>
        <v>Chart-5</v>
      </c>
      <c r="Y1293" t="str">
        <f>IF(AND($S768=1,$S1293=1,$V768=1,$V1293=1), "YES", "NO")</f>
        <v>NO</v>
      </c>
      <c r="Z1293" t="str">
        <f>IF(AND($S768=1,$S1293=1,$V768&gt;1,$V1293&gt;1), "YES", "NO")</f>
        <v>NO</v>
      </c>
      <c r="AA1293" t="str">
        <f>IF(AND($S768&gt;1,$S1293&gt;1,$S768=$V768,$S1293=$V1293), "YES", "NO")</f>
        <v>NO</v>
      </c>
      <c r="AB1293" t="str">
        <f>IF(AND($S768&gt;1,$S1293&gt;1,$S768&lt;$V768,$S1293&lt;$V1293), "YES", "NO")</f>
        <v>NO</v>
      </c>
      <c r="AC1293" t="str">
        <f>IF(AND($V768&gt;10,$V1293&gt;10), "YES", "NO")</f>
        <v>NO</v>
      </c>
      <c r="AD1293"/>
    </row>
    <row r="1294" spans="1:30" ht="15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>LEFT($A1294,FIND("_",$A1294)-1)</f>
        <v>Kali-A</v>
      </c>
      <c r="P1294" s="13" t="str">
        <f>IF($O1294="ACS", "True Search", IF($O1294="Arja", "Evolutionary Search", IF($O1294="AVATAR", "True Pattern", IF($O1294="CapGen", "Search Like Pattern", IF($O1294="Cardumen", "True Semantic", IF($O1294="DynaMoth", "True Semantic", IF($O1294="FixMiner", "True Pattern", IF($O1294="GenProg-A", "Evolutionary Search", IF($O1294="Hercules", "Learning Pattern", IF($O1294="Jaid", "True Semantic",
IF($O1294="Kali-A", "True Search", IF($O1294="kPAR", "True Pattern", IF($O1294="Nopol", "True Semantic", IF($O1294="RSRepair-A", "Evolutionary Search", IF($O1294="SequenceR", "Deep Learning", IF($O1294="SimFix", "Search Like Pattern", IF($O1294="SketchFix", "True Pattern", IF($O1294="SOFix", "True Pattern", IF($O1294="ssFix", "Search Like Pattern", IF($O1294="TBar", "True Pattern", ""))))))))))))))))))))</f>
        <v>True Search</v>
      </c>
      <c r="Q1294" s="13" t="str">
        <f>IF(NOT(ISERR(SEARCH("*_Buggy",$A1294))), "Buggy", IF(NOT(ISERR(SEARCH("*_Fixed",$A1294))), "Fixed", IF(NOT(ISERR(SEARCH("*_Repaired",$A1294))), "Repaired", "")))</f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v>1</v>
      </c>
      <c r="W1294" s="13" t="str">
        <f>MID(A1294, SEARCH("_", A1294) +1, SEARCH("_", A1294, SEARCH("_", A1294) +1) - SEARCH("_", A1294) -1)</f>
        <v>Closure-1</v>
      </c>
      <c r="Y1294" t="str">
        <f>IF(AND($S769=1,$S1294=1,$V769=1,$V1294=1), "YES", "NO")</f>
        <v>NO</v>
      </c>
      <c r="Z1294" t="str">
        <f>IF(AND($S769=1,$S1294=1,$V769&gt;1,$V1294&gt;1), "YES", "NO")</f>
        <v>NO</v>
      </c>
      <c r="AA1294" t="str">
        <f>IF(AND($S769&gt;1,$S1294&gt;1,$S769=$V769,$S1294=$V1294), "YES", "NO")</f>
        <v>NO</v>
      </c>
      <c r="AB1294" t="str">
        <f>IF(AND($S769&gt;1,$S1294&gt;1,$S769&lt;$V769,$S1294&lt;$V1294), "YES", "NO")</f>
        <v>NO</v>
      </c>
      <c r="AC1294" t="str">
        <f>IF(AND($V769&gt;10,$V1294&gt;10), "YES", "NO")</f>
        <v>NO</v>
      </c>
      <c r="AD1294"/>
    </row>
    <row r="1295" spans="1:30" ht="15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>LEFT($A1295,FIND("_",$A1295)-1)</f>
        <v>Kali-A</v>
      </c>
      <c r="P1295" s="13" t="str">
        <f>IF($O1295="ACS", "True Search", IF($O1295="Arja", "Evolutionary Search", IF($O1295="AVATAR", "True Pattern", IF($O1295="CapGen", "Search Like Pattern", IF($O1295="Cardumen", "True Semantic", IF($O1295="DynaMoth", "True Semantic", IF($O1295="FixMiner", "True Pattern", IF($O1295="GenProg-A", "Evolutionary Search", IF($O1295="Hercules", "Learning Pattern", IF($O1295="Jaid", "True Semantic",
IF($O1295="Kali-A", "True Search", IF($O1295="kPAR", "True Pattern", IF($O1295="Nopol", "True Semantic", IF($O1295="RSRepair-A", "Evolutionary Search", IF($O1295="SequenceR", "Deep Learning", IF($O1295="SimFix", "Search Like Pattern", IF($O1295="SketchFix", "True Pattern", IF($O1295="SOFix", "True Pattern", IF($O1295="ssFix", "Search Like Pattern", IF($O1295="TBar", "True Pattern", ""))))))))))))))))))))</f>
        <v>True Search</v>
      </c>
      <c r="Q1295" s="13" t="str">
        <f>IF(NOT(ISERR(SEARCH("*_Buggy",$A1295))), "Buggy", IF(NOT(ISERR(SEARCH("*_Fixed",$A1295))), "Fixed", IF(NOT(ISERR(SEARCH("*_Repaired",$A1295))), "Repaired", "")))</f>
        <v>Repaired</v>
      </c>
      <c r="R1295" s="13" t="s">
        <v>1669</v>
      </c>
      <c r="S1295" s="25">
        <v>1</v>
      </c>
      <c r="T1295" s="25">
        <v>6</v>
      </c>
      <c r="U1295" s="25">
        <v>2</v>
      </c>
      <c r="V1295" s="13">
        <v>6</v>
      </c>
      <c r="W1295" s="13" t="str">
        <f>MID(A1295, SEARCH("_", A1295) +1, SEARCH("_", A1295, SEARCH("_", A1295) +1) - SEARCH("_", A1295) -1)</f>
        <v>Closure-10</v>
      </c>
      <c r="Y1295" t="str">
        <f>IF(AND($S770=1,$S1295=1,$V770=1,$V1295=1), "YES", "NO")</f>
        <v>NO</v>
      </c>
      <c r="Z1295" t="str">
        <f>IF(AND($S770=1,$S1295=1,$V770&gt;1,$V1295&gt;1), "YES", "NO")</f>
        <v>NO</v>
      </c>
      <c r="AA1295" t="str">
        <f>IF(AND($S770&gt;1,$S1295&gt;1,$S770=$V770,$S1295=$V1295), "YES", "NO")</f>
        <v>NO</v>
      </c>
      <c r="AB1295" t="str">
        <f>IF(AND($S770&gt;1,$S1295&gt;1,$S770&lt;$V770,$S1295&lt;$V1295), "YES", "NO")</f>
        <v>NO</v>
      </c>
      <c r="AC1295" t="str">
        <f>IF(AND($V770&gt;10,$V1295&gt;10), "YES", "NO")</f>
        <v>NO</v>
      </c>
      <c r="AD1295"/>
    </row>
    <row r="1296" spans="1:30" ht="15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>LEFT($A1296,FIND("_",$A1296)-1)</f>
        <v>Kali-A</v>
      </c>
      <c r="P1296" s="13" t="str">
        <f>IF($O1296="ACS", "True Search", IF($O1296="Arja", "Evolutionary Search", IF($O1296="AVATAR", "True Pattern", IF($O1296="CapGen", "Search Like Pattern", IF($O1296="Cardumen", "True Semantic", IF($O1296="DynaMoth", "True Semantic", IF($O1296="FixMiner", "True Pattern", IF($O1296="GenProg-A", "Evolutionary Search", IF($O1296="Hercules", "Learning Pattern", IF($O1296="Jaid", "True Semantic",
IF($O1296="Kali-A", "True Search", IF($O1296="kPAR", "True Pattern", IF($O1296="Nopol", "True Semantic", IF($O1296="RSRepair-A", "Evolutionary Search", IF($O1296="SequenceR", "Deep Learning", IF($O1296="SimFix", "Search Like Pattern", IF($O1296="SketchFix", "True Pattern", IF($O1296="SOFix", "True Pattern", IF($O1296="ssFix", "Search Like Pattern", IF($O1296="TBar", "True Pattern", ""))))))))))))))))))))</f>
        <v>True Search</v>
      </c>
      <c r="Q1296" s="13" t="str">
        <f>IF(NOT(ISERR(SEARCH("*_Buggy",$A1296))), "Buggy", IF(NOT(ISERR(SEARCH("*_Fixed",$A1296))), "Fixed", IF(NOT(ISERR(SEARCH("*_Repaired",$A1296))), "Repaired", "")))</f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v>1</v>
      </c>
      <c r="W1296" s="13" t="str">
        <f>MID(A1296, SEARCH("_", A1296) +1, SEARCH("_", A1296, SEARCH("_", A1296) +1) - SEARCH("_", A1296) -1)</f>
        <v>Closure-112</v>
      </c>
      <c r="Y1296" t="str">
        <f>IF(AND($S771=1,$S1296=1,$V771=1,$V1296=1), "YES", "NO")</f>
        <v>NO</v>
      </c>
      <c r="Z1296" t="str">
        <f>IF(AND($S771=1,$S1296=1,$V771&gt;1,$V1296&gt;1), "YES", "NO")</f>
        <v>NO</v>
      </c>
      <c r="AA1296" t="str">
        <f>IF(AND($S771&gt;1,$S1296&gt;1,$S771=$V771,$S1296=$V1296), "YES", "NO")</f>
        <v>NO</v>
      </c>
      <c r="AB1296" t="str">
        <f>IF(AND($S771&gt;1,$S1296&gt;1,$S771&lt;$V771,$S1296&lt;$V1296), "YES", "NO")</f>
        <v>NO</v>
      </c>
      <c r="AC1296" t="str">
        <f>IF(AND($V771&gt;10,$V1296&gt;10), "YES", "NO")</f>
        <v>NO</v>
      </c>
      <c r="AD1296"/>
    </row>
    <row r="1297" spans="1:30" ht="15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>LEFT($A1297,FIND("_",$A1297)-1)</f>
        <v>Kali-A</v>
      </c>
      <c r="P1297" s="13" t="str">
        <f>IF($O1297="ACS", "True Search", IF($O1297="Arja", "Evolutionary Search", IF($O1297="AVATAR", "True Pattern", IF($O1297="CapGen", "Search Like Pattern", IF($O1297="Cardumen", "True Semantic", IF($O1297="DynaMoth", "True Semantic", IF($O1297="FixMiner", "True Pattern", IF($O1297="GenProg-A", "Evolutionary Search", IF($O1297="Hercules", "Learning Pattern", IF($O1297="Jaid", "True Semantic",
IF($O1297="Kali-A", "True Search", IF($O1297="kPAR", "True Pattern", IF($O1297="Nopol", "True Semantic", IF($O1297="RSRepair-A", "Evolutionary Search", IF($O1297="SequenceR", "Deep Learning", IF($O1297="SimFix", "Search Like Pattern", IF($O1297="SketchFix", "True Pattern", IF($O1297="SOFix", "True Pattern", IF($O1297="ssFix", "Search Like Pattern", IF($O1297="TBar", "True Pattern", ""))))))))))))))))))))</f>
        <v>True Search</v>
      </c>
      <c r="Q1297" s="13" t="str">
        <f>IF(NOT(ISERR(SEARCH("*_Buggy",$A1297))), "Buggy", IF(NOT(ISERR(SEARCH("*_Fixed",$A1297))), "Fixed", IF(NOT(ISERR(SEARCH("*_Repaired",$A1297))), "Repaired", "")))</f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v>1</v>
      </c>
      <c r="W1297" s="13" t="str">
        <f>MID(A1297, SEARCH("_", A1297) +1, SEARCH("_", A1297, SEARCH("_", A1297) +1) - SEARCH("_", A1297) -1)</f>
        <v>Closure-113</v>
      </c>
      <c r="Y1297" t="str">
        <f>IF(AND($S772=1,$S1297=1,$V772=1,$V1297=1), "YES", "NO")</f>
        <v>YES</v>
      </c>
      <c r="Z1297" t="str">
        <f>IF(AND($S772=1,$S1297=1,$V772&gt;1,$V1297&gt;1), "YES", "NO")</f>
        <v>NO</v>
      </c>
      <c r="AA1297" t="str">
        <f>IF(AND($S772&gt;1,$S1297&gt;1,$S772=$V772,$S1297=$V1297), "YES", "NO")</f>
        <v>NO</v>
      </c>
      <c r="AB1297" t="str">
        <f>IF(AND($S772&gt;1,$S1297&gt;1,$S772&lt;$V772,$S1297&lt;$V1297), "YES", "NO")</f>
        <v>NO</v>
      </c>
      <c r="AC1297" t="str">
        <f>IF(AND($V772&gt;10,$V1297&gt;10), "YES", "NO")</f>
        <v>NO</v>
      </c>
      <c r="AD1297"/>
    </row>
    <row r="1298" spans="1:30" ht="15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>LEFT($A1298,FIND("_",$A1298)-1)</f>
        <v>Kali-A</v>
      </c>
      <c r="P1298" s="13" t="str">
        <f>IF($O1298="ACS", "True Search", IF($O1298="Arja", "Evolutionary Search", IF($O1298="AVATAR", "True Pattern", IF($O1298="CapGen", "Search Like Pattern", IF($O1298="Cardumen", "True Semantic", IF($O1298="DynaMoth", "True Semantic", IF($O1298="FixMiner", "True Pattern", IF($O1298="GenProg-A", "Evolutionary Search", IF($O1298="Hercules", "Learning Pattern", IF($O1298="Jaid", "True Semantic",
IF($O1298="Kali-A", "True Search", IF($O1298="kPAR", "True Pattern", IF($O1298="Nopol", "True Semantic", IF($O1298="RSRepair-A", "Evolutionary Search", IF($O1298="SequenceR", "Deep Learning", IF($O1298="SimFix", "Search Like Pattern", IF($O1298="SketchFix", "True Pattern", IF($O1298="SOFix", "True Pattern", IF($O1298="ssFix", "Search Like Pattern", IF($O1298="TBar", "True Pattern", ""))))))))))))))))))))</f>
        <v>True Search</v>
      </c>
      <c r="Q1298" s="13" t="str">
        <f>IF(NOT(ISERR(SEARCH("*_Buggy",$A1298))), "Buggy", IF(NOT(ISERR(SEARCH("*_Fixed",$A1298))), "Fixed", IF(NOT(ISERR(SEARCH("*_Repaired",$A1298))), "Repaired", "")))</f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v>1</v>
      </c>
      <c r="W1298" s="13" t="str">
        <f>MID(A1298, SEARCH("_", A1298) +1, SEARCH("_", A1298, SEARCH("_", A1298) +1) - SEARCH("_", A1298) -1)</f>
        <v>Closure-115</v>
      </c>
      <c r="Y1298" t="str">
        <f>IF(AND($S773=1,$S1298=1,$V773=1,$V1298=1), "YES", "NO")</f>
        <v>NO</v>
      </c>
      <c r="Z1298" t="str">
        <f>IF(AND($S773=1,$S1298=1,$V773&gt;1,$V1298&gt;1), "YES", "NO")</f>
        <v>NO</v>
      </c>
      <c r="AA1298" t="str">
        <f>IF(AND($S773&gt;1,$S1298&gt;1,$S773=$V773,$S1298=$V1298), "YES", "NO")</f>
        <v>NO</v>
      </c>
      <c r="AB1298" t="str">
        <f>IF(AND($S773&gt;1,$S1298&gt;1,$S773&lt;$V773,$S1298&lt;$V1298), "YES", "NO")</f>
        <v>NO</v>
      </c>
      <c r="AC1298" t="str">
        <f>IF(AND($V773&gt;10,$V1298&gt;10), "YES", "NO")</f>
        <v>NO</v>
      </c>
      <c r="AD1298"/>
    </row>
    <row r="1299" spans="1:30" ht="15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>LEFT($A1299,FIND("_",$A1299)-1)</f>
        <v>Kali-A</v>
      </c>
      <c r="P1299" s="13" t="str">
        <f>IF($O1299="ACS", "True Search", IF($O1299="Arja", "Evolutionary Search", IF($O1299="AVATAR", "True Pattern", IF($O1299="CapGen", "Search Like Pattern", IF($O1299="Cardumen", "True Semantic", IF($O1299="DynaMoth", "True Semantic", IF($O1299="FixMiner", "True Pattern", IF($O1299="GenProg-A", "Evolutionary Search", IF($O1299="Hercules", "Learning Pattern", IF($O1299="Jaid", "True Semantic",
IF($O1299="Kali-A", "True Search", IF($O1299="kPAR", "True Pattern", IF($O1299="Nopol", "True Semantic", IF($O1299="RSRepair-A", "Evolutionary Search", IF($O1299="SequenceR", "Deep Learning", IF($O1299="SimFix", "Search Like Pattern", IF($O1299="SketchFix", "True Pattern", IF($O1299="SOFix", "True Pattern", IF($O1299="ssFix", "Search Like Pattern", IF($O1299="TBar", "True Pattern", ""))))))))))))))))))))</f>
        <v>True Search</v>
      </c>
      <c r="Q1299" s="13" t="str">
        <f>IF(NOT(ISERR(SEARCH("*_Buggy",$A1299))), "Buggy", IF(NOT(ISERR(SEARCH("*_Fixed",$A1299))), "Fixed", IF(NOT(ISERR(SEARCH("*_Repaired",$A1299))), "Repaired", "")))</f>
        <v>Repaired</v>
      </c>
      <c r="R1299" s="13" t="s">
        <v>1669</v>
      </c>
      <c r="S1299" s="25">
        <v>1</v>
      </c>
      <c r="T1299" s="25">
        <v>1</v>
      </c>
      <c r="U1299" s="25">
        <v>2</v>
      </c>
      <c r="V1299" s="13">
        <v>2</v>
      </c>
      <c r="W1299" s="13" t="str">
        <f>MID(A1299, SEARCH("_", A1299) +1, SEARCH("_", A1299, SEARCH("_", A1299) +1) - SEARCH("_", A1299) -1)</f>
        <v>Closure-124</v>
      </c>
      <c r="Y1299" t="str">
        <f>IF(AND($S774=1,$S1299=1,$V774=1,$V1299=1), "YES", "NO")</f>
        <v>NO</v>
      </c>
      <c r="Z1299" t="str">
        <f>IF(AND($S774=1,$S1299=1,$V774&gt;1,$V1299&gt;1), "YES", "NO")</f>
        <v>NO</v>
      </c>
      <c r="AA1299" t="str">
        <f>IF(AND($S774&gt;1,$S1299&gt;1,$S774=$V774,$S1299=$V1299), "YES", "NO")</f>
        <v>NO</v>
      </c>
      <c r="AB1299" t="str">
        <f>IF(AND($S774&gt;1,$S1299&gt;1,$S774&lt;$V774,$S1299&lt;$V1299), "YES", "NO")</f>
        <v>NO</v>
      </c>
      <c r="AC1299" t="str">
        <f>IF(AND($V774&gt;10,$V1299&gt;10), "YES", "NO")</f>
        <v>NO</v>
      </c>
      <c r="AD1299"/>
    </row>
    <row r="1300" spans="1:30" ht="15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>LEFT($A1300,FIND("_",$A1300)-1)</f>
        <v>Kali-A</v>
      </c>
      <c r="P1300" s="13" t="str">
        <f>IF($O1300="ACS", "True Search", IF($O1300="Arja", "Evolutionary Search", IF($O1300="AVATAR", "True Pattern", IF($O1300="CapGen", "Search Like Pattern", IF($O1300="Cardumen", "True Semantic", IF($O1300="DynaMoth", "True Semantic", IF($O1300="FixMiner", "True Pattern", IF($O1300="GenProg-A", "Evolutionary Search", IF($O1300="Hercules", "Learning Pattern", IF($O1300="Jaid", "True Semantic",
IF($O1300="Kali-A", "True Search", IF($O1300="kPAR", "True Pattern", IF($O1300="Nopol", "True Semantic", IF($O1300="RSRepair-A", "Evolutionary Search", IF($O1300="SequenceR", "Deep Learning", IF($O1300="SimFix", "Search Like Pattern", IF($O1300="SketchFix", "True Pattern", IF($O1300="SOFix", "True Pattern", IF($O1300="ssFix", "Search Like Pattern", IF($O1300="TBar", "True Pattern", ""))))))))))))))))))))</f>
        <v>True Search</v>
      </c>
      <c r="Q1300" s="13" t="str">
        <f>IF(NOT(ISERR(SEARCH("*_Buggy",$A1300))), "Buggy", IF(NOT(ISERR(SEARCH("*_Fixed",$A1300))), "Fixed", IF(NOT(ISERR(SEARCH("*_Repaired",$A1300))), "Repaired", "")))</f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v>1</v>
      </c>
      <c r="W1300" s="13" t="str">
        <f>MID(A1300, SEARCH("_", A1300) +1, SEARCH("_", A1300, SEARCH("_", A1300) +1) - SEARCH("_", A1300) -1)</f>
        <v>Closure-15</v>
      </c>
      <c r="Y1300" t="str">
        <f>IF(AND($S775=1,$S1300=1,$V775=1,$V1300=1), "YES", "NO")</f>
        <v>NO</v>
      </c>
      <c r="Z1300" t="str">
        <f>IF(AND($S775=1,$S1300=1,$V775&gt;1,$V1300&gt;1), "YES", "NO")</f>
        <v>NO</v>
      </c>
      <c r="AA1300" t="str">
        <f>IF(AND($S775&gt;1,$S1300&gt;1,$S775=$V775,$S1300=$V1300), "YES", "NO")</f>
        <v>NO</v>
      </c>
      <c r="AB1300" t="str">
        <f>IF(AND($S775&gt;1,$S1300&gt;1,$S775&lt;$V775,$S1300&lt;$V1300), "YES", "NO")</f>
        <v>NO</v>
      </c>
      <c r="AC1300" t="str">
        <f>IF(AND($V775&gt;10,$V1300&gt;10), "YES", "NO")</f>
        <v>NO</v>
      </c>
      <c r="AD1300"/>
    </row>
    <row r="1301" spans="1:30" ht="15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>LEFT($A1301,FIND("_",$A1301)-1)</f>
        <v>Kali-A</v>
      </c>
      <c r="P1301" s="13" t="str">
        <f>IF($O1301="ACS", "True Search", IF($O1301="Arja", "Evolutionary Search", IF($O1301="AVATAR", "True Pattern", IF($O1301="CapGen", "Search Like Pattern", IF($O1301="Cardumen", "True Semantic", IF($O1301="DynaMoth", "True Semantic", IF($O1301="FixMiner", "True Pattern", IF($O1301="GenProg-A", "Evolutionary Search", IF($O1301="Hercules", "Learning Pattern", IF($O1301="Jaid", "True Semantic",
IF($O1301="Kali-A", "True Search", IF($O1301="kPAR", "True Pattern", IF($O1301="Nopol", "True Semantic", IF($O1301="RSRepair-A", "Evolutionary Search", IF($O1301="SequenceR", "Deep Learning", IF($O1301="SimFix", "Search Like Pattern", IF($O1301="SketchFix", "True Pattern", IF($O1301="SOFix", "True Pattern", IF($O1301="ssFix", "Search Like Pattern", IF($O1301="TBar", "True Pattern", ""))))))))))))))))))))</f>
        <v>True Search</v>
      </c>
      <c r="Q1301" s="13" t="str">
        <f>IF(NOT(ISERR(SEARCH("*_Buggy",$A1301))), "Buggy", IF(NOT(ISERR(SEARCH("*_Fixed",$A1301))), "Fixed", IF(NOT(ISERR(SEARCH("*_Repaired",$A1301))), "Repaired", "")))</f>
        <v>Repaired</v>
      </c>
      <c r="R1301" s="13" t="s">
        <v>1669</v>
      </c>
      <c r="S1301" s="25">
        <v>1</v>
      </c>
      <c r="T1301" s="13">
        <v>1</v>
      </c>
      <c r="U1301" s="25">
        <v>0</v>
      </c>
      <c r="V1301" s="13">
        <v>1</v>
      </c>
      <c r="W1301" s="13" t="str">
        <f>MID(A1301, SEARCH("_", A1301) +1, SEARCH("_", A1301, SEARCH("_", A1301) +1) - SEARCH("_", A1301) -1)</f>
        <v>Closure-2</v>
      </c>
      <c r="Y1301" t="str">
        <f>IF(AND($S776=1,$S1301=1,$V776=1,$V1301=1), "YES", "NO")</f>
        <v>NO</v>
      </c>
      <c r="Z1301" t="str">
        <f>IF(AND($S776=1,$S1301=1,$V776&gt;1,$V1301&gt;1), "YES", "NO")</f>
        <v>NO</v>
      </c>
      <c r="AA1301" t="str">
        <f>IF(AND($S776&gt;1,$S1301&gt;1,$S776=$V776,$S1301=$V1301), "YES", "NO")</f>
        <v>NO</v>
      </c>
      <c r="AB1301" t="str">
        <f>IF(AND($S776&gt;1,$S1301&gt;1,$S776&lt;$V776,$S1301&lt;$V1301), "YES", "NO")</f>
        <v>NO</v>
      </c>
      <c r="AC1301" t="str">
        <f>IF(AND($V776&gt;10,$V1301&gt;10), "YES", "NO")</f>
        <v>NO</v>
      </c>
      <c r="AD1301"/>
    </row>
    <row r="1302" spans="1:30" ht="15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>LEFT($A1302,FIND("_",$A1302)-1)</f>
        <v>Kali-A</v>
      </c>
      <c r="P1302" s="13" t="str">
        <f>IF($O1302="ACS", "True Search", IF($O1302="Arja", "Evolutionary Search", IF($O1302="AVATAR", "True Pattern", IF($O1302="CapGen", "Search Like Pattern", IF($O1302="Cardumen", "True Semantic", IF($O1302="DynaMoth", "True Semantic", IF($O1302="FixMiner", "True Pattern", IF($O1302="GenProg-A", "Evolutionary Search", IF($O1302="Hercules", "Learning Pattern", IF($O1302="Jaid", "True Semantic",
IF($O1302="Kali-A", "True Search", IF($O1302="kPAR", "True Pattern", IF($O1302="Nopol", "True Semantic", IF($O1302="RSRepair-A", "Evolutionary Search", IF($O1302="SequenceR", "Deep Learning", IF($O1302="SimFix", "Search Like Pattern", IF($O1302="SketchFix", "True Pattern", IF($O1302="SOFix", "True Pattern", IF($O1302="ssFix", "Search Like Pattern", IF($O1302="TBar", "True Pattern", ""))))))))))))))))))))</f>
        <v>True Search</v>
      </c>
      <c r="Q1302" s="13" t="str">
        <f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v>1</v>
      </c>
      <c r="W1302" s="13" t="str">
        <f>MID(A1302, SEARCH("_", A1302) +1, SEARCH("_", A1302, SEARCH("_", A1302) +1) - SEARCH("_", A1302) -1)</f>
        <v>Closure-21</v>
      </c>
      <c r="Y1302" t="str">
        <f>IF(AND($S777=1,$S1302=1,$V777=1,$V1302=1), "YES", "NO")</f>
        <v>NO</v>
      </c>
      <c r="Z1302" t="str">
        <f>IF(AND($S777=1,$S1302=1,$V777&gt;1,$V1302&gt;1), "YES", "NO")</f>
        <v>NO</v>
      </c>
      <c r="AA1302" t="str">
        <f>IF(AND($S777&gt;1,$S1302&gt;1,$S777=$V777,$S1302=$V1302), "YES", "NO")</f>
        <v>NO</v>
      </c>
      <c r="AB1302" t="str">
        <f>IF(AND($S777&gt;1,$S1302&gt;1,$S777&lt;$V777,$S1302&lt;$V1302), "YES", "NO")</f>
        <v>NO</v>
      </c>
      <c r="AC1302" t="str">
        <f>IF(AND($V777&gt;10,$V1302&gt;10), "YES", "NO")</f>
        <v>NO</v>
      </c>
      <c r="AD1302"/>
    </row>
    <row r="1303" spans="1:30" ht="15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>LEFT($A1303,FIND("_",$A1303)-1)</f>
        <v>Kali-A</v>
      </c>
      <c r="P1303" s="13" t="str">
        <f>IF($O1303="ACS", "True Search", IF($O1303="Arja", "Evolutionary Search", IF($O1303="AVATAR", "True Pattern", IF($O1303="CapGen", "Search Like Pattern", IF($O1303="Cardumen", "True Semantic", IF($O1303="DynaMoth", "True Semantic", IF($O1303="FixMiner", "True Pattern", IF($O1303="GenProg-A", "Evolutionary Search", IF($O1303="Hercules", "Learning Pattern", IF($O1303="Jaid", "True Semantic",
IF($O1303="Kali-A", "True Search", IF($O1303="kPAR", "True Pattern", IF($O1303="Nopol", "True Semantic", IF($O1303="RSRepair-A", "Evolutionary Search", IF($O1303="SequenceR", "Deep Learning", IF($O1303="SimFix", "Search Like Pattern", IF($O1303="SketchFix", "True Pattern", IF($O1303="SOFix", "True Pattern", IF($O1303="ssFix", "Search Like Pattern", IF($O1303="TBar", "True Pattern", ""))))))))))))))))))))</f>
        <v>True Search</v>
      </c>
      <c r="Q1303" s="13" t="str">
        <f>IF(NOT(ISERR(SEARCH("*_Buggy",$A1303))), "Buggy", IF(NOT(ISERR(SEARCH("*_Fixed",$A1303))), "Fixed", IF(NOT(ISERR(SEARCH("*_Repaired",$A1303))), "Repaired", "")))</f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v>1</v>
      </c>
      <c r="W1303" s="13" t="str">
        <f>MID(A1303, SEARCH("_", A1303) +1, SEARCH("_", A1303, SEARCH("_", A1303) +1) - SEARCH("_", A1303) -1)</f>
        <v>Closure-22</v>
      </c>
      <c r="Y1303" t="str">
        <f>IF(AND($S778=1,$S1303=1,$V778=1,$V1303=1), "YES", "NO")</f>
        <v>NO</v>
      </c>
      <c r="Z1303" t="str">
        <f>IF(AND($S778=1,$S1303=1,$V778&gt;1,$V1303&gt;1), "YES", "NO")</f>
        <v>NO</v>
      </c>
      <c r="AA1303" t="str">
        <f>IF(AND($S778&gt;1,$S1303&gt;1,$S778=$V778,$S1303=$V1303), "YES", "NO")</f>
        <v>NO</v>
      </c>
      <c r="AB1303" t="str">
        <f>IF(AND($S778&gt;1,$S1303&gt;1,$S778&lt;$V778,$S1303&lt;$V1303), "YES", "NO")</f>
        <v>NO</v>
      </c>
      <c r="AC1303" t="str">
        <f>IF(AND($V778&gt;10,$V1303&gt;10), "YES", "NO")</f>
        <v>NO</v>
      </c>
      <c r="AD1303"/>
    </row>
    <row r="1304" spans="1:30" ht="15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>LEFT($A1304,FIND("_",$A1304)-1)</f>
        <v>Kali-A</v>
      </c>
      <c r="P1304" s="13" t="str">
        <f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>IF(NOT(ISERR(SEARCH("*_Buggy",$A1304))), "Buggy", IF(NOT(ISERR(SEARCH("*_Fixed",$A1304))), "Fixed", IF(NOT(ISERR(SEARCH("*_Repaired",$A1304))), "Repaired", "")))</f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v>1</v>
      </c>
      <c r="W1304" s="13" t="str">
        <f>MID(A1304, SEARCH("_", A1304) +1, SEARCH("_", A1304, SEARCH("_", A1304) +1) - SEARCH("_", A1304) -1)</f>
        <v>Closure-3</v>
      </c>
      <c r="Y1304" t="str">
        <f>IF(AND($S779=1,$S1304=1,$V779=1,$V1304=1), "YES", "NO")</f>
        <v>NO</v>
      </c>
      <c r="Z1304" t="str">
        <f>IF(AND($S779=1,$S1304=1,$V779&gt;1,$V1304&gt;1), "YES", "NO")</f>
        <v>NO</v>
      </c>
      <c r="AA1304" t="str">
        <f>IF(AND($S779&gt;1,$S1304&gt;1,$S779=$V779,$S1304=$V1304), "YES", "NO")</f>
        <v>NO</v>
      </c>
      <c r="AB1304" t="str">
        <f>IF(AND($S779&gt;1,$S1304&gt;1,$S779&lt;$V779,$S1304&lt;$V1304), "YES", "NO")</f>
        <v>NO</v>
      </c>
      <c r="AC1304" t="str">
        <f>IF(AND($V779&gt;10,$V1304&gt;10), "YES", "NO")</f>
        <v>NO</v>
      </c>
      <c r="AD1304"/>
    </row>
    <row r="1305" spans="1:30" ht="15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>LEFT($A1305,FIND("_",$A1305)-1)</f>
        <v>Kali-A</v>
      </c>
      <c r="P1305" s="13" t="str">
        <f>IF($O1305="ACS", "True Search", IF($O1305="Arja", "Evolutionary Search", IF($O1305="AVATAR", "True Pattern", IF($O1305="CapGen", "Search Like Pattern", IF($O1305="Cardumen", "True Semantic", IF($O1305="DynaMoth", "True Semantic", IF($O1305="FixMiner", "True Pattern", IF($O1305="GenProg-A", "Evolutionary Search", IF($O1305="Hercules", "Learning Pattern", IF($O1305="Jaid", "True Semantic",
IF($O1305="Kali-A", "True Search", IF($O1305="kPAR", "True Pattern", IF($O1305="Nopol", "True Semantic", IF($O1305="RSRepair-A", "Evolutionary Search", IF($O1305="SequenceR", "Deep Learning", IF($O1305="SimFix", "Search Like Pattern", IF($O1305="SketchFix", "True Pattern", IF($O1305="SOFix", "True Pattern", IF($O1305="ssFix", "Search Like Pattern", IF($O1305="TBar", "True Pattern", ""))))))))))))))))))))</f>
        <v>True Search</v>
      </c>
      <c r="Q1305" s="13" t="str">
        <f>IF(NOT(ISERR(SEARCH("*_Buggy",$A1305))), "Buggy", IF(NOT(ISERR(SEARCH("*_Fixed",$A1305))), "Fixed", IF(NOT(ISERR(SEARCH("*_Repaired",$A1305))), "Repaired", "")))</f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v>1</v>
      </c>
      <c r="W1305" s="13" t="str">
        <f>MID(A1305, SEARCH("_", A1305) +1, SEARCH("_", A1305, SEARCH("_", A1305) +1) - SEARCH("_", A1305) -1)</f>
        <v>Closure-33</v>
      </c>
      <c r="Y1305" t="str">
        <f>IF(AND($S780=1,$S1305=1,$V780=1,$V1305=1), "YES", "NO")</f>
        <v>NO</v>
      </c>
      <c r="Z1305" t="str">
        <f>IF(AND($S780=1,$S1305=1,$V780&gt;1,$V1305&gt;1), "YES", "NO")</f>
        <v>NO</v>
      </c>
      <c r="AA1305" t="str">
        <f>IF(AND($S780&gt;1,$S1305&gt;1,$S780=$V780,$S1305=$V1305), "YES", "NO")</f>
        <v>NO</v>
      </c>
      <c r="AB1305" t="str">
        <f>IF(AND($S780&gt;1,$S1305&gt;1,$S780&lt;$V780,$S1305&lt;$V1305), "YES", "NO")</f>
        <v>NO</v>
      </c>
      <c r="AC1305" t="str">
        <f>IF(AND($V780&gt;10,$V1305&gt;10), "YES", "NO")</f>
        <v>NO</v>
      </c>
      <c r="AD1305"/>
    </row>
    <row r="1306" spans="1:30" ht="15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>LEFT($A1306,FIND("_",$A1306)-1)</f>
        <v>Kali-A</v>
      </c>
      <c r="P1306" s="13" t="str">
        <f>IF($O1306="ACS", "True Search", IF($O1306="Arja", "Evolutionary Search", IF($O1306="AVATAR", "True Pattern", IF($O1306="CapGen", "Search Like Pattern", IF($O1306="Cardumen", "True Semantic", IF($O1306="DynaMoth", "True Semantic", IF($O1306="FixMiner", "True Pattern", IF($O1306="GenProg-A", "Evolutionary Search", IF($O1306="Hercules", "Learning Pattern", IF($O1306="Jaid", "True Semantic",
IF($O1306="Kali-A", "True Search", IF($O1306="kPAR", "True Pattern", IF($O1306="Nopol", "True Semantic", IF($O1306="RSRepair-A", "Evolutionary Search", IF($O1306="SequenceR", "Deep Learning", IF($O1306="SimFix", "Search Like Pattern", IF($O1306="SketchFix", "True Pattern", IF($O1306="SOFix", "True Pattern", IF($O1306="ssFix", "Search Like Pattern", IF($O1306="TBar", "True Pattern", ""))))))))))))))))))))</f>
        <v>True Search</v>
      </c>
      <c r="Q1306" s="13" t="str">
        <f>IF(NOT(ISERR(SEARCH("*_Buggy",$A1306))), "Buggy", IF(NOT(ISERR(SEARCH("*_Fixed",$A1306))), "Fixed", IF(NOT(ISERR(SEARCH("*_Repaired",$A1306))), "Repaired", "")))</f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v>1</v>
      </c>
      <c r="W1306" s="13" t="str">
        <f>MID(A1306, SEARCH("_", A1306) +1, SEARCH("_", A1306, SEARCH("_", A1306) +1) - SEARCH("_", A1306) -1)</f>
        <v>Closure-38</v>
      </c>
      <c r="Y1306" t="str">
        <f>IF(AND($S781=1,$S1306=1,$V781=1,$V1306=1), "YES", "NO")</f>
        <v>YES</v>
      </c>
      <c r="Z1306" t="str">
        <f>IF(AND($S781=1,$S1306=1,$V781&gt;1,$V1306&gt;1), "YES", "NO")</f>
        <v>NO</v>
      </c>
      <c r="AA1306" t="str">
        <f>IF(AND($S781&gt;1,$S1306&gt;1,$S781=$V781,$S1306=$V1306), "YES", "NO")</f>
        <v>NO</v>
      </c>
      <c r="AB1306" t="str">
        <f>IF(AND($S781&gt;1,$S1306&gt;1,$S781&lt;$V781,$S1306&lt;$V1306), "YES", "NO")</f>
        <v>NO</v>
      </c>
      <c r="AC1306" t="str">
        <f>IF(AND($V781&gt;10,$V1306&gt;10), "YES", "NO")</f>
        <v>NO</v>
      </c>
      <c r="AD1306"/>
    </row>
    <row r="1307" spans="1:30" ht="15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>LEFT($A1307,FIND("_",$A1307)-1)</f>
        <v>Kali-A</v>
      </c>
      <c r="P1307" s="13" t="str">
        <f>IF($O1307="ACS", "True Search", IF($O1307="Arja", "Evolutionary Search", IF($O1307="AVATAR", "True Pattern", IF($O1307="CapGen", "Search Like Pattern", IF($O1307="Cardumen", "True Semantic", IF($O1307="DynaMoth", "True Semantic", IF($O1307="FixMiner", "True Pattern", IF($O1307="GenProg-A", "Evolutionary Search", IF($O1307="Hercules", "Learning Pattern", IF($O1307="Jaid", "True Semantic",
IF($O1307="Kali-A", "True Search", IF($O1307="kPAR", "True Pattern", IF($O1307="Nopol", "True Semantic", IF($O1307="RSRepair-A", "Evolutionary Search", IF($O1307="SequenceR", "Deep Learning", IF($O1307="SimFix", "Search Like Pattern", IF($O1307="SketchFix", "True Pattern", IF($O1307="SOFix", "True Pattern", IF($O1307="ssFix", "Search Like Pattern", IF($O1307="TBar", "True Pattern", ""))))))))))))))))))))</f>
        <v>True Search</v>
      </c>
      <c r="Q1307" s="13" t="str">
        <f>IF(NOT(ISERR(SEARCH("*_Buggy",$A1307))), "Buggy", IF(NOT(ISERR(SEARCH("*_Fixed",$A1307))), "Fixed", IF(NOT(ISERR(SEARCH("*_Repaired",$A1307))), "Repaired", "")))</f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v>1</v>
      </c>
      <c r="W1307" s="13" t="str">
        <f>MID(A1307, SEARCH("_", A1307) +1, SEARCH("_", A1307, SEARCH("_", A1307) +1) - SEARCH("_", A1307) -1)</f>
        <v>Closure-4</v>
      </c>
      <c r="Y1307" t="str">
        <f>IF(AND($S782=1,$S1307=1,$V782=1,$V1307=1), "YES", "NO")</f>
        <v>NO</v>
      </c>
      <c r="Z1307" t="str">
        <f>IF(AND($S782=1,$S1307=1,$V782&gt;1,$V1307&gt;1), "YES", "NO")</f>
        <v>NO</v>
      </c>
      <c r="AA1307" t="str">
        <f>IF(AND($S782&gt;1,$S1307&gt;1,$S782=$V782,$S1307=$V1307), "YES", "NO")</f>
        <v>NO</v>
      </c>
      <c r="AB1307" t="str">
        <f>IF(AND($S782&gt;1,$S1307&gt;1,$S782&lt;$V782,$S1307&lt;$V1307), "YES", "NO")</f>
        <v>NO</v>
      </c>
      <c r="AC1307" t="str">
        <f>IF(AND($V782&gt;10,$V1307&gt;10), "YES", "NO")</f>
        <v>NO</v>
      </c>
      <c r="AD1307"/>
    </row>
    <row r="1308" spans="1:30" ht="15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>LEFT($A1308,FIND("_",$A1308)-1)</f>
        <v>Kali-A</v>
      </c>
      <c r="P1308" s="13" t="str">
        <f>IF($O1308="ACS", "True Search", IF($O1308="Arja", "Evolutionary Search", IF($O1308="AVATAR", "True Pattern", IF($O1308="CapGen", "Search Like Pattern", IF($O1308="Cardumen", "True Semantic", IF($O1308="DynaMoth", "True Semantic", IF($O1308="FixMiner", "True Pattern", IF($O1308="GenProg-A", "Evolutionary Search", IF($O1308="Hercules", "Learning Pattern", IF($O1308="Jaid", "True Semantic",
IF($O1308="Kali-A", "True Search", IF($O1308="kPAR", "True Pattern", IF($O1308="Nopol", "True Semantic", IF($O1308="RSRepair-A", "Evolutionary Search", IF($O1308="SequenceR", "Deep Learning", IF($O1308="SimFix", "Search Like Pattern", IF($O1308="SketchFix", "True Pattern", IF($O1308="SOFix", "True Pattern", IF($O1308="ssFix", "Search Like Pattern", IF($O1308="TBar", "True Pattern", ""))))))))))))))))))))</f>
        <v>True Search</v>
      </c>
      <c r="Q1308" s="13" t="str">
        <f>IF(NOT(ISERR(SEARCH("*_Buggy",$A1308))), "Buggy", IF(NOT(ISERR(SEARCH("*_Fixed",$A1308))), "Fixed", IF(NOT(ISERR(SEARCH("*_Repaired",$A1308))), "Repaired", "")))</f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v>1</v>
      </c>
      <c r="W1308" s="13" t="str">
        <f>MID(A1308, SEARCH("_", A1308) +1, SEARCH("_", A1308, SEARCH("_", A1308) +1) - SEARCH("_", A1308) -1)</f>
        <v>Closure-46</v>
      </c>
      <c r="Y1308" t="str">
        <f>IF(AND($S783=1,$S1308=1,$V783=1,$V1308=1), "YES", "NO")</f>
        <v>NO</v>
      </c>
      <c r="Z1308" t="str">
        <f>IF(AND($S783=1,$S1308=1,$V783&gt;1,$V1308&gt;1), "YES", "NO")</f>
        <v>NO</v>
      </c>
      <c r="AA1308" t="str">
        <f>IF(AND($S783&gt;1,$S1308&gt;1,$S783=$V783,$S1308=$V1308), "YES", "NO")</f>
        <v>NO</v>
      </c>
      <c r="AB1308" t="str">
        <f>IF(AND($S783&gt;1,$S1308&gt;1,$S783&lt;$V783,$S1308&lt;$V1308), "YES", "NO")</f>
        <v>NO</v>
      </c>
      <c r="AC1308" t="str">
        <f>IF(AND($V783&gt;10,$V1308&gt;10), "YES", "NO")</f>
        <v>NO</v>
      </c>
      <c r="AD1308"/>
    </row>
    <row r="1309" spans="1:30" ht="15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>LEFT($A1309,FIND("_",$A1309)-1)</f>
        <v>Kali-A</v>
      </c>
      <c r="P1309" s="13" t="str">
        <f>IF($O1309="ACS", "True Search", IF($O1309="Arja", "Evolutionary Search", IF($O1309="AVATAR", "True Pattern", IF($O1309="CapGen", "Search Like Pattern", IF($O1309="Cardumen", "True Semantic", IF($O1309="DynaMoth", "True Semantic", IF($O1309="FixMiner", "True Pattern", IF($O1309="GenProg-A", "Evolutionary Search", IF($O1309="Hercules", "Learning Pattern", IF($O1309="Jaid", "True Semantic",
IF($O1309="Kali-A", "True Search", IF($O1309="kPAR", "True Pattern", IF($O1309="Nopol", "True Semantic", IF($O1309="RSRepair-A", "Evolutionary Search", IF($O1309="SequenceR", "Deep Learning", IF($O1309="SimFix", "Search Like Pattern", IF($O1309="SketchFix", "True Pattern", IF($O1309="SOFix", "True Pattern", IF($O1309="ssFix", "Search Like Pattern", IF($O1309="TBar", "True Pattern", ""))))))))))))))))))))</f>
        <v>True Search</v>
      </c>
      <c r="Q1309" s="13" t="str">
        <f>IF(NOT(ISERR(SEARCH("*_Buggy",$A1309))), "Buggy", IF(NOT(ISERR(SEARCH("*_Fixed",$A1309))), "Fixed", IF(NOT(ISERR(SEARCH("*_Repaired",$A1309))), "Repaired", "")))</f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v>1</v>
      </c>
      <c r="W1309" s="13" t="str">
        <f>MID(A1309, SEARCH("_", A1309) +1, SEARCH("_", A1309, SEARCH("_", A1309) +1) - SEARCH("_", A1309) -1)</f>
        <v>Closure-51</v>
      </c>
      <c r="Y1309" t="str">
        <f>IF(AND($S784=1,$S1309=1,$V784=1,$V1309=1), "YES", "NO")</f>
        <v>YES</v>
      </c>
      <c r="Z1309" t="str">
        <f>IF(AND($S784=1,$S1309=1,$V784&gt;1,$V1309&gt;1), "YES", "NO")</f>
        <v>NO</v>
      </c>
      <c r="AA1309" t="str">
        <f>IF(AND($S784&gt;1,$S1309&gt;1,$S784=$V784,$S1309=$V1309), "YES", "NO")</f>
        <v>NO</v>
      </c>
      <c r="AB1309" t="str">
        <f>IF(AND($S784&gt;1,$S1309&gt;1,$S784&lt;$V784,$S1309&lt;$V1309), "YES", "NO")</f>
        <v>NO</v>
      </c>
      <c r="AC1309" t="str">
        <f>IF(AND($V784&gt;10,$V1309&gt;10), "YES", "NO")</f>
        <v>NO</v>
      </c>
      <c r="AD1309"/>
    </row>
    <row r="1310" spans="1:30" ht="15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>LEFT($A1310,FIND("_",$A1310)-1)</f>
        <v>Kali-A</v>
      </c>
      <c r="P1310" s="13" t="str">
        <f>IF($O1310="ACS", "True Search", IF($O1310="Arja", "Evolutionary Search", IF($O1310="AVATAR", "True Pattern", IF($O1310="CapGen", "Search Like Pattern", IF($O1310="Cardumen", "True Semantic", IF($O1310="DynaMoth", "True Semantic", IF($O1310="FixMiner", "True Pattern", IF($O1310="GenProg-A", "Evolutionary Search", IF($O1310="Hercules", "Learning Pattern", IF($O1310="Jaid", "True Semantic",
IF($O1310="Kali-A", "True Search", IF($O1310="kPAR", "True Pattern", IF($O1310="Nopol", "True Semantic", IF($O1310="RSRepair-A", "Evolutionary Search", IF($O1310="SequenceR", "Deep Learning", IF($O1310="SimFix", "Search Like Pattern", IF($O1310="SketchFix", "True Pattern", IF($O1310="SOFix", "True Pattern", IF($O1310="ssFix", "Search Like Pattern", IF($O1310="TBar", "True Pattern", ""))))))))))))))))))))</f>
        <v>True Search</v>
      </c>
      <c r="Q1310" s="13" t="str">
        <f>IF(NOT(ISERR(SEARCH("*_Buggy",$A1310))), "Buggy", IF(NOT(ISERR(SEARCH("*_Fixed",$A1310))), "Fixed", IF(NOT(ISERR(SEARCH("*_Repaired",$A1310))), "Repaired", "")))</f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v>1</v>
      </c>
      <c r="W1310" s="13" t="str">
        <f>MID(A1310, SEARCH("_", A1310) +1, SEARCH("_", A1310, SEARCH("_", A1310) +1) - SEARCH("_", A1310) -1)</f>
        <v>Closure-55</v>
      </c>
      <c r="Y1310" t="str">
        <f>IF(AND($S785=1,$S1310=1,$V785=1,$V1310=1), "YES", "NO")</f>
        <v>NO</v>
      </c>
      <c r="Z1310" t="str">
        <f>IF(AND($S785=1,$S1310=1,$V785&gt;1,$V1310&gt;1), "YES", "NO")</f>
        <v>NO</v>
      </c>
      <c r="AA1310" t="str">
        <f>IF(AND($S785&gt;1,$S1310&gt;1,$S785=$V785,$S1310=$V1310), "YES", "NO")</f>
        <v>NO</v>
      </c>
      <c r="AB1310" t="str">
        <f>IF(AND($S785&gt;1,$S1310&gt;1,$S785&lt;$V785,$S1310&lt;$V1310), "YES", "NO")</f>
        <v>NO</v>
      </c>
      <c r="AC1310" t="str">
        <f>IF(AND($V785&gt;10,$V1310&gt;10), "YES", "NO")</f>
        <v>NO</v>
      </c>
      <c r="AD1310"/>
    </row>
    <row r="1311" spans="1:30" ht="15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>LEFT($A1311,FIND("_",$A1311)-1)</f>
        <v>Kali-A</v>
      </c>
      <c r="P1311" s="13" t="str">
        <f>IF($O1311="ACS", "True Search", IF($O1311="Arja", "Evolutionary Search", IF($O1311="AVATAR", "True Pattern", IF($O1311="CapGen", "Search Like Pattern", IF($O1311="Cardumen", "True Semantic", IF($O1311="DynaMoth", "True Semantic", IF($O1311="FixMiner", "True Pattern", IF($O1311="GenProg-A", "Evolutionary Search", IF($O1311="Hercules", "Learning Pattern", IF($O1311="Jaid", "True Semantic",
IF($O1311="Kali-A", "True Search", IF($O1311="kPAR", "True Pattern", IF($O1311="Nopol", "True Semantic", IF($O1311="RSRepair-A", "Evolutionary Search", IF($O1311="SequenceR", "Deep Learning", IF($O1311="SimFix", "Search Like Pattern", IF($O1311="SketchFix", "True Pattern", IF($O1311="SOFix", "True Pattern", IF($O1311="ssFix", "Search Like Pattern", IF($O1311="TBar", "True Pattern", ""))))))))))))))))))))</f>
        <v>True Search</v>
      </c>
      <c r="Q1311" s="13" t="str">
        <f>IF(NOT(ISERR(SEARCH("*_Buggy",$A1311))), "Buggy", IF(NOT(ISERR(SEARCH("*_Fixed",$A1311))), "Fixed", IF(NOT(ISERR(SEARCH("*_Repaired",$A1311))), "Repaired", "")))</f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v>1</v>
      </c>
      <c r="W1311" s="13" t="str">
        <f>MID(A1311, SEARCH("_", A1311) +1, SEARCH("_", A1311, SEARCH("_", A1311) +1) - SEARCH("_", A1311) -1)</f>
        <v>Closure-66</v>
      </c>
      <c r="Y1311" t="str">
        <f>IF(AND($S786=1,$S1311=1,$V786=1,$V1311=1), "YES", "NO")</f>
        <v>NO</v>
      </c>
      <c r="Z1311" t="str">
        <f>IF(AND($S786=1,$S1311=1,$V786&gt;1,$V1311&gt;1), "YES", "NO")</f>
        <v>NO</v>
      </c>
      <c r="AA1311" t="str">
        <f>IF(AND($S786&gt;1,$S1311&gt;1,$S786=$V786,$S1311=$V1311), "YES", "NO")</f>
        <v>NO</v>
      </c>
      <c r="AB1311" t="str">
        <f>IF(AND($S786&gt;1,$S1311&gt;1,$S786&lt;$V786,$S1311&lt;$V1311), "YES", "NO")</f>
        <v>NO</v>
      </c>
      <c r="AC1311" t="str">
        <f>IF(AND($V786&gt;10,$V1311&gt;10), "YES", "NO")</f>
        <v>NO</v>
      </c>
      <c r="AD1311"/>
    </row>
    <row r="1312" spans="1:30" ht="15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>LEFT($A1312,FIND("_",$A1312)-1)</f>
        <v>Kali-A</v>
      </c>
      <c r="P1312" s="13" t="str">
        <f>IF($O1312="ACS", "True Search", IF($O1312="Arja", "Evolutionary Search", IF($O1312="AVATAR", "True Pattern", IF($O1312="CapGen", "Search Like Pattern", IF($O1312="Cardumen", "True Semantic", IF($O1312="DynaMoth", "True Semantic", IF($O1312="FixMiner", "True Pattern", IF($O1312="GenProg-A", "Evolutionary Search", IF($O1312="Hercules", "Learning Pattern", IF($O1312="Jaid", "True Semantic",
IF($O1312="Kali-A", "True Search", IF($O1312="kPAR", "True Pattern", IF($O1312="Nopol", "True Semantic", IF($O1312="RSRepair-A", "Evolutionary Search", IF($O1312="SequenceR", "Deep Learning", IF($O1312="SimFix", "Search Like Pattern", IF($O1312="SketchFix", "True Pattern", IF($O1312="SOFix", "True Pattern", IF($O1312="ssFix", "Search Like Pattern", IF($O1312="TBar", "True Pattern", ""))))))))))))))))))))</f>
        <v>True Search</v>
      </c>
      <c r="Q1312" s="13" t="str">
        <f>IF(NOT(ISERR(SEARCH("*_Buggy",$A1312))), "Buggy", IF(NOT(ISERR(SEARCH("*_Fixed",$A1312))), "Fixed", IF(NOT(ISERR(SEARCH("*_Repaired",$A1312))), "Repaired", "")))</f>
        <v>Repaired</v>
      </c>
      <c r="R1312" s="13" t="s">
        <v>1669</v>
      </c>
      <c r="S1312" s="25">
        <v>1</v>
      </c>
      <c r="T1312" s="25">
        <v>3</v>
      </c>
      <c r="U1312" s="25">
        <v>1</v>
      </c>
      <c r="V1312" s="13">
        <v>3</v>
      </c>
      <c r="W1312" s="13" t="str">
        <f>MID(A1312, SEARCH("_", A1312) +1, SEARCH("_", A1312, SEARCH("_", A1312) +1) - SEARCH("_", A1312) -1)</f>
        <v>Closure-7</v>
      </c>
      <c r="Y1312" t="str">
        <f>IF(AND($S787=1,$S1312=1,$V787=1,$V1312=1), "YES", "NO")</f>
        <v>NO</v>
      </c>
      <c r="Z1312" t="str">
        <f>IF(AND($S787=1,$S1312=1,$V787&gt;1,$V1312&gt;1), "YES", "NO")</f>
        <v>NO</v>
      </c>
      <c r="AA1312" t="str">
        <f>IF(AND($S787&gt;1,$S1312&gt;1,$S787=$V787,$S1312=$V1312), "YES", "NO")</f>
        <v>NO</v>
      </c>
      <c r="AB1312" t="str">
        <f>IF(AND($S787&gt;1,$S1312&gt;1,$S787&lt;$V787,$S1312&lt;$V1312), "YES", "NO")</f>
        <v>NO</v>
      </c>
      <c r="AC1312" t="str">
        <f>IF(AND($V787&gt;10,$V1312&gt;10), "YES", "NO")</f>
        <v>NO</v>
      </c>
      <c r="AD1312"/>
    </row>
    <row r="1313" spans="1:30" ht="15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>LEFT($A1313,FIND("_",$A1313)-1)</f>
        <v>Kali-A</v>
      </c>
      <c r="P1313" s="13" t="str">
        <f>IF($O1313="ACS", "True Search", IF($O1313="Arja", "Evolutionary Search", IF($O1313="AVATAR", "True Pattern", IF($O1313="CapGen", "Search Like Pattern", IF($O1313="Cardumen", "True Semantic", IF($O1313="DynaMoth", "True Semantic", IF($O1313="FixMiner", "True Pattern", IF($O1313="GenProg-A", "Evolutionary Search", IF($O1313="Hercules", "Learning Pattern", IF($O1313="Jaid", "True Semantic",
IF($O1313="Kali-A", "True Search", IF($O1313="kPAR", "True Pattern", IF($O1313="Nopol", "True Semantic", IF($O1313="RSRepair-A", "Evolutionary Search", IF($O1313="SequenceR", "Deep Learning", IF($O1313="SimFix", "Search Like Pattern", IF($O1313="SketchFix", "True Pattern", IF($O1313="SOFix", "True Pattern", IF($O1313="ssFix", "Search Like Pattern", IF($O1313="TBar", "True Pattern", ""))))))))))))))))))))</f>
        <v>True Search</v>
      </c>
      <c r="Q1313" s="13" t="str">
        <f>IF(NOT(ISERR(SEARCH("*_Buggy",$A1313))), "Buggy", IF(NOT(ISERR(SEARCH("*_Fixed",$A1313))), "Fixed", IF(NOT(ISERR(SEARCH("*_Repaired",$A1313))), "Repaired", "")))</f>
        <v>Repaired</v>
      </c>
      <c r="R1313" s="13" t="s">
        <v>1669</v>
      </c>
      <c r="S1313" s="25">
        <v>1</v>
      </c>
      <c r="T1313" s="25">
        <v>1</v>
      </c>
      <c r="U1313" s="25">
        <v>4</v>
      </c>
      <c r="V1313" s="13">
        <v>4</v>
      </c>
      <c r="W1313" s="13" t="str">
        <f>MID(A1313, SEARCH("_", A1313) +1, SEARCH("_", A1313, SEARCH("_", A1313) +1) - SEARCH("_", A1313) -1)</f>
        <v>Closure-75</v>
      </c>
      <c r="Y1313" t="str">
        <f>IF(AND($S788=1,$S1313=1,$V788=1,$V1313=1), "YES", "NO")</f>
        <v>NO</v>
      </c>
      <c r="Z1313" t="str">
        <f>IF(AND($S788=1,$S1313=1,$V788&gt;1,$V1313&gt;1), "YES", "NO")</f>
        <v>NO</v>
      </c>
      <c r="AA1313" t="str">
        <f>IF(AND($S788&gt;1,$S1313&gt;1,$S788=$V788,$S1313=$V1313), "YES", "NO")</f>
        <v>NO</v>
      </c>
      <c r="AB1313" t="str">
        <f>IF(AND($S788&gt;1,$S1313&gt;1,$S788&lt;$V788,$S1313&lt;$V1313), "YES", "NO")</f>
        <v>NO</v>
      </c>
      <c r="AC1313" t="str">
        <f>IF(AND($V788&gt;10,$V1313&gt;10), "YES", "NO")</f>
        <v>NO</v>
      </c>
      <c r="AD1313"/>
    </row>
    <row r="1314" spans="1:30" ht="15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>LEFT($A1314,FIND("_",$A1314)-1)</f>
        <v>Kali-A</v>
      </c>
      <c r="P1314" s="13" t="str">
        <f>IF($O1314="ACS", "True Search", IF($O1314="Arja", "Evolutionary Search", IF($O1314="AVATAR", "True Pattern", IF($O1314="CapGen", "Search Like Pattern", IF($O1314="Cardumen", "True Semantic", IF($O1314="DynaMoth", "True Semantic", IF($O1314="FixMiner", "True Pattern", IF($O1314="GenProg-A", "Evolutionary Search", IF($O1314="Hercules", "Learning Pattern", IF($O1314="Jaid", "True Semantic",
IF($O1314="Kali-A", "True Search", IF($O1314="kPAR", "True Pattern", IF($O1314="Nopol", "True Semantic", IF($O1314="RSRepair-A", "Evolutionary Search", IF($O1314="SequenceR", "Deep Learning", IF($O1314="SimFix", "Search Like Pattern", IF($O1314="SketchFix", "True Pattern", IF($O1314="SOFix", "True Pattern", IF($O1314="ssFix", "Search Like Pattern", IF($O1314="TBar", "True Pattern", ""))))))))))))))))))))</f>
        <v>True Search</v>
      </c>
      <c r="Q1314" s="13" t="str">
        <f>IF(NOT(ISERR(SEARCH("*_Buggy",$A1314))), "Buggy", IF(NOT(ISERR(SEARCH("*_Fixed",$A1314))), "Fixed", IF(NOT(ISERR(SEARCH("*_Repaired",$A1314))), "Repaired", "")))</f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v>1</v>
      </c>
      <c r="W1314" s="13" t="str">
        <f>MID(A1314, SEARCH("_", A1314) +1, SEARCH("_", A1314, SEARCH("_", A1314) +1) - SEARCH("_", A1314) -1)</f>
        <v>Closure-86</v>
      </c>
      <c r="Y1314" t="str">
        <f>IF(AND($S789=1,$S1314=1,$V789=1,$V1314=1), "YES", "NO")</f>
        <v>YES</v>
      </c>
      <c r="Z1314" t="str">
        <f>IF(AND($S789=1,$S1314=1,$V789&gt;1,$V1314&gt;1), "YES", "NO")</f>
        <v>NO</v>
      </c>
      <c r="AA1314" t="str">
        <f>IF(AND($S789&gt;1,$S1314&gt;1,$S789=$V789,$S1314=$V1314), "YES", "NO")</f>
        <v>NO</v>
      </c>
      <c r="AB1314" t="str">
        <f>IF(AND($S789&gt;1,$S1314&gt;1,$S789&lt;$V789,$S1314&lt;$V1314), "YES", "NO")</f>
        <v>NO</v>
      </c>
      <c r="AC1314" t="str">
        <f>IF(AND($V789&gt;10,$V1314&gt;10), "YES", "NO")</f>
        <v>NO</v>
      </c>
      <c r="AD1314"/>
    </row>
    <row r="1315" spans="1:30" ht="15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>LEFT($A1315,FIND("_",$A1315)-1)</f>
        <v>Kali-A</v>
      </c>
      <c r="P1315" s="13" t="str">
        <f>IF($O1315="ACS", "True Search", IF($O1315="Arja", "Evolutionary Search", IF($O1315="AVATAR", "True Pattern", IF($O1315="CapGen", "Search Like Pattern", IF($O1315="Cardumen", "True Semantic", IF($O1315="DynaMoth", "True Semantic", IF($O1315="FixMiner", "True Pattern", IF($O1315="GenProg-A", "Evolutionary Search", IF($O1315="Hercules", "Learning Pattern", IF($O1315="Jaid", "True Semantic",
IF($O1315="Kali-A", "True Search", IF($O1315="kPAR", "True Pattern", IF($O1315="Nopol", "True Semantic", IF($O1315="RSRepair-A", "Evolutionary Search", IF($O1315="SequenceR", "Deep Learning", IF($O1315="SimFix", "Search Like Pattern", IF($O1315="SketchFix", "True Pattern", IF($O1315="SOFix", "True Pattern", IF($O1315="ssFix", "Search Like Pattern", IF($O1315="TBar", "True Pattern", ""))))))))))))))))))))</f>
        <v>True Search</v>
      </c>
      <c r="Q1315" s="13" t="str">
        <f>IF(NOT(ISERR(SEARCH("*_Buggy",$A1315))), "Buggy", IF(NOT(ISERR(SEARCH("*_Fixed",$A1315))), "Fixed", IF(NOT(ISERR(SEARCH("*_Repaired",$A1315))), "Repaired", "")))</f>
        <v>Repaired</v>
      </c>
      <c r="R1315" s="13" t="s">
        <v>1669</v>
      </c>
      <c r="S1315" s="25">
        <v>1</v>
      </c>
      <c r="T1315" s="25">
        <v>1</v>
      </c>
      <c r="U1315" s="25">
        <v>4</v>
      </c>
      <c r="V1315" s="13">
        <v>4</v>
      </c>
      <c r="W1315" s="13" t="str">
        <f>MID(A1315, SEARCH("_", A1315) +1, SEARCH("_", A1315, SEARCH("_", A1315) +1) - SEARCH("_", A1315) -1)</f>
        <v>Lang-58</v>
      </c>
      <c r="Y1315" t="str">
        <f>IF(AND($S790=1,$S1315=1,$V790=1,$V1315=1), "YES", "NO")</f>
        <v>NO</v>
      </c>
      <c r="Z1315" t="str">
        <f>IF(AND($S790=1,$S1315=1,$V790&gt;1,$V1315&gt;1), "YES", "NO")</f>
        <v>YES</v>
      </c>
      <c r="AA1315" t="str">
        <f>IF(AND($S790&gt;1,$S1315&gt;1,$S790=$V790,$S1315=$V1315), "YES", "NO")</f>
        <v>NO</v>
      </c>
      <c r="AB1315" t="str">
        <f>IF(AND($S790&gt;1,$S1315&gt;1,$S790&lt;$V790,$S1315&lt;$V1315), "YES", "NO")</f>
        <v>NO</v>
      </c>
      <c r="AC1315" t="str">
        <f>IF(AND($V790&gt;10,$V1315&gt;10), "YES", "NO")</f>
        <v>NO</v>
      </c>
      <c r="AD1315"/>
    </row>
    <row r="1316" spans="1:30" ht="15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>LEFT($A1316,FIND("_",$A1316)-1)</f>
        <v>Kali-A</v>
      </c>
      <c r="P1316" s="13" t="str">
        <f>IF($O1316="ACS", "True Search", IF($O1316="Arja", "Evolutionary Search", IF($O1316="AVATAR", "True Pattern", IF($O1316="CapGen", "Search Like Pattern", IF($O1316="Cardumen", "True Semantic", IF($O1316="DynaMoth", "True Semantic", IF($O1316="FixMiner", "True Pattern", IF($O1316="GenProg-A", "Evolutionary Search", IF($O1316="Hercules", "Learning Pattern", IF($O1316="Jaid", "True Semantic",
IF($O1316="Kali-A", "True Search", IF($O1316="kPAR", "True Pattern", IF($O1316="Nopol", "True Semantic", IF($O1316="RSRepair-A", "Evolutionary Search", IF($O1316="SequenceR", "Deep Learning", IF($O1316="SimFix", "Search Like Pattern", IF($O1316="SketchFix", "True Pattern", IF($O1316="SOFix", "True Pattern", IF($O1316="ssFix", "Search Like Pattern", IF($O1316="TBar", "True Pattern", ""))))))))))))))))))))</f>
        <v>True Search</v>
      </c>
      <c r="Q1316" s="13" t="str">
        <f>IF(NOT(ISERR(SEARCH("*_Buggy",$A1316))), "Buggy", IF(NOT(ISERR(SEARCH("*_Fixed",$A1316))), "Fixed", IF(NOT(ISERR(SEARCH("*_Repaired",$A1316))), "Repaired", "")))</f>
        <v>Repaired</v>
      </c>
      <c r="R1316" s="13" t="s">
        <v>1669</v>
      </c>
      <c r="S1316" s="25">
        <v>2</v>
      </c>
      <c r="T1316" s="13">
        <v>2</v>
      </c>
      <c r="U1316" s="25">
        <v>0</v>
      </c>
      <c r="V1316" s="13">
        <v>2</v>
      </c>
      <c r="W1316" s="13" t="str">
        <f>MID(A1316, SEARCH("_", A1316) +1, SEARCH("_", A1316, SEARCH("_", A1316) +1) - SEARCH("_", A1316) -1)</f>
        <v>Lang-63</v>
      </c>
      <c r="Y1316" t="str">
        <f>IF(AND($S791=1,$S1316=1,$V791=1,$V1316=1), "YES", "NO")</f>
        <v>NO</v>
      </c>
      <c r="Z1316" t="str">
        <f>IF(AND($S791=1,$S1316=1,$V791&gt;1,$V1316&gt;1), "YES", "NO")</f>
        <v>NO</v>
      </c>
      <c r="AA1316" t="str">
        <f>IF(AND($S791&gt;1,$S1316&gt;1,$S791=$V791,$S1316=$V1316), "YES", "NO")</f>
        <v>NO</v>
      </c>
      <c r="AB1316" t="str">
        <f>IF(AND($S791&gt;1,$S1316&gt;1,$S791&lt;$V791,$S1316&lt;$V1316), "YES", "NO")</f>
        <v>NO</v>
      </c>
      <c r="AC1316" t="str">
        <f>IF(AND($V791&gt;10,$V1316&gt;10), "YES", "NO")</f>
        <v>NO</v>
      </c>
      <c r="AD1316"/>
    </row>
    <row r="1317" spans="1:30" ht="15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>LEFT($A1317,FIND("_",$A1317)-1)</f>
        <v>Kali-A</v>
      </c>
      <c r="P1317" s="13" t="str">
        <f>IF($O1317="ACS", "True Search", IF($O1317="Arja", "Evolutionary Search", IF($O1317="AVATAR", "True Pattern", IF($O1317="CapGen", "Search Like Pattern", IF($O1317="Cardumen", "True Semantic", IF($O1317="DynaMoth", "True Semantic", IF($O1317="FixMiner", "True Pattern", IF($O1317="GenProg-A", "Evolutionary Search", IF($O1317="Hercules", "Learning Pattern", IF($O1317="Jaid", "True Semantic",
IF($O1317="Kali-A", "True Search", IF($O1317="kPAR", "True Pattern", IF($O1317="Nopol", "True Semantic", IF($O1317="RSRepair-A", "Evolutionary Search", IF($O1317="SequenceR", "Deep Learning", IF($O1317="SimFix", "Search Like Pattern", IF($O1317="SketchFix", "True Pattern", IF($O1317="SOFix", "True Pattern", IF($O1317="ssFix", "Search Like Pattern", IF($O1317="TBar", "True Pattern", ""))))))))))))))))))))</f>
        <v>True Search</v>
      </c>
      <c r="Q1317" s="13" t="str">
        <f>IF(NOT(ISERR(SEARCH("*_Buggy",$A1317))), "Buggy", IF(NOT(ISERR(SEARCH("*_Fixed",$A1317))), "Fixed", IF(NOT(ISERR(SEARCH("*_Repaired",$A1317))), "Repaired", "")))</f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v>1</v>
      </c>
      <c r="W1317" s="13" t="str">
        <f>MID(A1317, SEARCH("_", A1317) +1, SEARCH("_", A1317, SEARCH("_", A1317) +1) - SEARCH("_", A1317) -1)</f>
        <v>Math-28</v>
      </c>
      <c r="Y1317" t="str">
        <f>IF(AND($S792=1,$S1317=1,$V792=1,$V1317=1), "YES", "NO")</f>
        <v>NO</v>
      </c>
      <c r="Z1317" t="str">
        <f>IF(AND($S792=1,$S1317=1,$V792&gt;1,$V1317&gt;1), "YES", "NO")</f>
        <v>NO</v>
      </c>
      <c r="AA1317" t="str">
        <f>IF(AND($S792&gt;1,$S1317&gt;1,$S792=$V792,$S1317=$V1317), "YES", "NO")</f>
        <v>NO</v>
      </c>
      <c r="AB1317" t="str">
        <f>IF(AND($S792&gt;1,$S1317&gt;1,$S792&lt;$V792,$S1317&lt;$V1317), "YES", "NO")</f>
        <v>NO</v>
      </c>
      <c r="AC1317" t="str">
        <f>IF(AND($V792&gt;10,$V1317&gt;10), "YES", "NO")</f>
        <v>NO</v>
      </c>
      <c r="AD1317"/>
    </row>
    <row r="1318" spans="1:30" ht="15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>LEFT($A1318,FIND("_",$A1318)-1)</f>
        <v>Kali-A</v>
      </c>
      <c r="P1318" s="13" t="str">
        <f>IF($O1318="ACS", "True Search", IF($O1318="Arja", "Evolutionary Search", IF($O1318="AVATAR", "True Pattern", IF($O1318="CapGen", "Search Like Pattern", IF($O1318="Cardumen", "True Semantic", IF($O1318="DynaMoth", "True Semantic", IF($O1318="FixMiner", "True Pattern", IF($O1318="GenProg-A", "Evolutionary Search", IF($O1318="Hercules", "Learning Pattern", IF($O1318="Jaid", "True Semantic",
IF($O1318="Kali-A", "True Search", IF($O1318="kPAR", "True Pattern", IF($O1318="Nopol", "True Semantic", IF($O1318="RSRepair-A", "Evolutionary Search", IF($O1318="SequenceR", "Deep Learning", IF($O1318="SimFix", "Search Like Pattern", IF($O1318="SketchFix", "True Pattern", IF($O1318="SOFix", "True Pattern", IF($O1318="ssFix", "Search Like Pattern", IF($O1318="TBar", "True Pattern", ""))))))))))))))))))))</f>
        <v>True Search</v>
      </c>
      <c r="Q1318" s="13" t="str">
        <f>IF(NOT(ISERR(SEARCH("*_Buggy",$A1318))), "Buggy", IF(NOT(ISERR(SEARCH("*_Fixed",$A1318))), "Fixed", IF(NOT(ISERR(SEARCH("*_Repaired",$A1318))), "Repaired", "")))</f>
        <v>Repaired</v>
      </c>
      <c r="R1318" s="13" t="s">
        <v>1669</v>
      </c>
      <c r="S1318" s="25">
        <v>1</v>
      </c>
      <c r="T1318" s="25">
        <v>3</v>
      </c>
      <c r="U1318" s="25">
        <v>1</v>
      </c>
      <c r="V1318" s="13">
        <v>3</v>
      </c>
      <c r="W1318" s="13" t="str">
        <f>MID(A1318, SEARCH("_", A1318) +1, SEARCH("_", A1318, SEARCH("_", A1318) +1) - SEARCH("_", A1318) -1)</f>
        <v>Math-31</v>
      </c>
      <c r="Y1318" t="str">
        <f>IF(AND($S793=1,$S1318=1,$V793=1,$V1318=1), "YES", "NO")</f>
        <v>NO</v>
      </c>
      <c r="Z1318" t="str">
        <f>IF(AND($S793=1,$S1318=1,$V793&gt;1,$V1318&gt;1), "YES", "NO")</f>
        <v>NO</v>
      </c>
      <c r="AA1318" t="str">
        <f>IF(AND($S793&gt;1,$S1318&gt;1,$S793=$V793,$S1318=$V1318), "YES", "NO")</f>
        <v>NO</v>
      </c>
      <c r="AB1318" t="str">
        <f>IF(AND($S793&gt;1,$S1318&gt;1,$S793&lt;$V793,$S1318&lt;$V1318), "YES", "NO")</f>
        <v>NO</v>
      </c>
      <c r="AC1318" t="str">
        <f>IF(AND($V793&gt;10,$V1318&gt;10), "YES", "NO")</f>
        <v>NO</v>
      </c>
      <c r="AD1318"/>
    </row>
    <row r="1319" spans="1:30" ht="15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>LEFT($A1319,FIND("_",$A1319)-1)</f>
        <v>Kali-A</v>
      </c>
      <c r="P1319" s="13" t="str">
        <f>IF($O1319="ACS", "True Search", IF($O1319="Arja", "Evolutionary Search", IF($O1319="AVATAR", "True Pattern", IF($O1319="CapGen", "Search Like Pattern", IF($O1319="Cardumen", "True Semantic", IF($O1319="DynaMoth", "True Semantic", IF($O1319="FixMiner", "True Pattern", IF($O1319="GenProg-A", "Evolutionary Search", IF($O1319="Hercules", "Learning Pattern", IF($O1319="Jaid", "True Semantic",
IF($O1319="Kali-A", "True Search", IF($O1319="kPAR", "True Pattern", IF($O1319="Nopol", "True Semantic", IF($O1319="RSRepair-A", "Evolutionary Search", IF($O1319="SequenceR", "Deep Learning", IF($O1319="SimFix", "Search Like Pattern", IF($O1319="SketchFix", "True Pattern", IF($O1319="SOFix", "True Pattern", IF($O1319="ssFix", "Search Like Pattern", IF($O1319="TBar", "True Pattern", ""))))))))))))))))))))</f>
        <v>True Search</v>
      </c>
      <c r="Q1319" s="13" t="str">
        <f>IF(NOT(ISERR(SEARCH("*_Buggy",$A1319))), "Buggy", IF(NOT(ISERR(SEARCH("*_Fixed",$A1319))), "Fixed", IF(NOT(ISERR(SEARCH("*_Repaired",$A1319))), "Repaired", "")))</f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v>1</v>
      </c>
      <c r="W1319" s="13" t="str">
        <f>MID(A1319, SEARCH("_", A1319) +1, SEARCH("_", A1319, SEARCH("_", A1319) +1) - SEARCH("_", A1319) -1)</f>
        <v>Math-32</v>
      </c>
      <c r="Y1319" t="str">
        <f>IF(AND($S794=1,$S1319=1,$V794=1,$V1319=1), "YES", "NO")</f>
        <v>YES</v>
      </c>
      <c r="Z1319" t="str">
        <f>IF(AND($S794=1,$S1319=1,$V794&gt;1,$V1319&gt;1), "YES", "NO")</f>
        <v>NO</v>
      </c>
      <c r="AA1319" t="str">
        <f>IF(AND($S794&gt;1,$S1319&gt;1,$S794=$V794,$S1319=$V1319), "YES", "NO")</f>
        <v>NO</v>
      </c>
      <c r="AB1319" t="str">
        <f>IF(AND($S794&gt;1,$S1319&gt;1,$S794&lt;$V794,$S1319&lt;$V1319), "YES", "NO")</f>
        <v>NO</v>
      </c>
      <c r="AC1319" t="str">
        <f>IF(AND($V794&gt;10,$V1319&gt;10), "YES", "NO")</f>
        <v>NO</v>
      </c>
      <c r="AD1319"/>
    </row>
    <row r="1320" spans="1:30" ht="15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>LEFT($A1320,FIND("_",$A1320)-1)</f>
        <v>Kali-A</v>
      </c>
      <c r="P1320" s="13" t="str">
        <f>IF($O1320="ACS", "True Search", IF($O1320="Arja", "Evolutionary Search", IF($O1320="AVATAR", "True Pattern", IF($O1320="CapGen", "Search Like Pattern", IF($O1320="Cardumen", "True Semantic", IF($O1320="DynaMoth", "True Semantic", IF($O1320="FixMiner", "True Pattern", IF($O1320="GenProg-A", "Evolutionary Search", IF($O1320="Hercules", "Learning Pattern", IF($O1320="Jaid", "True Semantic",
IF($O1320="Kali-A", "True Search", IF($O1320="kPAR", "True Pattern", IF($O1320="Nopol", "True Semantic", IF($O1320="RSRepair-A", "Evolutionary Search", IF($O1320="SequenceR", "Deep Learning", IF($O1320="SimFix", "Search Like Pattern", IF($O1320="SketchFix", "True Pattern", IF($O1320="SOFix", "True Pattern", IF($O1320="ssFix", "Search Like Pattern", IF($O1320="TBar", "True Pattern", ""))))))))))))))))))))</f>
        <v>True Search</v>
      </c>
      <c r="Q1320" s="13" t="str">
        <f>IF(NOT(ISERR(SEARCH("*_Buggy",$A1320))), "Buggy", IF(NOT(ISERR(SEARCH("*_Fixed",$A1320))), "Fixed", IF(NOT(ISERR(SEARCH("*_Repaired",$A1320))), "Repaired", "")))</f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v>1</v>
      </c>
      <c r="W1320" s="13" t="str">
        <f>MID(A1320, SEARCH("_", A1320) +1, SEARCH("_", A1320, SEARCH("_", A1320) +1) - SEARCH("_", A1320) -1)</f>
        <v>Math-49</v>
      </c>
      <c r="Y1320" t="str">
        <f>IF(AND($S795=1,$S1320=1,$V795=1,$V1320=1), "YES", "NO")</f>
        <v>NO</v>
      </c>
      <c r="Z1320" t="str">
        <f>IF(AND($S795=1,$S1320=1,$V795&gt;1,$V1320&gt;1), "YES", "NO")</f>
        <v>NO</v>
      </c>
      <c r="AA1320" t="str">
        <f>IF(AND($S795&gt;1,$S1320&gt;1,$S795=$V795,$S1320=$V1320), "YES", "NO")</f>
        <v>NO</v>
      </c>
      <c r="AB1320" t="str">
        <f>IF(AND($S795&gt;1,$S1320&gt;1,$S795&lt;$V795,$S1320&lt;$V1320), "YES", "NO")</f>
        <v>NO</v>
      </c>
      <c r="AC1320" t="str">
        <f>IF(AND($V795&gt;10,$V1320&gt;10), "YES", "NO")</f>
        <v>NO</v>
      </c>
      <c r="AD1320"/>
    </row>
    <row r="1321" spans="1:30" ht="15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>LEFT($A1321,FIND("_",$A1321)-1)</f>
        <v>Kali-A</v>
      </c>
      <c r="P1321" s="13" t="str">
        <f>IF($O1321="ACS", "True Search", IF($O1321="Arja", "Evolutionary Search", IF($O1321="AVATAR", "True Pattern", IF($O1321="CapGen", "Search Like Pattern", IF($O1321="Cardumen", "True Semantic", IF($O1321="DynaMoth", "True Semantic", IF($O1321="FixMiner", "True Pattern", IF($O1321="GenProg-A", "Evolutionary Search", IF($O1321="Hercules", "Learning Pattern", IF($O1321="Jaid", "True Semantic",
IF($O1321="Kali-A", "True Search", IF($O1321="kPAR", "True Pattern", IF($O1321="Nopol", "True Semantic", IF($O1321="RSRepair-A", "Evolutionary Search", IF($O1321="SequenceR", "Deep Learning", IF($O1321="SimFix", "Search Like Pattern", IF($O1321="SketchFix", "True Pattern", IF($O1321="SOFix", "True Pattern", IF($O1321="ssFix", "Search Like Pattern", IF($O1321="TBar", "True Pattern", ""))))))))))))))))))))</f>
        <v>True Search</v>
      </c>
      <c r="Q1321" s="13" t="str">
        <f>IF(NOT(ISERR(SEARCH("*_Buggy",$A1321))), "Buggy", IF(NOT(ISERR(SEARCH("*_Fixed",$A1321))), "Fixed", IF(NOT(ISERR(SEARCH("*_Repaired",$A1321))), "Repaired", "")))</f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v>1</v>
      </c>
      <c r="W1321" s="13" t="str">
        <f>MID(A1321, SEARCH("_", A1321) +1, SEARCH("_", A1321, SEARCH("_", A1321) +1) - SEARCH("_", A1321) -1)</f>
        <v>Math-50</v>
      </c>
      <c r="Y1321" t="str">
        <f>IF(AND($S796=1,$S1321=1,$V796=1,$V1321=1), "YES", "NO")</f>
        <v>NO</v>
      </c>
      <c r="Z1321" t="str">
        <f>IF(AND($S796=1,$S1321=1,$V796&gt;1,$V1321&gt;1), "YES", "NO")</f>
        <v>NO</v>
      </c>
      <c r="AA1321" t="str">
        <f>IF(AND($S796&gt;1,$S1321&gt;1,$S796=$V796,$S1321=$V1321), "YES", "NO")</f>
        <v>NO</v>
      </c>
      <c r="AB1321" t="str">
        <f>IF(AND($S796&gt;1,$S1321&gt;1,$S796&lt;$V796,$S1321&lt;$V1321), "YES", "NO")</f>
        <v>NO</v>
      </c>
      <c r="AC1321" t="str">
        <f>IF(AND($V796&gt;10,$V1321&gt;10), "YES", "NO")</f>
        <v>NO</v>
      </c>
      <c r="AD1321"/>
    </row>
    <row r="1322" spans="1:30" ht="15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>LEFT($A1322,FIND("_",$A1322)-1)</f>
        <v>Kali-A</v>
      </c>
      <c r="P1322" s="13" t="str">
        <f>IF($O1322="ACS", "True Search", IF($O1322="Arja", "Evolutionary Search", IF($O1322="AVATAR", "True Pattern", IF($O1322="CapGen", "Search Like Pattern", IF($O1322="Cardumen", "True Semantic", IF($O1322="DynaMoth", "True Semantic", IF($O1322="FixMiner", "True Pattern", IF($O1322="GenProg-A", "Evolutionary Search", IF($O1322="Hercules", "Learning Pattern", IF($O1322="Jaid", "True Semantic",
IF($O1322="Kali-A", "True Search", IF($O1322="kPAR", "True Pattern", IF($O1322="Nopol", "True Semantic", IF($O1322="RSRepair-A", "Evolutionary Search", IF($O1322="SequenceR", "Deep Learning", IF($O1322="SimFix", "Search Like Pattern", IF($O1322="SketchFix", "True Pattern", IF($O1322="SOFix", "True Pattern", IF($O1322="ssFix", "Search Like Pattern", IF($O1322="TBar", "True Pattern", ""))))))))))))))))))))</f>
        <v>True Search</v>
      </c>
      <c r="Q1322" s="13" t="str">
        <f>IF(NOT(ISERR(SEARCH("*_Buggy",$A1322))), "Buggy", IF(NOT(ISERR(SEARCH("*_Fixed",$A1322))), "Fixed", IF(NOT(ISERR(SEARCH("*_Repaired",$A1322))), "Repaired", "")))</f>
        <v>Repaired</v>
      </c>
      <c r="R1322" s="13" t="s">
        <v>1669</v>
      </c>
      <c r="S1322" s="25">
        <v>1</v>
      </c>
      <c r="T1322" s="25">
        <v>3</v>
      </c>
      <c r="U1322" s="25">
        <v>1</v>
      </c>
      <c r="V1322" s="13">
        <v>3</v>
      </c>
      <c r="W1322" s="13" t="str">
        <f>MID(A1322, SEARCH("_", A1322) +1, SEARCH("_", A1322, SEARCH("_", A1322) +1) - SEARCH("_", A1322) -1)</f>
        <v>Math-80</v>
      </c>
      <c r="Y1322" t="str">
        <f>IF(AND($S797=1,$S1322=1,$V797=1,$V1322=1), "YES", "NO")</f>
        <v>NO</v>
      </c>
      <c r="Z1322" t="str">
        <f>IF(AND($S797=1,$S1322=1,$V797&gt;1,$V1322&gt;1), "YES", "NO")</f>
        <v>NO</v>
      </c>
      <c r="AA1322" t="str">
        <f>IF(AND($S797&gt;1,$S1322&gt;1,$S797=$V797,$S1322=$V1322), "YES", "NO")</f>
        <v>NO</v>
      </c>
      <c r="AB1322" t="str">
        <f>IF(AND($S797&gt;1,$S1322&gt;1,$S797&lt;$V797,$S1322&lt;$V1322), "YES", "NO")</f>
        <v>NO</v>
      </c>
      <c r="AC1322" t="str">
        <f>IF(AND($V797&gt;10,$V1322&gt;10), "YES", "NO")</f>
        <v>NO</v>
      </c>
      <c r="AD1322"/>
    </row>
    <row r="1323" spans="1:30" ht="15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>LEFT($A1323,FIND("_",$A1323)-1)</f>
        <v>Kali-A</v>
      </c>
      <c r="P1323" s="13" t="str">
        <f>IF($O1323="ACS", "True Search", IF($O1323="Arja", "Evolutionary Search", IF($O1323="AVATAR", "True Pattern", IF($O1323="CapGen", "Search Like Pattern", IF($O1323="Cardumen", "True Semantic", IF($O1323="DynaMoth", "True Semantic", IF($O1323="FixMiner", "True Pattern", IF($O1323="GenProg-A", "Evolutionary Search", IF($O1323="Hercules", "Learning Pattern", IF($O1323="Jaid", "True Semantic",
IF($O1323="Kali-A", "True Search", IF($O1323="kPAR", "True Pattern", IF($O1323="Nopol", "True Semantic", IF($O1323="RSRepair-A", "Evolutionary Search", IF($O1323="SequenceR", "Deep Learning", IF($O1323="SimFix", "Search Like Pattern", IF($O1323="SketchFix", "True Pattern", IF($O1323="SOFix", "True Pattern", IF($O1323="ssFix", "Search Like Pattern", IF($O1323="TBar", "True Pattern", ""))))))))))))))))))))</f>
        <v>True Search</v>
      </c>
      <c r="Q1323" s="13" t="str">
        <f>IF(NOT(ISERR(SEARCH("*_Buggy",$A1323))), "Buggy", IF(NOT(ISERR(SEARCH("*_Fixed",$A1323))), "Fixed", IF(NOT(ISERR(SEARCH("*_Repaired",$A1323))), "Repaired", "")))</f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v>1</v>
      </c>
      <c r="W1323" s="13" t="str">
        <f>MID(A1323, SEARCH("_", A1323) +1, SEARCH("_", A1323, SEARCH("_", A1323) +1) - SEARCH("_", A1323) -1)</f>
        <v>Math-81</v>
      </c>
      <c r="Y1323" t="str">
        <f>IF(AND($S798=1,$S1323=1,$V798=1,$V1323=1), "YES", "NO")</f>
        <v>NO</v>
      </c>
      <c r="Z1323" t="str">
        <f>IF(AND($S798=1,$S1323=1,$V798&gt;1,$V1323&gt;1), "YES", "NO")</f>
        <v>NO</v>
      </c>
      <c r="AA1323" t="str">
        <f>IF(AND($S798&gt;1,$S1323&gt;1,$S798=$V798,$S1323=$V1323), "YES", "NO")</f>
        <v>NO</v>
      </c>
      <c r="AB1323" t="str">
        <f>IF(AND($S798&gt;1,$S1323&gt;1,$S798&lt;$V798,$S1323&lt;$V1323), "YES", "NO")</f>
        <v>NO</v>
      </c>
      <c r="AC1323" t="str">
        <f>IF(AND($V798&gt;10,$V1323&gt;10), "YES", "NO")</f>
        <v>NO</v>
      </c>
      <c r="AD1323"/>
    </row>
    <row r="1324" spans="1:30" ht="15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>LEFT($A1324,FIND("_",$A1324)-1)</f>
        <v>Kali-A</v>
      </c>
      <c r="P1324" s="13" t="str">
        <f>IF($O1324="ACS", "True Search", IF($O1324="Arja", "Evolutionary Search", IF($O1324="AVATAR", "True Pattern", IF($O1324="CapGen", "Search Like Pattern", IF($O1324="Cardumen", "True Semantic", IF($O1324="DynaMoth", "True Semantic", IF($O1324="FixMiner", "True Pattern", IF($O1324="GenProg-A", "Evolutionary Search", IF($O1324="Hercules", "Learning Pattern", IF($O1324="Jaid", "True Semantic",
IF($O1324="Kali-A", "True Search", IF($O1324="kPAR", "True Pattern", IF($O1324="Nopol", "True Semantic", IF($O1324="RSRepair-A", "Evolutionary Search", IF($O1324="SequenceR", "Deep Learning", IF($O1324="SimFix", "Search Like Pattern", IF($O1324="SketchFix", "True Pattern", IF($O1324="SOFix", "True Pattern", IF($O1324="ssFix", "Search Like Pattern", IF($O1324="TBar", "True Pattern", ""))))))))))))))))))))</f>
        <v>True Search</v>
      </c>
      <c r="Q1324" s="13" t="str">
        <f>IF(NOT(ISERR(SEARCH("*_Buggy",$A1324))), "Buggy", IF(NOT(ISERR(SEARCH("*_Fixed",$A1324))), "Fixed", IF(NOT(ISERR(SEARCH("*_Repaired",$A1324))), "Repaired", "")))</f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v>1</v>
      </c>
      <c r="W1324" s="13" t="str">
        <f>MID(A1324, SEARCH("_", A1324) +1, SEARCH("_", A1324, SEARCH("_", A1324) +1) - SEARCH("_", A1324) -1)</f>
        <v>Math-84</v>
      </c>
      <c r="Y1324" t="str">
        <f>IF(AND($S799=1,$S1324=1,$V799=1,$V1324=1), "YES", "NO")</f>
        <v>NO</v>
      </c>
      <c r="Z1324" t="str">
        <f>IF(AND($S799=1,$S1324=1,$V799&gt;1,$V1324&gt;1), "YES", "NO")</f>
        <v>NO</v>
      </c>
      <c r="AA1324" t="str">
        <f>IF(AND($S799&gt;1,$S1324&gt;1,$S799=$V799,$S1324=$V1324), "YES", "NO")</f>
        <v>NO</v>
      </c>
      <c r="AB1324" t="str">
        <f>IF(AND($S799&gt;1,$S1324&gt;1,$S799&lt;$V799,$S1324&lt;$V1324), "YES", "NO")</f>
        <v>NO</v>
      </c>
      <c r="AC1324" t="str">
        <f>IF(AND($V799&gt;10,$V1324&gt;10), "YES", "NO")</f>
        <v>NO</v>
      </c>
      <c r="AD1324"/>
    </row>
    <row r="1325" spans="1:30" ht="15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>LEFT($A1325,FIND("_",$A1325)-1)</f>
        <v>Kali-A</v>
      </c>
      <c r="P1325" s="13" t="str">
        <f>IF($O1325="ACS", "True Search", IF($O1325="Arja", "Evolutionary Search", IF($O1325="AVATAR", "True Pattern", IF($O1325="CapGen", "Search Like Pattern", IF($O1325="Cardumen", "True Semantic", IF($O1325="DynaMoth", "True Semantic", IF($O1325="FixMiner", "True Pattern", IF($O1325="GenProg-A", "Evolutionary Search", IF($O1325="Hercules", "Learning Pattern", IF($O1325="Jaid", "True Semantic",
IF($O1325="Kali-A", "True Search", IF($O1325="kPAR", "True Pattern", IF($O1325="Nopol", "True Semantic", IF($O1325="RSRepair-A", "Evolutionary Search", IF($O1325="SequenceR", "Deep Learning", IF($O1325="SimFix", "Search Like Pattern", IF($O1325="SketchFix", "True Pattern", IF($O1325="SOFix", "True Pattern", IF($O1325="ssFix", "Search Like Pattern", IF($O1325="TBar", "True Pattern", ""))))))))))))))))))))</f>
        <v>True Search</v>
      </c>
      <c r="Q1325" s="13" t="str">
        <f>IF(NOT(ISERR(SEARCH("*_Buggy",$A1325))), "Buggy", IF(NOT(ISERR(SEARCH("*_Fixed",$A1325))), "Fixed", IF(NOT(ISERR(SEARCH("*_Repaired",$A1325))), "Repaired", "")))</f>
        <v>Repaired</v>
      </c>
      <c r="R1325" s="13" t="s">
        <v>1669</v>
      </c>
      <c r="S1325" s="25">
        <v>1</v>
      </c>
      <c r="T1325" s="25">
        <v>0</v>
      </c>
      <c r="U1325" s="13">
        <v>6</v>
      </c>
      <c r="V1325" s="13">
        <v>6</v>
      </c>
      <c r="W1325" s="13" t="str">
        <f>MID(A1325, SEARCH("_", A1325) +1, SEARCH("_", A1325, SEARCH("_", A1325) +1) - SEARCH("_", A1325) -1)</f>
        <v>Math-85</v>
      </c>
      <c r="Y1325" t="str">
        <f>IF(AND($S800=1,$S1325=1,$V800=1,$V1325=1), "YES", "NO")</f>
        <v>NO</v>
      </c>
      <c r="Z1325" t="str">
        <f>IF(AND($S800=1,$S1325=1,$V800&gt;1,$V1325&gt;1), "YES", "NO")</f>
        <v>NO</v>
      </c>
      <c r="AA1325" t="str">
        <f>IF(AND($S800&gt;1,$S1325&gt;1,$S800=$V800,$S1325=$V1325), "YES", "NO")</f>
        <v>NO</v>
      </c>
      <c r="AB1325" t="str">
        <f>IF(AND($S800&gt;1,$S1325&gt;1,$S800&lt;$V800,$S1325&lt;$V1325), "YES", "NO")</f>
        <v>NO</v>
      </c>
      <c r="AC1325" t="str">
        <f>IF(AND($V800&gt;10,$V1325&gt;10), "YES", "NO")</f>
        <v>NO</v>
      </c>
      <c r="AD1325"/>
    </row>
    <row r="1326" spans="1:30" ht="15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>LEFT($A1326,FIND("_",$A1326)-1)</f>
        <v>Kali-A</v>
      </c>
      <c r="P1326" s="13" t="str">
        <f>IF($O1326="ACS", "True Search", IF($O1326="Arja", "Evolutionary Search", IF($O1326="AVATAR", "True Pattern", IF($O1326="CapGen", "Search Like Pattern", IF($O1326="Cardumen", "True Semantic", IF($O1326="DynaMoth", "True Semantic", IF($O1326="FixMiner", "True Pattern", IF($O1326="GenProg-A", "Evolutionary Search", IF($O1326="Hercules", "Learning Pattern", IF($O1326="Jaid", "True Semantic",
IF($O1326="Kali-A", "True Search", IF($O1326="kPAR", "True Pattern", IF($O1326="Nopol", "True Semantic", IF($O1326="RSRepair-A", "Evolutionary Search", IF($O1326="SequenceR", "Deep Learning", IF($O1326="SimFix", "Search Like Pattern", IF($O1326="SketchFix", "True Pattern", IF($O1326="SOFix", "True Pattern", IF($O1326="ssFix", "Search Like Pattern", IF($O1326="TBar", "True Pattern", ""))))))))))))))))))))</f>
        <v>True Search</v>
      </c>
      <c r="Q1326" s="13" t="str">
        <f>IF(NOT(ISERR(SEARCH("*_Buggy",$A1326))), "Buggy", IF(NOT(ISERR(SEARCH("*_Fixed",$A1326))), "Fixed", IF(NOT(ISERR(SEARCH("*_Repaired",$A1326))), "Repaired", "")))</f>
        <v>Repaired</v>
      </c>
      <c r="R1326" s="13" t="s">
        <v>1669</v>
      </c>
      <c r="S1326" s="25">
        <v>1</v>
      </c>
      <c r="T1326" s="25">
        <v>3</v>
      </c>
      <c r="U1326" s="25">
        <v>1</v>
      </c>
      <c r="V1326" s="13">
        <v>3</v>
      </c>
      <c r="W1326" s="13" t="str">
        <f>MID(A1326, SEARCH("_", A1326) +1, SEARCH("_", A1326, SEARCH("_", A1326) +1) - SEARCH("_", A1326) -1)</f>
        <v>Math-95</v>
      </c>
      <c r="Y1326" t="str">
        <f>IF(AND($S801=1,$S1326=1,$V801=1,$V1326=1), "YES", "NO")</f>
        <v>NO</v>
      </c>
      <c r="Z1326" t="str">
        <f>IF(AND($S801=1,$S1326=1,$V801&gt;1,$V1326&gt;1), "YES", "NO")</f>
        <v>NO</v>
      </c>
      <c r="AA1326" t="str">
        <f>IF(AND($S801&gt;1,$S1326&gt;1,$S801=$V801,$S1326=$V1326), "YES", "NO")</f>
        <v>NO</v>
      </c>
      <c r="AB1326" t="str">
        <f>IF(AND($S801&gt;1,$S1326&gt;1,$S801&lt;$V801,$S1326&lt;$V1326), "YES", "NO")</f>
        <v>NO</v>
      </c>
      <c r="AC1326" t="str">
        <f>IF(AND($V801&gt;10,$V1326&gt;10), "YES", "NO")</f>
        <v>NO</v>
      </c>
      <c r="AD1326"/>
    </row>
    <row r="1327" spans="1:30" ht="15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>LEFT($A1327,FIND("_",$A1327)-1)</f>
        <v>kPAR</v>
      </c>
      <c r="P1327" s="13" t="str">
        <f>IF($O1327="ACS", "True Search", IF($O1327="Arja", "Evolutionary Search", IF($O1327="AVATAR", "True Pattern", IF($O1327="CapGen", "Search Like Pattern", IF($O1327="Cardumen", "True Semantic", IF($O1327="DynaMoth", "True Semantic", IF($O1327="FixMiner", "True Pattern", IF($O1327="GenProg-A", "Evolutionary Search", IF($O1327="Hercules", "Learning Pattern", IF($O1327="Jaid", "True Semantic",
IF($O1327="Kali-A", "True Search", IF($O1327="kPAR", "True Pattern", IF($O1327="Nopol", "True Semantic", IF($O1327="RSRepair-A", "Evolutionary Search", IF($O1327="SequenceR", "Deep Learning", IF($O1327="SimFix", "Search Like Pattern", IF($O1327="SketchFix", "True Pattern", IF($O1327="SOFix", "True Pattern", IF($O1327="ssFix", "Search Like Pattern", IF($O1327="TBar", "True Pattern", ""))))))))))))))))))))</f>
        <v>True Pattern</v>
      </c>
      <c r="Q1327" s="13" t="str">
        <f>IF(NOT(ISERR(SEARCH("*_Buggy",$A1327))), "Buggy", IF(NOT(ISERR(SEARCH("*_Fixed",$A1327))), "Fixed", IF(NOT(ISERR(SEARCH("*_Repaired",$A1327))), "Repaired", "")))</f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v>1</v>
      </c>
      <c r="W1327" s="13" t="str">
        <f>MID(A1327, SEARCH("_", A1327) +1, SEARCH("_", A1327, SEARCH("_", A1327) +1) - SEARCH("_", A1327) -1)</f>
        <v>Chart-1</v>
      </c>
      <c r="Y1327" t="str">
        <f>IF(AND($S802=1,$S1327=1,$V802=1,$V1327=1), "YES", "NO")</f>
        <v>YES</v>
      </c>
      <c r="Z1327" t="str">
        <f>IF(AND($S802=1,$S1327=1,$V802&gt;1,$V1327&gt;1), "YES", "NO")</f>
        <v>NO</v>
      </c>
      <c r="AA1327" t="str">
        <f>IF(AND($S802&gt;1,$S1327&gt;1,$S802=$V802,$S1327=$V1327), "YES", "NO")</f>
        <v>NO</v>
      </c>
      <c r="AB1327" t="str">
        <f>IF(AND($S802&gt;1,$S1327&gt;1,$S802&lt;$V802,$S1327&lt;$V1327), "YES", "NO")</f>
        <v>NO</v>
      </c>
      <c r="AC1327" t="str">
        <f>IF(AND($V802&gt;10,$V1327&gt;10), "YES", "NO")</f>
        <v>NO</v>
      </c>
      <c r="AD1327"/>
    </row>
    <row r="1328" spans="1:30" ht="15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>LEFT($A1328,FIND("_",$A1328)-1)</f>
        <v>kPAR</v>
      </c>
      <c r="P1328" s="13" t="str">
        <f>IF($O1328="ACS", "True Search", IF($O1328="Arja", "Evolutionary Search", IF($O1328="AVATAR", "True Pattern", IF($O1328="CapGen", "Search Like Pattern", IF($O1328="Cardumen", "True Semantic", IF($O1328="DynaMoth", "True Semantic", IF($O1328="FixMiner", "True Pattern", IF($O1328="GenProg-A", "Evolutionary Search", IF($O1328="Hercules", "Learning Pattern", IF($O1328="Jaid", "True Semantic",
IF($O1328="Kali-A", "True Search", IF($O1328="kPAR", "True Pattern", IF($O1328="Nopol", "True Semantic", IF($O1328="RSRepair-A", "Evolutionary Search", IF($O1328="SequenceR", "Deep Learning", IF($O1328="SimFix", "Search Like Pattern", IF($O1328="SketchFix", "True Pattern", IF($O1328="SOFix", "True Pattern", IF($O1328="ssFix", "Search Like Pattern", IF($O1328="TBar", "True Pattern", ""))))))))))))))))))))</f>
        <v>True Pattern</v>
      </c>
      <c r="Q1328" s="13" t="str">
        <f>IF(NOT(ISERR(SEARCH("*_Buggy",$A1328))), "Buggy", IF(NOT(ISERR(SEARCH("*_Fixed",$A1328))), "Fixed", IF(NOT(ISERR(SEARCH("*_Repaired",$A1328))), "Repaired", "")))</f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v>1</v>
      </c>
      <c r="W1328" s="13" t="str">
        <f>MID(A1328, SEARCH("_", A1328) +1, SEARCH("_", A1328, SEARCH("_", A1328) +1) - SEARCH("_", A1328) -1)</f>
        <v>Chart-13</v>
      </c>
      <c r="Y1328" t="str">
        <f>IF(AND($S803=1,$S1328=1,$V803=1,$V1328=1), "YES", "NO")</f>
        <v>YES</v>
      </c>
      <c r="Z1328" t="str">
        <f>IF(AND($S803=1,$S1328=1,$V803&gt;1,$V1328&gt;1), "YES", "NO")</f>
        <v>NO</v>
      </c>
      <c r="AA1328" t="str">
        <f>IF(AND($S803&gt;1,$S1328&gt;1,$S803=$V803,$S1328=$V1328), "YES", "NO")</f>
        <v>NO</v>
      </c>
      <c r="AB1328" t="str">
        <f>IF(AND($S803&gt;1,$S1328&gt;1,$S803&lt;$V803,$S1328&lt;$V1328), "YES", "NO")</f>
        <v>NO</v>
      </c>
      <c r="AC1328" t="str">
        <f>IF(AND($V803&gt;10,$V1328&gt;10), "YES", "NO")</f>
        <v>NO</v>
      </c>
      <c r="AD1328"/>
    </row>
    <row r="1329" spans="1:30" ht="15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>LEFT($A1329,FIND("_",$A1329)-1)</f>
        <v>kPAR</v>
      </c>
      <c r="P1329" s="13" t="str">
        <f>IF($O1329="ACS", "True Search", IF($O1329="Arja", "Evolutionary Search", IF($O1329="AVATAR", "True Pattern", IF($O1329="CapGen", "Search Like Pattern", IF($O1329="Cardumen", "True Semantic", IF($O1329="DynaMoth", "True Semantic", IF($O1329="FixMiner", "True Pattern", IF($O1329="GenProg-A", "Evolutionary Search", IF($O1329="Hercules", "Learning Pattern", IF($O1329="Jaid", "True Semantic",
IF($O1329="Kali-A", "True Search", IF($O1329="kPAR", "True Pattern", IF($O1329="Nopol", "True Semantic", IF($O1329="RSRepair-A", "Evolutionary Search", IF($O1329="SequenceR", "Deep Learning", IF($O1329="SimFix", "Search Like Pattern", IF($O1329="SketchFix", "True Pattern", IF($O1329="SOFix", "True Pattern", IF($O1329="ssFix", "Search Like Pattern", IF($O1329="TBar", "True Pattern", ""))))))))))))))))))))</f>
        <v>True Pattern</v>
      </c>
      <c r="Q1329" s="13" t="str">
        <f>IF(NOT(ISERR(SEARCH("*_Buggy",$A1329))), "Buggy", IF(NOT(ISERR(SEARCH("*_Fixed",$A1329))), "Fixed", IF(NOT(ISERR(SEARCH("*_Repaired",$A1329))), "Repaired", "")))</f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v>1</v>
      </c>
      <c r="W1329" s="13" t="str">
        <f>MID(A1329, SEARCH("_", A1329) +1, SEARCH("_", A1329, SEARCH("_", A1329) +1) - SEARCH("_", A1329) -1)</f>
        <v>Chart-17</v>
      </c>
      <c r="Y1329" t="str">
        <f>IF(AND($S804=1,$S1329=1,$V804=1,$V1329=1), "YES", "NO")</f>
        <v>NO</v>
      </c>
      <c r="Z1329" t="str">
        <f>IF(AND($S804=1,$S1329=1,$V804&gt;1,$V1329&gt;1), "YES", "NO")</f>
        <v>NO</v>
      </c>
      <c r="AA1329" t="str">
        <f>IF(AND($S804&gt;1,$S1329&gt;1,$S804=$V804,$S1329=$V1329), "YES", "NO")</f>
        <v>NO</v>
      </c>
      <c r="AB1329" t="str">
        <f>IF(AND($S804&gt;1,$S1329&gt;1,$S804&lt;$V804,$S1329&lt;$V1329), "YES", "NO")</f>
        <v>NO</v>
      </c>
      <c r="AC1329" t="str">
        <f>IF(AND($V804&gt;10,$V1329&gt;10), "YES", "NO")</f>
        <v>NO</v>
      </c>
      <c r="AD1329"/>
    </row>
    <row r="1330" spans="1:30" ht="15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>LEFT($A1330,FIND("_",$A1330)-1)</f>
        <v>kPAR</v>
      </c>
      <c r="P1330" s="13" t="str">
        <f>IF($O1330="ACS", "True Search", IF($O1330="Arja", "Evolutionary Search", IF($O1330="AVATAR", "True Pattern", IF($O1330="CapGen", "Search Like Pattern", IF($O1330="Cardumen", "True Semantic", IF($O1330="DynaMoth", "True Semantic", IF($O1330="FixMiner", "True Pattern", IF($O1330="GenProg-A", "Evolutionary Search", IF($O1330="Hercules", "Learning Pattern", IF($O1330="Jaid", "True Semantic",
IF($O1330="Kali-A", "True Search", IF($O1330="kPAR", "True Pattern", IF($O1330="Nopol", "True Semantic", IF($O1330="RSRepair-A", "Evolutionary Search", IF($O1330="SequenceR", "Deep Learning", IF($O1330="SimFix", "Search Like Pattern", IF($O1330="SketchFix", "True Pattern", IF($O1330="SOFix", "True Pattern", IF($O1330="ssFix", "Search Like Pattern", IF($O1330="TBar", "True Pattern", ""))))))))))))))))))))</f>
        <v>True Pattern</v>
      </c>
      <c r="Q1330" s="13" t="str">
        <f>IF(NOT(ISERR(SEARCH("*_Buggy",$A1330))), "Buggy", IF(NOT(ISERR(SEARCH("*_Fixed",$A1330))), "Fixed", IF(NOT(ISERR(SEARCH("*_Repaired",$A1330))), "Repaired", "")))</f>
        <v>Repaired</v>
      </c>
      <c r="R1330" s="13" t="s">
        <v>1668</v>
      </c>
      <c r="S1330" s="25">
        <v>1</v>
      </c>
      <c r="T1330" s="25">
        <v>4</v>
      </c>
      <c r="U1330" s="25">
        <v>1</v>
      </c>
      <c r="V1330" s="13">
        <v>4</v>
      </c>
      <c r="W1330" s="13" t="str">
        <f>MID(A1330, SEARCH("_", A1330) +1, SEARCH("_", A1330, SEARCH("_", A1330) +1) - SEARCH("_", A1330) -1)</f>
        <v>Chart-19</v>
      </c>
      <c r="Y1330" t="str">
        <f>IF(AND($S805=1,$S1330=1,$V805=1,$V1330=1), "YES", "NO")</f>
        <v>NO</v>
      </c>
      <c r="Z1330" t="str">
        <f>IF(AND($S805=1,$S1330=1,$V805&gt;1,$V1330&gt;1), "YES", "NO")</f>
        <v>NO</v>
      </c>
      <c r="AA1330" t="str">
        <f>IF(AND($S805&gt;1,$S1330&gt;1,$S805=$V805,$S1330=$V1330), "YES", "NO")</f>
        <v>NO</v>
      </c>
      <c r="AB1330" t="str">
        <f>IF(AND($S805&gt;1,$S1330&gt;1,$S805&lt;$V805,$S1330&lt;$V1330), "YES", "NO")</f>
        <v>NO</v>
      </c>
      <c r="AC1330" t="str">
        <f>IF(AND($V805&gt;10,$V1330&gt;10), "YES", "NO")</f>
        <v>NO</v>
      </c>
      <c r="AD1330"/>
    </row>
    <row r="1331" spans="1:30" ht="15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>LEFT($A1331,FIND("_",$A1331)-1)</f>
        <v>kPAR</v>
      </c>
      <c r="P1331" s="13" t="str">
        <f>IF($O1331="ACS", "True Search", IF($O1331="Arja", "Evolutionary Search", IF($O1331="AVATAR", "True Pattern", IF($O1331="CapGen", "Search Like Pattern", IF($O1331="Cardumen", "True Semantic", IF($O1331="DynaMoth", "True Semantic", IF($O1331="FixMiner", "True Pattern", IF($O1331="GenProg-A", "Evolutionary Search", IF($O1331="Hercules", "Learning Pattern", IF($O1331="Jaid", "True Semantic",
IF($O1331="Kali-A", "True Search", IF($O1331="kPAR", "True Pattern", IF($O1331="Nopol", "True Semantic", IF($O1331="RSRepair-A", "Evolutionary Search", IF($O1331="SequenceR", "Deep Learning", IF($O1331="SimFix", "Search Like Pattern", IF($O1331="SketchFix", "True Pattern", IF($O1331="SOFix", "True Pattern", IF($O1331="ssFix", "Search Like Pattern", IF($O1331="TBar", "True Pattern", ""))))))))))))))))))))</f>
        <v>True Pattern</v>
      </c>
      <c r="Q1331" s="13" t="str">
        <f>IF(NOT(ISERR(SEARCH("*_Buggy",$A1331))), "Buggy", IF(NOT(ISERR(SEARCH("*_Fixed",$A1331))), "Fixed", IF(NOT(ISERR(SEARCH("*_Repaired",$A1331))), "Repaired", "")))</f>
        <v>Repaired</v>
      </c>
      <c r="R1331" s="13" t="s">
        <v>1668</v>
      </c>
      <c r="S1331" s="25">
        <v>2</v>
      </c>
      <c r="T1331" s="25">
        <v>4</v>
      </c>
      <c r="U1331" s="25">
        <v>1</v>
      </c>
      <c r="V1331" s="13">
        <v>4</v>
      </c>
      <c r="W1331" s="13" t="str">
        <f>MID(A1331, SEARCH("_", A1331) +1, SEARCH("_", A1331, SEARCH("_", A1331) +1) - SEARCH("_", A1331) -1)</f>
        <v>Chart-26</v>
      </c>
      <c r="Y1331" t="str">
        <f>IF(AND($S806=1,$S1331=1,$V806=1,$V1331=1), "YES", "NO")</f>
        <v>NO</v>
      </c>
      <c r="Z1331" t="str">
        <f>IF(AND($S806=1,$S1331=1,$V806&gt;1,$V1331&gt;1), "YES", "NO")</f>
        <v>NO</v>
      </c>
      <c r="AA1331" t="str">
        <f>IF(AND($S806&gt;1,$S1331&gt;1,$S806=$V806,$S1331=$V1331), "YES", "NO")</f>
        <v>NO</v>
      </c>
      <c r="AB1331" t="str">
        <f>IF(AND($S806&gt;1,$S1331&gt;1,$S806&lt;$V806,$S1331&lt;$V1331), "YES", "NO")</f>
        <v>NO</v>
      </c>
      <c r="AC1331" t="str">
        <f>IF(AND($V806&gt;10,$V1331&gt;10), "YES", "NO")</f>
        <v>NO</v>
      </c>
      <c r="AD1331"/>
    </row>
    <row r="1332" spans="1:30" ht="15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>LEFT($A1332,FIND("_",$A1332)-1)</f>
        <v>kPAR</v>
      </c>
      <c r="P1332" s="13" t="str">
        <f>IF($O1332="ACS", "True Search", IF($O1332="Arja", "Evolutionary Search", IF($O1332="AVATAR", "True Pattern", IF($O1332="CapGen", "Search Like Pattern", IF($O1332="Cardumen", "True Semantic", IF($O1332="DynaMoth", "True Semantic", IF($O1332="FixMiner", "True Pattern", IF($O1332="GenProg-A", "Evolutionary Search", IF($O1332="Hercules", "Learning Pattern", IF($O1332="Jaid", "True Semantic",
IF($O1332="Kali-A", "True Search", IF($O1332="kPAR", "True Pattern", IF($O1332="Nopol", "True Semantic", IF($O1332="RSRepair-A", "Evolutionary Search", IF($O1332="SequenceR", "Deep Learning", IF($O1332="SimFix", "Search Like Pattern", IF($O1332="SketchFix", "True Pattern", IF($O1332="SOFix", "True Pattern", IF($O1332="ssFix", "Search Like Pattern", IF($O1332="TBar", "True Pattern", ""))))))))))))))))))))</f>
        <v>True Pattern</v>
      </c>
      <c r="Q1332" s="13" t="str">
        <f>IF(NOT(ISERR(SEARCH("*_Buggy",$A1332))), "Buggy", IF(NOT(ISERR(SEARCH("*_Fixed",$A1332))), "Fixed", IF(NOT(ISERR(SEARCH("*_Repaired",$A1332))), "Repaired", "")))</f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v>1</v>
      </c>
      <c r="W1332" s="13" t="str">
        <f>MID(A1332, SEARCH("_", A1332) +1, SEARCH("_", A1332, SEARCH("_", A1332) +1) - SEARCH("_", A1332) -1)</f>
        <v>Chart-3</v>
      </c>
      <c r="Y1332" t="str">
        <f>IF(AND($S807=1,$S1332=1,$V807=1,$V1332=1), "YES", "NO")</f>
        <v>NO</v>
      </c>
      <c r="Z1332" t="str">
        <f>IF(AND($S807=1,$S1332=1,$V807&gt;1,$V1332&gt;1), "YES", "NO")</f>
        <v>NO</v>
      </c>
      <c r="AA1332" t="str">
        <f>IF(AND($S807&gt;1,$S1332&gt;1,$S807=$V807,$S1332=$V1332), "YES", "NO")</f>
        <v>NO</v>
      </c>
      <c r="AB1332" t="str">
        <f>IF(AND($S807&gt;1,$S1332&gt;1,$S807&lt;$V807,$S1332&lt;$V1332), "YES", "NO")</f>
        <v>NO</v>
      </c>
      <c r="AC1332" t="str">
        <f>IF(AND($V807&gt;10,$V1332&gt;10), "YES", "NO")</f>
        <v>NO</v>
      </c>
      <c r="AD1332"/>
    </row>
    <row r="1333" spans="1:30" ht="15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>LEFT($A1333,FIND("_",$A1333)-1)</f>
        <v>kPAR</v>
      </c>
      <c r="P1333" s="13" t="str">
        <f>IF($O1333="ACS", "True Search", IF($O1333="Arja", "Evolutionary Search", IF($O1333="AVATAR", "True Pattern", IF($O1333="CapGen", "Search Like Pattern", IF($O1333="Cardumen", "True Semantic", IF($O1333="DynaMoth", "True Semantic", IF($O1333="FixMiner", "True Pattern", IF($O1333="GenProg-A", "Evolutionary Search", IF($O1333="Hercules", "Learning Pattern", IF($O1333="Jaid", "True Semantic",
IF($O1333="Kali-A", "True Search", IF($O1333="kPAR", "True Pattern", IF($O1333="Nopol", "True Semantic", IF($O1333="RSRepair-A", "Evolutionary Search", IF($O1333="SequenceR", "Deep Learning", IF($O1333="SimFix", "Search Like Pattern", IF($O1333="SketchFix", "True Pattern", IF($O1333="SOFix", "True Pattern", IF($O1333="ssFix", "Search Like Pattern", IF($O1333="TBar", "True Pattern", ""))))))))))))))))))))</f>
        <v>True Pattern</v>
      </c>
      <c r="Q1333" s="13" t="str">
        <f>IF(NOT(ISERR(SEARCH("*_Buggy",$A1333))), "Buggy", IF(NOT(ISERR(SEARCH("*_Fixed",$A1333))), "Fixed", IF(NOT(ISERR(SEARCH("*_Repaired",$A1333))), "Repaired", "")))</f>
        <v>Repaired</v>
      </c>
      <c r="R1333" s="13" t="s">
        <v>1668</v>
      </c>
      <c r="S1333" s="25">
        <v>2</v>
      </c>
      <c r="T1333" s="25">
        <v>4</v>
      </c>
      <c r="U1333" s="25">
        <v>1</v>
      </c>
      <c r="V1333" s="13">
        <v>4</v>
      </c>
      <c r="W1333" s="13" t="str">
        <f>MID(A1333, SEARCH("_", A1333) +1, SEARCH("_", A1333, SEARCH("_", A1333) +1) - SEARCH("_", A1333) -1)</f>
        <v>Chart-4</v>
      </c>
      <c r="Y1333" t="str">
        <f>IF(AND($S808=1,$S1333=1,$V808=1,$V1333=1), "YES", "NO")</f>
        <v>NO</v>
      </c>
      <c r="Z1333" t="str">
        <f>IF(AND($S808=1,$S1333=1,$V808&gt;1,$V1333&gt;1), "YES", "NO")</f>
        <v>NO</v>
      </c>
      <c r="AA1333" t="str">
        <f>IF(AND($S808&gt;1,$S1333&gt;1,$S808=$V808,$S1333=$V1333), "YES", "NO")</f>
        <v>NO</v>
      </c>
      <c r="AB1333" t="str">
        <f>IF(AND($S808&gt;1,$S1333&gt;1,$S808&lt;$V808,$S1333&lt;$V1333), "YES", "NO")</f>
        <v>NO</v>
      </c>
      <c r="AC1333" t="str">
        <f>IF(AND($V808&gt;10,$V1333&gt;10), "YES", "NO")</f>
        <v>NO</v>
      </c>
      <c r="AD1333"/>
    </row>
    <row r="1334" spans="1:30" ht="15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>LEFT($A1334,FIND("_",$A1334)-1)</f>
        <v>kPAR</v>
      </c>
      <c r="P1334" s="13" t="str">
        <f>IF($O1334="ACS", "True Search", IF($O1334="Arja", "Evolutionary Search", IF($O1334="AVATAR", "True Pattern", IF($O1334="CapGen", "Search Like Pattern", IF($O1334="Cardumen", "True Semantic", IF($O1334="DynaMoth", "True Semantic", IF($O1334="FixMiner", "True Pattern", IF($O1334="GenProg-A", "Evolutionary Search", IF($O1334="Hercules", "Learning Pattern", IF($O1334="Jaid", "True Semantic",
IF($O1334="Kali-A", "True Search", IF($O1334="kPAR", "True Pattern", IF($O1334="Nopol", "True Semantic", IF($O1334="RSRepair-A", "Evolutionary Search", IF($O1334="SequenceR", "Deep Learning", IF($O1334="SimFix", "Search Like Pattern", IF($O1334="SketchFix", "True Pattern", IF($O1334="SOFix", "True Pattern", IF($O1334="ssFix", "Search Like Pattern", IF($O1334="TBar", "True Pattern", ""))))))))))))))))))))</f>
        <v>True Pattern</v>
      </c>
      <c r="Q1334" s="13" t="str">
        <f>IF(NOT(ISERR(SEARCH("*_Buggy",$A1334))), "Buggy", IF(NOT(ISERR(SEARCH("*_Fixed",$A1334))), "Fixed", IF(NOT(ISERR(SEARCH("*_Repaired",$A1334))), "Repaired", "")))</f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v>1</v>
      </c>
      <c r="W1334" s="13" t="str">
        <f>MID(A1334, SEARCH("_", A1334) +1, SEARCH("_", A1334, SEARCH("_", A1334) +1) - SEARCH("_", A1334) -1)</f>
        <v>Chart-5</v>
      </c>
      <c r="Y1334" t="str">
        <f>IF(AND($S809=1,$S1334=1,$V809=1,$V1334=1), "YES", "NO")</f>
        <v>NO</v>
      </c>
      <c r="Z1334" t="str">
        <f>IF(AND($S809=1,$S1334=1,$V809&gt;1,$V1334&gt;1), "YES", "NO")</f>
        <v>NO</v>
      </c>
      <c r="AA1334" t="str">
        <f>IF(AND($S809&gt;1,$S1334&gt;1,$S809=$V809,$S1334=$V1334), "YES", "NO")</f>
        <v>NO</v>
      </c>
      <c r="AB1334" t="str">
        <f>IF(AND($S809&gt;1,$S1334&gt;1,$S809&lt;$V809,$S1334&lt;$V1334), "YES", "NO")</f>
        <v>NO</v>
      </c>
      <c r="AC1334" t="str">
        <f>IF(AND($V809&gt;10,$V1334&gt;10), "YES", "NO")</f>
        <v>NO</v>
      </c>
      <c r="AD1334"/>
    </row>
    <row r="1335" spans="1:30" ht="15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>LEFT($A1335,FIND("_",$A1335)-1)</f>
        <v>kPAR</v>
      </c>
      <c r="P1335" s="13" t="str">
        <f>IF($O1335="ACS", "True Search", IF($O1335="Arja", "Evolutionary Search", IF($O1335="AVATAR", "True Pattern", IF($O1335="CapGen", "Search Like Pattern", IF($O1335="Cardumen", "True Semantic", IF($O1335="DynaMoth", "True Semantic", IF($O1335="FixMiner", "True Pattern", IF($O1335="GenProg-A", "Evolutionary Search", IF($O1335="Hercules", "Learning Pattern", IF($O1335="Jaid", "True Semantic",
IF($O1335="Kali-A", "True Search", IF($O1335="kPAR", "True Pattern", IF($O1335="Nopol", "True Semantic", IF($O1335="RSRepair-A", "Evolutionary Search", IF($O1335="SequenceR", "Deep Learning", IF($O1335="SimFix", "Search Like Pattern", IF($O1335="SketchFix", "True Pattern", IF($O1335="SOFix", "True Pattern", IF($O1335="ssFix", "Search Like Pattern", IF($O1335="TBar", "True Pattern", ""))))))))))))))))))))</f>
        <v>True Pattern</v>
      </c>
      <c r="Q1335" s="13" t="str">
        <f>IF(NOT(ISERR(SEARCH("*_Buggy",$A1335))), "Buggy", IF(NOT(ISERR(SEARCH("*_Fixed",$A1335))), "Fixed", IF(NOT(ISERR(SEARCH("*_Repaired",$A1335))), "Repaired", "")))</f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v>1</v>
      </c>
      <c r="W1335" s="13" t="str">
        <f>MID(A1335, SEARCH("_", A1335) +1, SEARCH("_", A1335, SEARCH("_", A1335) +1) - SEARCH("_", A1335) -1)</f>
        <v>Chart-7</v>
      </c>
      <c r="Y1335" t="str">
        <f>IF(AND($S810=1,$S1335=1,$V810=1,$V1335=1), "YES", "NO")</f>
        <v>NO</v>
      </c>
      <c r="Z1335" t="str">
        <f>IF(AND($S810=1,$S1335=1,$V810&gt;1,$V1335&gt;1), "YES", "NO")</f>
        <v>NO</v>
      </c>
      <c r="AA1335" t="str">
        <f>IF(AND($S810&gt;1,$S1335&gt;1,$S810=$V810,$S1335=$V1335), "YES", "NO")</f>
        <v>NO</v>
      </c>
      <c r="AB1335" t="str">
        <f>IF(AND($S810&gt;1,$S1335&gt;1,$S810&lt;$V810,$S1335&lt;$V1335), "YES", "NO")</f>
        <v>NO</v>
      </c>
      <c r="AC1335" t="str">
        <f>IF(AND($V810&gt;10,$V1335&gt;10), "YES", "NO")</f>
        <v>NO</v>
      </c>
      <c r="AD1335"/>
    </row>
    <row r="1336" spans="1:30" ht="15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>LEFT($A1336,FIND("_",$A1336)-1)</f>
        <v>kPAR</v>
      </c>
      <c r="P1336" s="13" t="str">
        <f>IF($O1336="ACS", "True Search", IF($O1336="Arja", "Evolutionary Search", IF($O1336="AVATAR", "True Pattern", IF($O1336="CapGen", "Search Like Pattern", IF($O1336="Cardumen", "True Semantic", IF($O1336="DynaMoth", "True Semantic", IF($O1336="FixMiner", "True Pattern", IF($O1336="GenProg-A", "Evolutionary Search", IF($O1336="Hercules", "Learning Pattern", IF($O1336="Jaid", "True Semantic",
IF($O1336="Kali-A", "True Search", IF($O1336="kPAR", "True Pattern", IF($O1336="Nopol", "True Semantic", IF($O1336="RSRepair-A", "Evolutionary Search", IF($O1336="SequenceR", "Deep Learning", IF($O1336="SimFix", "Search Like Pattern", IF($O1336="SketchFix", "True Pattern", IF($O1336="SOFix", "True Pattern", IF($O1336="ssFix", "Search Like Pattern", IF($O1336="TBar", "True Pattern", ""))))))))))))))))))))</f>
        <v>True Pattern</v>
      </c>
      <c r="Q1336" s="13" t="str">
        <f>IF(NOT(ISERR(SEARCH("*_Buggy",$A1336))), "Buggy", IF(NOT(ISERR(SEARCH("*_Fixed",$A1336))), "Fixed", IF(NOT(ISERR(SEARCH("*_Repaired",$A1336))), "Repaired", "")))</f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v>1</v>
      </c>
      <c r="W1336" s="13" t="str">
        <f>MID(A1336, SEARCH("_", A1336) +1, SEARCH("_", A1336, SEARCH("_", A1336) +1) - SEARCH("_", A1336) -1)</f>
        <v>Chart-8</v>
      </c>
      <c r="Y1336" t="str">
        <f>IF(AND($S811=1,$S1336=1,$V811=1,$V1336=1), "YES", "NO")</f>
        <v>YES</v>
      </c>
      <c r="Z1336" t="str">
        <f>IF(AND($S811=1,$S1336=1,$V811&gt;1,$V1336&gt;1), "YES", "NO")</f>
        <v>NO</v>
      </c>
      <c r="AA1336" t="str">
        <f>IF(AND($S811&gt;1,$S1336&gt;1,$S811=$V811,$S1336=$V1336), "YES", "NO")</f>
        <v>NO</v>
      </c>
      <c r="AB1336" t="str">
        <f>IF(AND($S811&gt;1,$S1336&gt;1,$S811&lt;$V811,$S1336&lt;$V1336), "YES", "NO")</f>
        <v>NO</v>
      </c>
      <c r="AC1336" t="str">
        <f>IF(AND($V811&gt;10,$V1336&gt;10), "YES", "NO")</f>
        <v>NO</v>
      </c>
      <c r="AD1336"/>
    </row>
    <row r="1337" spans="1:30" ht="15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>LEFT($A1337,FIND("_",$A1337)-1)</f>
        <v>kPAR</v>
      </c>
      <c r="P1337" s="13" t="str">
        <f>IF($O1337="ACS", "True Search", IF($O1337="Arja", "Evolutionary Search", IF($O1337="AVATAR", "True Pattern", IF($O1337="CapGen", "Search Like Pattern", IF($O1337="Cardumen", "True Semantic", IF($O1337="DynaMoth", "True Semantic", IF($O1337="FixMiner", "True Pattern", IF($O1337="GenProg-A", "Evolutionary Search", IF($O1337="Hercules", "Learning Pattern", IF($O1337="Jaid", "True Semantic",
IF($O1337="Kali-A", "True Search", IF($O1337="kPAR", "True Pattern", IF($O1337="Nopol", "True Semantic", IF($O1337="RSRepair-A", "Evolutionary Search", IF($O1337="SequenceR", "Deep Learning", IF($O1337="SimFix", "Search Like Pattern", IF($O1337="SketchFix", "True Pattern", IF($O1337="SOFix", "True Pattern", IF($O1337="ssFix", "Search Like Pattern", IF($O1337="TBar", "True Pattern", ""))))))))))))))))))))</f>
        <v>True Pattern</v>
      </c>
      <c r="Q1337" s="13" t="str">
        <f>IF(NOT(ISERR(SEARCH("*_Buggy",$A1337))), "Buggy", IF(NOT(ISERR(SEARCH("*_Fixed",$A1337))), "Fixed", IF(NOT(ISERR(SEARCH("*_Repaired",$A1337))), "Repaired", "")))</f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v>1</v>
      </c>
      <c r="W1337" s="13" t="str">
        <f>MID(A1337, SEARCH("_", A1337) +1, SEARCH("_", A1337, SEARCH("_", A1337) +1) - SEARCH("_", A1337) -1)</f>
        <v>Closure-10</v>
      </c>
      <c r="Y1337" t="str">
        <f>IF(AND($S812=1,$S1337=1,$V812=1,$V1337=1), "YES", "NO")</f>
        <v>YES</v>
      </c>
      <c r="Z1337" t="str">
        <f>IF(AND($S812=1,$S1337=1,$V812&gt;1,$V1337&gt;1), "YES", "NO")</f>
        <v>NO</v>
      </c>
      <c r="AA1337" t="str">
        <f>IF(AND($S812&gt;1,$S1337&gt;1,$S812=$V812,$S1337=$V1337), "YES", "NO")</f>
        <v>NO</v>
      </c>
      <c r="AB1337" t="str">
        <f>IF(AND($S812&gt;1,$S1337&gt;1,$S812&lt;$V812,$S1337&lt;$V1337), "YES", "NO")</f>
        <v>NO</v>
      </c>
      <c r="AC1337" t="str">
        <f>IF(AND($V812&gt;10,$V1337&gt;10), "YES", "NO")</f>
        <v>NO</v>
      </c>
      <c r="AD1337"/>
    </row>
    <row r="1338" spans="1:30" ht="15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>LEFT($A1338,FIND("_",$A1338)-1)</f>
        <v>kPAR</v>
      </c>
      <c r="P1338" s="13" t="str">
        <f>IF($O1338="ACS", "True Search", IF($O1338="Arja", "Evolutionary Search", IF($O1338="AVATAR", "True Pattern", IF($O1338="CapGen", "Search Like Pattern", IF($O1338="Cardumen", "True Semantic", IF($O1338="DynaMoth", "True Semantic", IF($O1338="FixMiner", "True Pattern", IF($O1338="GenProg-A", "Evolutionary Search", IF($O1338="Hercules", "Learning Pattern", IF($O1338="Jaid", "True Semantic",
IF($O1338="Kali-A", "True Search", IF($O1338="kPAR", "True Pattern", IF($O1338="Nopol", "True Semantic", IF($O1338="RSRepair-A", "Evolutionary Search", IF($O1338="SequenceR", "Deep Learning", IF($O1338="SimFix", "Search Like Pattern", IF($O1338="SketchFix", "True Pattern", IF($O1338="SOFix", "True Pattern", IF($O1338="ssFix", "Search Like Pattern", IF($O1338="TBar", "True Pattern", ""))))))))))))))))))))</f>
        <v>True Pattern</v>
      </c>
      <c r="Q1338" s="13" t="str">
        <f>IF(NOT(ISERR(SEARCH("*_Buggy",$A1338))), "Buggy", IF(NOT(ISERR(SEARCH("*_Fixed",$A1338))), "Fixed", IF(NOT(ISERR(SEARCH("*_Repaired",$A1338))), "Repaired", "")))</f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v>1</v>
      </c>
      <c r="W1338" s="13" t="str">
        <f>MID(A1338, SEARCH("_", A1338) +1, SEARCH("_", A1338, SEARCH("_", A1338) +1) - SEARCH("_", A1338) -1)</f>
        <v>Closure-11</v>
      </c>
      <c r="Y1338" t="str">
        <f>IF(AND($S813=1,$S1338=1,$V813=1,$V1338=1), "YES", "NO")</f>
        <v>NO</v>
      </c>
      <c r="Z1338" t="str">
        <f>IF(AND($S813=1,$S1338=1,$V813&gt;1,$V1338&gt;1), "YES", "NO")</f>
        <v>NO</v>
      </c>
      <c r="AA1338" t="str">
        <f>IF(AND($S813&gt;1,$S1338&gt;1,$S813=$V813,$S1338=$V1338), "YES", "NO")</f>
        <v>NO</v>
      </c>
      <c r="AB1338" t="str">
        <f>IF(AND($S813&gt;1,$S1338&gt;1,$S813&lt;$V813,$S1338&lt;$V1338), "YES", "NO")</f>
        <v>NO</v>
      </c>
      <c r="AC1338" t="str">
        <f>IF(AND($V813&gt;10,$V1338&gt;10), "YES", "NO")</f>
        <v>NO</v>
      </c>
      <c r="AD1338"/>
    </row>
    <row r="1339" spans="1:30" ht="15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>LEFT($A1339,FIND("_",$A1339)-1)</f>
        <v>kPAR</v>
      </c>
      <c r="P1339" s="13" t="str">
        <f>IF($O1339="ACS", "True Search", IF($O1339="Arja", "Evolutionary Search", IF($O1339="AVATAR", "True Pattern", IF($O1339="CapGen", "Search Like Pattern", IF($O1339="Cardumen", "True Semantic", IF($O1339="DynaMoth", "True Semantic", IF($O1339="FixMiner", "True Pattern", IF($O1339="GenProg-A", "Evolutionary Search", IF($O1339="Hercules", "Learning Pattern", IF($O1339="Jaid", "True Semantic",
IF($O1339="Kali-A", "True Search", IF($O1339="kPAR", "True Pattern", IF($O1339="Nopol", "True Semantic", IF($O1339="RSRepair-A", "Evolutionary Search", IF($O1339="SequenceR", "Deep Learning", IF($O1339="SimFix", "Search Like Pattern", IF($O1339="SketchFix", "True Pattern", IF($O1339="SOFix", "True Pattern", IF($O1339="ssFix", "Search Like Pattern", IF($O1339="TBar", "True Pattern", ""))))))))))))))))))))</f>
        <v>True Pattern</v>
      </c>
      <c r="Q1339" s="13" t="str">
        <f>IF(NOT(ISERR(SEARCH("*_Buggy",$A1339))), "Buggy", IF(NOT(ISERR(SEARCH("*_Fixed",$A1339))), "Fixed", IF(NOT(ISERR(SEARCH("*_Repaired",$A1339))), "Repaired", "")))</f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v>1</v>
      </c>
      <c r="W1339" s="13" t="str">
        <f>MID(A1339, SEARCH("_", A1339) +1, SEARCH("_", A1339, SEARCH("_", A1339) +1) - SEARCH("_", A1339) -1)</f>
        <v>Closure-115</v>
      </c>
      <c r="Y1339" t="str">
        <f>IF(AND($S814=1,$S1339=1,$V814=1,$V1339=1), "YES", "NO")</f>
        <v>NO</v>
      </c>
      <c r="Z1339" t="str">
        <f>IF(AND($S814=1,$S1339=1,$V814&gt;1,$V1339&gt;1), "YES", "NO")</f>
        <v>NO</v>
      </c>
      <c r="AA1339" t="str">
        <f>IF(AND($S814&gt;1,$S1339&gt;1,$S814=$V814,$S1339=$V1339), "YES", "NO")</f>
        <v>NO</v>
      </c>
      <c r="AB1339" t="str">
        <f>IF(AND($S814&gt;1,$S1339&gt;1,$S814&lt;$V814,$S1339&lt;$V1339), "YES", "NO")</f>
        <v>NO</v>
      </c>
      <c r="AC1339" t="str">
        <f>IF(AND($V814&gt;10,$V1339&gt;10), "YES", "NO")</f>
        <v>NO</v>
      </c>
      <c r="AD1339"/>
    </row>
    <row r="1340" spans="1:30" ht="15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>LEFT($A1340,FIND("_",$A1340)-1)</f>
        <v>kPAR</v>
      </c>
      <c r="P1340" s="13" t="str">
        <f>IF($O1340="ACS", "True Search", IF($O1340="Arja", "Evolutionary Search", IF($O1340="AVATAR", "True Pattern", IF($O1340="CapGen", "Search Like Pattern", IF($O1340="Cardumen", "True Semantic", IF($O1340="DynaMoth", "True Semantic", IF($O1340="FixMiner", "True Pattern", IF($O1340="GenProg-A", "Evolutionary Search", IF($O1340="Hercules", "Learning Pattern", IF($O1340="Jaid", "True Semantic",
IF($O1340="Kali-A", "True Search", IF($O1340="kPAR", "True Pattern", IF($O1340="Nopol", "True Semantic", IF($O1340="RSRepair-A", "Evolutionary Search", IF($O1340="SequenceR", "Deep Learning", IF($O1340="SimFix", "Search Like Pattern", IF($O1340="SketchFix", "True Pattern", IF($O1340="SOFix", "True Pattern", IF($O1340="ssFix", "Search Like Pattern", IF($O1340="TBar", "True Pattern", ""))))))))))))))))))))</f>
        <v>True Pattern</v>
      </c>
      <c r="Q1340" s="13" t="str">
        <f>IF(NOT(ISERR(SEARCH("*_Buggy",$A1340))), "Buggy", IF(NOT(ISERR(SEARCH("*_Fixed",$A1340))), "Fixed", IF(NOT(ISERR(SEARCH("*_Repaired",$A1340))), "Repaired", "")))</f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v>1</v>
      </c>
      <c r="W1340" s="13" t="str">
        <f>MID(A1340, SEARCH("_", A1340) +1, SEARCH("_", A1340, SEARCH("_", A1340) +1) - SEARCH("_", A1340) -1)</f>
        <v>Closure-125</v>
      </c>
      <c r="Y1340" t="str">
        <f>IF(AND($S815=1,$S1340=1,$V815=1,$V1340=1), "YES", "NO")</f>
        <v>YES</v>
      </c>
      <c r="Z1340" t="str">
        <f>IF(AND($S815=1,$S1340=1,$V815&gt;1,$V1340&gt;1), "YES", "NO")</f>
        <v>NO</v>
      </c>
      <c r="AA1340" t="str">
        <f>IF(AND($S815&gt;1,$S1340&gt;1,$S815=$V815,$S1340=$V1340), "YES", "NO")</f>
        <v>NO</v>
      </c>
      <c r="AB1340" t="str">
        <f>IF(AND($S815&gt;1,$S1340&gt;1,$S815&lt;$V815,$S1340&lt;$V1340), "YES", "NO")</f>
        <v>NO</v>
      </c>
      <c r="AC1340" t="str">
        <f>IF(AND($V815&gt;10,$V1340&gt;10), "YES", "NO")</f>
        <v>NO</v>
      </c>
      <c r="AD1340"/>
    </row>
    <row r="1341" spans="1:30" ht="15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>LEFT($A1341,FIND("_",$A1341)-1)</f>
        <v>kPAR</v>
      </c>
      <c r="P1341" s="13" t="str">
        <f>IF($O1341="ACS", "True Search", IF($O1341="Arja", "Evolutionary Search", IF($O1341="AVATAR", "True Pattern", IF($O1341="CapGen", "Search Like Pattern", IF($O1341="Cardumen", "True Semantic", IF($O1341="DynaMoth", "True Semantic", IF($O1341="FixMiner", "True Pattern", IF($O1341="GenProg-A", "Evolutionary Search", IF($O1341="Hercules", "Learning Pattern", IF($O1341="Jaid", "True Semantic",
IF($O1341="Kali-A", "True Search", IF($O1341="kPAR", "True Pattern", IF($O1341="Nopol", "True Semantic", IF($O1341="RSRepair-A", "Evolutionary Search", IF($O1341="SequenceR", "Deep Learning", IF($O1341="SimFix", "Search Like Pattern", IF($O1341="SketchFix", "True Pattern", IF($O1341="SOFix", "True Pattern", IF($O1341="ssFix", "Search Like Pattern", IF($O1341="TBar", "True Pattern", ""))))))))))))))))))))</f>
        <v>True Pattern</v>
      </c>
      <c r="Q1341" s="13" t="str">
        <f>IF(NOT(ISERR(SEARCH("*_Buggy",$A1341))), "Buggy", IF(NOT(ISERR(SEARCH("*_Fixed",$A1341))), "Fixed", IF(NOT(ISERR(SEARCH("*_Repaired",$A1341))), "Repaired", "")))</f>
        <v>Repaired</v>
      </c>
      <c r="R1341" s="13" t="s">
        <v>1668</v>
      </c>
      <c r="S1341" s="25">
        <v>2</v>
      </c>
      <c r="T1341" s="25">
        <v>4</v>
      </c>
      <c r="U1341" s="25">
        <v>1</v>
      </c>
      <c r="V1341" s="13">
        <v>4</v>
      </c>
      <c r="W1341" s="13" t="str">
        <f>MID(A1341, SEARCH("_", A1341) +1, SEARCH("_", A1341, SEARCH("_", A1341) +1) - SEARCH("_", A1341) -1)</f>
        <v>Closure-2</v>
      </c>
      <c r="Y1341" t="str">
        <f>IF(AND($S816=1,$S1341=1,$V816=1,$V1341=1), "YES", "NO")</f>
        <v>NO</v>
      </c>
      <c r="Z1341" t="str">
        <f>IF(AND($S816=1,$S1341=1,$V816&gt;1,$V1341&gt;1), "YES", "NO")</f>
        <v>NO</v>
      </c>
      <c r="AA1341" t="str">
        <f>IF(AND($S816&gt;1,$S1341&gt;1,$S816=$V816,$S1341=$V1341), "YES", "NO")</f>
        <v>NO</v>
      </c>
      <c r="AB1341" t="str">
        <f>IF(AND($S816&gt;1,$S1341&gt;1,$S816&lt;$V816,$S1341&lt;$V1341), "YES", "NO")</f>
        <v>YES</v>
      </c>
      <c r="AC1341" t="str">
        <f>IF(AND($V816&gt;10,$V1341&gt;10), "YES", "NO")</f>
        <v>NO</v>
      </c>
      <c r="AD1341"/>
    </row>
    <row r="1342" spans="1:30" ht="15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>LEFT($A1342,FIND("_",$A1342)-1)</f>
        <v>kPAR</v>
      </c>
      <c r="P1342" s="13" t="str">
        <f>IF($O1342="ACS", "True Search", IF($O1342="Arja", "Evolutionary Search", IF($O1342="AVATAR", "True Pattern", IF($O1342="CapGen", "Search Like Pattern", IF($O1342="Cardumen", "True Semantic", IF($O1342="DynaMoth", "True Semantic", IF($O1342="FixMiner", "True Pattern", IF($O1342="GenProg-A", "Evolutionary Search", IF($O1342="Hercules", "Learning Pattern", IF($O1342="Jaid", "True Semantic",
IF($O1342="Kali-A", "True Search", IF($O1342="kPAR", "True Pattern", IF($O1342="Nopol", "True Semantic", IF($O1342="RSRepair-A", "Evolutionary Search", IF($O1342="SequenceR", "Deep Learning", IF($O1342="SimFix", "Search Like Pattern", IF($O1342="SketchFix", "True Pattern", IF($O1342="SOFix", "True Pattern", IF($O1342="ssFix", "Search Like Pattern", IF($O1342="TBar", "True Pattern", ""))))))))))))))))))))</f>
        <v>True Pattern</v>
      </c>
      <c r="Q1342" s="13" t="str">
        <f>IF(NOT(ISERR(SEARCH("*_Buggy",$A1342))), "Buggy", IF(NOT(ISERR(SEARCH("*_Fixed",$A1342))), "Fixed", IF(NOT(ISERR(SEARCH("*_Repaired",$A1342))), "Repaired", "")))</f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v>1</v>
      </c>
      <c r="W1342" s="13" t="str">
        <f>MID(A1342, SEARCH("_", A1342) +1, SEARCH("_", A1342, SEARCH("_", A1342) +1) - SEARCH("_", A1342) -1)</f>
        <v>Closure-21</v>
      </c>
      <c r="Y1342" t="str">
        <f>IF(AND($S817=1,$S1342=1,$V817=1,$V1342=1), "YES", "NO")</f>
        <v>NO</v>
      </c>
      <c r="Z1342" t="str">
        <f>IF(AND($S817=1,$S1342=1,$V817&gt;1,$V1342&gt;1), "YES", "NO")</f>
        <v>NO</v>
      </c>
      <c r="AA1342" t="str">
        <f>IF(AND($S817&gt;1,$S1342&gt;1,$S817=$V817,$S1342=$V1342), "YES", "NO")</f>
        <v>NO</v>
      </c>
      <c r="AB1342" t="str">
        <f>IF(AND($S817&gt;1,$S1342&gt;1,$S817&lt;$V817,$S1342&lt;$V1342), "YES", "NO")</f>
        <v>NO</v>
      </c>
      <c r="AC1342" t="str">
        <f>IF(AND($V817&gt;10,$V1342&gt;10), "YES", "NO")</f>
        <v>NO</v>
      </c>
      <c r="AD1342"/>
    </row>
    <row r="1343" spans="1:30" ht="15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>LEFT($A1343,FIND("_",$A1343)-1)</f>
        <v>kPAR</v>
      </c>
      <c r="P1343" s="13" t="str">
        <f>IF($O1343="ACS", "True Search", IF($O1343="Arja", "Evolutionary Search", IF($O1343="AVATAR", "True Pattern", IF($O1343="CapGen", "Search Like Pattern", IF($O1343="Cardumen", "True Semantic", IF($O1343="DynaMoth", "True Semantic", IF($O1343="FixMiner", "True Pattern", IF($O1343="GenProg-A", "Evolutionary Search", IF($O1343="Hercules", "Learning Pattern", IF($O1343="Jaid", "True Semantic",
IF($O1343="Kali-A", "True Search", IF($O1343="kPAR", "True Pattern", IF($O1343="Nopol", "True Semantic", IF($O1343="RSRepair-A", "Evolutionary Search", IF($O1343="SequenceR", "Deep Learning", IF($O1343="SimFix", "Search Like Pattern", IF($O1343="SketchFix", "True Pattern", IF($O1343="SOFix", "True Pattern", IF($O1343="ssFix", "Search Like Pattern", IF($O1343="TBar", "True Pattern", ""))))))))))))))))))))</f>
        <v>True Pattern</v>
      </c>
      <c r="Q1343" s="13" t="str">
        <f>IF(NOT(ISERR(SEARCH("*_Buggy",$A1343))), "Buggy", IF(NOT(ISERR(SEARCH("*_Fixed",$A1343))), "Fixed", IF(NOT(ISERR(SEARCH("*_Repaired",$A1343))), "Repaired", "")))</f>
        <v>Repaired</v>
      </c>
      <c r="R1343" s="13" t="s">
        <v>1669</v>
      </c>
      <c r="S1343" s="25">
        <v>1</v>
      </c>
      <c r="T1343" s="25">
        <v>2</v>
      </c>
      <c r="U1343" s="25">
        <v>1</v>
      </c>
      <c r="V1343" s="13">
        <v>2</v>
      </c>
      <c r="W1343" s="13" t="str">
        <f>MID(A1343, SEARCH("_", A1343) +1, SEARCH("_", A1343, SEARCH("_", A1343) +1) - SEARCH("_", A1343) -1)</f>
        <v>Closure-22</v>
      </c>
      <c r="Y1343" t="str">
        <f>IF(AND($S818=1,$S1343=1,$V818=1,$V1343=1), "YES", "NO")</f>
        <v>NO</v>
      </c>
      <c r="Z1343" t="str">
        <f>IF(AND($S818=1,$S1343=1,$V818&gt;1,$V1343&gt;1), "YES", "NO")</f>
        <v>NO</v>
      </c>
      <c r="AA1343" t="str">
        <f>IF(AND($S818&gt;1,$S1343&gt;1,$S818=$V818,$S1343=$V1343), "YES", "NO")</f>
        <v>NO</v>
      </c>
      <c r="AB1343" t="str">
        <f>IF(AND($S818&gt;1,$S1343&gt;1,$S818&lt;$V818,$S1343&lt;$V1343), "YES", "NO")</f>
        <v>NO</v>
      </c>
      <c r="AC1343" t="str">
        <f>IF(AND($V818&gt;10,$V1343&gt;10), "YES", "NO")</f>
        <v>NO</v>
      </c>
      <c r="AD1343"/>
    </row>
    <row r="1344" spans="1:30" ht="15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>LEFT($A1344,FIND("_",$A1344)-1)</f>
        <v>kPAR</v>
      </c>
      <c r="P1344" s="13" t="str">
        <f>IF($O1344="ACS", "True Search", IF($O1344="Arja", "Evolutionary Search", IF($O1344="AVATAR", "True Pattern", IF($O1344="CapGen", "Search Like Pattern", IF($O1344="Cardumen", "True Semantic", IF($O1344="DynaMoth", "True Semantic", IF($O1344="FixMiner", "True Pattern", IF($O1344="GenProg-A", "Evolutionary Search", IF($O1344="Hercules", "Learning Pattern", IF($O1344="Jaid", "True Semantic",
IF($O1344="Kali-A", "True Search", IF($O1344="kPAR", "True Pattern", IF($O1344="Nopol", "True Semantic", IF($O1344="RSRepair-A", "Evolutionary Search", IF($O1344="SequenceR", "Deep Learning", IF($O1344="SimFix", "Search Like Pattern", IF($O1344="SketchFix", "True Pattern", IF($O1344="SOFix", "True Pattern", IF($O1344="ssFix", "Search Like Pattern", IF($O1344="TBar", "True Pattern", ""))))))))))))))))))))</f>
        <v>True Pattern</v>
      </c>
      <c r="Q1344" s="13" t="str">
        <f>IF(NOT(ISERR(SEARCH("*_Buggy",$A1344))), "Buggy", IF(NOT(ISERR(SEARCH("*_Fixed",$A1344))), "Fixed", IF(NOT(ISERR(SEARCH("*_Repaired",$A1344))), "Repaired", "")))</f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v>1</v>
      </c>
      <c r="W1344" s="13" t="str">
        <f>MID(A1344, SEARCH("_", A1344) +1, SEARCH("_", A1344, SEARCH("_", A1344) +1) - SEARCH("_", A1344) -1)</f>
        <v>Closure-35</v>
      </c>
      <c r="Y1344" t="str">
        <f>IF(AND($S819=1,$S1344=1,$V819=1,$V1344=1), "YES", "NO")</f>
        <v>NO</v>
      </c>
      <c r="Z1344" t="str">
        <f>IF(AND($S819=1,$S1344=1,$V819&gt;1,$V1344&gt;1), "YES", "NO")</f>
        <v>NO</v>
      </c>
      <c r="AA1344" t="str">
        <f>IF(AND($S819&gt;1,$S1344&gt;1,$S819=$V819,$S1344=$V1344), "YES", "NO")</f>
        <v>NO</v>
      </c>
      <c r="AB1344" t="str">
        <f>IF(AND($S819&gt;1,$S1344&gt;1,$S819&lt;$V819,$S1344&lt;$V1344), "YES", "NO")</f>
        <v>NO</v>
      </c>
      <c r="AC1344" t="str">
        <f>IF(AND($V819&gt;10,$V1344&gt;10), "YES", "NO")</f>
        <v>NO</v>
      </c>
      <c r="AD1344"/>
    </row>
    <row r="1345" spans="1:30" ht="15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>LEFT($A1345,FIND("_",$A1345)-1)</f>
        <v>kPAR</v>
      </c>
      <c r="P1345" s="13" t="str">
        <f>IF($O1345="ACS", "True Search", IF($O1345="Arja", "Evolutionary Search", IF($O1345="AVATAR", "True Pattern", IF($O1345="CapGen", "Search Like Pattern", IF($O1345="Cardumen", "True Semantic", IF($O1345="DynaMoth", "True Semantic", IF($O1345="FixMiner", "True Pattern", IF($O1345="GenProg-A", "Evolutionary Search", IF($O1345="Hercules", "Learning Pattern", IF($O1345="Jaid", "True Semantic",
IF($O1345="Kali-A", "True Search", IF($O1345="kPAR", "True Pattern", IF($O1345="Nopol", "True Semantic", IF($O1345="RSRepair-A", "Evolutionary Search", IF($O1345="SequenceR", "Deep Learning", IF($O1345="SimFix", "Search Like Pattern", IF($O1345="SketchFix", "True Pattern", IF($O1345="SOFix", "True Pattern", IF($O1345="ssFix", "Search Like Pattern", IF($O1345="TBar", "True Pattern", ""))))))))))))))))))))</f>
        <v>True Pattern</v>
      </c>
      <c r="Q1345" s="13" t="str">
        <f>IF(NOT(ISERR(SEARCH("*_Buggy",$A1345))), "Buggy", IF(NOT(ISERR(SEARCH("*_Fixed",$A1345))), "Fixed", IF(NOT(ISERR(SEARCH("*_Repaired",$A1345))), "Repaired", "")))</f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v>1</v>
      </c>
      <c r="W1345" s="13" t="str">
        <f>MID(A1345, SEARCH("_", A1345) +1, SEARCH("_", A1345, SEARCH("_", A1345) +1) - SEARCH("_", A1345) -1)</f>
        <v>Closure-38</v>
      </c>
      <c r="Y1345" t="str">
        <f>IF(AND($S820=1,$S1345=1,$V820=1,$V1345=1), "YES", "NO")</f>
        <v>YES</v>
      </c>
      <c r="Z1345" t="str">
        <f>IF(AND($S820=1,$S1345=1,$V820&gt;1,$V1345&gt;1), "YES", "NO")</f>
        <v>NO</v>
      </c>
      <c r="AA1345" t="str">
        <f>IF(AND($S820&gt;1,$S1345&gt;1,$S820=$V820,$S1345=$V1345), "YES", "NO")</f>
        <v>NO</v>
      </c>
      <c r="AB1345" t="str">
        <f>IF(AND($S820&gt;1,$S1345&gt;1,$S820&lt;$V820,$S1345&lt;$V1345), "YES", "NO")</f>
        <v>NO</v>
      </c>
      <c r="AC1345" t="str">
        <f>IF(AND($V820&gt;10,$V1345&gt;10), "YES", "NO")</f>
        <v>NO</v>
      </c>
      <c r="AD1345"/>
    </row>
    <row r="1346" spans="1:30" ht="15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>LEFT($A1346,FIND("_",$A1346)-1)</f>
        <v>kPAR</v>
      </c>
      <c r="P1346" s="13" t="str">
        <f>IF($O1346="ACS", "True Search", IF($O1346="Arja", "Evolutionary Search", IF($O1346="AVATAR", "True Pattern", IF($O1346="CapGen", "Search Like Pattern", IF($O1346="Cardumen", "True Semantic", IF($O1346="DynaMoth", "True Semantic", IF($O1346="FixMiner", "True Pattern", IF($O1346="GenProg-A", "Evolutionary Search", IF($O1346="Hercules", "Learning Pattern", IF($O1346="Jaid", "True Semantic",
IF($O1346="Kali-A", "True Search", IF($O1346="kPAR", "True Pattern", IF($O1346="Nopol", "True Semantic", IF($O1346="RSRepair-A", "Evolutionary Search", IF($O1346="SequenceR", "Deep Learning", IF($O1346="SimFix", "Search Like Pattern", IF($O1346="SketchFix", "True Pattern", IF($O1346="SOFix", "True Pattern", IF($O1346="ssFix", "Search Like Pattern", IF($O1346="TBar", "True Pattern", ""))))))))))))))))))))</f>
        <v>True Pattern</v>
      </c>
      <c r="Q1346" s="13" t="str">
        <f>IF(NOT(ISERR(SEARCH("*_Buggy",$A1346))), "Buggy", IF(NOT(ISERR(SEARCH("*_Fixed",$A1346))), "Fixed", IF(NOT(ISERR(SEARCH("*_Repaired",$A1346))), "Repaired", "")))</f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v>1</v>
      </c>
      <c r="W1346" s="13" t="str">
        <f>MID(A1346, SEARCH("_", A1346) +1, SEARCH("_", A1346, SEARCH("_", A1346) +1) - SEARCH("_", A1346) -1)</f>
        <v>Closure-4</v>
      </c>
      <c r="Y1346" t="str">
        <f>IF(AND($S821=1,$S1346=1,$V821=1,$V1346=1), "YES", "NO")</f>
        <v>NO</v>
      </c>
      <c r="Z1346" t="str">
        <f>IF(AND($S821=1,$S1346=1,$V821&gt;1,$V1346&gt;1), "YES", "NO")</f>
        <v>NO</v>
      </c>
      <c r="AA1346" t="str">
        <f>IF(AND($S821&gt;1,$S1346&gt;1,$S821=$V821,$S1346=$V1346), "YES", "NO")</f>
        <v>NO</v>
      </c>
      <c r="AB1346" t="str">
        <f>IF(AND($S821&gt;1,$S1346&gt;1,$S821&lt;$V821,$S1346&lt;$V1346), "YES", "NO")</f>
        <v>NO</v>
      </c>
      <c r="AC1346" t="str">
        <f>IF(AND($V821&gt;10,$V1346&gt;10), "YES", "NO")</f>
        <v>NO</v>
      </c>
      <c r="AD1346"/>
    </row>
    <row r="1347" spans="1:30" ht="15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>LEFT($A1347,FIND("_",$A1347)-1)</f>
        <v>kPAR</v>
      </c>
      <c r="P1347" s="13" t="str">
        <f>IF($O1347="ACS", "True Search", IF($O1347="Arja", "Evolutionary Search", IF($O1347="AVATAR", "True Pattern", IF($O1347="CapGen", "Search Like Pattern", IF($O1347="Cardumen", "True Semantic", IF($O1347="DynaMoth", "True Semantic", IF($O1347="FixMiner", "True Pattern", IF($O1347="GenProg-A", "Evolutionary Search", IF($O1347="Hercules", "Learning Pattern", IF($O1347="Jaid", "True Semantic",
IF($O1347="Kali-A", "True Search", IF($O1347="kPAR", "True Pattern", IF($O1347="Nopol", "True Semantic", IF($O1347="RSRepair-A", "Evolutionary Search", IF($O1347="SequenceR", "Deep Learning", IF($O1347="SimFix", "Search Like Pattern", IF($O1347="SketchFix", "True Pattern", IF($O1347="SOFix", "True Pattern", IF($O1347="ssFix", "Search Like Pattern", IF($O1347="TBar", "True Pattern", ""))))))))))))))))))))</f>
        <v>True Pattern</v>
      </c>
      <c r="Q1347" s="13" t="str">
        <f>IF(NOT(ISERR(SEARCH("*_Buggy",$A1347))), "Buggy", IF(NOT(ISERR(SEARCH("*_Fixed",$A1347))), "Fixed", IF(NOT(ISERR(SEARCH("*_Repaired",$A1347))), "Repaired", "")))</f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v>1</v>
      </c>
      <c r="W1347" s="13" t="str">
        <f>MID(A1347, SEARCH("_", A1347) +1, SEARCH("_", A1347, SEARCH("_", A1347) +1) - SEARCH("_", A1347) -1)</f>
        <v>Closure-40</v>
      </c>
      <c r="Y1347" t="str">
        <f>IF(AND($S822=1,$S1347=1,$V822=1,$V1347=1), "YES", "NO")</f>
        <v>NO</v>
      </c>
      <c r="Z1347" t="str">
        <f>IF(AND($S822=1,$S1347=1,$V822&gt;1,$V1347&gt;1), "YES", "NO")</f>
        <v>NO</v>
      </c>
      <c r="AA1347" t="str">
        <f>IF(AND($S822&gt;1,$S1347&gt;1,$S822=$V822,$S1347=$V1347), "YES", "NO")</f>
        <v>NO</v>
      </c>
      <c r="AB1347" t="str">
        <f>IF(AND($S822&gt;1,$S1347&gt;1,$S822&lt;$V822,$S1347&lt;$V1347), "YES", "NO")</f>
        <v>NO</v>
      </c>
      <c r="AC1347" t="str">
        <f>IF(AND($V822&gt;10,$V1347&gt;10), "YES", "NO")</f>
        <v>NO</v>
      </c>
      <c r="AD1347"/>
    </row>
    <row r="1348" spans="1:30" ht="15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>LEFT($A1348,FIND("_",$A1348)-1)</f>
        <v>kPAR</v>
      </c>
      <c r="P1348" s="13" t="str">
        <f>IF($O1348="ACS", "True Search", IF($O1348="Arja", "Evolutionary Search", IF($O1348="AVATAR", "True Pattern", IF($O1348="CapGen", "Search Like Pattern", IF($O1348="Cardumen", "True Semantic", IF($O1348="DynaMoth", "True Semantic", IF($O1348="FixMiner", "True Pattern", IF($O1348="GenProg-A", "Evolutionary Search", IF($O1348="Hercules", "Learning Pattern", IF($O1348="Jaid", "True Semantic",
IF($O1348="Kali-A", "True Search", IF($O1348="kPAR", "True Pattern", IF($O1348="Nopol", "True Semantic", IF($O1348="RSRepair-A", "Evolutionary Search", IF($O1348="SequenceR", "Deep Learning", IF($O1348="SimFix", "Search Like Pattern", IF($O1348="SketchFix", "True Pattern", IF($O1348="SOFix", "True Pattern", IF($O1348="ssFix", "Search Like Pattern", IF($O1348="TBar", "True Pattern", ""))))))))))))))))))))</f>
        <v>True Pattern</v>
      </c>
      <c r="Q1348" s="13" t="str">
        <f>IF(NOT(ISERR(SEARCH("*_Buggy",$A1348))), "Buggy", IF(NOT(ISERR(SEARCH("*_Fixed",$A1348))), "Fixed", IF(NOT(ISERR(SEARCH("*_Repaired",$A1348))), "Repaired", "")))</f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v>1</v>
      </c>
      <c r="W1348" s="13" t="str">
        <f>MID(A1348, SEARCH("_", A1348) +1, SEARCH("_", A1348, SEARCH("_", A1348) +1) - SEARCH("_", A1348) -1)</f>
        <v>Closure-46</v>
      </c>
      <c r="Y1348" t="str">
        <f>IF(AND($S823=1,$S1348=1,$V823=1,$V1348=1), "YES", "NO")</f>
        <v>NO</v>
      </c>
      <c r="Z1348" t="str">
        <f>IF(AND($S823=1,$S1348=1,$V823&gt;1,$V1348&gt;1), "YES", "NO")</f>
        <v>NO</v>
      </c>
      <c r="AA1348" t="str">
        <f>IF(AND($S823&gt;1,$S1348&gt;1,$S823=$V823,$S1348=$V1348), "YES", "NO")</f>
        <v>NO</v>
      </c>
      <c r="AB1348" t="str">
        <f>IF(AND($S823&gt;1,$S1348&gt;1,$S823&lt;$V823,$S1348&lt;$V1348), "YES", "NO")</f>
        <v>NO</v>
      </c>
      <c r="AC1348" t="str">
        <f>IF(AND($V823&gt;10,$V1348&gt;10), "YES", "NO")</f>
        <v>NO</v>
      </c>
      <c r="AD1348"/>
    </row>
    <row r="1349" spans="1:30" ht="15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>LEFT($A1349,FIND("_",$A1349)-1)</f>
        <v>kPAR</v>
      </c>
      <c r="P1349" s="13" t="str">
        <f>IF($O1349="ACS", "True Search", IF($O1349="Arja", "Evolutionary Search", IF($O1349="AVATAR", "True Pattern", IF($O1349="CapGen", "Search Like Pattern", IF($O1349="Cardumen", "True Semantic", IF($O1349="DynaMoth", "True Semantic", IF($O1349="FixMiner", "True Pattern", IF($O1349="GenProg-A", "Evolutionary Search", IF($O1349="Hercules", "Learning Pattern", IF($O1349="Jaid", "True Semantic",
IF($O1349="Kali-A", "True Search", IF($O1349="kPAR", "True Pattern", IF($O1349="Nopol", "True Semantic", IF($O1349="RSRepair-A", "Evolutionary Search", IF($O1349="SequenceR", "Deep Learning", IF($O1349="SimFix", "Search Like Pattern", IF($O1349="SketchFix", "True Pattern", IF($O1349="SOFix", "True Pattern", IF($O1349="ssFix", "Search Like Pattern", IF($O1349="TBar", "True Pattern", ""))))))))))))))))))))</f>
        <v>True Pattern</v>
      </c>
      <c r="Q1349" s="13" t="str">
        <f>IF(NOT(ISERR(SEARCH("*_Buggy",$A1349))), "Buggy", IF(NOT(ISERR(SEARCH("*_Fixed",$A1349))), "Fixed", IF(NOT(ISERR(SEARCH("*_Repaired",$A1349))), "Repaired", "")))</f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v>1</v>
      </c>
      <c r="W1349" s="13" t="str">
        <f>MID(A1349, SEARCH("_", A1349) +1, SEARCH("_", A1349, SEARCH("_", A1349) +1) - SEARCH("_", A1349) -1)</f>
        <v>Closure-62</v>
      </c>
      <c r="Y1349" t="str">
        <f>IF(AND($S824=1,$S1349=1,$V824=1,$V1349=1), "YES", "NO")</f>
        <v>YES</v>
      </c>
      <c r="Z1349" t="str">
        <f>IF(AND($S824=1,$S1349=1,$V824&gt;1,$V1349&gt;1), "YES", "NO")</f>
        <v>NO</v>
      </c>
      <c r="AA1349" t="str">
        <f>IF(AND($S824&gt;1,$S1349&gt;1,$S824=$V824,$S1349=$V1349), "YES", "NO")</f>
        <v>NO</v>
      </c>
      <c r="AB1349" t="str">
        <f>IF(AND($S824&gt;1,$S1349&gt;1,$S824&lt;$V824,$S1349&lt;$V1349), "YES", "NO")</f>
        <v>NO</v>
      </c>
      <c r="AC1349" t="str">
        <f>IF(AND($V824&gt;10,$V1349&gt;10), "YES", "NO")</f>
        <v>NO</v>
      </c>
      <c r="AD1349"/>
    </row>
    <row r="1350" spans="1:30" ht="15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>LEFT($A1350,FIND("_",$A1350)-1)</f>
        <v>kPAR</v>
      </c>
      <c r="P1350" s="13" t="str">
        <f>IF($O1350="ACS", "True Search", IF($O1350="Arja", "Evolutionary Search", IF($O1350="AVATAR", "True Pattern", IF($O1350="CapGen", "Search Like Pattern", IF($O1350="Cardumen", "True Semantic", IF($O1350="DynaMoth", "True Semantic", IF($O1350="FixMiner", "True Pattern", IF($O1350="GenProg-A", "Evolutionary Search", IF($O1350="Hercules", "Learning Pattern", IF($O1350="Jaid", "True Semantic",
IF($O1350="Kali-A", "True Search", IF($O1350="kPAR", "True Pattern", IF($O1350="Nopol", "True Semantic", IF($O1350="RSRepair-A", "Evolutionary Search", IF($O1350="SequenceR", "Deep Learning", IF($O1350="SimFix", "Search Like Pattern", IF($O1350="SketchFix", "True Pattern", IF($O1350="SOFix", "True Pattern", IF($O1350="ssFix", "Search Like Pattern", IF($O1350="TBar", "True Pattern", ""))))))))))))))))))))</f>
        <v>True Pattern</v>
      </c>
      <c r="Q1350" s="13" t="str">
        <f>IF(NOT(ISERR(SEARCH("*_Buggy",$A1350))), "Buggy", IF(NOT(ISERR(SEARCH("*_Fixed",$A1350))), "Fixed", IF(NOT(ISERR(SEARCH("*_Repaired",$A1350))), "Repaired", "")))</f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v>1</v>
      </c>
      <c r="W1350" s="13" t="str">
        <f>MID(A1350, SEARCH("_", A1350) +1, SEARCH("_", A1350, SEARCH("_", A1350) +1) - SEARCH("_", A1350) -1)</f>
        <v>Closure-70</v>
      </c>
      <c r="Y1350" t="str">
        <f>IF(AND($S825=1,$S1350=1,$V825=1,$V1350=1), "YES", "NO")</f>
        <v>YES</v>
      </c>
      <c r="Z1350" t="str">
        <f>IF(AND($S825=1,$S1350=1,$V825&gt;1,$V1350&gt;1), "YES", "NO")</f>
        <v>NO</v>
      </c>
      <c r="AA1350" t="str">
        <f>IF(AND($S825&gt;1,$S1350&gt;1,$S825=$V825,$S1350=$V1350), "YES", "NO")</f>
        <v>NO</v>
      </c>
      <c r="AB1350" t="str">
        <f>IF(AND($S825&gt;1,$S1350&gt;1,$S825&lt;$V825,$S1350&lt;$V1350), "YES", "NO")</f>
        <v>NO</v>
      </c>
      <c r="AC1350" t="str">
        <f>IF(AND($V825&gt;10,$V1350&gt;10), "YES", "NO")</f>
        <v>NO</v>
      </c>
      <c r="AD1350"/>
    </row>
    <row r="1351" spans="1:30" ht="15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>LEFT($A1351,FIND("_",$A1351)-1)</f>
        <v>kPAR</v>
      </c>
      <c r="P1351" s="13" t="str">
        <f>IF($O1351="ACS", "True Search", IF($O1351="Arja", "Evolutionary Search", IF($O1351="AVATAR", "True Pattern", IF($O1351="CapGen", "Search Like Pattern", IF($O1351="Cardumen", "True Semantic", IF($O1351="DynaMoth", "True Semantic", IF($O1351="FixMiner", "True Pattern", IF($O1351="GenProg-A", "Evolutionary Search", IF($O1351="Hercules", "Learning Pattern", IF($O1351="Jaid", "True Semantic",
IF($O1351="Kali-A", "True Search", IF($O1351="kPAR", "True Pattern", IF($O1351="Nopol", "True Semantic", IF($O1351="RSRepair-A", "Evolutionary Search", IF($O1351="SequenceR", "Deep Learning", IF($O1351="SimFix", "Search Like Pattern", IF($O1351="SketchFix", "True Pattern", IF($O1351="SOFix", "True Pattern", IF($O1351="ssFix", "Search Like Pattern", IF($O1351="TBar", "True Pattern", ""))))))))))))))))))))</f>
        <v>True Pattern</v>
      </c>
      <c r="Q1351" s="13" t="str">
        <f>IF(NOT(ISERR(SEARCH("*_Buggy",$A1351))), "Buggy", IF(NOT(ISERR(SEARCH("*_Fixed",$A1351))), "Fixed", IF(NOT(ISERR(SEARCH("*_Repaired",$A1351))), "Repaired", "")))</f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v>1</v>
      </c>
      <c r="W1351" s="13" t="str">
        <f>MID(A1351, SEARCH("_", A1351) +1, SEARCH("_", A1351, SEARCH("_", A1351) +1) - SEARCH("_", A1351) -1)</f>
        <v>Closure-73</v>
      </c>
      <c r="Y1351" t="str">
        <f>IF(AND($S826=1,$S1351=1,$V826=1,$V1351=1), "YES", "NO")</f>
        <v>YES</v>
      </c>
      <c r="Z1351" t="str">
        <f>IF(AND($S826=1,$S1351=1,$V826&gt;1,$V1351&gt;1), "YES", "NO")</f>
        <v>NO</v>
      </c>
      <c r="AA1351" t="str">
        <f>IF(AND($S826&gt;1,$S1351&gt;1,$S826=$V826,$S1351=$V1351), "YES", "NO")</f>
        <v>NO</v>
      </c>
      <c r="AB1351" t="str">
        <f>IF(AND($S826&gt;1,$S1351&gt;1,$S826&lt;$V826,$S1351&lt;$V1351), "YES", "NO")</f>
        <v>NO</v>
      </c>
      <c r="AC1351" t="str">
        <f>IF(AND($V826&gt;10,$V1351&gt;10), "YES", "NO")</f>
        <v>NO</v>
      </c>
      <c r="AD1351"/>
    </row>
    <row r="1352" spans="1:30" ht="15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>LEFT($A1352,FIND("_",$A1352)-1)</f>
        <v>kPAR</v>
      </c>
      <c r="P1352" s="13" t="str">
        <f>IF($O1352="ACS", "True Search", IF($O1352="Arja", "Evolutionary Search", IF($O1352="AVATAR", "True Pattern", IF($O1352="CapGen", "Search Like Pattern", IF($O1352="Cardumen", "True Semantic", IF($O1352="DynaMoth", "True Semantic", IF($O1352="FixMiner", "True Pattern", IF($O1352="GenProg-A", "Evolutionary Search", IF($O1352="Hercules", "Learning Pattern", IF($O1352="Jaid", "True Semantic",
IF($O1352="Kali-A", "True Search", IF($O1352="kPAR", "True Pattern", IF($O1352="Nopol", "True Semantic", IF($O1352="RSRepair-A", "Evolutionary Search", IF($O1352="SequenceR", "Deep Learning", IF($O1352="SimFix", "Search Like Pattern", IF($O1352="SketchFix", "True Pattern", IF($O1352="SOFix", "True Pattern", IF($O1352="ssFix", "Search Like Pattern", IF($O1352="TBar", "True Pattern", ""))))))))))))))))))))</f>
        <v>True Pattern</v>
      </c>
      <c r="Q1352" s="13" t="str">
        <f>IF(NOT(ISERR(SEARCH("*_Buggy",$A1352))), "Buggy", IF(NOT(ISERR(SEARCH("*_Fixed",$A1352))), "Fixed", IF(NOT(ISERR(SEARCH("*_Repaired",$A1352))), "Repaired", "")))</f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v>1</v>
      </c>
      <c r="W1352" s="13" t="str">
        <f>MID(A1352, SEARCH("_", A1352) +1, SEARCH("_", A1352, SEARCH("_", A1352) +1) - SEARCH("_", A1352) -1)</f>
        <v>Lang-10</v>
      </c>
      <c r="Y1352" t="str">
        <f>IF(AND($S827=1,$S1352=1,$V827=1,$V1352=1), "YES", "NO")</f>
        <v>NO</v>
      </c>
      <c r="Z1352" t="str">
        <f>IF(AND($S827=1,$S1352=1,$V827&gt;1,$V1352&gt;1), "YES", "NO")</f>
        <v>NO</v>
      </c>
      <c r="AA1352" t="str">
        <f>IF(AND($S827&gt;1,$S1352&gt;1,$S827=$V827,$S1352=$V1352), "YES", "NO")</f>
        <v>NO</v>
      </c>
      <c r="AB1352" t="str">
        <f>IF(AND($S827&gt;1,$S1352&gt;1,$S827&lt;$V827,$S1352&lt;$V1352), "YES", "NO")</f>
        <v>NO</v>
      </c>
      <c r="AC1352" t="str">
        <f>IF(AND($V827&gt;10,$V1352&gt;10), "YES", "NO")</f>
        <v>NO</v>
      </c>
      <c r="AD1352"/>
    </row>
    <row r="1353" spans="1:30" ht="15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>LEFT($A1353,FIND("_",$A1353)-1)</f>
        <v>kPAR</v>
      </c>
      <c r="P1353" s="13" t="str">
        <f>IF($O1353="ACS", "True Search", IF($O1353="Arja", "Evolutionary Search", IF($O1353="AVATAR", "True Pattern", IF($O1353="CapGen", "Search Like Pattern", IF($O1353="Cardumen", "True Semantic", IF($O1353="DynaMoth", "True Semantic", IF($O1353="FixMiner", "True Pattern", IF($O1353="GenProg-A", "Evolutionary Search", IF($O1353="Hercules", "Learning Pattern", IF($O1353="Jaid", "True Semantic",
IF($O1353="Kali-A", "True Search", IF($O1353="kPAR", "True Pattern", IF($O1353="Nopol", "True Semantic", IF($O1353="RSRepair-A", "Evolutionary Search", IF($O1353="SequenceR", "Deep Learning", IF($O1353="SimFix", "Search Like Pattern", IF($O1353="SketchFix", "True Pattern", IF($O1353="SOFix", "True Pattern", IF($O1353="ssFix", "Search Like Pattern", IF($O1353="TBar", "True Pattern", ""))))))))))))))))))))</f>
        <v>True Pattern</v>
      </c>
      <c r="Q1353" s="13" t="str">
        <f>IF(NOT(ISERR(SEARCH("*_Buggy",$A1353))), "Buggy", IF(NOT(ISERR(SEARCH("*_Fixed",$A1353))), "Fixed", IF(NOT(ISERR(SEARCH("*_Repaired",$A1353))), "Repaired", "")))</f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v>1</v>
      </c>
      <c r="W1353" s="13" t="str">
        <f>MID(A1353, SEARCH("_", A1353) +1, SEARCH("_", A1353, SEARCH("_", A1353) +1) - SEARCH("_", A1353) -1)</f>
        <v>Lang-16</v>
      </c>
      <c r="Y1353" t="str">
        <f>IF(AND($S828=1,$S1353=1,$V828=1,$V1353=1), "YES", "NO")</f>
        <v>YES</v>
      </c>
      <c r="Z1353" t="str">
        <f>IF(AND($S828=1,$S1353=1,$V828&gt;1,$V1353&gt;1), "YES", "NO")</f>
        <v>NO</v>
      </c>
      <c r="AA1353" t="str">
        <f>IF(AND($S828&gt;1,$S1353&gt;1,$S828=$V828,$S1353=$V1353), "YES", "NO")</f>
        <v>NO</v>
      </c>
      <c r="AB1353" t="str">
        <f>IF(AND($S828&gt;1,$S1353&gt;1,$S828&lt;$V828,$S1353&lt;$V1353), "YES", "NO")</f>
        <v>NO</v>
      </c>
      <c r="AC1353" t="str">
        <f>IF(AND($V828&gt;10,$V1353&gt;10), "YES", "NO")</f>
        <v>NO</v>
      </c>
      <c r="AD1353"/>
    </row>
    <row r="1354" spans="1:30" ht="15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>LEFT($A1354,FIND("_",$A1354)-1)</f>
        <v>kPAR</v>
      </c>
      <c r="P1354" s="13" t="str">
        <f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>IF(NOT(ISERR(SEARCH("*_Buggy",$A1354))), "Buggy", IF(NOT(ISERR(SEARCH("*_Fixed",$A1354))), "Fixed", IF(NOT(ISERR(SEARCH("*_Repaired",$A1354))), "Repaired", "")))</f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v>1</v>
      </c>
      <c r="W1354" s="13" t="str">
        <f>MID(A1354, SEARCH("_", A1354) +1, SEARCH("_", A1354, SEARCH("_", A1354) +1) - SEARCH("_", A1354) -1)</f>
        <v>Lang-18</v>
      </c>
      <c r="Y1354" t="str">
        <f>IF(AND($S829=1,$S1354=1,$V829=1,$V1354=1), "YES", "NO")</f>
        <v>NO</v>
      </c>
      <c r="Z1354" t="str">
        <f>IF(AND($S829=1,$S1354=1,$V829&gt;1,$V1354&gt;1), "YES", "NO")</f>
        <v>NO</v>
      </c>
      <c r="AA1354" t="str">
        <f>IF(AND($S829&gt;1,$S1354&gt;1,$S829=$V829,$S1354=$V1354), "YES", "NO")</f>
        <v>NO</v>
      </c>
      <c r="AB1354" t="str">
        <f>IF(AND($S829&gt;1,$S1354&gt;1,$S829&lt;$V829,$S1354&lt;$V1354), "YES", "NO")</f>
        <v>NO</v>
      </c>
      <c r="AC1354" t="str">
        <f>IF(AND($V829&gt;10,$V1354&gt;10), "YES", "NO")</f>
        <v>NO</v>
      </c>
      <c r="AD1354"/>
    </row>
    <row r="1355" spans="1:30" ht="15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>LEFT($A1355,FIND("_",$A1355)-1)</f>
        <v>kPAR</v>
      </c>
      <c r="P1355" s="13" t="str">
        <f>IF($O1355="ACS", "True Search", IF($O1355="Arja", "Evolutionary Search", IF($O1355="AVATAR", "True Pattern", IF($O1355="CapGen", "Search Like Pattern", IF($O1355="Cardumen", "True Semantic", IF($O1355="DynaMoth", "True Semantic", IF($O1355="FixMiner", "True Pattern", IF($O1355="GenProg-A", "Evolutionary Search", IF($O1355="Hercules", "Learning Pattern", IF($O1355="Jaid", "True Semantic",
IF($O1355="Kali-A", "True Search", IF($O1355="kPAR", "True Pattern", IF($O1355="Nopol", "True Semantic", IF($O1355="RSRepair-A", "Evolutionary Search", IF($O1355="SequenceR", "Deep Learning", IF($O1355="SimFix", "Search Like Pattern", IF($O1355="SketchFix", "True Pattern", IF($O1355="SOFix", "True Pattern", IF($O1355="ssFix", "Search Like Pattern", IF($O1355="TBar", "True Pattern", ""))))))))))))))))))))</f>
        <v>True Pattern</v>
      </c>
      <c r="Q1355" s="13" t="str">
        <f>IF(NOT(ISERR(SEARCH("*_Buggy",$A1355))), "Buggy", IF(NOT(ISERR(SEARCH("*_Fixed",$A1355))), "Fixed", IF(NOT(ISERR(SEARCH("*_Repaired",$A1355))), "Repaired", "")))</f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v>1</v>
      </c>
      <c r="W1355" s="13" t="str">
        <f>MID(A1355, SEARCH("_", A1355) +1, SEARCH("_", A1355, SEARCH("_", A1355) +1) - SEARCH("_", A1355) -1)</f>
        <v>Lang-20</v>
      </c>
      <c r="Y1355" t="str">
        <f>IF(AND($S830=1,$S1355=1,$V830=1,$V1355=1), "YES", "NO")</f>
        <v>NO</v>
      </c>
      <c r="Z1355" t="str">
        <f>IF(AND($S830=1,$S1355=1,$V830&gt;1,$V1355&gt;1), "YES", "NO")</f>
        <v>NO</v>
      </c>
      <c r="AA1355" t="str">
        <f>IF(AND($S830&gt;1,$S1355&gt;1,$S830=$V830,$S1355=$V1355), "YES", "NO")</f>
        <v>NO</v>
      </c>
      <c r="AB1355" t="str">
        <f>IF(AND($S830&gt;1,$S1355&gt;1,$S830&lt;$V830,$S1355&lt;$V1355), "YES", "NO")</f>
        <v>NO</v>
      </c>
      <c r="AC1355" t="str">
        <f>IF(AND($V830&gt;10,$V1355&gt;10), "YES", "NO")</f>
        <v>NO</v>
      </c>
      <c r="AD1355"/>
    </row>
    <row r="1356" spans="1:30" ht="15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>LEFT($A1356,FIND("_",$A1356)-1)</f>
        <v>kPAR</v>
      </c>
      <c r="P1356" s="13" t="str">
        <f>IF($O1356="ACS", "True Search", IF($O1356="Arja", "Evolutionary Search", IF($O1356="AVATAR", "True Pattern", IF($O1356="CapGen", "Search Like Pattern", IF($O1356="Cardumen", "True Semantic", IF($O1356="DynaMoth", "True Semantic", IF($O1356="FixMiner", "True Pattern", IF($O1356="GenProg-A", "Evolutionary Search", IF($O1356="Hercules", "Learning Pattern", IF($O1356="Jaid", "True Semantic",
IF($O1356="Kali-A", "True Search", IF($O1356="kPAR", "True Pattern", IF($O1356="Nopol", "True Semantic", IF($O1356="RSRepair-A", "Evolutionary Search", IF($O1356="SequenceR", "Deep Learning", IF($O1356="SimFix", "Search Like Pattern", IF($O1356="SketchFix", "True Pattern", IF($O1356="SOFix", "True Pattern", IF($O1356="ssFix", "Search Like Pattern", IF($O1356="TBar", "True Pattern", ""))))))))))))))))))))</f>
        <v>True Pattern</v>
      </c>
      <c r="Q1356" s="13" t="str">
        <f>IF(NOT(ISERR(SEARCH("*_Buggy",$A1356))), "Buggy", IF(NOT(ISERR(SEARCH("*_Fixed",$A1356))), "Fixed", IF(NOT(ISERR(SEARCH("*_Repaired",$A1356))), "Repaired", "")))</f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v>1</v>
      </c>
      <c r="W1356" s="13" t="str">
        <f>MID(A1356, SEARCH("_", A1356) +1, SEARCH("_", A1356, SEARCH("_", A1356) +1) - SEARCH("_", A1356) -1)</f>
        <v>Lang-21</v>
      </c>
      <c r="Y1356" t="str">
        <f>IF(AND($S831=1,$S1356=1,$V831=1,$V1356=1), "YES", "NO")</f>
        <v>YES</v>
      </c>
      <c r="Z1356" t="str">
        <f>IF(AND($S831=1,$S1356=1,$V831&gt;1,$V1356&gt;1), "YES", "NO")</f>
        <v>NO</v>
      </c>
      <c r="AA1356" t="str">
        <f>IF(AND($S831&gt;1,$S1356&gt;1,$S831=$V831,$S1356=$V1356), "YES", "NO")</f>
        <v>NO</v>
      </c>
      <c r="AB1356" t="str">
        <f>IF(AND($S831&gt;1,$S1356&gt;1,$S831&lt;$V831,$S1356&lt;$V1356), "YES", "NO")</f>
        <v>NO</v>
      </c>
      <c r="AC1356" t="str">
        <f>IF(AND($V831&gt;10,$V1356&gt;10), "YES", "NO")</f>
        <v>NO</v>
      </c>
      <c r="AD1356"/>
    </row>
    <row r="1357" spans="1:30" ht="15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>LEFT($A1357,FIND("_",$A1357)-1)</f>
        <v>kPAR</v>
      </c>
      <c r="P1357" s="13" t="str">
        <f>IF($O1357="ACS", "True Search", IF($O1357="Arja", "Evolutionary Search", IF($O1357="AVATAR", "True Pattern", IF($O1357="CapGen", "Search Like Pattern", IF($O1357="Cardumen", "True Semantic", IF($O1357="DynaMoth", "True Semantic", IF($O1357="FixMiner", "True Pattern", IF($O1357="GenProg-A", "Evolutionary Search", IF($O1357="Hercules", "Learning Pattern", IF($O1357="Jaid", "True Semantic",
IF($O1357="Kali-A", "True Search", IF($O1357="kPAR", "True Pattern", IF($O1357="Nopol", "True Semantic", IF($O1357="RSRepair-A", "Evolutionary Search", IF($O1357="SequenceR", "Deep Learning", IF($O1357="SimFix", "Search Like Pattern", IF($O1357="SketchFix", "True Pattern", IF($O1357="SOFix", "True Pattern", IF($O1357="ssFix", "Search Like Pattern", IF($O1357="TBar", "True Pattern", ""))))))))))))))))))))</f>
        <v>True Pattern</v>
      </c>
      <c r="Q1357" s="13" t="str">
        <f>IF(NOT(ISERR(SEARCH("*_Buggy",$A1357))), "Buggy", IF(NOT(ISERR(SEARCH("*_Fixed",$A1357))), "Fixed", IF(NOT(ISERR(SEARCH("*_Repaired",$A1357))), "Repaired", "")))</f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v>1</v>
      </c>
      <c r="W1357" s="13" t="str">
        <f>MID(A1357, SEARCH("_", A1357) +1, SEARCH("_", A1357, SEARCH("_", A1357) +1) - SEARCH("_", A1357) -1)</f>
        <v>Lang-22</v>
      </c>
      <c r="Y1357" t="str">
        <f>IF(AND($S832=1,$S1357=1,$V832=1,$V1357=1), "YES", "NO")</f>
        <v>NO</v>
      </c>
      <c r="Z1357" t="str">
        <f>IF(AND($S832=1,$S1357=1,$V832&gt;1,$V1357&gt;1), "YES", "NO")</f>
        <v>NO</v>
      </c>
      <c r="AA1357" t="str">
        <f>IF(AND($S832&gt;1,$S1357&gt;1,$S832=$V832,$S1357=$V1357), "YES", "NO")</f>
        <v>NO</v>
      </c>
      <c r="AB1357" t="str">
        <f>IF(AND($S832&gt;1,$S1357&gt;1,$S832&lt;$V832,$S1357&lt;$V1357), "YES", "NO")</f>
        <v>NO</v>
      </c>
      <c r="AC1357" t="str">
        <f>IF(AND($V832&gt;10,$V1357&gt;10), "YES", "NO")</f>
        <v>NO</v>
      </c>
      <c r="AD1357"/>
    </row>
    <row r="1358" spans="1:30" ht="15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>LEFT($A1358,FIND("_",$A1358)-1)</f>
        <v>kPAR</v>
      </c>
      <c r="P1358" s="13" t="str">
        <f>IF($O1358="ACS", "True Search", IF($O1358="Arja", "Evolutionary Search", IF($O1358="AVATAR", "True Pattern", IF($O1358="CapGen", "Search Like Pattern", IF($O1358="Cardumen", "True Semantic", IF($O1358="DynaMoth", "True Semantic", IF($O1358="FixMiner", "True Pattern", IF($O1358="GenProg-A", "Evolutionary Search", IF($O1358="Hercules", "Learning Pattern", IF($O1358="Jaid", "True Semantic",
IF($O1358="Kali-A", "True Search", IF($O1358="kPAR", "True Pattern", IF($O1358="Nopol", "True Semantic", IF($O1358="RSRepair-A", "Evolutionary Search", IF($O1358="SequenceR", "Deep Learning", IF($O1358="SimFix", "Search Like Pattern", IF($O1358="SketchFix", "True Pattern", IF($O1358="SOFix", "True Pattern", IF($O1358="ssFix", "Search Like Pattern", IF($O1358="TBar", "True Pattern", ""))))))))))))))))))))</f>
        <v>True Pattern</v>
      </c>
      <c r="Q1358" s="13" t="str">
        <f>IF(NOT(ISERR(SEARCH("*_Buggy",$A1358))), "Buggy", IF(NOT(ISERR(SEARCH("*_Fixed",$A1358))), "Fixed", IF(NOT(ISERR(SEARCH("*_Repaired",$A1358))), "Repaired", "")))</f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v>1</v>
      </c>
      <c r="W1358" s="13" t="str">
        <f>MID(A1358, SEARCH("_", A1358) +1, SEARCH("_", A1358, SEARCH("_", A1358) +1) - SEARCH("_", A1358) -1)</f>
        <v>Lang-24</v>
      </c>
      <c r="Y1358" t="str">
        <f>IF(AND($S833=1,$S1358=1,$V833=1,$V1358=1), "YES", "NO")</f>
        <v>YES</v>
      </c>
      <c r="Z1358" t="str">
        <f>IF(AND($S833=1,$S1358=1,$V833&gt;1,$V1358&gt;1), "YES", "NO")</f>
        <v>NO</v>
      </c>
      <c r="AA1358" t="str">
        <f>IF(AND($S833&gt;1,$S1358&gt;1,$S833=$V833,$S1358=$V1358), "YES", "NO")</f>
        <v>NO</v>
      </c>
      <c r="AB1358" t="str">
        <f>IF(AND($S833&gt;1,$S1358&gt;1,$S833&lt;$V833,$S1358&lt;$V1358), "YES", "NO")</f>
        <v>NO</v>
      </c>
      <c r="AC1358" t="str">
        <f>IF(AND($V833&gt;10,$V1358&gt;10), "YES", "NO")</f>
        <v>NO</v>
      </c>
      <c r="AD1358"/>
    </row>
    <row r="1359" spans="1:30" ht="15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>LEFT($A1359,FIND("_",$A1359)-1)</f>
        <v>kPAR</v>
      </c>
      <c r="P1359" s="13" t="str">
        <f>IF($O1359="ACS", "True Search", IF($O1359="Arja", "Evolutionary Search", IF($O1359="AVATAR", "True Pattern", IF($O1359="CapGen", "Search Like Pattern", IF($O1359="Cardumen", "True Semantic", IF($O1359="DynaMoth", "True Semantic", IF($O1359="FixMiner", "True Pattern", IF($O1359="GenProg-A", "Evolutionary Search", IF($O1359="Hercules", "Learning Pattern", IF($O1359="Jaid", "True Semantic",
IF($O1359="Kali-A", "True Search", IF($O1359="kPAR", "True Pattern", IF($O1359="Nopol", "True Semantic", IF($O1359="RSRepair-A", "Evolutionary Search", IF($O1359="SequenceR", "Deep Learning", IF($O1359="SimFix", "Search Like Pattern", IF($O1359="SketchFix", "True Pattern", IF($O1359="SOFix", "True Pattern", IF($O1359="ssFix", "Search Like Pattern", IF($O1359="TBar", "True Pattern", ""))))))))))))))))))))</f>
        <v>True Pattern</v>
      </c>
      <c r="Q1359" s="13" t="str">
        <f>IF(NOT(ISERR(SEARCH("*_Buggy",$A1359))), "Buggy", IF(NOT(ISERR(SEARCH("*_Fixed",$A1359))), "Fixed", IF(NOT(ISERR(SEARCH("*_Repaired",$A1359))), "Repaired", "")))</f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v>1</v>
      </c>
      <c r="W1359" s="13" t="str">
        <f>MID(A1359, SEARCH("_", A1359) +1, SEARCH("_", A1359, SEARCH("_", A1359) +1) - SEARCH("_", A1359) -1)</f>
        <v>Lang-27</v>
      </c>
      <c r="Y1359" t="str">
        <f>IF(AND($S834=1,$S1359=1,$V834=1,$V1359=1), "YES", "NO")</f>
        <v>NO</v>
      </c>
      <c r="Z1359" t="str">
        <f>IF(AND($S834=1,$S1359=1,$V834&gt;1,$V1359&gt;1), "YES", "NO")</f>
        <v>NO</v>
      </c>
      <c r="AA1359" t="str">
        <f>IF(AND($S834&gt;1,$S1359&gt;1,$S834=$V834,$S1359=$V1359), "YES", "NO")</f>
        <v>NO</v>
      </c>
      <c r="AB1359" t="str">
        <f>IF(AND($S834&gt;1,$S1359&gt;1,$S834&lt;$V834,$S1359&lt;$V1359), "YES", "NO")</f>
        <v>NO</v>
      </c>
      <c r="AC1359" t="str">
        <f>IF(AND($V834&gt;10,$V1359&gt;10), "YES", "NO")</f>
        <v>NO</v>
      </c>
      <c r="AD1359"/>
    </row>
    <row r="1360" spans="1:30" ht="15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>LEFT($A1360,FIND("_",$A1360)-1)</f>
        <v>kPAR</v>
      </c>
      <c r="P1360" s="13" t="str">
        <f>IF($O1360="ACS", "True Search", IF($O1360="Arja", "Evolutionary Search", IF($O1360="AVATAR", "True Pattern", IF($O1360="CapGen", "Search Like Pattern", IF($O1360="Cardumen", "True Semantic", IF($O1360="DynaMoth", "True Semantic", IF($O1360="FixMiner", "True Pattern", IF($O1360="GenProg-A", "Evolutionary Search", IF($O1360="Hercules", "Learning Pattern", IF($O1360="Jaid", "True Semantic",
IF($O1360="Kali-A", "True Search", IF($O1360="kPAR", "True Pattern", IF($O1360="Nopol", "True Semantic", IF($O1360="RSRepair-A", "Evolutionary Search", IF($O1360="SequenceR", "Deep Learning", IF($O1360="SimFix", "Search Like Pattern", IF($O1360="SketchFix", "True Pattern", IF($O1360="SOFix", "True Pattern", IF($O1360="ssFix", "Search Like Pattern", IF($O1360="TBar", "True Pattern", ""))))))))))))))))))))</f>
        <v>True Pattern</v>
      </c>
      <c r="Q1360" s="13" t="str">
        <f>IF(NOT(ISERR(SEARCH("*_Buggy",$A1360))), "Buggy", IF(NOT(ISERR(SEARCH("*_Fixed",$A1360))), "Fixed", IF(NOT(ISERR(SEARCH("*_Repaired",$A1360))), "Repaired", "")))</f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v>1</v>
      </c>
      <c r="W1360" s="13" t="str">
        <f>MID(A1360, SEARCH("_", A1360) +1, SEARCH("_", A1360, SEARCH("_", A1360) +1) - SEARCH("_", A1360) -1)</f>
        <v>Lang-41</v>
      </c>
      <c r="Y1360" t="str">
        <f>IF(AND($S835=1,$S1360=1,$V835=1,$V1360=1), "YES", "NO")</f>
        <v>NO</v>
      </c>
      <c r="Z1360" t="str">
        <f>IF(AND($S835=1,$S1360=1,$V835&gt;1,$V1360&gt;1), "YES", "NO")</f>
        <v>NO</v>
      </c>
      <c r="AA1360" t="str">
        <f>IF(AND($S835&gt;1,$S1360&gt;1,$S835=$V835,$S1360=$V1360), "YES", "NO")</f>
        <v>NO</v>
      </c>
      <c r="AB1360" t="str">
        <f>IF(AND($S835&gt;1,$S1360&gt;1,$S835&lt;$V835,$S1360&lt;$V1360), "YES", "NO")</f>
        <v>NO</v>
      </c>
      <c r="AC1360" t="str">
        <f>IF(AND($V835&gt;10,$V1360&gt;10), "YES", "NO")</f>
        <v>NO</v>
      </c>
      <c r="AD1360"/>
    </row>
    <row r="1361" spans="1:30" ht="15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>LEFT($A1361,FIND("_",$A1361)-1)</f>
        <v>kPAR</v>
      </c>
      <c r="P1361" s="13" t="str">
        <f>IF($O1361="ACS", "True Search", IF($O1361="Arja", "Evolutionary Search", IF($O1361="AVATAR", "True Pattern", IF($O1361="CapGen", "Search Like Pattern", IF($O1361="Cardumen", "True Semantic", IF($O1361="DynaMoth", "True Semantic", IF($O1361="FixMiner", "True Pattern", IF($O1361="GenProg-A", "Evolutionary Search", IF($O1361="Hercules", "Learning Pattern", IF($O1361="Jaid", "True Semantic",
IF($O1361="Kali-A", "True Search", IF($O1361="kPAR", "True Pattern", IF($O1361="Nopol", "True Semantic", IF($O1361="RSRepair-A", "Evolutionary Search", IF($O1361="SequenceR", "Deep Learning", IF($O1361="SimFix", "Search Like Pattern", IF($O1361="SketchFix", "True Pattern", IF($O1361="SOFix", "True Pattern", IF($O1361="ssFix", "Search Like Pattern", IF($O1361="TBar", "True Pattern", ""))))))))))))))))))))</f>
        <v>True Pattern</v>
      </c>
      <c r="Q1361" s="13" t="str">
        <f>IF(NOT(ISERR(SEARCH("*_Buggy",$A1361))), "Buggy", IF(NOT(ISERR(SEARCH("*_Fixed",$A1361))), "Fixed", IF(NOT(ISERR(SEARCH("*_Repaired",$A1361))), "Repaired", "")))</f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v>1</v>
      </c>
      <c r="W1361" s="13" t="str">
        <f>MID(A1361, SEARCH("_", A1361) +1, SEARCH("_", A1361, SEARCH("_", A1361) +1) - SEARCH("_", A1361) -1)</f>
        <v>Lang-43</v>
      </c>
      <c r="Y1361" t="str">
        <f>IF(AND($S836=1,$S1361=1,$V836=1,$V1361=1), "YES", "NO")</f>
        <v>YES</v>
      </c>
      <c r="Z1361" t="str">
        <f>IF(AND($S836=1,$S1361=1,$V836&gt;1,$V1361&gt;1), "YES", "NO")</f>
        <v>NO</v>
      </c>
      <c r="AA1361" t="str">
        <f>IF(AND($S836&gt;1,$S1361&gt;1,$S836=$V836,$S1361=$V1361), "YES", "NO")</f>
        <v>NO</v>
      </c>
      <c r="AB1361" t="str">
        <f>IF(AND($S836&gt;1,$S1361&gt;1,$S836&lt;$V836,$S1361&lt;$V1361), "YES", "NO")</f>
        <v>NO</v>
      </c>
      <c r="AC1361" t="str">
        <f>IF(AND($V836&gt;10,$V1361&gt;10), "YES", "NO")</f>
        <v>NO</v>
      </c>
      <c r="AD1361"/>
    </row>
    <row r="1362" spans="1:30" ht="15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>LEFT($A1362,FIND("_",$A1362)-1)</f>
        <v>kPAR</v>
      </c>
      <c r="P1362" s="13" t="str">
        <f>IF($O1362="ACS", "True Search", IF($O1362="Arja", "Evolutionary Search", IF($O1362="AVATAR", "True Pattern", IF($O1362="CapGen", "Search Like Pattern", IF($O1362="Cardumen", "True Semantic", IF($O1362="DynaMoth", "True Semantic", IF($O1362="FixMiner", "True Pattern", IF($O1362="GenProg-A", "Evolutionary Search", IF($O1362="Hercules", "Learning Pattern", IF($O1362="Jaid", "True Semantic",
IF($O1362="Kali-A", "True Search", IF($O1362="kPAR", "True Pattern", IF($O1362="Nopol", "True Semantic", IF($O1362="RSRepair-A", "Evolutionary Search", IF($O1362="SequenceR", "Deep Learning", IF($O1362="SimFix", "Search Like Pattern", IF($O1362="SketchFix", "True Pattern", IF($O1362="SOFix", "True Pattern", IF($O1362="ssFix", "Search Like Pattern", IF($O1362="TBar", "True Pattern", ""))))))))))))))))))))</f>
        <v>True Pattern</v>
      </c>
      <c r="Q1362" s="13" t="str">
        <f>IF(NOT(ISERR(SEARCH("*_Buggy",$A1362))), "Buggy", IF(NOT(ISERR(SEARCH("*_Fixed",$A1362))), "Fixed", IF(NOT(ISERR(SEARCH("*_Repaired",$A1362))), "Repaired", "")))</f>
        <v>Repaired</v>
      </c>
      <c r="R1362" s="13" t="s">
        <v>1669</v>
      </c>
      <c r="S1362" s="25">
        <v>1</v>
      </c>
      <c r="T1362" s="25">
        <v>1</v>
      </c>
      <c r="U1362" s="25">
        <v>2</v>
      </c>
      <c r="V1362" s="13">
        <v>2</v>
      </c>
      <c r="W1362" s="13" t="str">
        <f>MID(A1362, SEARCH("_", A1362) +1, SEARCH("_", A1362, SEARCH("_", A1362) +1) - SEARCH("_", A1362) -1)</f>
        <v>Lang-44</v>
      </c>
      <c r="Y1362" t="str">
        <f>IF(AND($S837=1,$S1362=1,$V837=1,$V1362=1), "YES", "NO")</f>
        <v>NO</v>
      </c>
      <c r="Z1362" t="str">
        <f>IF(AND($S837=1,$S1362=1,$V837&gt;1,$V1362&gt;1), "YES", "NO")</f>
        <v>YES</v>
      </c>
      <c r="AA1362" t="str">
        <f>IF(AND($S837&gt;1,$S1362&gt;1,$S837=$V837,$S1362=$V1362), "YES", "NO")</f>
        <v>NO</v>
      </c>
      <c r="AB1362" t="str">
        <f>IF(AND($S837&gt;1,$S1362&gt;1,$S837&lt;$V837,$S1362&lt;$V1362), "YES", "NO")</f>
        <v>NO</v>
      </c>
      <c r="AC1362" t="str">
        <f>IF(AND($V837&gt;10,$V1362&gt;10), "YES", "NO")</f>
        <v>NO</v>
      </c>
      <c r="AD1362"/>
    </row>
    <row r="1363" spans="1:30" ht="15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>LEFT($A1363,FIND("_",$A1363)-1)</f>
        <v>kPAR</v>
      </c>
      <c r="P1363" s="13" t="str">
        <f>IF($O1363="ACS", "True Search", IF($O1363="Arja", "Evolutionary Search", IF($O1363="AVATAR", "True Pattern", IF($O1363="CapGen", "Search Like Pattern", IF($O1363="Cardumen", "True Semantic", IF($O1363="DynaMoth", "True Semantic", IF($O1363="FixMiner", "True Pattern", IF($O1363="GenProg-A", "Evolutionary Search", IF($O1363="Hercules", "Learning Pattern", IF($O1363="Jaid", "True Semantic",
IF($O1363="Kali-A", "True Search", IF($O1363="kPAR", "True Pattern", IF($O1363="Nopol", "True Semantic", IF($O1363="RSRepair-A", "Evolutionary Search", IF($O1363="SequenceR", "Deep Learning", IF($O1363="SimFix", "Search Like Pattern", IF($O1363="SketchFix", "True Pattern", IF($O1363="SOFix", "True Pattern", IF($O1363="ssFix", "Search Like Pattern", IF($O1363="TBar", "True Pattern", ""))))))))))))))))))))</f>
        <v>True Pattern</v>
      </c>
      <c r="Q1363" s="13" t="str">
        <f>IF(NOT(ISERR(SEARCH("*_Buggy",$A1363))), "Buggy", IF(NOT(ISERR(SEARCH("*_Fixed",$A1363))), "Fixed", IF(NOT(ISERR(SEARCH("*_Repaired",$A1363))), "Repaired", "")))</f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v>1</v>
      </c>
      <c r="W1363" s="13" t="str">
        <f>MID(A1363, SEARCH("_", A1363) +1, SEARCH("_", A1363, SEARCH("_", A1363) +1) - SEARCH("_", A1363) -1)</f>
        <v>Lang-45</v>
      </c>
      <c r="Y1363" t="str">
        <f>IF(AND($S838=1,$S1363=1,$V838=1,$V1363=1), "YES", "NO")</f>
        <v>NO</v>
      </c>
      <c r="Z1363" t="str">
        <f>IF(AND($S838=1,$S1363=1,$V838&gt;1,$V1363&gt;1), "YES", "NO")</f>
        <v>NO</v>
      </c>
      <c r="AA1363" t="str">
        <f>IF(AND($S838&gt;1,$S1363&gt;1,$S838=$V838,$S1363=$V1363), "YES", "NO")</f>
        <v>NO</v>
      </c>
      <c r="AB1363" t="str">
        <f>IF(AND($S838&gt;1,$S1363&gt;1,$S838&lt;$V838,$S1363&lt;$V1363), "YES", "NO")</f>
        <v>NO</v>
      </c>
      <c r="AC1363" t="str">
        <f>IF(AND($V838&gt;10,$V1363&gt;10), "YES", "NO")</f>
        <v>NO</v>
      </c>
      <c r="AD1363"/>
    </row>
    <row r="1364" spans="1:30" ht="15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>LEFT($A1364,FIND("_",$A1364)-1)</f>
        <v>kPAR</v>
      </c>
      <c r="P1364" s="13" t="str">
        <f>IF($O1364="ACS", "True Search", IF($O1364="Arja", "Evolutionary Search", IF($O1364="AVATAR", "True Pattern", IF($O1364="CapGen", "Search Like Pattern", IF($O1364="Cardumen", "True Semantic", IF($O1364="DynaMoth", "True Semantic", IF($O1364="FixMiner", "True Pattern", IF($O1364="GenProg-A", "Evolutionary Search", IF($O1364="Hercules", "Learning Pattern", IF($O1364="Jaid", "True Semantic",
IF($O1364="Kali-A", "True Search", IF($O1364="kPAR", "True Pattern", IF($O1364="Nopol", "True Semantic", IF($O1364="RSRepair-A", "Evolutionary Search", IF($O1364="SequenceR", "Deep Learning", IF($O1364="SimFix", "Search Like Pattern", IF($O1364="SketchFix", "True Pattern", IF($O1364="SOFix", "True Pattern", IF($O1364="ssFix", "Search Like Pattern", IF($O1364="TBar", "True Pattern", ""))))))))))))))))))))</f>
        <v>True Pattern</v>
      </c>
      <c r="Q1364" s="13" t="str">
        <f>IF(NOT(ISERR(SEARCH("*_Buggy",$A1364))), "Buggy", IF(NOT(ISERR(SEARCH("*_Fixed",$A1364))), "Fixed", IF(NOT(ISERR(SEARCH("*_Repaired",$A1364))), "Repaired", "")))</f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v>1</v>
      </c>
      <c r="W1364" s="13" t="str">
        <f>MID(A1364, SEARCH("_", A1364) +1, SEARCH("_", A1364, SEARCH("_", A1364) +1) - SEARCH("_", A1364) -1)</f>
        <v>Lang-51</v>
      </c>
      <c r="Y1364" t="str">
        <f>IF(AND($S839=1,$S1364=1,$V839=1,$V1364=1), "YES", "NO")</f>
        <v>YES</v>
      </c>
      <c r="Z1364" t="str">
        <f>IF(AND($S839=1,$S1364=1,$V839&gt;1,$V1364&gt;1), "YES", "NO")</f>
        <v>NO</v>
      </c>
      <c r="AA1364" t="str">
        <f>IF(AND($S839&gt;1,$S1364&gt;1,$S839=$V839,$S1364=$V1364), "YES", "NO")</f>
        <v>NO</v>
      </c>
      <c r="AB1364" t="str">
        <f>IF(AND($S839&gt;1,$S1364&gt;1,$S839&lt;$V839,$S1364&lt;$V1364), "YES", "NO")</f>
        <v>NO</v>
      </c>
      <c r="AC1364" t="str">
        <f>IF(AND($V839&gt;10,$V1364&gt;10), "YES", "NO")</f>
        <v>NO</v>
      </c>
      <c r="AD1364"/>
    </row>
    <row r="1365" spans="1:30" ht="15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>LEFT($A1365,FIND("_",$A1365)-1)</f>
        <v>kPAR</v>
      </c>
      <c r="P1365" s="13" t="str">
        <f>IF($O1365="ACS", "True Search", IF($O1365="Arja", "Evolutionary Search", IF($O1365="AVATAR", "True Pattern", IF($O1365="CapGen", "Search Like Pattern", IF($O1365="Cardumen", "True Semantic", IF($O1365="DynaMoth", "True Semantic", IF($O1365="FixMiner", "True Pattern", IF($O1365="GenProg-A", "Evolutionary Search", IF($O1365="Hercules", "Learning Pattern", IF($O1365="Jaid", "True Semantic",
IF($O1365="Kali-A", "True Search", IF($O1365="kPAR", "True Pattern", IF($O1365="Nopol", "True Semantic", IF($O1365="RSRepair-A", "Evolutionary Search", IF($O1365="SequenceR", "Deep Learning", IF($O1365="SimFix", "Search Like Pattern", IF($O1365="SketchFix", "True Pattern", IF($O1365="SOFix", "True Pattern", IF($O1365="ssFix", "Search Like Pattern", IF($O1365="TBar", "True Pattern", ""))))))))))))))))))))</f>
        <v>True Pattern</v>
      </c>
      <c r="Q1365" s="13" t="str">
        <f>IF(NOT(ISERR(SEARCH("*_Buggy",$A1365))), "Buggy", IF(NOT(ISERR(SEARCH("*_Fixed",$A1365))), "Fixed", IF(NOT(ISERR(SEARCH("*_Repaired",$A1365))), "Repaired", "")))</f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v>1</v>
      </c>
      <c r="W1365" s="13" t="str">
        <f>MID(A1365, SEARCH("_", A1365) +1, SEARCH("_", A1365, SEARCH("_", A1365) +1) - SEARCH("_", A1365) -1)</f>
        <v>Lang-53</v>
      </c>
      <c r="Y1365" t="str">
        <f>IF(AND($S840=1,$S1365=1,$V840=1,$V1365=1), "YES", "NO")</f>
        <v>NO</v>
      </c>
      <c r="Z1365" t="str">
        <f>IF(AND($S840=1,$S1365=1,$V840&gt;1,$V1365&gt;1), "YES", "NO")</f>
        <v>NO</v>
      </c>
      <c r="AA1365" t="str">
        <f>IF(AND($S840&gt;1,$S1365&gt;1,$S840=$V840,$S1365=$V1365), "YES", "NO")</f>
        <v>NO</v>
      </c>
      <c r="AB1365" t="str">
        <f>IF(AND($S840&gt;1,$S1365&gt;1,$S840&lt;$V840,$S1365&lt;$V1365), "YES", "NO")</f>
        <v>NO</v>
      </c>
      <c r="AC1365" t="str">
        <f>IF(AND($V840&gt;10,$V1365&gt;10), "YES", "NO")</f>
        <v>NO</v>
      </c>
      <c r="AD1365"/>
    </row>
    <row r="1366" spans="1:30" ht="15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>LEFT($A1366,FIND("_",$A1366)-1)</f>
        <v>kPAR</v>
      </c>
      <c r="P1366" s="13" t="str">
        <f>IF($O1366="ACS", "True Search", IF($O1366="Arja", "Evolutionary Search", IF($O1366="AVATAR", "True Pattern", IF($O1366="CapGen", "Search Like Pattern", IF($O1366="Cardumen", "True Semantic", IF($O1366="DynaMoth", "True Semantic", IF($O1366="FixMiner", "True Pattern", IF($O1366="GenProg-A", "Evolutionary Search", IF($O1366="Hercules", "Learning Pattern", IF($O1366="Jaid", "True Semantic",
IF($O1366="Kali-A", "True Search", IF($O1366="kPAR", "True Pattern", IF($O1366="Nopol", "True Semantic", IF($O1366="RSRepair-A", "Evolutionary Search", IF($O1366="SequenceR", "Deep Learning", IF($O1366="SimFix", "Search Like Pattern", IF($O1366="SketchFix", "True Pattern", IF($O1366="SOFix", "True Pattern", IF($O1366="ssFix", "Search Like Pattern", IF($O1366="TBar", "True Pattern", ""))))))))))))))))))))</f>
        <v>True Pattern</v>
      </c>
      <c r="Q1366" s="13" t="str">
        <f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4</v>
      </c>
      <c r="U1366" s="25">
        <v>1</v>
      </c>
      <c r="V1366" s="13">
        <v>4</v>
      </c>
      <c r="W1366" s="13" t="str">
        <f>MID(A1366, SEARCH("_", A1366) +1, SEARCH("_", A1366, SEARCH("_", A1366) +1) - SEARCH("_", A1366) -1)</f>
        <v>Lang-57</v>
      </c>
      <c r="Y1366" t="str">
        <f>IF(AND($S841=1,$S1366=1,$V841=1,$V1366=1), "YES", "NO")</f>
        <v>NO</v>
      </c>
      <c r="Z1366" t="str">
        <f>IF(AND($S841=1,$S1366=1,$V841&gt;1,$V1366&gt;1), "YES", "NO")</f>
        <v>NO</v>
      </c>
      <c r="AA1366" t="str">
        <f>IF(AND($S841&gt;1,$S1366&gt;1,$S841=$V841,$S1366=$V1366), "YES", "NO")</f>
        <v>NO</v>
      </c>
      <c r="AB1366" t="str">
        <f>IF(AND($S841&gt;1,$S1366&gt;1,$S841&lt;$V841,$S1366&lt;$V1366), "YES", "NO")</f>
        <v>NO</v>
      </c>
      <c r="AC1366" t="str">
        <f>IF(AND($V841&gt;10,$V1366&gt;10), "YES", "NO")</f>
        <v>NO</v>
      </c>
      <c r="AD1366"/>
    </row>
    <row r="1367" spans="1:30" ht="15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>LEFT($A1367,FIND("_",$A1367)-1)</f>
        <v>kPAR</v>
      </c>
      <c r="P1367" s="13" t="str">
        <f>IF($O1367="ACS", "True Search", IF($O1367="Arja", "Evolutionary Search", IF($O1367="AVATAR", "True Pattern", IF($O1367="CapGen", "Search Like Pattern", IF($O1367="Cardumen", "True Semantic", IF($O1367="DynaMoth", "True Semantic", IF($O1367="FixMiner", "True Pattern", IF($O1367="GenProg-A", "Evolutionary Search", IF($O1367="Hercules", "Learning Pattern", IF($O1367="Jaid", "True Semantic",
IF($O1367="Kali-A", "True Search", IF($O1367="kPAR", "True Pattern", IF($O1367="Nopol", "True Semantic", IF($O1367="RSRepair-A", "Evolutionary Search", IF($O1367="SequenceR", "Deep Learning", IF($O1367="SimFix", "Search Like Pattern", IF($O1367="SketchFix", "True Pattern", IF($O1367="SOFix", "True Pattern", IF($O1367="ssFix", "Search Like Pattern", IF($O1367="TBar", "True Pattern", ""))))))))))))))))))))</f>
        <v>True Pattern</v>
      </c>
      <c r="Q1367" s="13" t="str">
        <f>IF(NOT(ISERR(SEARCH("*_Buggy",$A1367))), "Buggy", IF(NOT(ISERR(SEARCH("*_Fixed",$A1367))), "Fixed", IF(NOT(ISERR(SEARCH("*_Repaired",$A1367))), "Repaired", "")))</f>
        <v>Repaired</v>
      </c>
      <c r="R1367" s="13" t="s">
        <v>1669</v>
      </c>
      <c r="S1367" s="25">
        <v>1</v>
      </c>
      <c r="T1367" s="25">
        <v>1</v>
      </c>
      <c r="U1367" s="25">
        <v>2</v>
      </c>
      <c r="V1367" s="13">
        <v>2</v>
      </c>
      <c r="W1367" s="13" t="str">
        <f>MID(A1367, SEARCH("_", A1367) +1, SEARCH("_", A1367, SEARCH("_", A1367) +1) - SEARCH("_", A1367) -1)</f>
        <v>Lang-58</v>
      </c>
      <c r="Y1367" t="str">
        <f>IF(AND($S842=1,$S1367=1,$V842=1,$V1367=1), "YES", "NO")</f>
        <v>NO</v>
      </c>
      <c r="Z1367" t="str">
        <f>IF(AND($S842=1,$S1367=1,$V842&gt;1,$V1367&gt;1), "YES", "NO")</f>
        <v>YES</v>
      </c>
      <c r="AA1367" t="str">
        <f>IF(AND($S842&gt;1,$S1367&gt;1,$S842=$V842,$S1367=$V1367), "YES", "NO")</f>
        <v>NO</v>
      </c>
      <c r="AB1367" t="str">
        <f>IF(AND($S842&gt;1,$S1367&gt;1,$S842&lt;$V842,$S1367&lt;$V1367), "YES", "NO")</f>
        <v>NO</v>
      </c>
      <c r="AC1367" t="str">
        <f>IF(AND($V842&gt;10,$V1367&gt;10), "YES", "NO")</f>
        <v>NO</v>
      </c>
      <c r="AD1367"/>
    </row>
    <row r="1368" spans="1:30" ht="15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>LEFT($A1368,FIND("_",$A1368)-1)</f>
        <v>kPAR</v>
      </c>
      <c r="P1368" s="13" t="str">
        <f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>IF(NOT(ISERR(SEARCH("*_Buggy",$A1368))), "Buggy", IF(NOT(ISERR(SEARCH("*_Fixed",$A1368))), "Fixed", IF(NOT(ISERR(SEARCH("*_Repaired",$A1368))), "Repaired", "")))</f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v>1</v>
      </c>
      <c r="W1368" s="13" t="str">
        <f>MID(A1368, SEARCH("_", A1368) +1, SEARCH("_", A1368, SEARCH("_", A1368) +1) - SEARCH("_", A1368) -1)</f>
        <v>Lang-59</v>
      </c>
      <c r="Y1368" t="str">
        <f>IF(AND($S843=1,$S1368=1,$V843=1,$V1368=1), "YES", "NO")</f>
        <v>YES</v>
      </c>
      <c r="Z1368" t="str">
        <f>IF(AND($S843=1,$S1368=1,$V843&gt;1,$V1368&gt;1), "YES", "NO")</f>
        <v>NO</v>
      </c>
      <c r="AA1368" t="str">
        <f>IF(AND($S843&gt;1,$S1368&gt;1,$S843=$V843,$S1368=$V1368), "YES", "NO")</f>
        <v>NO</v>
      </c>
      <c r="AB1368" t="str">
        <f>IF(AND($S843&gt;1,$S1368&gt;1,$S843&lt;$V843,$S1368&lt;$V1368), "YES", "NO")</f>
        <v>NO</v>
      </c>
      <c r="AC1368" t="str">
        <f>IF(AND($V843&gt;10,$V1368&gt;10), "YES", "NO")</f>
        <v>NO</v>
      </c>
      <c r="AD1368"/>
    </row>
    <row r="1369" spans="1:30" ht="15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>LEFT($A1369,FIND("_",$A1369)-1)</f>
        <v>kPAR</v>
      </c>
      <c r="P1369" s="13" t="str">
        <f>IF($O1369="ACS", "True Search", IF($O1369="Arja", "Evolutionary Search", IF($O1369="AVATAR", "True Pattern", IF($O1369="CapGen", "Search Like Pattern", IF($O1369="Cardumen", "True Semantic", IF($O1369="DynaMoth", "True Semantic", IF($O1369="FixMiner", "True Pattern", IF($O1369="GenProg-A", "Evolutionary Search", IF($O1369="Hercules", "Learning Pattern", IF($O1369="Jaid", "True Semantic",
IF($O1369="Kali-A", "True Search", IF($O1369="kPAR", "True Pattern", IF($O1369="Nopol", "True Semantic", IF($O1369="RSRepair-A", "Evolutionary Search", IF($O1369="SequenceR", "Deep Learning", IF($O1369="SimFix", "Search Like Pattern", IF($O1369="SketchFix", "True Pattern", IF($O1369="SOFix", "True Pattern", IF($O1369="ssFix", "Search Like Pattern", IF($O1369="TBar", "True Pattern", ""))))))))))))))))))))</f>
        <v>True Pattern</v>
      </c>
      <c r="Q1369" s="13" t="str">
        <f>IF(NOT(ISERR(SEARCH("*_Buggy",$A1369))), "Buggy", IF(NOT(ISERR(SEARCH("*_Fixed",$A1369))), "Fixed", IF(NOT(ISERR(SEARCH("*_Repaired",$A1369))), "Repaired", "")))</f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v>1</v>
      </c>
      <c r="W1369" s="13" t="str">
        <f>MID(A1369, SEARCH("_", A1369) +1, SEARCH("_", A1369, SEARCH("_", A1369) +1) - SEARCH("_", A1369) -1)</f>
        <v>Lang-6</v>
      </c>
      <c r="Y1369" t="str">
        <f>IF(AND($S844=1,$S1369=1,$V844=1,$V1369=1), "YES", "NO")</f>
        <v>YES</v>
      </c>
      <c r="Z1369" t="str">
        <f>IF(AND($S844=1,$S1369=1,$V844&gt;1,$V1369&gt;1), "YES", "NO")</f>
        <v>NO</v>
      </c>
      <c r="AA1369" t="str">
        <f>IF(AND($S844&gt;1,$S1369&gt;1,$S844=$V844,$S1369=$V1369), "YES", "NO")</f>
        <v>NO</v>
      </c>
      <c r="AB1369" t="str">
        <f>IF(AND($S844&gt;1,$S1369&gt;1,$S844&lt;$V844,$S1369&lt;$V1369), "YES", "NO")</f>
        <v>NO</v>
      </c>
      <c r="AC1369" t="str">
        <f>IF(AND($V844&gt;10,$V1369&gt;10), "YES", "NO")</f>
        <v>NO</v>
      </c>
      <c r="AD1369"/>
    </row>
    <row r="1370" spans="1:30" ht="15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>LEFT($A1370,FIND("_",$A1370)-1)</f>
        <v>kPAR</v>
      </c>
      <c r="P1370" s="13" t="str">
        <f>IF($O1370="ACS", "True Search", IF($O1370="Arja", "Evolutionary Search", IF($O1370="AVATAR", "True Pattern", IF($O1370="CapGen", "Search Like Pattern", IF($O1370="Cardumen", "True Semantic", IF($O1370="DynaMoth", "True Semantic", IF($O1370="FixMiner", "True Pattern", IF($O1370="GenProg-A", "Evolutionary Search", IF($O1370="Hercules", "Learning Pattern", IF($O1370="Jaid", "True Semantic",
IF($O1370="Kali-A", "True Search", IF($O1370="kPAR", "True Pattern", IF($O1370="Nopol", "True Semantic", IF($O1370="RSRepair-A", "Evolutionary Search", IF($O1370="SequenceR", "Deep Learning", IF($O1370="SimFix", "Search Like Pattern", IF($O1370="SketchFix", "True Pattern", IF($O1370="SOFix", "True Pattern", IF($O1370="ssFix", "Search Like Pattern", IF($O1370="TBar", "True Pattern", ""))))))))))))))))))))</f>
        <v>True Pattern</v>
      </c>
      <c r="Q1370" s="13" t="str">
        <f>IF(NOT(ISERR(SEARCH("*_Buggy",$A1370))), "Buggy", IF(NOT(ISERR(SEARCH("*_Fixed",$A1370))), "Fixed", IF(NOT(ISERR(SEARCH("*_Repaired",$A1370))), "Repaired", "")))</f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v>1</v>
      </c>
      <c r="W1370" s="13" t="str">
        <f>MID(A1370, SEARCH("_", A1370) +1, SEARCH("_", A1370, SEARCH("_", A1370) +1) - SEARCH("_", A1370) -1)</f>
        <v>Lang-63</v>
      </c>
      <c r="Y1370" t="str">
        <f>IF(AND($S845=1,$S1370=1,$V845=1,$V1370=1), "YES", "NO")</f>
        <v>NO</v>
      </c>
      <c r="Z1370" t="str">
        <f>IF(AND($S845=1,$S1370=1,$V845&gt;1,$V1370&gt;1), "YES", "NO")</f>
        <v>NO</v>
      </c>
      <c r="AA1370" t="str">
        <f>IF(AND($S845&gt;1,$S1370&gt;1,$S845=$V845,$S1370=$V1370), "YES", "NO")</f>
        <v>NO</v>
      </c>
      <c r="AB1370" t="str">
        <f>IF(AND($S845&gt;1,$S1370&gt;1,$S845&lt;$V845,$S1370&lt;$V1370), "YES", "NO")</f>
        <v>NO</v>
      </c>
      <c r="AC1370" t="str">
        <f>IF(AND($V845&gt;10,$V1370&gt;10), "YES", "NO")</f>
        <v>NO</v>
      </c>
      <c r="AD1370"/>
    </row>
    <row r="1371" spans="1:30" ht="15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>LEFT($A1371,FIND("_",$A1371)-1)</f>
        <v>kPAR</v>
      </c>
      <c r="P1371" s="13" t="str">
        <f>IF($O1371="ACS", "True Search", IF($O1371="Arja", "Evolutionary Search", IF($O1371="AVATAR", "True Pattern", IF($O1371="CapGen", "Search Like Pattern", IF($O1371="Cardumen", "True Semantic", IF($O1371="DynaMoth", "True Semantic", IF($O1371="FixMiner", "True Pattern", IF($O1371="GenProg-A", "Evolutionary Search", IF($O1371="Hercules", "Learning Pattern", IF($O1371="Jaid", "True Semantic",
IF($O1371="Kali-A", "True Search", IF($O1371="kPAR", "True Pattern", IF($O1371="Nopol", "True Semantic", IF($O1371="RSRepair-A", "Evolutionary Search", IF($O1371="SequenceR", "Deep Learning", IF($O1371="SimFix", "Search Like Pattern", IF($O1371="SketchFix", "True Pattern", IF($O1371="SOFix", "True Pattern", IF($O1371="ssFix", "Search Like Pattern", IF($O1371="TBar", "True Pattern", ""))))))))))))))))))))</f>
        <v>True Pattern</v>
      </c>
      <c r="Q1371" s="13" t="str">
        <f>IF(NOT(ISERR(SEARCH("*_Buggy",$A1371))), "Buggy", IF(NOT(ISERR(SEARCH("*_Fixed",$A1371))), "Fixed", IF(NOT(ISERR(SEARCH("*_Repaired",$A1371))), "Repaired", "")))</f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v>1</v>
      </c>
      <c r="W1371" s="13" t="str">
        <f>MID(A1371, SEARCH("_", A1371) +1, SEARCH("_", A1371, SEARCH("_", A1371) +1) - SEARCH("_", A1371) -1)</f>
        <v>Lang-7</v>
      </c>
      <c r="Y1371" t="str">
        <f>IF(AND($S846=1,$S1371=1,$V846=1,$V1371=1), "YES", "NO")</f>
        <v>NO</v>
      </c>
      <c r="Z1371" t="str">
        <f>IF(AND($S846=1,$S1371=1,$V846&gt;1,$V1371&gt;1), "YES", "NO")</f>
        <v>NO</v>
      </c>
      <c r="AA1371" t="str">
        <f>IF(AND($S846&gt;1,$S1371&gt;1,$S846=$V846,$S1371=$V1371), "YES", "NO")</f>
        <v>NO</v>
      </c>
      <c r="AB1371" t="str">
        <f>IF(AND($S846&gt;1,$S1371&gt;1,$S846&lt;$V846,$S1371&lt;$V1371), "YES", "NO")</f>
        <v>NO</v>
      </c>
      <c r="AC1371" t="str">
        <f>IF(AND($V846&gt;10,$V1371&gt;10), "YES", "NO")</f>
        <v>NO</v>
      </c>
      <c r="AD1371"/>
    </row>
    <row r="1372" spans="1:30" ht="15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>LEFT($A1372,FIND("_",$A1372)-1)</f>
        <v>kPAR</v>
      </c>
      <c r="P1372" s="13" t="str">
        <f>IF($O1372="ACS", "True Search", IF($O1372="Arja", "Evolutionary Search", IF($O1372="AVATAR", "True Pattern", IF($O1372="CapGen", "Search Like Pattern", IF($O1372="Cardumen", "True Semantic", IF($O1372="DynaMoth", "True Semantic", IF($O1372="FixMiner", "True Pattern", IF($O1372="GenProg-A", "Evolutionary Search", IF($O1372="Hercules", "Learning Pattern", IF($O1372="Jaid", "True Semantic",
IF($O1372="Kali-A", "True Search", IF($O1372="kPAR", "True Pattern", IF($O1372="Nopol", "True Semantic", IF($O1372="RSRepair-A", "Evolutionary Search", IF($O1372="SequenceR", "Deep Learning", IF($O1372="SimFix", "Search Like Pattern", IF($O1372="SketchFix", "True Pattern", IF($O1372="SOFix", "True Pattern", IF($O1372="ssFix", "Search Like Pattern", IF($O1372="TBar", "True Pattern", ""))))))))))))))))))))</f>
        <v>True Pattern</v>
      </c>
      <c r="Q1372" s="13" t="str">
        <f>IF(NOT(ISERR(SEARCH("*_Buggy",$A1372))), "Buggy", IF(NOT(ISERR(SEARCH("*_Fixed",$A1372))), "Fixed", IF(NOT(ISERR(SEARCH("*_Repaired",$A1372))), "Repaired", "")))</f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v>1</v>
      </c>
      <c r="W1372" s="13" t="str">
        <f>MID(A1372, SEARCH("_", A1372) +1, SEARCH("_", A1372, SEARCH("_", A1372) +1) - SEARCH("_", A1372) -1)</f>
        <v>Math-104</v>
      </c>
      <c r="Y1372" t="str">
        <f>IF(AND($S847=1,$S1372=1,$V847=1,$V1372=1), "YES", "NO")</f>
        <v>YES</v>
      </c>
      <c r="Z1372" t="str">
        <f>IF(AND($S847=1,$S1372=1,$V847&gt;1,$V1372&gt;1), "YES", "NO")</f>
        <v>NO</v>
      </c>
      <c r="AA1372" t="str">
        <f>IF(AND($S847&gt;1,$S1372&gt;1,$S847=$V847,$S1372=$V1372), "YES", "NO")</f>
        <v>NO</v>
      </c>
      <c r="AB1372" t="str">
        <f>IF(AND($S847&gt;1,$S1372&gt;1,$S847&lt;$V847,$S1372&lt;$V1372), "YES", "NO")</f>
        <v>NO</v>
      </c>
      <c r="AC1372" t="str">
        <f>IF(AND($V847&gt;10,$V1372&gt;10), "YES", "NO")</f>
        <v>NO</v>
      </c>
      <c r="AD1372"/>
    </row>
    <row r="1373" spans="1:30" ht="15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>LEFT($A1373,FIND("_",$A1373)-1)</f>
        <v>kPAR</v>
      </c>
      <c r="P1373" s="13" t="str">
        <f>IF($O1373="ACS", "True Search", IF($O1373="Arja", "Evolutionary Search", IF($O1373="AVATAR", "True Pattern", IF($O1373="CapGen", "Search Like Pattern", IF($O1373="Cardumen", "True Semantic", IF($O1373="DynaMoth", "True Semantic", IF($O1373="FixMiner", "True Pattern", IF($O1373="GenProg-A", "Evolutionary Search", IF($O1373="Hercules", "Learning Pattern", IF($O1373="Jaid", "True Semantic",
IF($O1373="Kali-A", "True Search", IF($O1373="kPAR", "True Pattern", IF($O1373="Nopol", "True Semantic", IF($O1373="RSRepair-A", "Evolutionary Search", IF($O1373="SequenceR", "Deep Learning", IF($O1373="SimFix", "Search Like Pattern", IF($O1373="SketchFix", "True Pattern", IF($O1373="SOFix", "True Pattern", IF($O1373="ssFix", "Search Like Pattern", IF($O1373="TBar", "True Pattern", ""))))))))))))))))))))</f>
        <v>True Pattern</v>
      </c>
      <c r="Q1373" s="13" t="str">
        <f>IF(NOT(ISERR(SEARCH("*_Buggy",$A1373))), "Buggy", IF(NOT(ISERR(SEARCH("*_Fixed",$A1373))), "Fixed", IF(NOT(ISERR(SEARCH("*_Repaired",$A1373))), "Repaired", "")))</f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v>1</v>
      </c>
      <c r="W1373" s="13" t="str">
        <f>MID(A1373, SEARCH("_", A1373) +1, SEARCH("_", A1373, SEARCH("_", A1373) +1) - SEARCH("_", A1373) -1)</f>
        <v>Math-15</v>
      </c>
      <c r="Y1373" t="str">
        <f>IF(AND($S848=1,$S1373=1,$V848=1,$V1373=1), "YES", "NO")</f>
        <v>NO</v>
      </c>
      <c r="Z1373" t="str">
        <f>IF(AND($S848=1,$S1373=1,$V848&gt;1,$V1373&gt;1), "YES", "NO")</f>
        <v>NO</v>
      </c>
      <c r="AA1373" t="str">
        <f>IF(AND($S848&gt;1,$S1373&gt;1,$S848=$V848,$S1373=$V1373), "YES", "NO")</f>
        <v>NO</v>
      </c>
      <c r="AB1373" t="str">
        <f>IF(AND($S848&gt;1,$S1373&gt;1,$S848&lt;$V848,$S1373&lt;$V1373), "YES", "NO")</f>
        <v>NO</v>
      </c>
      <c r="AC1373" t="str">
        <f>IF(AND($V848&gt;10,$V1373&gt;10), "YES", "NO")</f>
        <v>NO</v>
      </c>
      <c r="AD1373"/>
    </row>
    <row r="1374" spans="1:30" ht="15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>LEFT($A1374,FIND("_",$A1374)-1)</f>
        <v>kPAR</v>
      </c>
      <c r="P1374" s="13" t="str">
        <f>IF($O1374="ACS", "True Search", IF($O1374="Arja", "Evolutionary Search", IF($O1374="AVATAR", "True Pattern", IF($O1374="CapGen", "Search Like Pattern", IF($O1374="Cardumen", "True Semantic", IF($O1374="DynaMoth", "True Semantic", IF($O1374="FixMiner", "True Pattern", IF($O1374="GenProg-A", "Evolutionary Search", IF($O1374="Hercules", "Learning Pattern", IF($O1374="Jaid", "True Semantic",
IF($O1374="Kali-A", "True Search", IF($O1374="kPAR", "True Pattern", IF($O1374="Nopol", "True Semantic", IF($O1374="RSRepair-A", "Evolutionary Search", IF($O1374="SequenceR", "Deep Learning", IF($O1374="SimFix", "Search Like Pattern", IF($O1374="SketchFix", "True Pattern", IF($O1374="SOFix", "True Pattern", IF($O1374="ssFix", "Search Like Pattern", IF($O1374="TBar", "True Pattern", ""))))))))))))))))))))</f>
        <v>True Pattern</v>
      </c>
      <c r="Q1374" s="13" t="str">
        <f>IF(NOT(ISERR(SEARCH("*_Buggy",$A1374))), "Buggy", IF(NOT(ISERR(SEARCH("*_Fixed",$A1374))), "Fixed", IF(NOT(ISERR(SEARCH("*_Repaired",$A1374))), "Repaired", "")))</f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v>1</v>
      </c>
      <c r="W1374" s="13" t="str">
        <f>MID(A1374, SEARCH("_", A1374) +1, SEARCH("_", A1374, SEARCH("_", A1374) +1) - SEARCH("_", A1374) -1)</f>
        <v>Math-40</v>
      </c>
      <c r="Y1374" t="str">
        <f>IF(AND($S849=1,$S1374=1,$V849=1,$V1374=1), "YES", "NO")</f>
        <v>NO</v>
      </c>
      <c r="Z1374" t="str">
        <f>IF(AND($S849=1,$S1374=1,$V849&gt;1,$V1374&gt;1), "YES", "NO")</f>
        <v>NO</v>
      </c>
      <c r="AA1374" t="str">
        <f>IF(AND($S849&gt;1,$S1374&gt;1,$S849=$V849,$S1374=$V1374), "YES", "NO")</f>
        <v>NO</v>
      </c>
      <c r="AB1374" t="str">
        <f>IF(AND($S849&gt;1,$S1374&gt;1,$S849&lt;$V849,$S1374&lt;$V1374), "YES", "NO")</f>
        <v>NO</v>
      </c>
      <c r="AC1374" t="str">
        <f>IF(AND($V849&gt;10,$V1374&gt;10), "YES", "NO")</f>
        <v>NO</v>
      </c>
      <c r="AD1374"/>
    </row>
    <row r="1375" spans="1:30" ht="15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>LEFT($A1375,FIND("_",$A1375)-1)</f>
        <v>kPAR</v>
      </c>
      <c r="P1375" s="13" t="str">
        <f>IF($O1375="ACS", "True Search", IF($O1375="Arja", "Evolutionary Search", IF($O1375="AVATAR", "True Pattern", IF($O1375="CapGen", "Search Like Pattern", IF($O1375="Cardumen", "True Semantic", IF($O1375="DynaMoth", "True Semantic", IF($O1375="FixMiner", "True Pattern", IF($O1375="GenProg-A", "Evolutionary Search", IF($O1375="Hercules", "Learning Pattern", IF($O1375="Jaid", "True Semantic",
IF($O1375="Kali-A", "True Search", IF($O1375="kPAR", "True Pattern", IF($O1375="Nopol", "True Semantic", IF($O1375="RSRepair-A", "Evolutionary Search", IF($O1375="SequenceR", "Deep Learning", IF($O1375="SimFix", "Search Like Pattern", IF($O1375="SketchFix", "True Pattern", IF($O1375="SOFix", "True Pattern", IF($O1375="ssFix", "Search Like Pattern", IF($O1375="TBar", "True Pattern", ""))))))))))))))))))))</f>
        <v>True Pattern</v>
      </c>
      <c r="Q1375" s="13" t="str">
        <f>IF(NOT(ISERR(SEARCH("*_Buggy",$A1375))), "Buggy", IF(NOT(ISERR(SEARCH("*_Fixed",$A1375))), "Fixed", IF(NOT(ISERR(SEARCH("*_Repaired",$A1375))), "Repaired", "")))</f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v>1</v>
      </c>
      <c r="W1375" s="13" t="str">
        <f>MID(A1375, SEARCH("_", A1375) +1, SEARCH("_", A1375, SEARCH("_", A1375) +1) - SEARCH("_", A1375) -1)</f>
        <v>Math-42</v>
      </c>
      <c r="Y1375" t="str">
        <f>IF(AND($S850=1,$S1375=1,$V850=1,$V1375=1), "YES", "NO")</f>
        <v>NO</v>
      </c>
      <c r="Z1375" t="str">
        <f>IF(AND($S850=1,$S1375=1,$V850&gt;1,$V1375&gt;1), "YES", "NO")</f>
        <v>NO</v>
      </c>
      <c r="AA1375" t="str">
        <f>IF(AND($S850&gt;1,$S1375&gt;1,$S850=$V850,$S1375=$V1375), "YES", "NO")</f>
        <v>NO</v>
      </c>
      <c r="AB1375" t="str">
        <f>IF(AND($S850&gt;1,$S1375&gt;1,$S850&lt;$V850,$S1375&lt;$V1375), "YES", "NO")</f>
        <v>NO</v>
      </c>
      <c r="AC1375" t="str">
        <f>IF(AND($V850&gt;10,$V1375&gt;10), "YES", "NO")</f>
        <v>NO</v>
      </c>
      <c r="AD1375"/>
    </row>
    <row r="1376" spans="1:30" ht="15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>LEFT($A1376,FIND("_",$A1376)-1)</f>
        <v>kPAR</v>
      </c>
      <c r="P1376" s="13" t="str">
        <f>IF($O1376="ACS", "True Search", IF($O1376="Arja", "Evolutionary Search", IF($O1376="AVATAR", "True Pattern", IF($O1376="CapGen", "Search Like Pattern", IF($O1376="Cardumen", "True Semantic", IF($O1376="DynaMoth", "True Semantic", IF($O1376="FixMiner", "True Pattern", IF($O1376="GenProg-A", "Evolutionary Search", IF($O1376="Hercules", "Learning Pattern", IF($O1376="Jaid", "True Semantic",
IF($O1376="Kali-A", "True Search", IF($O1376="kPAR", "True Pattern", IF($O1376="Nopol", "True Semantic", IF($O1376="RSRepair-A", "Evolutionary Search", IF($O1376="SequenceR", "Deep Learning", IF($O1376="SimFix", "Search Like Pattern", IF($O1376="SketchFix", "True Pattern", IF($O1376="SOFix", "True Pattern", IF($O1376="ssFix", "Search Like Pattern", IF($O1376="TBar", "True Pattern", ""))))))))))))))))))))</f>
        <v>True Pattern</v>
      </c>
      <c r="Q1376" s="13" t="str">
        <f>IF(NOT(ISERR(SEARCH("*_Buggy",$A1376))), "Buggy", IF(NOT(ISERR(SEARCH("*_Fixed",$A1376))), "Fixed", IF(NOT(ISERR(SEARCH("*_Repaired",$A1376))), "Repaired", "")))</f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v>1</v>
      </c>
      <c r="W1376" s="13" t="str">
        <f>MID(A1376, SEARCH("_", A1376) +1, SEARCH("_", A1376, SEARCH("_", A1376) +1) - SEARCH("_", A1376) -1)</f>
        <v>Math-43</v>
      </c>
      <c r="Y1376" t="str">
        <f>IF(AND($S851=1,$S1376=1,$V851=1,$V1376=1), "YES", "NO")</f>
        <v>NO</v>
      </c>
      <c r="Z1376" t="str">
        <f>IF(AND($S851=1,$S1376=1,$V851&gt;1,$V1376&gt;1), "YES", "NO")</f>
        <v>NO</v>
      </c>
      <c r="AA1376" t="str">
        <f>IF(AND($S851&gt;1,$S1376&gt;1,$S851=$V851,$S1376=$V1376), "YES", "NO")</f>
        <v>NO</v>
      </c>
      <c r="AB1376" t="str">
        <f>IF(AND($S851&gt;1,$S1376&gt;1,$S851&lt;$V851,$S1376&lt;$V1376), "YES", "NO")</f>
        <v>NO</v>
      </c>
      <c r="AC1376" t="str">
        <f>IF(AND($V851&gt;10,$V1376&gt;10), "YES", "NO")</f>
        <v>NO</v>
      </c>
      <c r="AD1376"/>
    </row>
    <row r="1377" spans="1:30" ht="15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>LEFT($A1377,FIND("_",$A1377)-1)</f>
        <v>kPAR</v>
      </c>
      <c r="P1377" s="13" t="str">
        <f>IF($O1377="ACS", "True Search", IF($O1377="Arja", "Evolutionary Search", IF($O1377="AVATAR", "True Pattern", IF($O1377="CapGen", "Search Like Pattern", IF($O1377="Cardumen", "True Semantic", IF($O1377="DynaMoth", "True Semantic", IF($O1377="FixMiner", "True Pattern", IF($O1377="GenProg-A", "Evolutionary Search", IF($O1377="Hercules", "Learning Pattern", IF($O1377="Jaid", "True Semantic",
IF($O1377="Kali-A", "True Search", IF($O1377="kPAR", "True Pattern", IF($O1377="Nopol", "True Semantic", IF($O1377="RSRepair-A", "Evolutionary Search", IF($O1377="SequenceR", "Deep Learning", IF($O1377="SimFix", "Search Like Pattern", IF($O1377="SketchFix", "True Pattern", IF($O1377="SOFix", "True Pattern", IF($O1377="ssFix", "Search Like Pattern", IF($O1377="TBar", "True Pattern", ""))))))))))))))))))))</f>
        <v>True Pattern</v>
      </c>
      <c r="Q1377" s="13" t="str">
        <f>IF(NOT(ISERR(SEARCH("*_Buggy",$A1377))), "Buggy", IF(NOT(ISERR(SEARCH("*_Fixed",$A1377))), "Fixed", IF(NOT(ISERR(SEARCH("*_Repaired",$A1377))), "Repaired", "")))</f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v>1</v>
      </c>
      <c r="W1377" s="13" t="str">
        <f>MID(A1377, SEARCH("_", A1377) +1, SEARCH("_", A1377, SEARCH("_", A1377) +1) - SEARCH("_", A1377) -1)</f>
        <v>Math-50</v>
      </c>
      <c r="Y1377" t="str">
        <f>IF(AND($S852=1,$S1377=1,$V852=1,$V1377=1), "YES", "NO")</f>
        <v>NO</v>
      </c>
      <c r="Z1377" t="str">
        <f>IF(AND($S852=1,$S1377=1,$V852&gt;1,$V1377&gt;1), "YES", "NO")</f>
        <v>NO</v>
      </c>
      <c r="AA1377" t="str">
        <f>IF(AND($S852&gt;1,$S1377&gt;1,$S852=$V852,$S1377=$V1377), "YES", "NO")</f>
        <v>NO</v>
      </c>
      <c r="AB1377" t="str">
        <f>IF(AND($S852&gt;1,$S1377&gt;1,$S852&lt;$V852,$S1377&lt;$V1377), "YES", "NO")</f>
        <v>NO</v>
      </c>
      <c r="AC1377" t="str">
        <f>IF(AND($V852&gt;10,$V1377&gt;10), "YES", "NO")</f>
        <v>NO</v>
      </c>
      <c r="AD1377"/>
    </row>
    <row r="1378" spans="1:30" ht="15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>LEFT($A1378,FIND("_",$A1378)-1)</f>
        <v>kPAR</v>
      </c>
      <c r="P1378" s="13" t="str">
        <f>IF($O1378="ACS", "True Search", IF($O1378="Arja", "Evolutionary Search", IF($O1378="AVATAR", "True Pattern", IF($O1378="CapGen", "Search Like Pattern", IF($O1378="Cardumen", "True Semantic", IF($O1378="DynaMoth", "True Semantic", IF($O1378="FixMiner", "True Pattern", IF($O1378="GenProg-A", "Evolutionary Search", IF($O1378="Hercules", "Learning Pattern", IF($O1378="Jaid", "True Semantic",
IF($O1378="Kali-A", "True Search", IF($O1378="kPAR", "True Pattern", IF($O1378="Nopol", "True Semantic", IF($O1378="RSRepair-A", "Evolutionary Search", IF($O1378="SequenceR", "Deep Learning", IF($O1378="SimFix", "Search Like Pattern", IF($O1378="SketchFix", "True Pattern", IF($O1378="SOFix", "True Pattern", IF($O1378="ssFix", "Search Like Pattern", IF($O1378="TBar", "True Pattern", ""))))))))))))))))))))</f>
        <v>True Pattern</v>
      </c>
      <c r="Q1378" s="13" t="str">
        <f>IF(NOT(ISERR(SEARCH("*_Buggy",$A1378))), "Buggy", IF(NOT(ISERR(SEARCH("*_Fixed",$A1378))), "Fixed", IF(NOT(ISERR(SEARCH("*_Repaired",$A1378))), "Repaired", "")))</f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v>1</v>
      </c>
      <c r="W1378" s="13" t="str">
        <f>MID(A1378, SEARCH("_", A1378) +1, SEARCH("_", A1378, SEARCH("_", A1378) +1) - SEARCH("_", A1378) -1)</f>
        <v>Math-58</v>
      </c>
      <c r="Y1378" t="str">
        <f>IF(AND($S853=1,$S1378=1,$V853=1,$V1378=1), "YES", "NO")</f>
        <v>YES</v>
      </c>
      <c r="Z1378" t="str">
        <f>IF(AND($S853=1,$S1378=1,$V853&gt;1,$V1378&gt;1), "YES", "NO")</f>
        <v>NO</v>
      </c>
      <c r="AA1378" t="str">
        <f>IF(AND($S853&gt;1,$S1378&gt;1,$S853=$V853,$S1378=$V1378), "YES", "NO")</f>
        <v>NO</v>
      </c>
      <c r="AB1378" t="str">
        <f>IF(AND($S853&gt;1,$S1378&gt;1,$S853&lt;$V853,$S1378&lt;$V1378), "YES", "NO")</f>
        <v>NO</v>
      </c>
      <c r="AC1378" t="str">
        <f>IF(AND($V853&gt;10,$V1378&gt;10), "YES", "NO")</f>
        <v>NO</v>
      </c>
      <c r="AD1378"/>
    </row>
    <row r="1379" spans="1:30" ht="15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>LEFT($A1379,FIND("_",$A1379)-1)</f>
        <v>kPAR</v>
      </c>
      <c r="P1379" s="13" t="str">
        <f>IF($O1379="ACS", "True Search", IF($O1379="Arja", "Evolutionary Search", IF($O1379="AVATAR", "True Pattern", IF($O1379="CapGen", "Search Like Pattern", IF($O1379="Cardumen", "True Semantic", IF($O1379="DynaMoth", "True Semantic", IF($O1379="FixMiner", "True Pattern", IF($O1379="GenProg-A", "Evolutionary Search", IF($O1379="Hercules", "Learning Pattern", IF($O1379="Jaid", "True Semantic",
IF($O1379="Kali-A", "True Search", IF($O1379="kPAR", "True Pattern", IF($O1379="Nopol", "True Semantic", IF($O1379="RSRepair-A", "Evolutionary Search", IF($O1379="SequenceR", "Deep Learning", IF($O1379="SimFix", "Search Like Pattern", IF($O1379="SketchFix", "True Pattern", IF($O1379="SOFix", "True Pattern", IF($O1379="ssFix", "Search Like Pattern", IF($O1379="TBar", "True Pattern", ""))))))))))))))))))))</f>
        <v>True Pattern</v>
      </c>
      <c r="Q1379" s="13" t="str">
        <f>IF(NOT(ISERR(SEARCH("*_Buggy",$A1379))), "Buggy", IF(NOT(ISERR(SEARCH("*_Fixed",$A1379))), "Fixed", IF(NOT(ISERR(SEARCH("*_Repaired",$A1379))), "Repaired", "")))</f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v>1</v>
      </c>
      <c r="W1379" s="13" t="str">
        <f>MID(A1379, SEARCH("_", A1379) +1, SEARCH("_", A1379, SEARCH("_", A1379) +1) - SEARCH("_", A1379) -1)</f>
        <v>Math-62</v>
      </c>
      <c r="Y1379" t="str">
        <f>IF(AND($S854=1,$S1379=1,$V854=1,$V1379=1), "YES", "NO")</f>
        <v>NO</v>
      </c>
      <c r="Z1379" t="str">
        <f>IF(AND($S854=1,$S1379=1,$V854&gt;1,$V1379&gt;1), "YES", "NO")</f>
        <v>NO</v>
      </c>
      <c r="AA1379" t="str">
        <f>IF(AND($S854&gt;1,$S1379&gt;1,$S854=$V854,$S1379=$V1379), "YES", "NO")</f>
        <v>NO</v>
      </c>
      <c r="AB1379" t="str">
        <f>IF(AND($S854&gt;1,$S1379&gt;1,$S854&lt;$V854,$S1379&lt;$V1379), "YES", "NO")</f>
        <v>NO</v>
      </c>
      <c r="AC1379" t="str">
        <f>IF(AND($V854&gt;10,$V1379&gt;10), "YES", "NO")</f>
        <v>NO</v>
      </c>
      <c r="AD1379"/>
    </row>
    <row r="1380" spans="1:30" ht="15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>LEFT($A1380,FIND("_",$A1380)-1)</f>
        <v>kPAR</v>
      </c>
      <c r="P1380" s="13" t="str">
        <f>IF($O1380="ACS", "True Search", IF($O1380="Arja", "Evolutionary Search", IF($O1380="AVATAR", "True Pattern", IF($O1380="CapGen", "Search Like Pattern", IF($O1380="Cardumen", "True Semantic", IF($O1380="DynaMoth", "True Semantic", IF($O1380="FixMiner", "True Pattern", IF($O1380="GenProg-A", "Evolutionary Search", IF($O1380="Hercules", "Learning Pattern", IF($O1380="Jaid", "True Semantic",
IF($O1380="Kali-A", "True Search", IF($O1380="kPAR", "True Pattern", IF($O1380="Nopol", "True Semantic", IF($O1380="RSRepair-A", "Evolutionary Search", IF($O1380="SequenceR", "Deep Learning", IF($O1380="SimFix", "Search Like Pattern", IF($O1380="SketchFix", "True Pattern", IF($O1380="SOFix", "True Pattern", IF($O1380="ssFix", "Search Like Pattern", IF($O1380="TBar", "True Pattern", ""))))))))))))))))))))</f>
        <v>True Pattern</v>
      </c>
      <c r="Q1380" s="13" t="str">
        <f>IF(NOT(ISERR(SEARCH("*_Buggy",$A1380))), "Buggy", IF(NOT(ISERR(SEARCH("*_Fixed",$A1380))), "Fixed", IF(NOT(ISERR(SEARCH("*_Repaired",$A1380))), "Repaired", "")))</f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v>1</v>
      </c>
      <c r="W1380" s="13" t="str">
        <f>MID(A1380, SEARCH("_", A1380) +1, SEARCH("_", A1380, SEARCH("_", A1380) +1) - SEARCH("_", A1380) -1)</f>
        <v>Math-63</v>
      </c>
      <c r="Y1380" t="str">
        <f>IF(AND($S855=1,$S1380=1,$V855=1,$V1380=1), "YES", "NO")</f>
        <v>YES</v>
      </c>
      <c r="Z1380" t="str">
        <f>IF(AND($S855=1,$S1380=1,$V855&gt;1,$V1380&gt;1), "YES", "NO")</f>
        <v>NO</v>
      </c>
      <c r="AA1380" t="str">
        <f>IF(AND($S855&gt;1,$S1380&gt;1,$S855=$V855,$S1380=$V1380), "YES", "NO")</f>
        <v>NO</v>
      </c>
      <c r="AB1380" t="str">
        <f>IF(AND($S855&gt;1,$S1380&gt;1,$S855&lt;$V855,$S1380&lt;$V1380), "YES", "NO")</f>
        <v>NO</v>
      </c>
      <c r="AC1380" t="str">
        <f>IF(AND($V855&gt;10,$V1380&gt;10), "YES", "NO")</f>
        <v>NO</v>
      </c>
      <c r="AD1380"/>
    </row>
    <row r="1381" spans="1:30" ht="15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>LEFT($A1381,FIND("_",$A1381)-1)</f>
        <v>kPAR</v>
      </c>
      <c r="P1381" s="13" t="str">
        <f>IF($O1381="ACS", "True Search", IF($O1381="Arja", "Evolutionary Search", IF($O1381="AVATAR", "True Pattern", IF($O1381="CapGen", "Search Like Pattern", IF($O1381="Cardumen", "True Semantic", IF($O1381="DynaMoth", "True Semantic", IF($O1381="FixMiner", "True Pattern", IF($O1381="GenProg-A", "Evolutionary Search", IF($O1381="Hercules", "Learning Pattern", IF($O1381="Jaid", "True Semantic",
IF($O1381="Kali-A", "True Search", IF($O1381="kPAR", "True Pattern", IF($O1381="Nopol", "True Semantic", IF($O1381="RSRepair-A", "Evolutionary Search", IF($O1381="SequenceR", "Deep Learning", IF($O1381="SimFix", "Search Like Pattern", IF($O1381="SketchFix", "True Pattern", IF($O1381="SOFix", "True Pattern", IF($O1381="ssFix", "Search Like Pattern", IF($O1381="TBar", "True Pattern", ""))))))))))))))))))))</f>
        <v>True Pattern</v>
      </c>
      <c r="Q1381" s="13" t="str">
        <f>IF(NOT(ISERR(SEARCH("*_Buggy",$A1381))), "Buggy", IF(NOT(ISERR(SEARCH("*_Fixed",$A1381))), "Fixed", IF(NOT(ISERR(SEARCH("*_Repaired",$A1381))), "Repaired", "")))</f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v>1</v>
      </c>
      <c r="W1381" s="13" t="str">
        <f>MID(A1381, SEARCH("_", A1381) +1, SEARCH("_", A1381, SEARCH("_", A1381) +1) - SEARCH("_", A1381) -1)</f>
        <v>Math-7</v>
      </c>
      <c r="Y1381" t="str">
        <f>IF(AND($S856=1,$S1381=1,$V856=1,$V1381=1), "YES", "NO")</f>
        <v>NO</v>
      </c>
      <c r="Z1381" t="str">
        <f>IF(AND($S856=1,$S1381=1,$V856&gt;1,$V1381&gt;1), "YES", "NO")</f>
        <v>NO</v>
      </c>
      <c r="AA1381" t="str">
        <f>IF(AND($S856&gt;1,$S1381&gt;1,$S856=$V856,$S1381=$V1381), "YES", "NO")</f>
        <v>NO</v>
      </c>
      <c r="AB1381" t="str">
        <f>IF(AND($S856&gt;1,$S1381&gt;1,$S856&lt;$V856,$S1381&lt;$V1381), "YES", "NO")</f>
        <v>NO</v>
      </c>
      <c r="AC1381" t="str">
        <f>IF(AND($V856&gt;10,$V1381&gt;10), "YES", "NO")</f>
        <v>NO</v>
      </c>
      <c r="AD1381"/>
    </row>
    <row r="1382" spans="1:30" ht="15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>LEFT($A1382,FIND("_",$A1382)-1)</f>
        <v>kPAR</v>
      </c>
      <c r="P1382" s="13" t="str">
        <f>IF($O1382="ACS", "True Search", IF($O1382="Arja", "Evolutionary Search", IF($O1382="AVATAR", "True Pattern", IF($O1382="CapGen", "Search Like Pattern", IF($O1382="Cardumen", "True Semantic", IF($O1382="DynaMoth", "True Semantic", IF($O1382="FixMiner", "True Pattern", IF($O1382="GenProg-A", "Evolutionary Search", IF($O1382="Hercules", "Learning Pattern", IF($O1382="Jaid", "True Semantic",
IF($O1382="Kali-A", "True Search", IF($O1382="kPAR", "True Pattern", IF($O1382="Nopol", "True Semantic", IF($O1382="RSRepair-A", "Evolutionary Search", IF($O1382="SequenceR", "Deep Learning", IF($O1382="SimFix", "Search Like Pattern", IF($O1382="SketchFix", "True Pattern", IF($O1382="SOFix", "True Pattern", IF($O1382="ssFix", "Search Like Pattern", IF($O1382="TBar", "True Pattern", ""))))))))))))))))))))</f>
        <v>True Pattern</v>
      </c>
      <c r="Q1382" s="13" t="str">
        <f>IF(NOT(ISERR(SEARCH("*_Buggy",$A1382))), "Buggy", IF(NOT(ISERR(SEARCH("*_Fixed",$A1382))), "Fixed", IF(NOT(ISERR(SEARCH("*_Repaired",$A1382))), "Repaired", "")))</f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v>1</v>
      </c>
      <c r="W1382" s="13" t="str">
        <f>MID(A1382, SEARCH("_", A1382) +1, SEARCH("_", A1382, SEARCH("_", A1382) +1) - SEARCH("_", A1382) -1)</f>
        <v>Math-70</v>
      </c>
      <c r="Y1382" t="str">
        <f>IF(AND($S857=1,$S1382=1,$V857=1,$V1382=1), "YES", "NO")</f>
        <v>YES</v>
      </c>
      <c r="Z1382" t="str">
        <f>IF(AND($S857=1,$S1382=1,$V857&gt;1,$V1382&gt;1), "YES", "NO")</f>
        <v>NO</v>
      </c>
      <c r="AA1382" t="str">
        <f>IF(AND($S857&gt;1,$S1382&gt;1,$S857=$V857,$S1382=$V1382), "YES", "NO")</f>
        <v>NO</v>
      </c>
      <c r="AB1382" t="str">
        <f>IF(AND($S857&gt;1,$S1382&gt;1,$S857&lt;$V857,$S1382&lt;$V1382), "YES", "NO")</f>
        <v>NO</v>
      </c>
      <c r="AC1382" t="str">
        <f>IF(AND($V857&gt;10,$V1382&gt;10), "YES", "NO")</f>
        <v>NO</v>
      </c>
      <c r="AD1382"/>
    </row>
    <row r="1383" spans="1:30" ht="15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>LEFT($A1383,FIND("_",$A1383)-1)</f>
        <v>kPAR</v>
      </c>
      <c r="P1383" s="13" t="str">
        <f>IF($O1383="ACS", "True Search", IF($O1383="Arja", "Evolutionary Search", IF($O1383="AVATAR", "True Pattern", IF($O1383="CapGen", "Search Like Pattern", IF($O1383="Cardumen", "True Semantic", IF($O1383="DynaMoth", "True Semantic", IF($O1383="FixMiner", "True Pattern", IF($O1383="GenProg-A", "Evolutionary Search", IF($O1383="Hercules", "Learning Pattern", IF($O1383="Jaid", "True Semantic",
IF($O1383="Kali-A", "True Search", IF($O1383="kPAR", "True Pattern", IF($O1383="Nopol", "True Semantic", IF($O1383="RSRepair-A", "Evolutionary Search", IF($O1383="SequenceR", "Deep Learning", IF($O1383="SimFix", "Search Like Pattern", IF($O1383="SketchFix", "True Pattern", IF($O1383="SOFix", "True Pattern", IF($O1383="ssFix", "Search Like Pattern", IF($O1383="TBar", "True Pattern", ""))))))))))))))))))))</f>
        <v>True Pattern</v>
      </c>
      <c r="Q1383" s="13" t="str">
        <f>IF(NOT(ISERR(SEARCH("*_Buggy",$A1383))), "Buggy", IF(NOT(ISERR(SEARCH("*_Fixed",$A1383))), "Fixed", IF(NOT(ISERR(SEARCH("*_Repaired",$A1383))), "Repaired", "")))</f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v>1</v>
      </c>
      <c r="W1383" s="13" t="str">
        <f>MID(A1383, SEARCH("_", A1383) +1, SEARCH("_", A1383, SEARCH("_", A1383) +1) - SEARCH("_", A1383) -1)</f>
        <v>Math-75</v>
      </c>
      <c r="Y1383" t="str">
        <f>IF(AND($S858=1,$S1383=1,$V858=1,$V1383=1), "YES", "NO")</f>
        <v>YES</v>
      </c>
      <c r="Z1383" t="str">
        <f>IF(AND($S858=1,$S1383=1,$V858&gt;1,$V1383&gt;1), "YES", "NO")</f>
        <v>NO</v>
      </c>
      <c r="AA1383" t="str">
        <f>IF(AND($S858&gt;1,$S1383&gt;1,$S858=$V858,$S1383=$V1383), "YES", "NO")</f>
        <v>NO</v>
      </c>
      <c r="AB1383" t="str">
        <f>IF(AND($S858&gt;1,$S1383&gt;1,$S858&lt;$V858,$S1383&lt;$V1383), "YES", "NO")</f>
        <v>NO</v>
      </c>
      <c r="AC1383" t="str">
        <f>IF(AND($V858&gt;10,$V1383&gt;10), "YES", "NO")</f>
        <v>NO</v>
      </c>
      <c r="AD1383"/>
    </row>
    <row r="1384" spans="1:30" ht="15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>LEFT($A1384,FIND("_",$A1384)-1)</f>
        <v>kPAR</v>
      </c>
      <c r="P1384" s="13" t="str">
        <f>IF($O1384="ACS", "True Search", IF($O1384="Arja", "Evolutionary Search", IF($O1384="AVATAR", "True Pattern", IF($O1384="CapGen", "Search Like Pattern", IF($O1384="Cardumen", "True Semantic", IF($O1384="DynaMoth", "True Semantic", IF($O1384="FixMiner", "True Pattern", IF($O1384="GenProg-A", "Evolutionary Search", IF($O1384="Hercules", "Learning Pattern", IF($O1384="Jaid", "True Semantic",
IF($O1384="Kali-A", "True Search", IF($O1384="kPAR", "True Pattern", IF($O1384="Nopol", "True Semantic", IF($O1384="RSRepair-A", "Evolutionary Search", IF($O1384="SequenceR", "Deep Learning", IF($O1384="SimFix", "Search Like Pattern", IF($O1384="SketchFix", "True Pattern", IF($O1384="SOFix", "True Pattern", IF($O1384="ssFix", "Search Like Pattern", IF($O1384="TBar", "True Pattern", ""))))))))))))))))))))</f>
        <v>True Pattern</v>
      </c>
      <c r="Q1384" s="13" t="str">
        <f>IF(NOT(ISERR(SEARCH("*_Buggy",$A1384))), "Buggy", IF(NOT(ISERR(SEARCH("*_Fixed",$A1384))), "Fixed", IF(NOT(ISERR(SEARCH("*_Repaired",$A1384))), "Repaired", "")))</f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v>1</v>
      </c>
      <c r="W1384" s="13" t="str">
        <f>MID(A1384, SEARCH("_", A1384) +1, SEARCH("_", A1384, SEARCH("_", A1384) +1) - SEARCH("_", A1384) -1)</f>
        <v>Math-8</v>
      </c>
      <c r="Y1384" t="str">
        <f>IF(AND($S859=1,$S1384=1,$V859=1,$V1384=1), "YES", "NO")</f>
        <v>NO</v>
      </c>
      <c r="Z1384" t="str">
        <f>IF(AND($S859=1,$S1384=1,$V859&gt;1,$V1384&gt;1), "YES", "NO")</f>
        <v>NO</v>
      </c>
      <c r="AA1384" t="str">
        <f>IF(AND($S859&gt;1,$S1384&gt;1,$S859=$V859,$S1384=$V1384), "YES", "NO")</f>
        <v>NO</v>
      </c>
      <c r="AB1384" t="str">
        <f>IF(AND($S859&gt;1,$S1384&gt;1,$S859&lt;$V859,$S1384&lt;$V1384), "YES", "NO")</f>
        <v>NO</v>
      </c>
      <c r="AC1384" t="str">
        <f>IF(AND($V859&gt;10,$V1384&gt;10), "YES", "NO")</f>
        <v>NO</v>
      </c>
      <c r="AD1384"/>
    </row>
    <row r="1385" spans="1:30" ht="15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>LEFT($A1385,FIND("_",$A1385)-1)</f>
        <v>kPAR</v>
      </c>
      <c r="P1385" s="13" t="str">
        <f>IF($O1385="ACS", "True Search", IF($O1385="Arja", "Evolutionary Search", IF($O1385="AVATAR", "True Pattern", IF($O1385="CapGen", "Search Like Pattern", IF($O1385="Cardumen", "True Semantic", IF($O1385="DynaMoth", "True Semantic", IF($O1385="FixMiner", "True Pattern", IF($O1385="GenProg-A", "Evolutionary Search", IF($O1385="Hercules", "Learning Pattern", IF($O1385="Jaid", "True Semantic",
IF($O1385="Kali-A", "True Search", IF($O1385="kPAR", "True Pattern", IF($O1385="Nopol", "True Semantic", IF($O1385="RSRepair-A", "Evolutionary Search", IF($O1385="SequenceR", "Deep Learning", IF($O1385="SimFix", "Search Like Pattern", IF($O1385="SketchFix", "True Pattern", IF($O1385="SOFix", "True Pattern", IF($O1385="ssFix", "Search Like Pattern", IF($O1385="TBar", "True Pattern", ""))))))))))))))))))))</f>
        <v>True Pattern</v>
      </c>
      <c r="Q1385" s="13" t="str">
        <f>IF(NOT(ISERR(SEARCH("*_Buggy",$A1385))), "Buggy", IF(NOT(ISERR(SEARCH("*_Fixed",$A1385))), "Fixed", IF(NOT(ISERR(SEARCH("*_Repaired",$A1385))), "Repaired", "")))</f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v>1</v>
      </c>
      <c r="W1385" s="13" t="str">
        <f>MID(A1385, SEARCH("_", A1385) +1, SEARCH("_", A1385, SEARCH("_", A1385) +1) - SEARCH("_", A1385) -1)</f>
        <v>Math-80</v>
      </c>
      <c r="Y1385" t="str">
        <f>IF(AND($S860=1,$S1385=1,$V860=1,$V1385=1), "YES", "NO")</f>
        <v>YES</v>
      </c>
      <c r="Z1385" t="str">
        <f>IF(AND($S860=1,$S1385=1,$V860&gt;1,$V1385&gt;1), "YES", "NO")</f>
        <v>NO</v>
      </c>
      <c r="AA1385" t="str">
        <f>IF(AND($S860&gt;1,$S1385&gt;1,$S860=$V860,$S1385=$V1385), "YES", "NO")</f>
        <v>NO</v>
      </c>
      <c r="AB1385" t="str">
        <f>IF(AND($S860&gt;1,$S1385&gt;1,$S860&lt;$V860,$S1385&lt;$V1385), "YES", "NO")</f>
        <v>NO</v>
      </c>
      <c r="AC1385" t="str">
        <f>IF(AND($V860&gt;10,$V1385&gt;10), "YES", "NO")</f>
        <v>NO</v>
      </c>
      <c r="AD1385"/>
    </row>
    <row r="1386" spans="1:30" ht="15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>LEFT($A1386,FIND("_",$A1386)-1)</f>
        <v>kPAR</v>
      </c>
      <c r="P1386" s="13" t="str">
        <f>IF($O1386="ACS", "True Search", IF($O1386="Arja", "Evolutionary Search", IF($O1386="AVATAR", "True Pattern", IF($O1386="CapGen", "Search Like Pattern", IF($O1386="Cardumen", "True Semantic", IF($O1386="DynaMoth", "True Semantic", IF($O1386="FixMiner", "True Pattern", IF($O1386="GenProg-A", "Evolutionary Search", IF($O1386="Hercules", "Learning Pattern", IF($O1386="Jaid", "True Semantic",
IF($O1386="Kali-A", "True Search", IF($O1386="kPAR", "True Pattern", IF($O1386="Nopol", "True Semantic", IF($O1386="RSRepair-A", "Evolutionary Search", IF($O1386="SequenceR", "Deep Learning", IF($O1386="SimFix", "Search Like Pattern", IF($O1386="SketchFix", "True Pattern", IF($O1386="SOFix", "True Pattern", IF($O1386="ssFix", "Search Like Pattern", IF($O1386="TBar", "True Pattern", ""))))))))))))))))))))</f>
        <v>True Pattern</v>
      </c>
      <c r="Q1386" s="13" t="str">
        <f>IF(NOT(ISERR(SEARCH("*_Buggy",$A1386))), "Buggy", IF(NOT(ISERR(SEARCH("*_Fixed",$A1386))), "Fixed", IF(NOT(ISERR(SEARCH("*_Repaired",$A1386))), "Repaired", "")))</f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v>1</v>
      </c>
      <c r="W1386" s="13" t="str">
        <f>MID(A1386, SEARCH("_", A1386) +1, SEARCH("_", A1386, SEARCH("_", A1386) +1) - SEARCH("_", A1386) -1)</f>
        <v>Math-81</v>
      </c>
      <c r="Y1386" t="str">
        <f>IF(AND($S861=1,$S1386=1,$V861=1,$V1386=1), "YES", "NO")</f>
        <v>NO</v>
      </c>
      <c r="Z1386" t="str">
        <f>IF(AND($S861=1,$S1386=1,$V861&gt;1,$V1386&gt;1), "YES", "NO")</f>
        <v>NO</v>
      </c>
      <c r="AA1386" t="str">
        <f>IF(AND($S861&gt;1,$S1386&gt;1,$S861=$V861,$S1386=$V1386), "YES", "NO")</f>
        <v>NO</v>
      </c>
      <c r="AB1386" t="str">
        <f>IF(AND($S861&gt;1,$S1386&gt;1,$S861&lt;$V861,$S1386&lt;$V1386), "YES", "NO")</f>
        <v>NO</v>
      </c>
      <c r="AC1386" t="str">
        <f>IF(AND($V861&gt;10,$V1386&gt;10), "YES", "NO")</f>
        <v>NO</v>
      </c>
      <c r="AD1386"/>
    </row>
    <row r="1387" spans="1:30" ht="15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>LEFT($A1387,FIND("_",$A1387)-1)</f>
        <v>kPAR</v>
      </c>
      <c r="P1387" s="13" t="str">
        <f>IF($O1387="ACS", "True Search", IF($O1387="Arja", "Evolutionary Search", IF($O1387="AVATAR", "True Pattern", IF($O1387="CapGen", "Search Like Pattern", IF($O1387="Cardumen", "True Semantic", IF($O1387="DynaMoth", "True Semantic", IF($O1387="FixMiner", "True Pattern", IF($O1387="GenProg-A", "Evolutionary Search", IF($O1387="Hercules", "Learning Pattern", IF($O1387="Jaid", "True Semantic",
IF($O1387="Kali-A", "True Search", IF($O1387="kPAR", "True Pattern", IF($O1387="Nopol", "True Semantic", IF($O1387="RSRepair-A", "Evolutionary Search", IF($O1387="SequenceR", "Deep Learning", IF($O1387="SimFix", "Search Like Pattern", IF($O1387="SketchFix", "True Pattern", IF($O1387="SOFix", "True Pattern", IF($O1387="ssFix", "Search Like Pattern", IF($O1387="TBar", "True Pattern", ""))))))))))))))))))))</f>
        <v>True Pattern</v>
      </c>
      <c r="Q1387" s="13" t="str">
        <f>IF(NOT(ISERR(SEARCH("*_Buggy",$A1387))), "Buggy", IF(NOT(ISERR(SEARCH("*_Fixed",$A1387))), "Fixed", IF(NOT(ISERR(SEARCH("*_Repaired",$A1387))), "Repaired", "")))</f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v>1</v>
      </c>
      <c r="W1387" s="13" t="str">
        <f>MID(A1387, SEARCH("_", A1387) +1, SEARCH("_", A1387, SEARCH("_", A1387) +1) - SEARCH("_", A1387) -1)</f>
        <v>Math-82</v>
      </c>
      <c r="Y1387" t="str">
        <f>IF(AND($S862=1,$S1387=1,$V862=1,$V1387=1), "YES", "NO")</f>
        <v>YES</v>
      </c>
      <c r="Z1387" t="str">
        <f>IF(AND($S862=1,$S1387=1,$V862&gt;1,$V1387&gt;1), "YES", "NO")</f>
        <v>NO</v>
      </c>
      <c r="AA1387" t="str">
        <f>IF(AND($S862&gt;1,$S1387&gt;1,$S862=$V862,$S1387=$V1387), "YES", "NO")</f>
        <v>NO</v>
      </c>
      <c r="AB1387" t="str">
        <f>IF(AND($S862&gt;1,$S1387&gt;1,$S862&lt;$V862,$S1387&lt;$V1387), "YES", "NO")</f>
        <v>NO</v>
      </c>
      <c r="AC1387" t="str">
        <f>IF(AND($V862&gt;10,$V1387&gt;10), "YES", "NO")</f>
        <v>NO</v>
      </c>
      <c r="AD1387"/>
    </row>
    <row r="1388" spans="1:30" ht="15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>LEFT($A1388,FIND("_",$A1388)-1)</f>
        <v>kPAR</v>
      </c>
      <c r="P1388" s="13" t="str">
        <f>IF($O1388="ACS", "True Search", IF($O1388="Arja", "Evolutionary Search", IF($O1388="AVATAR", "True Pattern", IF($O1388="CapGen", "Search Like Pattern", IF($O1388="Cardumen", "True Semantic", IF($O1388="DynaMoth", "True Semantic", IF($O1388="FixMiner", "True Pattern", IF($O1388="GenProg-A", "Evolutionary Search", IF($O1388="Hercules", "Learning Pattern", IF($O1388="Jaid", "True Semantic",
IF($O1388="Kali-A", "True Search", IF($O1388="kPAR", "True Pattern", IF($O1388="Nopol", "True Semantic", IF($O1388="RSRepair-A", "Evolutionary Search", IF($O1388="SequenceR", "Deep Learning", IF($O1388="SimFix", "Search Like Pattern", IF($O1388="SketchFix", "True Pattern", IF($O1388="SOFix", "True Pattern", IF($O1388="ssFix", "Search Like Pattern", IF($O1388="TBar", "True Pattern", ""))))))))))))))))))))</f>
        <v>True Pattern</v>
      </c>
      <c r="Q1388" s="13" t="str">
        <f>IF(NOT(ISERR(SEARCH("*_Buggy",$A1388))), "Buggy", IF(NOT(ISERR(SEARCH("*_Fixed",$A1388))), "Fixed", IF(NOT(ISERR(SEARCH("*_Repaired",$A1388))), "Repaired", "")))</f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v>1</v>
      </c>
      <c r="W1388" s="13" t="str">
        <f>MID(A1388, SEARCH("_", A1388) +1, SEARCH("_", A1388, SEARCH("_", A1388) +1) - SEARCH("_", A1388) -1)</f>
        <v>Math-84</v>
      </c>
      <c r="Y1388" t="str">
        <f>IF(AND($S863=1,$S1388=1,$V863=1,$V1388=1), "YES", "NO")</f>
        <v>NO</v>
      </c>
      <c r="Z1388" t="str">
        <f>IF(AND($S863=1,$S1388=1,$V863&gt;1,$V1388&gt;1), "YES", "NO")</f>
        <v>NO</v>
      </c>
      <c r="AA1388" t="str">
        <f>IF(AND($S863&gt;1,$S1388&gt;1,$S863=$V863,$S1388=$V1388), "YES", "NO")</f>
        <v>NO</v>
      </c>
      <c r="AB1388" t="str">
        <f>IF(AND($S863&gt;1,$S1388&gt;1,$S863&lt;$V863,$S1388&lt;$V1388), "YES", "NO")</f>
        <v>NO</v>
      </c>
      <c r="AC1388" t="str">
        <f>IF(AND($V863&gt;10,$V1388&gt;10), "YES", "NO")</f>
        <v>NO</v>
      </c>
      <c r="AD1388"/>
    </row>
    <row r="1389" spans="1:30" ht="15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>LEFT($A1389,FIND("_",$A1389)-1)</f>
        <v>kPAR</v>
      </c>
      <c r="P1389" s="13" t="str">
        <f>IF($O1389="ACS", "True Search", IF($O1389="Arja", "Evolutionary Search", IF($O1389="AVATAR", "True Pattern", IF($O1389="CapGen", "Search Like Pattern", IF($O1389="Cardumen", "True Semantic", IF($O1389="DynaMoth", "True Semantic", IF($O1389="FixMiner", "True Pattern", IF($O1389="GenProg-A", "Evolutionary Search", IF($O1389="Hercules", "Learning Pattern", IF($O1389="Jaid", "True Semantic",
IF($O1389="Kali-A", "True Search", IF($O1389="kPAR", "True Pattern", IF($O1389="Nopol", "True Semantic", IF($O1389="RSRepair-A", "Evolutionary Search", IF($O1389="SequenceR", "Deep Learning", IF($O1389="SimFix", "Search Like Pattern", IF($O1389="SketchFix", "True Pattern", IF($O1389="SOFix", "True Pattern", IF($O1389="ssFix", "Search Like Pattern", IF($O1389="TBar", "True Pattern", ""))))))))))))))))))))</f>
        <v>True Pattern</v>
      </c>
      <c r="Q1389" s="13" t="str">
        <f>IF(NOT(ISERR(SEARCH("*_Buggy",$A1389))), "Buggy", IF(NOT(ISERR(SEARCH("*_Fixed",$A1389))), "Fixed", IF(NOT(ISERR(SEARCH("*_Repaired",$A1389))), "Repaired", "")))</f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v>1</v>
      </c>
      <c r="W1389" s="13" t="str">
        <f>MID(A1389, SEARCH("_", A1389) +1, SEARCH("_", A1389, SEARCH("_", A1389) +1) - SEARCH("_", A1389) -1)</f>
        <v>Math-85</v>
      </c>
      <c r="Y1389" t="str">
        <f>IF(AND($S864=1,$S1389=1,$V864=1,$V1389=1), "YES", "NO")</f>
        <v>YES</v>
      </c>
      <c r="Z1389" t="str">
        <f>IF(AND($S864=1,$S1389=1,$V864&gt;1,$V1389&gt;1), "YES", "NO")</f>
        <v>NO</v>
      </c>
      <c r="AA1389" t="str">
        <f>IF(AND($S864&gt;1,$S1389&gt;1,$S864=$V864,$S1389=$V1389), "YES", "NO")</f>
        <v>NO</v>
      </c>
      <c r="AB1389" t="str">
        <f>IF(AND($S864&gt;1,$S1389&gt;1,$S864&lt;$V864,$S1389&lt;$V1389), "YES", "NO")</f>
        <v>NO</v>
      </c>
      <c r="AC1389" t="str">
        <f>IF(AND($V864&gt;10,$V1389&gt;10), "YES", "NO")</f>
        <v>NO</v>
      </c>
      <c r="AD1389"/>
    </row>
    <row r="1390" spans="1:30" ht="15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>LEFT($A1390,FIND("_",$A1390)-1)</f>
        <v>kPAR</v>
      </c>
      <c r="P1390" s="13" t="str">
        <f>IF($O1390="ACS", "True Search", IF($O1390="Arja", "Evolutionary Search", IF($O1390="AVATAR", "True Pattern", IF($O1390="CapGen", "Search Like Pattern", IF($O1390="Cardumen", "True Semantic", IF($O1390="DynaMoth", "True Semantic", IF($O1390="FixMiner", "True Pattern", IF($O1390="GenProg-A", "Evolutionary Search", IF($O1390="Hercules", "Learning Pattern", IF($O1390="Jaid", "True Semantic",
IF($O1390="Kali-A", "True Search", IF($O1390="kPAR", "True Pattern", IF($O1390="Nopol", "True Semantic", IF($O1390="RSRepair-A", "Evolutionary Search", IF($O1390="SequenceR", "Deep Learning", IF($O1390="SimFix", "Search Like Pattern", IF($O1390="SketchFix", "True Pattern", IF($O1390="SOFix", "True Pattern", IF($O1390="ssFix", "Search Like Pattern", IF($O1390="TBar", "True Pattern", ""))))))))))))))))))))</f>
        <v>True Pattern</v>
      </c>
      <c r="Q1390" s="13" t="str">
        <f>IF(NOT(ISERR(SEARCH("*_Buggy",$A1390))), "Buggy", IF(NOT(ISERR(SEARCH("*_Fixed",$A1390))), "Fixed", IF(NOT(ISERR(SEARCH("*_Repaired",$A1390))), "Repaired", "")))</f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v>1</v>
      </c>
      <c r="W1390" s="13" t="str">
        <f>MID(A1390, SEARCH("_", A1390) +1, SEARCH("_", A1390, SEARCH("_", A1390) +1) - SEARCH("_", A1390) -1)</f>
        <v>Math-88</v>
      </c>
      <c r="Y1390" t="str">
        <f>IF(AND($S865=1,$S1390=1,$V865=1,$V1390=1), "YES", "NO")</f>
        <v>NO</v>
      </c>
      <c r="Z1390" t="str">
        <f>IF(AND($S865=1,$S1390=1,$V865&gt;1,$V1390&gt;1), "YES", "NO")</f>
        <v>NO</v>
      </c>
      <c r="AA1390" t="str">
        <f>IF(AND($S865&gt;1,$S1390&gt;1,$S865=$V865,$S1390=$V1390), "YES", "NO")</f>
        <v>NO</v>
      </c>
      <c r="AB1390" t="str">
        <f>IF(AND($S865&gt;1,$S1390&gt;1,$S865&lt;$V865,$S1390&lt;$V1390), "YES", "NO")</f>
        <v>NO</v>
      </c>
      <c r="AC1390" t="str">
        <f>IF(AND($V865&gt;10,$V1390&gt;10), "YES", "NO")</f>
        <v>NO</v>
      </c>
      <c r="AD1390"/>
    </row>
    <row r="1391" spans="1:30" ht="15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>LEFT($A1391,FIND("_",$A1391)-1)</f>
        <v>kPAR</v>
      </c>
      <c r="P1391" s="13" t="str">
        <f>IF($O1391="ACS", "True Search", IF($O1391="Arja", "Evolutionary Search", IF($O1391="AVATAR", "True Pattern", IF($O1391="CapGen", "Search Like Pattern", IF($O1391="Cardumen", "True Semantic", IF($O1391="DynaMoth", "True Semantic", IF($O1391="FixMiner", "True Pattern", IF($O1391="GenProg-A", "Evolutionary Search", IF($O1391="Hercules", "Learning Pattern", IF($O1391="Jaid", "True Semantic",
IF($O1391="Kali-A", "True Search", IF($O1391="kPAR", "True Pattern", IF($O1391="Nopol", "True Semantic", IF($O1391="RSRepair-A", "Evolutionary Search", IF($O1391="SequenceR", "Deep Learning", IF($O1391="SimFix", "Search Like Pattern", IF($O1391="SketchFix", "True Pattern", IF($O1391="SOFix", "True Pattern", IF($O1391="ssFix", "Search Like Pattern", IF($O1391="TBar", "True Pattern", ""))))))))))))))))))))</f>
        <v>True Pattern</v>
      </c>
      <c r="Q1391" s="13" t="str">
        <f>IF(NOT(ISERR(SEARCH("*_Buggy",$A1391))), "Buggy", IF(NOT(ISERR(SEARCH("*_Fixed",$A1391))), "Fixed", IF(NOT(ISERR(SEARCH("*_Repaired",$A1391))), "Repaired", "")))</f>
        <v>Repaired</v>
      </c>
      <c r="R1391" s="13" t="s">
        <v>1668</v>
      </c>
      <c r="S1391" s="25">
        <v>1</v>
      </c>
      <c r="T1391" s="25">
        <v>6</v>
      </c>
      <c r="U1391" s="25">
        <v>1</v>
      </c>
      <c r="V1391" s="13">
        <v>6</v>
      </c>
      <c r="W1391" s="13" t="str">
        <f>MID(A1391, SEARCH("_", A1391) +1, SEARCH("_", A1391, SEARCH("_", A1391) +1) - SEARCH("_", A1391) -1)</f>
        <v>Math-89</v>
      </c>
      <c r="Y1391" t="str">
        <f>IF(AND($S866=1,$S1391=1,$V866=1,$V1391=1), "YES", "NO")</f>
        <v>NO</v>
      </c>
      <c r="Z1391" t="str">
        <f>IF(AND($S866=1,$S1391=1,$V866&gt;1,$V1391&gt;1), "YES", "NO")</f>
        <v>NO</v>
      </c>
      <c r="AA1391" t="str">
        <f>IF(AND($S866&gt;1,$S1391&gt;1,$S866=$V866,$S1391=$V1391), "YES", "NO")</f>
        <v>NO</v>
      </c>
      <c r="AB1391" t="str">
        <f>IF(AND($S866&gt;1,$S1391&gt;1,$S866&lt;$V866,$S1391&lt;$V1391), "YES", "NO")</f>
        <v>NO</v>
      </c>
      <c r="AC1391" t="str">
        <f>IF(AND($V866&gt;10,$V1391&gt;10), "YES", "NO")</f>
        <v>NO</v>
      </c>
      <c r="AD1391"/>
    </row>
    <row r="1392" spans="1:30" ht="15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>LEFT($A1392,FIND("_",$A1392)-1)</f>
        <v>Nopol</v>
      </c>
      <c r="P1392" s="13" t="str">
        <f>IF($O1392="ACS", "True Search", IF($O1392="Arja", "Evolutionary Search", IF($O1392="AVATAR", "True Pattern", IF($O1392="CapGen", "Search Like Pattern", IF($O1392="Cardumen", "True Semantic", IF($O1392="DynaMoth", "True Semantic", IF($O1392="FixMiner", "True Pattern", IF($O1392="GenProg-A", "Evolutionary Search", IF($O1392="Hercules", "Learning Pattern", IF($O1392="Jaid", "True Semantic",
IF($O1392="Kali-A", "True Search", IF($O1392="kPAR", "True Pattern", IF($O1392="Nopol", "True Semantic", IF($O1392="RSRepair-A", "Evolutionary Search", IF($O1392="SequenceR", "Deep Learning", IF($O1392="SimFix", "Search Like Pattern", IF($O1392="SketchFix", "True Pattern", IF($O1392="SOFix", "True Pattern", IF($O1392="ssFix", "Search Like Pattern", IF($O1392="TBar", "True Pattern", ""))))))))))))))))))))</f>
        <v>True Semantic</v>
      </c>
      <c r="Q1392" s="13" t="str">
        <f>IF(NOT(ISERR(SEARCH("*_Buggy",$A1392))), "Buggy", IF(NOT(ISERR(SEARCH("*_Fixed",$A1392))), "Fixed", IF(NOT(ISERR(SEARCH("*_Repaired",$A1392))), "Repaired", "")))</f>
        <v>Repaired</v>
      </c>
      <c r="R1392" s="13" t="s">
        <v>1669</v>
      </c>
      <c r="S1392" s="25">
        <v>1</v>
      </c>
      <c r="T1392" s="25">
        <v>9</v>
      </c>
      <c r="U1392" s="25">
        <v>7</v>
      </c>
      <c r="V1392" s="13">
        <v>9</v>
      </c>
      <c r="W1392" s="13" t="str">
        <f>MID(A1392, SEARCH("_", A1392) +1, SEARCH("_", A1392, SEARCH("_", A1392) +1) - SEARCH("_", A1392) -1)</f>
        <v>Chart-13</v>
      </c>
      <c r="Y1392" t="str">
        <f>IF(AND($S867=1,$S1392=1,$V867=1,$V1392=1), "YES", "NO")</f>
        <v>NO</v>
      </c>
      <c r="Z1392" t="str">
        <f>IF(AND($S867=1,$S1392=1,$V867&gt;1,$V1392&gt;1), "YES", "NO")</f>
        <v>NO</v>
      </c>
      <c r="AA1392" t="str">
        <f>IF(AND($S867&gt;1,$S1392&gt;1,$S867=$V867,$S1392=$V1392), "YES", "NO")</f>
        <v>NO</v>
      </c>
      <c r="AB1392" t="str">
        <f>IF(AND($S867&gt;1,$S1392&gt;1,$S867&lt;$V867,$S1392&lt;$V1392), "YES", "NO")</f>
        <v>NO</v>
      </c>
      <c r="AC1392" t="str">
        <f>IF(AND($V867&gt;10,$V1392&gt;10), "YES", "NO")</f>
        <v>NO</v>
      </c>
      <c r="AD1392"/>
    </row>
    <row r="1393" spans="1:30" ht="15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>LEFT($A1393,FIND("_",$A1393)-1)</f>
        <v>Nopol</v>
      </c>
      <c r="P1393" s="13" t="str">
        <f>IF($O1393="ACS", "True Search", IF($O1393="Arja", "Evolutionary Search", IF($O1393="AVATAR", "True Pattern", IF($O1393="CapGen", "Search Like Pattern", IF($O1393="Cardumen", "True Semantic", IF($O1393="DynaMoth", "True Semantic", IF($O1393="FixMiner", "True Pattern", IF($O1393="GenProg-A", "Evolutionary Search", IF($O1393="Hercules", "Learning Pattern", IF($O1393="Jaid", "True Semantic",
IF($O1393="Kali-A", "True Search", IF($O1393="kPAR", "True Pattern", IF($O1393="Nopol", "True Semantic", IF($O1393="RSRepair-A", "Evolutionary Search", IF($O1393="SequenceR", "Deep Learning", IF($O1393="SimFix", "Search Like Pattern", IF($O1393="SketchFix", "True Pattern", IF($O1393="SOFix", "True Pattern", IF($O1393="ssFix", "Search Like Pattern", IF($O1393="TBar", "True Pattern", ""))))))))))))))))))))</f>
        <v>True Semantic</v>
      </c>
      <c r="Q1393" s="13" t="str">
        <f>IF(NOT(ISERR(SEARCH("*_Buggy",$A1393))), "Buggy", IF(NOT(ISERR(SEARCH("*_Fixed",$A1393))), "Fixed", IF(NOT(ISERR(SEARCH("*_Repaired",$A1393))), "Repaired", "")))</f>
        <v>Repaired</v>
      </c>
      <c r="R1393" s="13" t="s">
        <v>1669</v>
      </c>
      <c r="S1393" s="25">
        <v>1</v>
      </c>
      <c r="T1393" s="25">
        <v>3</v>
      </c>
      <c r="U1393" s="25">
        <v>1</v>
      </c>
      <c r="V1393" s="13">
        <v>3</v>
      </c>
      <c r="W1393" s="13" t="str">
        <f>MID(A1393, SEARCH("_", A1393) +1, SEARCH("_", A1393, SEARCH("_", A1393) +1) - SEARCH("_", A1393) -1)</f>
        <v>Chart-17</v>
      </c>
      <c r="Y1393" t="str">
        <f>IF(AND($S868=1,$S1393=1,$V868=1,$V1393=1), "YES", "NO")</f>
        <v>NO</v>
      </c>
      <c r="Z1393" t="str">
        <f>IF(AND($S868=1,$S1393=1,$V868&gt;1,$V1393&gt;1), "YES", "NO")</f>
        <v>YES</v>
      </c>
      <c r="AA1393" t="str">
        <f>IF(AND($S868&gt;1,$S1393&gt;1,$S868=$V868,$S1393=$V1393), "YES", "NO")</f>
        <v>NO</v>
      </c>
      <c r="AB1393" t="str">
        <f>IF(AND($S868&gt;1,$S1393&gt;1,$S868&lt;$V868,$S1393&lt;$V1393), "YES", "NO")</f>
        <v>NO</v>
      </c>
      <c r="AC1393" t="str">
        <f>IF(AND($V868&gt;10,$V1393&gt;10), "YES", "NO")</f>
        <v>NO</v>
      </c>
      <c r="AD1393"/>
    </row>
    <row r="1394" spans="1:30" ht="15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>LEFT($A1394,FIND("_",$A1394)-1)</f>
        <v>Nopol</v>
      </c>
      <c r="P1394" s="13" t="str">
        <f>IF($O1394="ACS", "True Search", IF($O1394="Arja", "Evolutionary Search", IF($O1394="AVATAR", "True Pattern", IF($O1394="CapGen", "Search Like Pattern", IF($O1394="Cardumen", "True Semantic", IF($O1394="DynaMoth", "True Semantic", IF($O1394="FixMiner", "True Pattern", IF($O1394="GenProg-A", "Evolutionary Search", IF($O1394="Hercules", "Learning Pattern", IF($O1394="Jaid", "True Semantic",
IF($O1394="Kali-A", "True Search", IF($O1394="kPAR", "True Pattern", IF($O1394="Nopol", "True Semantic", IF($O1394="RSRepair-A", "Evolutionary Search", IF($O1394="SequenceR", "Deep Learning", IF($O1394="SimFix", "Search Like Pattern", IF($O1394="SketchFix", "True Pattern", IF($O1394="SOFix", "True Pattern", IF($O1394="ssFix", "Search Like Pattern", IF($O1394="TBar", "True Pattern", ""))))))))))))))))))))</f>
        <v>True Semantic</v>
      </c>
      <c r="Q1394" s="13" t="str">
        <f>IF(NOT(ISERR(SEARCH("*_Buggy",$A1394))), "Buggy", IF(NOT(ISERR(SEARCH("*_Fixed",$A1394))), "Fixed", IF(NOT(ISERR(SEARCH("*_Repaired",$A1394))), "Repaired", "")))</f>
        <v>Repaired</v>
      </c>
      <c r="R1394" s="13" t="s">
        <v>1669</v>
      </c>
      <c r="S1394" s="25">
        <v>1</v>
      </c>
      <c r="T1394" s="25">
        <v>9</v>
      </c>
      <c r="U1394" s="25">
        <v>7</v>
      </c>
      <c r="V1394" s="13">
        <v>9</v>
      </c>
      <c r="W1394" s="13" t="str">
        <f>MID(A1394, SEARCH("_", A1394) +1, SEARCH("_", A1394, SEARCH("_", A1394) +1) - SEARCH("_", A1394) -1)</f>
        <v>Chart-25</v>
      </c>
      <c r="Y1394" t="str">
        <f>IF(AND($S869=1,$S1394=1,$V869=1,$V1394=1), "YES", "NO")</f>
        <v>NO</v>
      </c>
      <c r="Z1394" t="str">
        <f>IF(AND($S869=1,$S1394=1,$V869&gt;1,$V1394&gt;1), "YES", "NO")</f>
        <v>NO</v>
      </c>
      <c r="AA1394" t="str">
        <f>IF(AND($S869&gt;1,$S1394&gt;1,$S869=$V869,$S1394=$V1394), "YES", "NO")</f>
        <v>NO</v>
      </c>
      <c r="AB1394" t="str">
        <f>IF(AND($S869&gt;1,$S1394&gt;1,$S869&lt;$V869,$S1394&lt;$V1394), "YES", "NO")</f>
        <v>NO</v>
      </c>
      <c r="AC1394" t="str">
        <f>IF(AND($V869&gt;10,$V1394&gt;10), "YES", "NO")</f>
        <v>NO</v>
      </c>
      <c r="AD1394"/>
    </row>
    <row r="1395" spans="1:30" ht="15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>LEFT($A1395,FIND("_",$A1395)-1)</f>
        <v>Nopol</v>
      </c>
      <c r="P1395" s="13" t="str">
        <f>IF($O1395="ACS", "True Search", IF($O1395="Arja", "Evolutionary Search", IF($O1395="AVATAR", "True Pattern", IF($O1395="CapGen", "Search Like Pattern", IF($O1395="Cardumen", "True Semantic", IF($O1395="DynaMoth", "True Semantic", IF($O1395="FixMiner", "True Pattern", IF($O1395="GenProg-A", "Evolutionary Search", IF($O1395="Hercules", "Learning Pattern", IF($O1395="Jaid", "True Semantic",
IF($O1395="Kali-A", "True Search", IF($O1395="kPAR", "True Pattern", IF($O1395="Nopol", "True Semantic", IF($O1395="RSRepair-A", "Evolutionary Search", IF($O1395="SequenceR", "Deep Learning", IF($O1395="SimFix", "Search Like Pattern", IF($O1395="SketchFix", "True Pattern", IF($O1395="SOFix", "True Pattern", IF($O1395="ssFix", "Search Like Pattern", IF($O1395="TBar", "True Pattern", ""))))))))))))))))))))</f>
        <v>True Semantic</v>
      </c>
      <c r="Q1395" s="13" t="str">
        <f>IF(NOT(ISERR(SEARCH("*_Buggy",$A1395))), "Buggy", IF(NOT(ISERR(SEARCH("*_Fixed",$A1395))), "Fixed", IF(NOT(ISERR(SEARCH("*_Repaired",$A1395))), "Repaired", "")))</f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v>1</v>
      </c>
      <c r="W1395" s="13" t="str">
        <f>MID(A1395, SEARCH("_", A1395) +1, SEARCH("_", A1395, SEARCH("_", A1395) +1) - SEARCH("_", A1395) -1)</f>
        <v>Chart-5</v>
      </c>
      <c r="Y1395" t="str">
        <f>IF(AND($S870=1,$S1395=1,$V870=1,$V1395=1), "YES", "NO")</f>
        <v>NO</v>
      </c>
      <c r="Z1395" t="str">
        <f>IF(AND($S870=1,$S1395=1,$V870&gt;1,$V1395&gt;1), "YES", "NO")</f>
        <v>NO</v>
      </c>
      <c r="AA1395" t="str">
        <f>IF(AND($S870&gt;1,$S1395&gt;1,$S870=$V870,$S1395=$V1395), "YES", "NO")</f>
        <v>NO</v>
      </c>
      <c r="AB1395" t="str">
        <f>IF(AND($S870&gt;1,$S1395&gt;1,$S870&lt;$V870,$S1395&lt;$V1395), "YES", "NO")</f>
        <v>NO</v>
      </c>
      <c r="AC1395" t="str">
        <f>IF(AND($V870&gt;10,$V1395&gt;10), "YES", "NO")</f>
        <v>NO</v>
      </c>
      <c r="AD1395"/>
    </row>
    <row r="1396" spans="1:30" ht="15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>LEFT($A1396,FIND("_",$A1396)-1)</f>
        <v>Nopol</v>
      </c>
      <c r="P1396" s="13" t="str">
        <f>IF($O1396="ACS", "True Search", IF($O1396="Arja", "Evolutionary Search", IF($O1396="AVATAR", "True Pattern", IF($O1396="CapGen", "Search Like Pattern", IF($O1396="Cardumen", "True Semantic", IF($O1396="DynaMoth", "True Semantic", IF($O1396="FixMiner", "True Pattern", IF($O1396="GenProg-A", "Evolutionary Search", IF($O1396="Hercules", "Learning Pattern", IF($O1396="Jaid", "True Semantic",
IF($O1396="Kali-A", "True Search", IF($O1396="kPAR", "True Pattern", IF($O1396="Nopol", "True Semantic", IF($O1396="RSRepair-A", "Evolutionary Search", IF($O1396="SequenceR", "Deep Learning", IF($O1396="SimFix", "Search Like Pattern", IF($O1396="SketchFix", "True Pattern", IF($O1396="SOFix", "True Pattern", IF($O1396="ssFix", "Search Like Pattern", IF($O1396="TBar", "True Pattern", ""))))))))))))))))))))</f>
        <v>True Semantic</v>
      </c>
      <c r="Q1396" s="13" t="str">
        <f>IF(NOT(ISERR(SEARCH("*_Buggy",$A1396))), "Buggy", IF(NOT(ISERR(SEARCH("*_Fixed",$A1396))), "Fixed", IF(NOT(ISERR(SEARCH("*_Repaired",$A1396))), "Repaired", "")))</f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v>1</v>
      </c>
      <c r="W1396" s="13" t="str">
        <f>MID(A1396, SEARCH("_", A1396) +1, SEARCH("_", A1396, SEARCH("_", A1396) +1) - SEARCH("_", A1396) -1)</f>
        <v>Chart-9</v>
      </c>
      <c r="Y1396" t="str">
        <f>IF(AND($S871=1,$S1396=1,$V871=1,$V1396=1), "YES", "NO")</f>
        <v>YES</v>
      </c>
      <c r="Z1396" t="str">
        <f>IF(AND($S871=1,$S1396=1,$V871&gt;1,$V1396&gt;1), "YES", "NO")</f>
        <v>NO</v>
      </c>
      <c r="AA1396" t="str">
        <f>IF(AND($S871&gt;1,$S1396&gt;1,$S871=$V871,$S1396=$V1396), "YES", "NO")</f>
        <v>NO</v>
      </c>
      <c r="AB1396" t="str">
        <f>IF(AND($S871&gt;1,$S1396&gt;1,$S871&lt;$V871,$S1396&lt;$V1396), "YES", "NO")</f>
        <v>NO</v>
      </c>
      <c r="AC1396" t="str">
        <f>IF(AND($V871&gt;10,$V1396&gt;10), "YES", "NO")</f>
        <v>NO</v>
      </c>
      <c r="AD1396"/>
    </row>
    <row r="1397" spans="1:30" ht="15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>LEFT($A1397,FIND("_",$A1397)-1)</f>
        <v>Nopol</v>
      </c>
      <c r="P1397" s="13" t="str">
        <f>IF($O1397="ACS", "True Search", IF($O1397="Arja", "Evolutionary Search", IF($O1397="AVATAR", "True Pattern", IF($O1397="CapGen", "Search Like Pattern", IF($O1397="Cardumen", "True Semantic", IF($O1397="DynaMoth", "True Semantic", IF($O1397="FixMiner", "True Pattern", IF($O1397="GenProg-A", "Evolutionary Search", IF($O1397="Hercules", "Learning Pattern", IF($O1397="Jaid", "True Semantic",
IF($O1397="Kali-A", "True Search", IF($O1397="kPAR", "True Pattern", IF($O1397="Nopol", "True Semantic", IF($O1397="RSRepair-A", "Evolutionary Search", IF($O1397="SequenceR", "Deep Learning", IF($O1397="SimFix", "Search Like Pattern", IF($O1397="SketchFix", "True Pattern", IF($O1397="SOFix", "True Pattern", IF($O1397="ssFix", "Search Like Pattern", IF($O1397="TBar", "True Pattern", ""))))))))))))))))))))</f>
        <v>True Semantic</v>
      </c>
      <c r="Q1397" s="13" t="str">
        <f>IF(NOT(ISERR(SEARCH("*_Buggy",$A1397))), "Buggy", IF(NOT(ISERR(SEARCH("*_Fixed",$A1397))), "Fixed", IF(NOT(ISERR(SEARCH("*_Repaired",$A1397))), "Repaired", "")))</f>
        <v>Repaired</v>
      </c>
      <c r="R1397" s="13" t="s">
        <v>1669</v>
      </c>
      <c r="S1397" s="25">
        <v>3</v>
      </c>
      <c r="T1397" s="25">
        <v>9</v>
      </c>
      <c r="U1397" s="25">
        <v>7</v>
      </c>
      <c r="V1397" s="13">
        <v>11</v>
      </c>
      <c r="W1397" s="13" t="str">
        <f>MID(A1397, SEARCH("_", A1397) +1, SEARCH("_", A1397, SEARCH("_", A1397) +1) - SEARCH("_", A1397) -1)</f>
        <v>Lang-44</v>
      </c>
      <c r="Y1397" t="str">
        <f>IF(AND($S872=1,$S1397=1,$V872=1,$V1397=1), "YES", "NO")</f>
        <v>NO</v>
      </c>
      <c r="Z1397" t="str">
        <f>IF(AND($S872=1,$S1397=1,$V872&gt;1,$V1397&gt;1), "YES", "NO")</f>
        <v>NO</v>
      </c>
      <c r="AA1397" t="str">
        <f>IF(AND($S872&gt;1,$S1397&gt;1,$S872=$V872,$S1397=$V1397), "YES", "NO")</f>
        <v>NO</v>
      </c>
      <c r="AB1397" t="str">
        <f>IF(AND($S872&gt;1,$S1397&gt;1,$S872&lt;$V872,$S1397&lt;$V1397), "YES", "NO")</f>
        <v>NO</v>
      </c>
      <c r="AC1397" t="str">
        <f>IF(AND($V872&gt;10,$V1397&gt;10), "YES", "NO")</f>
        <v>NO</v>
      </c>
      <c r="AD1397"/>
    </row>
    <row r="1398" spans="1:30" ht="15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>LEFT($A1398,FIND("_",$A1398)-1)</f>
        <v>Nopol</v>
      </c>
      <c r="P1398" s="13" t="str">
        <f>IF($O1398="ACS", "True Search", IF($O1398="Arja", "Evolutionary Search", IF($O1398="AVATAR", "True Pattern", IF($O1398="CapGen", "Search Like Pattern", IF($O1398="Cardumen", "True Semantic", IF($O1398="DynaMoth", "True Semantic", IF($O1398="FixMiner", "True Pattern", IF($O1398="GenProg-A", "Evolutionary Search", IF($O1398="Hercules", "Learning Pattern", IF($O1398="Jaid", "True Semantic",
IF($O1398="Kali-A", "True Search", IF($O1398="kPAR", "True Pattern", IF($O1398="Nopol", "True Semantic", IF($O1398="RSRepair-A", "Evolutionary Search", IF($O1398="SequenceR", "Deep Learning", IF($O1398="SimFix", "Search Like Pattern", IF($O1398="SketchFix", "True Pattern", IF($O1398="SOFix", "True Pattern", IF($O1398="ssFix", "Search Like Pattern", IF($O1398="TBar", "True Pattern", ""))))))))))))))))))))</f>
        <v>True Semantic</v>
      </c>
      <c r="Q1398" s="13" t="str">
        <f>IF(NOT(ISERR(SEARCH("*_Buggy",$A1398))), "Buggy", IF(NOT(ISERR(SEARCH("*_Fixed",$A1398))), "Fixed", IF(NOT(ISERR(SEARCH("*_Repaired",$A1398))), "Repaired", "")))</f>
        <v>Repaired</v>
      </c>
      <c r="R1398" s="13" t="s">
        <v>1668</v>
      </c>
      <c r="S1398" s="25">
        <v>1</v>
      </c>
      <c r="T1398" s="25">
        <v>3</v>
      </c>
      <c r="U1398" s="25">
        <v>1</v>
      </c>
      <c r="V1398" s="13">
        <v>3</v>
      </c>
      <c r="W1398" s="13" t="str">
        <f>MID(A1398, SEARCH("_", A1398) +1, SEARCH("_", A1398, SEARCH("_", A1398) +1) - SEARCH("_", A1398) -1)</f>
        <v>Lang-46</v>
      </c>
      <c r="Y1398" t="str">
        <f>IF(AND($S873=1,$S1398=1,$V873=1,$V1398=1), "YES", "NO")</f>
        <v>NO</v>
      </c>
      <c r="Z1398" t="str">
        <f>IF(AND($S873=1,$S1398=1,$V873&gt;1,$V1398&gt;1), "YES", "NO")</f>
        <v>NO</v>
      </c>
      <c r="AA1398" t="str">
        <f>IF(AND($S873&gt;1,$S1398&gt;1,$S873=$V873,$S1398=$V1398), "YES", "NO")</f>
        <v>NO</v>
      </c>
      <c r="AB1398" t="str">
        <f>IF(AND($S873&gt;1,$S1398&gt;1,$S873&lt;$V873,$S1398&lt;$V1398), "YES", "NO")</f>
        <v>NO</v>
      </c>
      <c r="AC1398" t="str">
        <f>IF(AND($V873&gt;10,$V1398&gt;10), "YES", "NO")</f>
        <v>NO</v>
      </c>
      <c r="AD1398"/>
    </row>
    <row r="1399" spans="1:30" ht="15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>LEFT($A1399,FIND("_",$A1399)-1)</f>
        <v>Nopol</v>
      </c>
      <c r="P1399" s="13" t="str">
        <f>IF($O1399="ACS", "True Search", IF($O1399="Arja", "Evolutionary Search", IF($O1399="AVATAR", "True Pattern", IF($O1399="CapGen", "Search Like Pattern", IF($O1399="Cardumen", "True Semantic", IF($O1399="DynaMoth", "True Semantic", IF($O1399="FixMiner", "True Pattern", IF($O1399="GenProg-A", "Evolutionary Search", IF($O1399="Hercules", "Learning Pattern", IF($O1399="Jaid", "True Semantic",
IF($O1399="Kali-A", "True Search", IF($O1399="kPAR", "True Pattern", IF($O1399="Nopol", "True Semantic", IF($O1399="RSRepair-A", "Evolutionary Search", IF($O1399="SequenceR", "Deep Learning", IF($O1399="SimFix", "Search Like Pattern", IF($O1399="SketchFix", "True Pattern", IF($O1399="SOFix", "True Pattern", IF($O1399="ssFix", "Search Like Pattern", IF($O1399="TBar", "True Pattern", ""))))))))))))))))))))</f>
        <v>True Semantic</v>
      </c>
      <c r="Q1399" s="13" t="str">
        <f>IF(NOT(ISERR(SEARCH("*_Buggy",$A1399))), "Buggy", IF(NOT(ISERR(SEARCH("*_Fixed",$A1399))), "Fixed", IF(NOT(ISERR(SEARCH("*_Repaired",$A1399))), "Repaired", "")))</f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v>4</v>
      </c>
      <c r="W1399" s="13" t="str">
        <f>MID(A1399, SEARCH("_", A1399) +1, SEARCH("_", A1399, SEARCH("_", A1399) +1) - SEARCH("_", A1399) -1)</f>
        <v>Lang-51</v>
      </c>
      <c r="Y1399" t="str">
        <f>IF(AND($S874=1,$S1399=1,$V874=1,$V1399=1), "YES", "NO")</f>
        <v>NO</v>
      </c>
      <c r="Z1399" t="str">
        <f>IF(AND($S874=1,$S1399=1,$V874&gt;1,$V1399&gt;1), "YES", "NO")</f>
        <v>NO</v>
      </c>
      <c r="AA1399" t="str">
        <f>IF(AND($S874&gt;1,$S1399&gt;1,$S874=$V874,$S1399=$V1399), "YES", "NO")</f>
        <v>NO</v>
      </c>
      <c r="AB1399" t="str">
        <f>IF(AND($S874&gt;1,$S1399&gt;1,$S874&lt;$V874,$S1399&lt;$V1399), "YES", "NO")</f>
        <v>NO</v>
      </c>
      <c r="AC1399" t="str">
        <f>IF(AND($V874&gt;10,$V1399&gt;10), "YES", "NO")</f>
        <v>NO</v>
      </c>
      <c r="AD1399"/>
    </row>
    <row r="1400" spans="1:30" ht="15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>LEFT($A1400,FIND("_",$A1400)-1)</f>
        <v>Nopol</v>
      </c>
      <c r="P1400" s="13" t="str">
        <f>IF($O1400="ACS", "True Search", IF($O1400="Arja", "Evolutionary Search", IF($O1400="AVATAR", "True Pattern", IF($O1400="CapGen", "Search Like Pattern", IF($O1400="Cardumen", "True Semantic", IF($O1400="DynaMoth", "True Semantic", IF($O1400="FixMiner", "True Pattern", IF($O1400="GenProg-A", "Evolutionary Search", IF($O1400="Hercules", "Learning Pattern", IF($O1400="Jaid", "True Semantic",
IF($O1400="Kali-A", "True Search", IF($O1400="kPAR", "True Pattern", IF($O1400="Nopol", "True Semantic", IF($O1400="RSRepair-A", "Evolutionary Search", IF($O1400="SequenceR", "Deep Learning", IF($O1400="SimFix", "Search Like Pattern", IF($O1400="SketchFix", "True Pattern", IF($O1400="SOFix", "True Pattern", IF($O1400="ssFix", "Search Like Pattern", IF($O1400="TBar", "True Pattern", ""))))))))))))))))))))</f>
        <v>True Semantic</v>
      </c>
      <c r="Q1400" s="13" t="str">
        <f>IF(NOT(ISERR(SEARCH("*_Buggy",$A1400))), "Buggy", IF(NOT(ISERR(SEARCH("*_Fixed",$A1400))), "Fixed", IF(NOT(ISERR(SEARCH("*_Repaired",$A1400))), "Repaired", "")))</f>
        <v>Repaired</v>
      </c>
      <c r="R1400" s="13" t="s">
        <v>1669</v>
      </c>
      <c r="S1400" s="25">
        <v>1</v>
      </c>
      <c r="T1400" s="25">
        <v>5</v>
      </c>
      <c r="U1400" s="25">
        <v>3</v>
      </c>
      <c r="V1400" s="13">
        <v>5</v>
      </c>
      <c r="W1400" s="13" t="str">
        <f>MID(A1400, SEARCH("_", A1400) +1, SEARCH("_", A1400, SEARCH("_", A1400) +1) - SEARCH("_", A1400) -1)</f>
        <v>Lang-53</v>
      </c>
      <c r="Y1400" t="str">
        <f>IF(AND($S875=1,$S1400=1,$V875=1,$V1400=1), "YES", "NO")</f>
        <v>NO</v>
      </c>
      <c r="Z1400" t="str">
        <f>IF(AND($S875=1,$S1400=1,$V875&gt;1,$V1400&gt;1), "YES", "NO")</f>
        <v>NO</v>
      </c>
      <c r="AA1400" t="str">
        <f>IF(AND($S875&gt;1,$S1400&gt;1,$S875=$V875,$S1400=$V1400), "YES", "NO")</f>
        <v>NO</v>
      </c>
      <c r="AB1400" t="str">
        <f>IF(AND($S875&gt;1,$S1400&gt;1,$S875&lt;$V875,$S1400&lt;$V1400), "YES", "NO")</f>
        <v>NO</v>
      </c>
      <c r="AC1400" t="str">
        <f>IF(AND($V875&gt;10,$V1400&gt;10), "YES", "NO")</f>
        <v>NO</v>
      </c>
      <c r="AD1400"/>
    </row>
    <row r="1401" spans="1:30" ht="15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>LEFT($A1401,FIND("_",$A1401)-1)</f>
        <v>Nopol</v>
      </c>
      <c r="P1401" s="13" t="str">
        <f>IF($O1401="ACS", "True Search", IF($O1401="Arja", "Evolutionary Search", IF($O1401="AVATAR", "True Pattern", IF($O1401="CapGen", "Search Like Pattern", IF($O1401="Cardumen", "True Semantic", IF($O1401="DynaMoth", "True Semantic", IF($O1401="FixMiner", "True Pattern", IF($O1401="GenProg-A", "Evolutionary Search", IF($O1401="Hercules", "Learning Pattern", IF($O1401="Jaid", "True Semantic",
IF($O1401="Kali-A", "True Search", IF($O1401="kPAR", "True Pattern", IF($O1401="Nopol", "True Semantic", IF($O1401="RSRepair-A", "Evolutionary Search", IF($O1401="SequenceR", "Deep Learning", IF($O1401="SimFix", "Search Like Pattern", IF($O1401="SketchFix", "True Pattern", IF($O1401="SOFix", "True Pattern", IF($O1401="ssFix", "Search Like Pattern", IF($O1401="TBar", "True Pattern", ""))))))))))))))))))))</f>
        <v>True Semantic</v>
      </c>
      <c r="Q1401" s="13" t="str">
        <f>IF(NOT(ISERR(SEARCH("*_Buggy",$A1401))), "Buggy", IF(NOT(ISERR(SEARCH("*_Fixed",$A1401))), "Fixed", IF(NOT(ISERR(SEARCH("*_Repaired",$A1401))), "Repaired", "")))</f>
        <v>Repaired</v>
      </c>
      <c r="R1401" s="13" t="s">
        <v>1669</v>
      </c>
      <c r="S1401" s="25">
        <v>1</v>
      </c>
      <c r="T1401" s="25">
        <v>3</v>
      </c>
      <c r="U1401" s="25">
        <v>1</v>
      </c>
      <c r="V1401" s="13">
        <v>3</v>
      </c>
      <c r="W1401" s="13" t="str">
        <f>MID(A1401, SEARCH("_", A1401) +1, SEARCH("_", A1401, SEARCH("_", A1401) +1) - SEARCH("_", A1401) -1)</f>
        <v>Lang-55</v>
      </c>
      <c r="Y1401" t="str">
        <f>IF(AND($S876=1,$S1401=1,$V876=1,$V1401=1), "YES", "NO")</f>
        <v>NO</v>
      </c>
      <c r="Z1401" t="str">
        <f>IF(AND($S876=1,$S1401=1,$V876&gt;1,$V1401&gt;1), "YES", "NO")</f>
        <v>NO</v>
      </c>
      <c r="AA1401" t="str">
        <f>IF(AND($S876&gt;1,$S1401&gt;1,$S876=$V876,$S1401=$V1401), "YES", "NO")</f>
        <v>NO</v>
      </c>
      <c r="AB1401" t="str">
        <f>IF(AND($S876&gt;1,$S1401&gt;1,$S876&lt;$V876,$S1401&lt;$V1401), "YES", "NO")</f>
        <v>NO</v>
      </c>
      <c r="AC1401" t="str">
        <f>IF(AND($V876&gt;10,$V1401&gt;10), "YES", "NO")</f>
        <v>NO</v>
      </c>
      <c r="AD1401"/>
    </row>
    <row r="1402" spans="1:30" ht="15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>LEFT($A1402,FIND("_",$A1402)-1)</f>
        <v>Nopol</v>
      </c>
      <c r="P1402" s="13" t="str">
        <f>IF($O1402="ACS", "True Search", IF($O1402="Arja", "Evolutionary Search", IF($O1402="AVATAR", "True Pattern", IF($O1402="CapGen", "Search Like Pattern", IF($O1402="Cardumen", "True Semantic", IF($O1402="DynaMoth", "True Semantic", IF($O1402="FixMiner", "True Pattern", IF($O1402="GenProg-A", "Evolutionary Search", IF($O1402="Hercules", "Learning Pattern", IF($O1402="Jaid", "True Semantic",
IF($O1402="Kali-A", "True Search", IF($O1402="kPAR", "True Pattern", IF($O1402="Nopol", "True Semantic", IF($O1402="RSRepair-A", "Evolutionary Search", IF($O1402="SequenceR", "Deep Learning", IF($O1402="SimFix", "Search Like Pattern", IF($O1402="SketchFix", "True Pattern", IF($O1402="SOFix", "True Pattern", IF($O1402="ssFix", "Search Like Pattern", IF($O1402="TBar", "True Pattern", ""))))))))))))))))))))</f>
        <v>True Semantic</v>
      </c>
      <c r="Q1402" s="13" t="str">
        <f>IF(NOT(ISERR(SEARCH("*_Buggy",$A1402))), "Buggy", IF(NOT(ISERR(SEARCH("*_Fixed",$A1402))), "Fixed", IF(NOT(ISERR(SEARCH("*_Repaired",$A1402))), "Repaired", "")))</f>
        <v>Repaired</v>
      </c>
      <c r="R1402" s="13" t="s">
        <v>1669</v>
      </c>
      <c r="S1402" s="25">
        <v>2</v>
      </c>
      <c r="T1402" s="25">
        <v>2</v>
      </c>
      <c r="U1402" s="25">
        <v>5</v>
      </c>
      <c r="V1402" s="13">
        <v>5</v>
      </c>
      <c r="W1402" s="13" t="str">
        <f>MID(A1402, SEARCH("_", A1402) +1, SEARCH("_", A1402, SEARCH("_", A1402) +1) - SEARCH("_", A1402) -1)</f>
        <v>Lang-58</v>
      </c>
      <c r="Y1402" t="str">
        <f>IF(AND($S877=1,$S1402=1,$V877=1,$V1402=1), "YES", "NO")</f>
        <v>NO</v>
      </c>
      <c r="Z1402" t="str">
        <f>IF(AND($S877=1,$S1402=1,$V877&gt;1,$V1402&gt;1), "YES", "NO")</f>
        <v>NO</v>
      </c>
      <c r="AA1402" t="str">
        <f>IF(AND($S877&gt;1,$S1402&gt;1,$S877=$V877,$S1402=$V1402), "YES", "NO")</f>
        <v>NO</v>
      </c>
      <c r="AB1402" t="str">
        <f>IF(AND($S877&gt;1,$S1402&gt;1,$S877&lt;$V877,$S1402&lt;$V1402), "YES", "NO")</f>
        <v>NO</v>
      </c>
      <c r="AC1402" t="str">
        <f>IF(AND($V877&gt;10,$V1402&gt;10), "YES", "NO")</f>
        <v>NO</v>
      </c>
      <c r="AD1402"/>
    </row>
    <row r="1403" spans="1:30" ht="15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>LEFT($A1403,FIND("_",$A1403)-1)</f>
        <v>Nopol</v>
      </c>
      <c r="P1403" s="13" t="str">
        <f>IF($O1403="ACS", "True Search", IF($O1403="Arja", "Evolutionary Search", IF($O1403="AVATAR", "True Pattern", IF($O1403="CapGen", "Search Like Pattern", IF($O1403="Cardumen", "True Semantic", IF($O1403="DynaMoth", "True Semantic", IF($O1403="FixMiner", "True Pattern", IF($O1403="GenProg-A", "Evolutionary Search", IF($O1403="Hercules", "Learning Pattern", IF($O1403="Jaid", "True Semantic",
IF($O1403="Kali-A", "True Search", IF($O1403="kPAR", "True Pattern", IF($O1403="Nopol", "True Semantic", IF($O1403="RSRepair-A", "Evolutionary Search", IF($O1403="SequenceR", "Deep Learning", IF($O1403="SimFix", "Search Like Pattern", IF($O1403="SketchFix", "True Pattern", IF($O1403="SOFix", "True Pattern", IF($O1403="ssFix", "Search Like Pattern", IF($O1403="TBar", "True Pattern", ""))))))))))))))))))))</f>
        <v>True Semantic</v>
      </c>
      <c r="Q1403" s="13" t="str">
        <f>IF(NOT(ISERR(SEARCH("*_Buggy",$A1403))), "Buggy", IF(NOT(ISERR(SEARCH("*_Fixed",$A1403))), "Fixed", IF(NOT(ISERR(SEARCH("*_Repaired",$A1403))), "Repaired", "")))</f>
        <v>Repaired</v>
      </c>
      <c r="R1403" s="13" t="s">
        <v>1669</v>
      </c>
      <c r="S1403" s="25">
        <v>1</v>
      </c>
      <c r="T1403" s="25">
        <v>3</v>
      </c>
      <c r="U1403" s="25">
        <v>1</v>
      </c>
      <c r="V1403" s="13">
        <v>3</v>
      </c>
      <c r="W1403" s="13" t="str">
        <f>MID(A1403, SEARCH("_", A1403) +1, SEARCH("_", A1403, SEARCH("_", A1403) +1) - SEARCH("_", A1403) -1)</f>
        <v>Math-105</v>
      </c>
      <c r="Y1403" t="str">
        <f>IF(AND($S878=1,$S1403=1,$V878=1,$V1403=1), "YES", "NO")</f>
        <v>NO</v>
      </c>
      <c r="Z1403" t="str">
        <f>IF(AND($S878=1,$S1403=1,$V878&gt;1,$V1403&gt;1), "YES", "NO")</f>
        <v>NO</v>
      </c>
      <c r="AA1403" t="str">
        <f>IF(AND($S878&gt;1,$S1403&gt;1,$S878=$V878,$S1403=$V1403), "YES", "NO")</f>
        <v>NO</v>
      </c>
      <c r="AB1403" t="str">
        <f>IF(AND($S878&gt;1,$S1403&gt;1,$S878&lt;$V878,$S1403&lt;$V1403), "YES", "NO")</f>
        <v>NO</v>
      </c>
      <c r="AC1403" t="str">
        <f>IF(AND($V878&gt;10,$V1403&gt;10), "YES", "NO")</f>
        <v>NO</v>
      </c>
      <c r="AD1403"/>
    </row>
    <row r="1404" spans="1:30" ht="15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>LEFT($A1404,FIND("_",$A1404)-1)</f>
        <v>Nopol</v>
      </c>
      <c r="P1404" s="13" t="str">
        <f>IF($O1404="ACS", "True Search", IF($O1404="Arja", "Evolutionary Search", IF($O1404="AVATAR", "True Pattern", IF($O1404="CapGen", "Search Like Pattern", IF($O1404="Cardumen", "True Semantic", IF($O1404="DynaMoth", "True Semantic", IF($O1404="FixMiner", "True Pattern", IF($O1404="GenProg-A", "Evolutionary Search", IF($O1404="Hercules", "Learning Pattern", IF($O1404="Jaid", "True Semantic",
IF($O1404="Kali-A", "True Search", IF($O1404="kPAR", "True Pattern", IF($O1404="Nopol", "True Semantic", IF($O1404="RSRepair-A", "Evolutionary Search", IF($O1404="SequenceR", "Deep Learning", IF($O1404="SimFix", "Search Like Pattern", IF($O1404="SketchFix", "True Pattern", IF($O1404="SOFix", "True Pattern", IF($O1404="ssFix", "Search Like Pattern", IF($O1404="TBar", "True Pattern", ""))))))))))))))))))))</f>
        <v>True Semantic</v>
      </c>
      <c r="Q1404" s="13" t="str">
        <f>IF(NOT(ISERR(SEARCH("*_Buggy",$A1404))), "Buggy", IF(NOT(ISERR(SEARCH("*_Fixed",$A1404))), "Fixed", IF(NOT(ISERR(SEARCH("*_Repaired",$A1404))), "Repaired", "")))</f>
        <v>Repaired</v>
      </c>
      <c r="R1404" s="13" t="s">
        <v>1669</v>
      </c>
      <c r="S1404" s="25">
        <v>1</v>
      </c>
      <c r="T1404" s="25">
        <v>3</v>
      </c>
      <c r="U1404" s="25">
        <v>1</v>
      </c>
      <c r="V1404" s="13">
        <v>3</v>
      </c>
      <c r="W1404" s="13" t="str">
        <f>MID(A1404, SEARCH("_", A1404) +1, SEARCH("_", A1404, SEARCH("_", A1404) +1) - SEARCH("_", A1404) -1)</f>
        <v>Math-18</v>
      </c>
      <c r="Y1404" t="str">
        <f>IF(AND($S879=1,$S1404=1,$V879=1,$V1404=1), "YES", "NO")</f>
        <v>NO</v>
      </c>
      <c r="Z1404" t="str">
        <f>IF(AND($S879=1,$S1404=1,$V879&gt;1,$V1404&gt;1), "YES", "NO")</f>
        <v>NO</v>
      </c>
      <c r="AA1404" t="str">
        <f>IF(AND($S879&gt;1,$S1404&gt;1,$S879=$V879,$S1404=$V1404), "YES", "NO")</f>
        <v>NO</v>
      </c>
      <c r="AB1404" t="str">
        <f>IF(AND($S879&gt;1,$S1404&gt;1,$S879&lt;$V879,$S1404&lt;$V1404), "YES", "NO")</f>
        <v>NO</v>
      </c>
      <c r="AC1404" t="str">
        <f>IF(AND($V879&gt;10,$V1404&gt;10), "YES", "NO")</f>
        <v>NO</v>
      </c>
      <c r="AD1404"/>
    </row>
    <row r="1405" spans="1:30" ht="15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>LEFT($A1405,FIND("_",$A1405)-1)</f>
        <v>Nopol</v>
      </c>
      <c r="P1405" s="13" t="str">
        <f>IF($O1405="ACS", "True Search", IF($O1405="Arja", "Evolutionary Search", IF($O1405="AVATAR", "True Pattern", IF($O1405="CapGen", "Search Like Pattern", IF($O1405="Cardumen", "True Semantic", IF($O1405="DynaMoth", "True Semantic", IF($O1405="FixMiner", "True Pattern", IF($O1405="GenProg-A", "Evolutionary Search", IF($O1405="Hercules", "Learning Pattern", IF($O1405="Jaid", "True Semantic",
IF($O1405="Kali-A", "True Search", IF($O1405="kPAR", "True Pattern", IF($O1405="Nopol", "True Semantic", IF($O1405="RSRepair-A", "Evolutionary Search", IF($O1405="SequenceR", "Deep Learning", IF($O1405="SimFix", "Search Like Pattern", IF($O1405="SketchFix", "True Pattern", IF($O1405="SOFix", "True Pattern", IF($O1405="ssFix", "Search Like Pattern", IF($O1405="TBar", "True Pattern", ""))))))))))))))))))))</f>
        <v>True Semantic</v>
      </c>
      <c r="Q1405" s="13" t="str">
        <f>IF(NOT(ISERR(SEARCH("*_Buggy",$A1405))), "Buggy", IF(NOT(ISERR(SEARCH("*_Fixed",$A1405))), "Fixed", IF(NOT(ISERR(SEARCH("*_Repaired",$A1405))), "Repaired", "")))</f>
        <v>Repaired</v>
      </c>
      <c r="R1405" s="13" t="s">
        <v>1669</v>
      </c>
      <c r="S1405" s="25">
        <v>1</v>
      </c>
      <c r="T1405" s="25">
        <v>3</v>
      </c>
      <c r="U1405" s="25">
        <v>1</v>
      </c>
      <c r="V1405" s="13">
        <v>3</v>
      </c>
      <c r="W1405" s="13" t="str">
        <f>MID(A1405, SEARCH("_", A1405) +1, SEARCH("_", A1405, SEARCH("_", A1405) +1) - SEARCH("_", A1405) -1)</f>
        <v>Math-20</v>
      </c>
      <c r="Y1405" t="str">
        <f>IF(AND($S880=1,$S1405=1,$V880=1,$V1405=1), "YES", "NO")</f>
        <v>NO</v>
      </c>
      <c r="Z1405" t="str">
        <f>IF(AND($S880=1,$S1405=1,$V880&gt;1,$V1405&gt;1), "YES", "NO")</f>
        <v>YES</v>
      </c>
      <c r="AA1405" t="str">
        <f>IF(AND($S880&gt;1,$S1405&gt;1,$S880=$V880,$S1405=$V1405), "YES", "NO")</f>
        <v>NO</v>
      </c>
      <c r="AB1405" t="str">
        <f>IF(AND($S880&gt;1,$S1405&gt;1,$S880&lt;$V880,$S1405&lt;$V1405), "YES", "NO")</f>
        <v>NO</v>
      </c>
      <c r="AC1405" t="str">
        <f>IF(AND($V880&gt;10,$V1405&gt;10), "YES", "NO")</f>
        <v>NO</v>
      </c>
      <c r="AD1405"/>
    </row>
    <row r="1406" spans="1:30" ht="15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>LEFT($A1406,FIND("_",$A1406)-1)</f>
        <v>Nopol</v>
      </c>
      <c r="P1406" s="13" t="str">
        <f>IF($O1406="ACS", "True Search", IF($O1406="Arja", "Evolutionary Search", IF($O1406="AVATAR", "True Pattern", IF($O1406="CapGen", "Search Like Pattern", IF($O1406="Cardumen", "True Semantic", IF($O1406="DynaMoth", "True Semantic", IF($O1406="FixMiner", "True Pattern", IF($O1406="GenProg-A", "Evolutionary Search", IF($O1406="Hercules", "Learning Pattern", IF($O1406="Jaid", "True Semantic",
IF($O1406="Kali-A", "True Search", IF($O1406="kPAR", "True Pattern", IF($O1406="Nopol", "True Semantic", IF($O1406="RSRepair-A", "Evolutionary Search", IF($O1406="SequenceR", "Deep Learning", IF($O1406="SimFix", "Search Like Pattern", IF($O1406="SketchFix", "True Pattern", IF($O1406="SOFix", "True Pattern", IF($O1406="ssFix", "Search Like Pattern", IF($O1406="TBar", "True Pattern", ""))))))))))))))))))))</f>
        <v>True Semantic</v>
      </c>
      <c r="Q1406" s="13" t="str">
        <f>IF(NOT(ISERR(SEARCH("*_Buggy",$A1406))), "Buggy", IF(NOT(ISERR(SEARCH("*_Fixed",$A1406))), "Fixed", IF(NOT(ISERR(SEARCH("*_Repaired",$A1406))), "Repaired", "")))</f>
        <v>Repaired</v>
      </c>
      <c r="R1406" s="13" t="s">
        <v>1669</v>
      </c>
      <c r="S1406" s="25">
        <v>1</v>
      </c>
      <c r="T1406" s="25">
        <v>4</v>
      </c>
      <c r="U1406" s="25">
        <v>2</v>
      </c>
      <c r="V1406" s="13">
        <v>4</v>
      </c>
      <c r="W1406" s="13" t="str">
        <f>MID(A1406, SEARCH("_", A1406) +1, SEARCH("_", A1406, SEARCH("_", A1406) +1) - SEARCH("_", A1406) -1)</f>
        <v>Math-33</v>
      </c>
      <c r="Y1406" t="str">
        <f>IF(AND($S881=1,$S1406=1,$V881=1,$V1406=1), "YES", "NO")</f>
        <v>NO</v>
      </c>
      <c r="Z1406" t="str">
        <f>IF(AND($S881=1,$S1406=1,$V881&gt;1,$V1406&gt;1), "YES", "NO")</f>
        <v>NO</v>
      </c>
      <c r="AA1406" t="str">
        <f>IF(AND($S881&gt;1,$S1406&gt;1,$S881=$V881,$S1406=$V1406), "YES", "NO")</f>
        <v>NO</v>
      </c>
      <c r="AB1406" t="str">
        <f>IF(AND($S881&gt;1,$S1406&gt;1,$S881&lt;$V881,$S1406&lt;$V1406), "YES", "NO")</f>
        <v>NO</v>
      </c>
      <c r="AC1406" t="str">
        <f>IF(AND($V881&gt;10,$V1406&gt;10), "YES", "NO")</f>
        <v>NO</v>
      </c>
      <c r="AD1406"/>
    </row>
    <row r="1407" spans="1:30" ht="15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>LEFT($A1407,FIND("_",$A1407)-1)</f>
        <v>Nopol</v>
      </c>
      <c r="P1407" s="13" t="str">
        <f>IF($O1407="ACS", "True Search", IF($O1407="Arja", "Evolutionary Search", IF($O1407="AVATAR", "True Pattern", IF($O1407="CapGen", "Search Like Pattern", IF($O1407="Cardumen", "True Semantic", IF($O1407="DynaMoth", "True Semantic", IF($O1407="FixMiner", "True Pattern", IF($O1407="GenProg-A", "Evolutionary Search", IF($O1407="Hercules", "Learning Pattern", IF($O1407="Jaid", "True Semantic",
IF($O1407="Kali-A", "True Search", IF($O1407="kPAR", "True Pattern", IF($O1407="Nopol", "True Semantic", IF($O1407="RSRepair-A", "Evolutionary Search", IF($O1407="SequenceR", "Deep Learning", IF($O1407="SimFix", "Search Like Pattern", IF($O1407="SketchFix", "True Pattern", IF($O1407="SOFix", "True Pattern", IF($O1407="ssFix", "Search Like Pattern", IF($O1407="TBar", "True Pattern", ""))))))))))))))))))))</f>
        <v>True Semantic</v>
      </c>
      <c r="Q1407" s="13" t="str">
        <f>IF(NOT(ISERR(SEARCH("*_Buggy",$A1407))), "Buggy", IF(NOT(ISERR(SEARCH("*_Fixed",$A1407))), "Fixed", IF(NOT(ISERR(SEARCH("*_Repaired",$A1407))), "Repaired", "")))</f>
        <v>Repaired</v>
      </c>
      <c r="R1407" s="13" t="s">
        <v>1669</v>
      </c>
      <c r="S1407" s="25">
        <v>2</v>
      </c>
      <c r="T1407" s="25">
        <v>9</v>
      </c>
      <c r="U1407" s="25">
        <v>7</v>
      </c>
      <c r="V1407" s="13">
        <v>9</v>
      </c>
      <c r="W1407" s="13" t="str">
        <f>MID(A1407, SEARCH("_", A1407) +1, SEARCH("_", A1407, SEARCH("_", A1407) +1) - SEARCH("_", A1407) -1)</f>
        <v>Math-42</v>
      </c>
      <c r="Y1407" t="str">
        <f>IF(AND($S882=1,$S1407=1,$V882=1,$V1407=1), "YES", "NO")</f>
        <v>NO</v>
      </c>
      <c r="Z1407" t="str">
        <f>IF(AND($S882=1,$S1407=1,$V882&gt;1,$V1407&gt;1), "YES", "NO")</f>
        <v>NO</v>
      </c>
      <c r="AA1407" t="str">
        <f>IF(AND($S882&gt;1,$S1407&gt;1,$S882=$V882,$S1407=$V1407), "YES", "NO")</f>
        <v>NO</v>
      </c>
      <c r="AB1407" t="str">
        <f>IF(AND($S882&gt;1,$S1407&gt;1,$S882&lt;$V882,$S1407&lt;$V1407), "YES", "NO")</f>
        <v>YES</v>
      </c>
      <c r="AC1407" t="str">
        <f>IF(AND($V882&gt;10,$V1407&gt;10), "YES", "NO")</f>
        <v>NO</v>
      </c>
      <c r="AD1407"/>
    </row>
    <row r="1408" spans="1:30" ht="15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>LEFT($A1408,FIND("_",$A1408)-1)</f>
        <v>Nopol</v>
      </c>
      <c r="P1408" s="13" t="str">
        <f>IF($O1408="ACS", "True Search", IF($O1408="Arja", "Evolutionary Search", IF($O1408="AVATAR", "True Pattern", IF($O1408="CapGen", "Search Like Pattern", IF($O1408="Cardumen", "True Semantic", IF($O1408="DynaMoth", "True Semantic", IF($O1408="FixMiner", "True Pattern", IF($O1408="GenProg-A", "Evolutionary Search", IF($O1408="Hercules", "Learning Pattern", IF($O1408="Jaid", "True Semantic",
IF($O1408="Kali-A", "True Search", IF($O1408="kPAR", "True Pattern", IF($O1408="Nopol", "True Semantic", IF($O1408="RSRepair-A", "Evolutionary Search", IF($O1408="SequenceR", "Deep Learning", IF($O1408="SimFix", "Search Like Pattern", IF($O1408="SketchFix", "True Pattern", IF($O1408="SOFix", "True Pattern", IF($O1408="ssFix", "Search Like Pattern", IF($O1408="TBar", "True Pattern", ""))))))))))))))))))))</f>
        <v>True Semantic</v>
      </c>
      <c r="Q1408" s="13" t="str">
        <f>IF(NOT(ISERR(SEARCH("*_Buggy",$A1408))), "Buggy", IF(NOT(ISERR(SEARCH("*_Fixed",$A1408))), "Fixed", IF(NOT(ISERR(SEARCH("*_Repaired",$A1408))), "Repaired", "")))</f>
        <v>Repaired</v>
      </c>
      <c r="R1408" s="13" t="s">
        <v>1669</v>
      </c>
      <c r="S1408" s="25">
        <v>1</v>
      </c>
      <c r="T1408" s="25">
        <v>6</v>
      </c>
      <c r="U1408" s="25">
        <v>2</v>
      </c>
      <c r="V1408" s="13">
        <v>6</v>
      </c>
      <c r="W1408" s="13" t="str">
        <f>MID(A1408, SEARCH("_", A1408) +1, SEARCH("_", A1408, SEARCH("_", A1408) +1) - SEARCH("_", A1408) -1)</f>
        <v>Math-49</v>
      </c>
      <c r="Y1408" t="str">
        <f>IF(AND($S883=1,$S1408=1,$V883=1,$V1408=1), "YES", "NO")</f>
        <v>NO</v>
      </c>
      <c r="Z1408" t="str">
        <f>IF(AND($S883=1,$S1408=1,$V883&gt;1,$V1408&gt;1), "YES", "NO")</f>
        <v>NO</v>
      </c>
      <c r="AA1408" t="str">
        <f>IF(AND($S883&gt;1,$S1408&gt;1,$S883=$V883,$S1408=$V1408), "YES", "NO")</f>
        <v>NO</v>
      </c>
      <c r="AB1408" t="str">
        <f>IF(AND($S883&gt;1,$S1408&gt;1,$S883&lt;$V883,$S1408&lt;$V1408), "YES", "NO")</f>
        <v>NO</v>
      </c>
      <c r="AC1408" t="str">
        <f>IF(AND($V883&gt;10,$V1408&gt;10), "YES", "NO")</f>
        <v>NO</v>
      </c>
      <c r="AD1408"/>
    </row>
    <row r="1409" spans="1:30" ht="15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>LEFT($A1409,FIND("_",$A1409)-1)</f>
        <v>Nopol</v>
      </c>
      <c r="P1409" s="13" t="str">
        <f>IF($O1409="ACS", "True Search", IF($O1409="Arja", "Evolutionary Search", IF($O1409="AVATAR", "True Pattern", IF($O1409="CapGen", "Search Like Pattern", IF($O1409="Cardumen", "True Semantic", IF($O1409="DynaMoth", "True Semantic", IF($O1409="FixMiner", "True Pattern", IF($O1409="GenProg-A", "Evolutionary Search", IF($O1409="Hercules", "Learning Pattern", IF($O1409="Jaid", "True Semantic",
IF($O1409="Kali-A", "True Search", IF($O1409="kPAR", "True Pattern", IF($O1409="Nopol", "True Semantic", IF($O1409="RSRepair-A", "Evolutionary Search", IF($O1409="SequenceR", "Deep Learning", IF($O1409="SimFix", "Search Like Pattern", IF($O1409="SketchFix", "True Pattern", IF($O1409="SOFix", "True Pattern", IF($O1409="ssFix", "Search Like Pattern", IF($O1409="TBar", "True Pattern", ""))))))))))))))))))))</f>
        <v>True Semantic</v>
      </c>
      <c r="Q1409" s="13" t="str">
        <f>IF(NOT(ISERR(SEARCH("*_Buggy",$A1409))), "Buggy", IF(NOT(ISERR(SEARCH("*_Fixed",$A1409))), "Fixed", IF(NOT(ISERR(SEARCH("*_Repaired",$A1409))), "Repaired", "")))</f>
        <v>Repaired</v>
      </c>
      <c r="R1409" s="13" t="s">
        <v>1668</v>
      </c>
      <c r="S1409" s="25">
        <v>1</v>
      </c>
      <c r="T1409" s="25">
        <v>5</v>
      </c>
      <c r="U1409" s="25">
        <v>3</v>
      </c>
      <c r="V1409" s="13">
        <v>5</v>
      </c>
      <c r="W1409" s="13" t="str">
        <f>MID(A1409, SEARCH("_", A1409) +1, SEARCH("_", A1409, SEARCH("_", A1409) +1) - SEARCH("_", A1409) -1)</f>
        <v>Math-50</v>
      </c>
      <c r="Y1409" t="str">
        <f>IF(AND($S884=1,$S1409=1,$V884=1,$V1409=1), "YES", "NO")</f>
        <v>NO</v>
      </c>
      <c r="Z1409" t="str">
        <f>IF(AND($S884=1,$S1409=1,$V884&gt;1,$V1409&gt;1), "YES", "NO")</f>
        <v>YES</v>
      </c>
      <c r="AA1409" t="str">
        <f>IF(AND($S884&gt;1,$S1409&gt;1,$S884=$V884,$S1409=$V1409), "YES", "NO")</f>
        <v>NO</v>
      </c>
      <c r="AB1409" t="str">
        <f>IF(AND($S884&gt;1,$S1409&gt;1,$S884&lt;$V884,$S1409&lt;$V1409), "YES", "NO")</f>
        <v>NO</v>
      </c>
      <c r="AC1409" t="str">
        <f>IF(AND($V884&gt;10,$V1409&gt;10), "YES", "NO")</f>
        <v>NO</v>
      </c>
      <c r="AD1409"/>
    </row>
    <row r="1410" spans="1:30" ht="15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>LEFT($A1410,FIND("_",$A1410)-1)</f>
        <v>Nopol</v>
      </c>
      <c r="P1410" s="13" t="str">
        <f>IF($O1410="ACS", "True Search", IF($O1410="Arja", "Evolutionary Search", IF($O1410="AVATAR", "True Pattern", IF($O1410="CapGen", "Search Like Pattern", IF($O1410="Cardumen", "True Semantic", IF($O1410="DynaMoth", "True Semantic", IF($O1410="FixMiner", "True Pattern", IF($O1410="GenProg-A", "Evolutionary Search", IF($O1410="Hercules", "Learning Pattern", IF($O1410="Jaid", "True Semantic",
IF($O1410="Kali-A", "True Search", IF($O1410="kPAR", "True Pattern", IF($O1410="Nopol", "True Semantic", IF($O1410="RSRepair-A", "Evolutionary Search", IF($O1410="SequenceR", "Deep Learning", IF($O1410="SimFix", "Search Like Pattern", IF($O1410="SketchFix", "True Pattern", IF($O1410="SOFix", "True Pattern", IF($O1410="ssFix", "Search Like Pattern", IF($O1410="TBar", "True Pattern", ""))))))))))))))))))))</f>
        <v>True Semantic</v>
      </c>
      <c r="Q1410" s="13" t="str">
        <f>IF(NOT(ISERR(SEARCH("*_Buggy",$A1410))), "Buggy", IF(NOT(ISERR(SEARCH("*_Fixed",$A1410))), "Fixed", IF(NOT(ISERR(SEARCH("*_Repaired",$A1410))), "Repaired", "")))</f>
        <v>Repaired</v>
      </c>
      <c r="R1410" s="13" t="s">
        <v>1669</v>
      </c>
      <c r="S1410" s="25">
        <v>2</v>
      </c>
      <c r="T1410" s="25">
        <v>8</v>
      </c>
      <c r="U1410" s="25">
        <v>6</v>
      </c>
      <c r="V1410" s="13">
        <v>9</v>
      </c>
      <c r="W1410" s="13" t="str">
        <f>MID(A1410, SEARCH("_", A1410) +1, SEARCH("_", A1410, SEARCH("_", A1410) +1) - SEARCH("_", A1410) -1)</f>
        <v>Math-69</v>
      </c>
      <c r="Y1410" t="str">
        <f>IF(AND($S885=1,$S1410=1,$V885=1,$V1410=1), "YES", "NO")</f>
        <v>NO</v>
      </c>
      <c r="Z1410" t="str">
        <f>IF(AND($S885=1,$S1410=1,$V885&gt;1,$V1410&gt;1), "YES", "NO")</f>
        <v>NO</v>
      </c>
      <c r="AA1410" t="str">
        <f>IF(AND($S885&gt;1,$S1410&gt;1,$S885=$V885,$S1410=$V1410), "YES", "NO")</f>
        <v>NO</v>
      </c>
      <c r="AB1410" t="str">
        <f>IF(AND($S885&gt;1,$S1410&gt;1,$S885&lt;$V885,$S1410&lt;$V1410), "YES", "NO")</f>
        <v>NO</v>
      </c>
      <c r="AC1410" t="str">
        <f>IF(AND($V885&gt;10,$V1410&gt;10), "YES", "NO")</f>
        <v>NO</v>
      </c>
      <c r="AD1410"/>
    </row>
    <row r="1411" spans="1:30" ht="15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>LEFT($A1411,FIND("_",$A1411)-1)</f>
        <v>Nopol</v>
      </c>
      <c r="P1411" s="13" t="str">
        <f>IF($O1411="ACS", "True Search", IF($O1411="Arja", "Evolutionary Search", IF($O1411="AVATAR", "True Pattern", IF($O1411="CapGen", "Search Like Pattern", IF($O1411="Cardumen", "True Semantic", IF($O1411="DynaMoth", "True Semantic", IF($O1411="FixMiner", "True Pattern", IF($O1411="GenProg-A", "Evolutionary Search", IF($O1411="Hercules", "Learning Pattern", IF($O1411="Jaid", "True Semantic",
IF($O1411="Kali-A", "True Search", IF($O1411="kPAR", "True Pattern", IF($O1411="Nopol", "True Semantic", IF($O1411="RSRepair-A", "Evolutionary Search", IF($O1411="SequenceR", "Deep Learning", IF($O1411="SimFix", "Search Like Pattern", IF($O1411="SketchFix", "True Pattern", IF($O1411="SOFix", "True Pattern", IF($O1411="ssFix", "Search Like Pattern", IF($O1411="TBar", "True Pattern", ""))))))))))))))))))))</f>
        <v>True Semantic</v>
      </c>
      <c r="Q1411" s="13" t="str">
        <f>IF(NOT(ISERR(SEARCH("*_Buggy",$A1411))), "Buggy", IF(NOT(ISERR(SEARCH("*_Fixed",$A1411))), "Fixed", IF(NOT(ISERR(SEARCH("*_Repaired",$A1411))), "Repaired", "")))</f>
        <v>Repaired</v>
      </c>
      <c r="R1411" s="13" t="s">
        <v>1669</v>
      </c>
      <c r="S1411" s="25">
        <v>1</v>
      </c>
      <c r="T1411" s="25">
        <v>3</v>
      </c>
      <c r="U1411" s="25">
        <v>1</v>
      </c>
      <c r="V1411" s="13">
        <v>3</v>
      </c>
      <c r="W1411" s="13" t="str">
        <f>MID(A1411, SEARCH("_", A1411) +1, SEARCH("_", A1411, SEARCH("_", A1411) +1) - SEARCH("_", A1411) -1)</f>
        <v>Math-7</v>
      </c>
      <c r="Y1411" t="str">
        <f>IF(AND($S886=1,$S1411=1,$V886=1,$V1411=1), "YES", "NO")</f>
        <v>NO</v>
      </c>
      <c r="Z1411" t="str">
        <f>IF(AND($S886=1,$S1411=1,$V886&gt;1,$V1411&gt;1), "YES", "NO")</f>
        <v>NO</v>
      </c>
      <c r="AA1411" t="str">
        <f>IF(AND($S886&gt;1,$S1411&gt;1,$S886=$V886,$S1411=$V1411), "YES", "NO")</f>
        <v>NO</v>
      </c>
      <c r="AB1411" t="str">
        <f>IF(AND($S886&gt;1,$S1411&gt;1,$S886&lt;$V886,$S1411&lt;$V1411), "YES", "NO")</f>
        <v>NO</v>
      </c>
      <c r="AC1411" t="str">
        <f>IF(AND($V886&gt;10,$V1411&gt;10), "YES", "NO")</f>
        <v>NO</v>
      </c>
      <c r="AD1411"/>
    </row>
    <row r="1412" spans="1:30" ht="15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>LEFT($A1412,FIND("_",$A1412)-1)</f>
        <v>Nopol</v>
      </c>
      <c r="P1412" s="13" t="str">
        <f>IF($O1412="ACS", "True Search", IF($O1412="Arja", "Evolutionary Search", IF($O1412="AVATAR", "True Pattern", IF($O1412="CapGen", "Search Like Pattern", IF($O1412="Cardumen", "True Semantic", IF($O1412="DynaMoth", "True Semantic", IF($O1412="FixMiner", "True Pattern", IF($O1412="GenProg-A", "Evolutionary Search", IF($O1412="Hercules", "Learning Pattern", IF($O1412="Jaid", "True Semantic",
IF($O1412="Kali-A", "True Search", IF($O1412="kPAR", "True Pattern", IF($O1412="Nopol", "True Semantic", IF($O1412="RSRepair-A", "Evolutionary Search", IF($O1412="SequenceR", "Deep Learning", IF($O1412="SimFix", "Search Like Pattern", IF($O1412="SketchFix", "True Pattern", IF($O1412="SOFix", "True Pattern", IF($O1412="ssFix", "Search Like Pattern", IF($O1412="TBar", "True Pattern", ""))))))))))))))))))))</f>
        <v>True Semantic</v>
      </c>
      <c r="Q1412" s="13" t="str">
        <f>IF(NOT(ISERR(SEARCH("*_Buggy",$A1412))), "Buggy", IF(NOT(ISERR(SEARCH("*_Fixed",$A1412))), "Fixed", IF(NOT(ISERR(SEARCH("*_Repaired",$A1412))), "Repaired", "")))</f>
        <v>Repaired</v>
      </c>
      <c r="R1412" s="13" t="s">
        <v>1669</v>
      </c>
      <c r="S1412" s="25">
        <v>1</v>
      </c>
      <c r="T1412" s="25">
        <v>6</v>
      </c>
      <c r="U1412" s="25">
        <v>4</v>
      </c>
      <c r="V1412" s="13">
        <v>6</v>
      </c>
      <c r="W1412" s="13" t="str">
        <f>MID(A1412, SEARCH("_", A1412) +1, SEARCH("_", A1412, SEARCH("_", A1412) +1) - SEARCH("_", A1412) -1)</f>
        <v>Math-80</v>
      </c>
      <c r="Y1412" t="str">
        <f>IF(AND($S887=1,$S1412=1,$V887=1,$V1412=1), "YES", "NO")</f>
        <v>NO</v>
      </c>
      <c r="Z1412" t="str">
        <f>IF(AND($S887=1,$S1412=1,$V887&gt;1,$V1412&gt;1), "YES", "NO")</f>
        <v>NO</v>
      </c>
      <c r="AA1412" t="str">
        <f>IF(AND($S887&gt;1,$S1412&gt;1,$S887=$V887,$S1412=$V1412), "YES", "NO")</f>
        <v>NO</v>
      </c>
      <c r="AB1412" t="str">
        <f>IF(AND($S887&gt;1,$S1412&gt;1,$S887&lt;$V887,$S1412&lt;$V1412), "YES", "NO")</f>
        <v>NO</v>
      </c>
      <c r="AC1412" t="str">
        <f>IF(AND($V887&gt;10,$V1412&gt;10), "YES", "NO")</f>
        <v>NO</v>
      </c>
      <c r="AD1412"/>
    </row>
    <row r="1413" spans="1:30" ht="15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>LEFT($A1413,FIND("_",$A1413)-1)</f>
        <v>Nopol</v>
      </c>
      <c r="P1413" s="13" t="str">
        <f>IF($O1413="ACS", "True Search", IF($O1413="Arja", "Evolutionary Search", IF($O1413="AVATAR", "True Pattern", IF($O1413="CapGen", "Search Like Pattern", IF($O1413="Cardumen", "True Semantic", IF($O1413="DynaMoth", "True Semantic", IF($O1413="FixMiner", "True Pattern", IF($O1413="GenProg-A", "Evolutionary Search", IF($O1413="Hercules", "Learning Pattern", IF($O1413="Jaid", "True Semantic",
IF($O1413="Kali-A", "True Search", IF($O1413="kPAR", "True Pattern", IF($O1413="Nopol", "True Semantic", IF($O1413="RSRepair-A", "Evolutionary Search", IF($O1413="SequenceR", "Deep Learning", IF($O1413="SimFix", "Search Like Pattern", IF($O1413="SketchFix", "True Pattern", IF($O1413="SOFix", "True Pattern", IF($O1413="ssFix", "Search Like Pattern", IF($O1413="TBar", "True Pattern", ""))))))))))))))))))))</f>
        <v>True Semantic</v>
      </c>
      <c r="Q1413" s="13" t="str">
        <f>IF(NOT(ISERR(SEARCH("*_Buggy",$A1413))), "Buggy", IF(NOT(ISERR(SEARCH("*_Fixed",$A1413))), "Fixed", IF(NOT(ISERR(SEARCH("*_Repaired",$A1413))), "Repaired", "")))</f>
        <v>Repaired</v>
      </c>
      <c r="R1413" s="13" t="s">
        <v>1669</v>
      </c>
      <c r="S1413" s="25">
        <v>1</v>
      </c>
      <c r="T1413" s="25">
        <v>3</v>
      </c>
      <c r="U1413" s="25">
        <v>1</v>
      </c>
      <c r="V1413" s="13">
        <v>3</v>
      </c>
      <c r="W1413" s="13" t="str">
        <f>MID(A1413, SEARCH("_", A1413) +1, SEARCH("_", A1413, SEARCH("_", A1413) +1) - SEARCH("_", A1413) -1)</f>
        <v>Math-81</v>
      </c>
      <c r="Y1413" t="str">
        <f>IF(AND($S888=1,$S1413=1,$V888=1,$V1413=1), "YES", "NO")</f>
        <v>NO</v>
      </c>
      <c r="Z1413" t="str">
        <f>IF(AND($S888=1,$S1413=1,$V888&gt;1,$V1413&gt;1), "YES", "NO")</f>
        <v>NO</v>
      </c>
      <c r="AA1413" t="str">
        <f>IF(AND($S888&gt;1,$S1413&gt;1,$S888=$V888,$S1413=$V1413), "YES", "NO")</f>
        <v>NO</v>
      </c>
      <c r="AB1413" t="str">
        <f>IF(AND($S888&gt;1,$S1413&gt;1,$S888&lt;$V888,$S1413&lt;$V1413), "YES", "NO")</f>
        <v>NO</v>
      </c>
      <c r="AC1413" t="str">
        <f>IF(AND($V888&gt;10,$V1413&gt;10), "YES", "NO")</f>
        <v>NO</v>
      </c>
      <c r="AD1413"/>
    </row>
    <row r="1414" spans="1:30" ht="15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>LEFT($A1414,FIND("_",$A1414)-1)</f>
        <v>Nopol</v>
      </c>
      <c r="P1414" s="13" t="str">
        <f>IF($O1414="ACS", "True Search", IF($O1414="Arja", "Evolutionary Search", IF($O1414="AVATAR", "True Pattern", IF($O1414="CapGen", "Search Like Pattern", IF($O1414="Cardumen", "True Semantic", IF($O1414="DynaMoth", "True Semantic", IF($O1414="FixMiner", "True Pattern", IF($O1414="GenProg-A", "Evolutionary Search", IF($O1414="Hercules", "Learning Pattern", IF($O1414="Jaid", "True Semantic",
IF($O1414="Kali-A", "True Search", IF($O1414="kPAR", "True Pattern", IF($O1414="Nopol", "True Semantic", IF($O1414="RSRepair-A", "Evolutionary Search", IF($O1414="SequenceR", "Deep Learning", IF($O1414="SimFix", "Search Like Pattern", IF($O1414="SketchFix", "True Pattern", IF($O1414="SOFix", "True Pattern", IF($O1414="ssFix", "Search Like Pattern", IF($O1414="TBar", "True Pattern", ""))))))))))))))))))))</f>
        <v>True Semantic</v>
      </c>
      <c r="Q1414" s="13" t="str">
        <f>IF(NOT(ISERR(SEARCH("*_Buggy",$A1414))), "Buggy", IF(NOT(ISERR(SEARCH("*_Fixed",$A1414))), "Fixed", IF(NOT(ISERR(SEARCH("*_Repaired",$A1414))), "Repaired", "")))</f>
        <v>Repaired</v>
      </c>
      <c r="R1414" s="13" t="s">
        <v>1669</v>
      </c>
      <c r="S1414" s="25">
        <v>1</v>
      </c>
      <c r="T1414" s="25">
        <v>3</v>
      </c>
      <c r="U1414" s="25">
        <v>1</v>
      </c>
      <c r="V1414" s="13">
        <v>3</v>
      </c>
      <c r="W1414" s="13" t="str">
        <f>MID(A1414, SEARCH("_", A1414) +1, SEARCH("_", A1414, SEARCH("_", A1414) +1) - SEARCH("_", A1414) -1)</f>
        <v>Math-82</v>
      </c>
      <c r="Y1414" t="str">
        <f>IF(AND($S889=1,$S1414=1,$V889=1,$V1414=1), "YES", "NO")</f>
        <v>NO</v>
      </c>
      <c r="Z1414" t="str">
        <f>IF(AND($S889=1,$S1414=1,$V889&gt;1,$V1414&gt;1), "YES", "NO")</f>
        <v>NO</v>
      </c>
      <c r="AA1414" t="str">
        <f>IF(AND($S889&gt;1,$S1414&gt;1,$S889=$V889,$S1414=$V1414), "YES", "NO")</f>
        <v>NO</v>
      </c>
      <c r="AB1414" t="str">
        <f>IF(AND($S889&gt;1,$S1414&gt;1,$S889&lt;$V889,$S1414&lt;$V1414), "YES", "NO")</f>
        <v>NO</v>
      </c>
      <c r="AC1414" t="str">
        <f>IF(AND($V889&gt;10,$V1414&gt;10), "YES", "NO")</f>
        <v>NO</v>
      </c>
      <c r="AD1414"/>
    </row>
    <row r="1415" spans="1:30" ht="15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>LEFT($A1415,FIND("_",$A1415)-1)</f>
        <v>Nopol</v>
      </c>
      <c r="P1415" s="13" t="str">
        <f>IF($O1415="ACS", "True Search", IF($O1415="Arja", "Evolutionary Search", IF($O1415="AVATAR", "True Pattern", IF($O1415="CapGen", "Search Like Pattern", IF($O1415="Cardumen", "True Semantic", IF($O1415="DynaMoth", "True Semantic", IF($O1415="FixMiner", "True Pattern", IF($O1415="GenProg-A", "Evolutionary Search", IF($O1415="Hercules", "Learning Pattern", IF($O1415="Jaid", "True Semantic",
IF($O1415="Kali-A", "True Search", IF($O1415="kPAR", "True Pattern", IF($O1415="Nopol", "True Semantic", IF($O1415="RSRepair-A", "Evolutionary Search", IF($O1415="SequenceR", "Deep Learning", IF($O1415="SimFix", "Search Like Pattern", IF($O1415="SketchFix", "True Pattern", IF($O1415="SOFix", "True Pattern", IF($O1415="ssFix", "Search Like Pattern", IF($O1415="TBar", "True Pattern", ""))))))))))))))))))))</f>
        <v>True Semantic</v>
      </c>
      <c r="Q1415" s="13" t="str">
        <f>IF(NOT(ISERR(SEARCH("*_Buggy",$A1415))), "Buggy", IF(NOT(ISERR(SEARCH("*_Fixed",$A1415))), "Fixed", IF(NOT(ISERR(SEARCH("*_Repaired",$A1415))), "Repaired", "")))</f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v>6</v>
      </c>
      <c r="W1415" s="13" t="str">
        <f>MID(A1415, SEARCH("_", A1415) +1, SEARCH("_", A1415, SEARCH("_", A1415) +1) - SEARCH("_", A1415) -1)</f>
        <v>Math-85</v>
      </c>
      <c r="Y1415" t="str">
        <f>IF(AND($S890=1,$S1415=1,$V890=1,$V1415=1), "YES", "NO")</f>
        <v>NO</v>
      </c>
      <c r="Z1415" t="str">
        <f>IF(AND($S890=1,$S1415=1,$V890&gt;1,$V1415&gt;1), "YES", "NO")</f>
        <v>NO</v>
      </c>
      <c r="AA1415" t="str">
        <f>IF(AND($S890&gt;1,$S1415&gt;1,$S890=$V890,$S1415=$V1415), "YES", "NO")</f>
        <v>NO</v>
      </c>
      <c r="AB1415" t="str">
        <f>IF(AND($S890&gt;1,$S1415&gt;1,$S890&lt;$V890,$S1415&lt;$V1415), "YES", "NO")</f>
        <v>NO</v>
      </c>
      <c r="AC1415" t="str">
        <f>IF(AND($V890&gt;10,$V1415&gt;10), "YES", "NO")</f>
        <v>NO</v>
      </c>
      <c r="AD1415"/>
    </row>
    <row r="1416" spans="1:30" ht="15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>LEFT($A1416,FIND("_",$A1416)-1)</f>
        <v>Nopol</v>
      </c>
      <c r="P1416" s="13" t="str">
        <f>IF($O1416="ACS", "True Search", IF($O1416="Arja", "Evolutionary Search", IF($O1416="AVATAR", "True Pattern", IF($O1416="CapGen", "Search Like Pattern", IF($O1416="Cardumen", "True Semantic", IF($O1416="DynaMoth", "True Semantic", IF($O1416="FixMiner", "True Pattern", IF($O1416="GenProg-A", "Evolutionary Search", IF($O1416="Hercules", "Learning Pattern", IF($O1416="Jaid", "True Semantic",
IF($O1416="Kali-A", "True Search", IF($O1416="kPAR", "True Pattern", IF($O1416="Nopol", "True Semantic", IF($O1416="RSRepair-A", "Evolutionary Search", IF($O1416="SequenceR", "Deep Learning", IF($O1416="SimFix", "Search Like Pattern", IF($O1416="SketchFix", "True Pattern", IF($O1416="SOFix", "True Pattern", IF($O1416="ssFix", "Search Like Pattern", IF($O1416="TBar", "True Pattern", ""))))))))))))))))))))</f>
        <v>True Semantic</v>
      </c>
      <c r="Q1416" s="13" t="str">
        <f>IF(NOT(ISERR(SEARCH("*_Buggy",$A1416))), "Buggy", IF(NOT(ISERR(SEARCH("*_Fixed",$A1416))), "Fixed", IF(NOT(ISERR(SEARCH("*_Repaired",$A1416))), "Repaired", "")))</f>
        <v>Repaired</v>
      </c>
      <c r="R1416" s="13" t="s">
        <v>1669</v>
      </c>
      <c r="S1416" s="25">
        <v>2</v>
      </c>
      <c r="T1416" s="25">
        <v>3</v>
      </c>
      <c r="U1416" s="25">
        <v>1</v>
      </c>
      <c r="V1416" s="13">
        <v>3</v>
      </c>
      <c r="W1416" s="13" t="str">
        <f>MID(A1416, SEARCH("_", A1416) +1, SEARCH("_", A1416, SEARCH("_", A1416) +1) - SEARCH("_", A1416) -1)</f>
        <v>Math-87</v>
      </c>
      <c r="Y1416" t="str">
        <f>IF(AND($S891=1,$S1416=1,$V891=1,$V1416=1), "YES", "NO")</f>
        <v>NO</v>
      </c>
      <c r="Z1416" t="str">
        <f>IF(AND($S891=1,$S1416=1,$V891&gt;1,$V1416&gt;1), "YES", "NO")</f>
        <v>NO</v>
      </c>
      <c r="AA1416" t="str">
        <f>IF(AND($S891&gt;1,$S1416&gt;1,$S891=$V891,$S1416=$V1416), "YES", "NO")</f>
        <v>NO</v>
      </c>
      <c r="AB1416" t="str">
        <f>IF(AND($S891&gt;1,$S1416&gt;1,$S891&lt;$V891,$S1416&lt;$V1416), "YES", "NO")</f>
        <v>YES</v>
      </c>
      <c r="AC1416" t="str">
        <f>IF(AND($V891&gt;10,$V1416&gt;10), "YES", "NO")</f>
        <v>NO</v>
      </c>
      <c r="AD1416"/>
    </row>
    <row r="1417" spans="1:30" ht="15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>LEFT($A1417,FIND("_",$A1417)-1)</f>
        <v>Nopol</v>
      </c>
      <c r="P1417" s="13" t="str">
        <f>IF($O1417="ACS", "True Search", IF($O1417="Arja", "Evolutionary Search", IF($O1417="AVATAR", "True Pattern", IF($O1417="CapGen", "Search Like Pattern", IF($O1417="Cardumen", "True Semantic", IF($O1417="DynaMoth", "True Semantic", IF($O1417="FixMiner", "True Pattern", IF($O1417="GenProg-A", "Evolutionary Search", IF($O1417="Hercules", "Learning Pattern", IF($O1417="Jaid", "True Semantic",
IF($O1417="Kali-A", "True Search", IF($O1417="kPAR", "True Pattern", IF($O1417="Nopol", "True Semantic", IF($O1417="RSRepair-A", "Evolutionary Search", IF($O1417="SequenceR", "Deep Learning", IF($O1417="SimFix", "Search Like Pattern", IF($O1417="SketchFix", "True Pattern", IF($O1417="SOFix", "True Pattern", IF($O1417="ssFix", "Search Like Pattern", IF($O1417="TBar", "True Pattern", ""))))))))))))))))))))</f>
        <v>True Semantic</v>
      </c>
      <c r="Q1417" s="13" t="str">
        <f>IF(NOT(ISERR(SEARCH("*_Buggy",$A1417))), "Buggy", IF(NOT(ISERR(SEARCH("*_Fixed",$A1417))), "Fixed", IF(NOT(ISERR(SEARCH("*_Repaired",$A1417))), "Repaired", "")))</f>
        <v>Repaired</v>
      </c>
      <c r="R1417" s="13" t="s">
        <v>1669</v>
      </c>
      <c r="S1417" s="25">
        <v>1</v>
      </c>
      <c r="T1417" s="25">
        <v>3</v>
      </c>
      <c r="U1417" s="25">
        <v>1</v>
      </c>
      <c r="V1417" s="13">
        <v>3</v>
      </c>
      <c r="W1417" s="13" t="str">
        <f>MID(A1417, SEARCH("_", A1417) +1, SEARCH("_", A1417, SEARCH("_", A1417) +1) - SEARCH("_", A1417) -1)</f>
        <v>Math-88</v>
      </c>
      <c r="Y1417" t="str">
        <f>IF(AND($S892=1,$S1417=1,$V892=1,$V1417=1), "YES", "NO")</f>
        <v>NO</v>
      </c>
      <c r="Z1417" t="str">
        <f>IF(AND($S892=1,$S1417=1,$V892&gt;1,$V1417&gt;1), "YES", "NO")</f>
        <v>NO</v>
      </c>
      <c r="AA1417" t="str">
        <f>IF(AND($S892&gt;1,$S1417&gt;1,$S892=$V892,$S1417=$V1417), "YES", "NO")</f>
        <v>NO</v>
      </c>
      <c r="AB1417" t="str">
        <f>IF(AND($S892&gt;1,$S1417&gt;1,$S892&lt;$V892,$S1417&lt;$V1417), "YES", "NO")</f>
        <v>NO</v>
      </c>
      <c r="AC1417" t="str">
        <f>IF(AND($V892&gt;10,$V1417&gt;10), "YES", "NO")</f>
        <v>NO</v>
      </c>
      <c r="AD1417"/>
    </row>
    <row r="1418" spans="1:30" ht="15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>LEFT($A1418,FIND("_",$A1418)-1)</f>
        <v>Nopol</v>
      </c>
      <c r="P1418" s="13" t="str">
        <f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>IF(NOT(ISERR(SEARCH("*_Buggy",$A1418))), "Buggy", IF(NOT(ISERR(SEARCH("*_Fixed",$A1418))), "Fixed", IF(NOT(ISERR(SEARCH("*_Repaired",$A1418))), "Repaired", "")))</f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v>1</v>
      </c>
      <c r="W1418" s="13" t="str">
        <f>MID(A1418, SEARCH("_", A1418) +1, SEARCH("_", A1418, SEARCH("_", A1418) +1) - SEARCH("_", A1418) -1)</f>
        <v>Time-14</v>
      </c>
      <c r="Y1418" t="str">
        <f>IF(AND($S893=1,$S1418=1,$V893=1,$V1418=1), "YES", "NO")</f>
        <v>NO</v>
      </c>
      <c r="Z1418" t="str">
        <f>IF(AND($S893=1,$S1418=1,$V893&gt;1,$V1418&gt;1), "YES", "NO")</f>
        <v>NO</v>
      </c>
      <c r="AA1418" t="str">
        <f>IF(AND($S893&gt;1,$S1418&gt;1,$S893=$V893,$S1418=$V1418), "YES", "NO")</f>
        <v>NO</v>
      </c>
      <c r="AB1418" t="str">
        <f>IF(AND($S893&gt;1,$S1418&gt;1,$S893&lt;$V893,$S1418&lt;$V1418), "YES", "NO")</f>
        <v>NO</v>
      </c>
      <c r="AC1418" t="str">
        <f>IF(AND($V893&gt;10,$V1418&gt;10), "YES", "NO")</f>
        <v>NO</v>
      </c>
      <c r="AD1418"/>
    </row>
    <row r="1419" spans="1:30" ht="15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>LEFT($A1419,FIND("_",$A1419)-1)</f>
        <v>RSRepair-A</v>
      </c>
      <c r="P1419" s="13" t="str">
        <f>IF($O1419="ACS", "True Search", IF($O1419="Arja", "Evolutionary Search", IF($O1419="AVATAR", "True Pattern", IF($O1419="CapGen", "Search Like Pattern", IF($O1419="Cardumen", "True Semantic", IF($O1419="DynaMoth", "True Semantic", IF($O1419="FixMiner", "True Pattern", IF($O1419="GenProg-A", "Evolutionary Search", IF($O1419="Hercules", "Learning Pattern", IF($O1419="Jaid", "True Semantic",
IF($O1419="Kali-A", "True Search", IF($O1419="kPAR", "True Pattern", IF($O1419="Nopol", "True Semantic", IF($O1419="RSRepair-A", "Evolutionary Search", IF($O1419="SequenceR", "Deep Learning", IF($O1419="SimFix", "Search Like Pattern", IF($O1419="SketchFix", "True Pattern", IF($O1419="SOFix", "True Pattern", IF($O1419="ssFix", "Search Like Pattern", IF($O1419="TBar", "True Pattern", ""))))))))))))))))))))</f>
        <v>Evolutionary Search</v>
      </c>
      <c r="Q1419" s="13" t="str">
        <f>IF(NOT(ISERR(SEARCH("*_Buggy",$A1419))), "Buggy", IF(NOT(ISERR(SEARCH("*_Fixed",$A1419))), "Fixed", IF(NOT(ISERR(SEARCH("*_Repaired",$A1419))), "Repaired", "")))</f>
        <v>Repaired</v>
      </c>
      <c r="R1419" s="13" t="s">
        <v>1669</v>
      </c>
      <c r="S1419" s="25">
        <v>1</v>
      </c>
      <c r="T1419" s="25">
        <v>0</v>
      </c>
      <c r="U1419" s="13">
        <v>3</v>
      </c>
      <c r="V1419" s="13">
        <v>3</v>
      </c>
      <c r="W1419" s="13" t="str">
        <f>MID(A1419, SEARCH("_", A1419) +1, SEARCH("_", A1419, SEARCH("_", A1419) +1) - SEARCH("_", A1419) -1)</f>
        <v>Chart-1</v>
      </c>
      <c r="Y1419" t="str">
        <f>IF(AND($S894=1,$S1419=1,$V894=1,$V1419=1), "YES", "NO")</f>
        <v>NO</v>
      </c>
      <c r="Z1419" t="str">
        <f>IF(AND($S894=1,$S1419=1,$V894&gt;1,$V1419&gt;1), "YES", "NO")</f>
        <v>NO</v>
      </c>
      <c r="AA1419" t="str">
        <f>IF(AND($S894&gt;1,$S1419&gt;1,$S894=$V894,$S1419=$V1419), "YES", "NO")</f>
        <v>NO</v>
      </c>
      <c r="AB1419" t="str">
        <f>IF(AND($S894&gt;1,$S1419&gt;1,$S894&lt;$V894,$S1419&lt;$V1419), "YES", "NO")</f>
        <v>NO</v>
      </c>
      <c r="AC1419" t="str">
        <f>IF(AND($V894&gt;10,$V1419&gt;10), "YES", "NO")</f>
        <v>NO</v>
      </c>
      <c r="AD1419"/>
    </row>
    <row r="1420" spans="1:30" ht="15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>LEFT($A1420,FIND("_",$A1420)-1)</f>
        <v>RSRepair-A</v>
      </c>
      <c r="P1420" s="13" t="str">
        <f>IF($O1420="ACS", "True Search", IF($O1420="Arja", "Evolutionary Search", IF($O1420="AVATAR", "True Pattern", IF($O1420="CapGen", "Search Like Pattern", IF($O1420="Cardumen", "True Semantic", IF($O1420="DynaMoth", "True Semantic", IF($O1420="FixMiner", "True Pattern", IF($O1420="GenProg-A", "Evolutionary Search", IF($O1420="Hercules", "Learning Pattern", IF($O1420="Jaid", "True Semantic",
IF($O1420="Kali-A", "True Search", IF($O1420="kPAR", "True Pattern", IF($O1420="Nopol", "True Semantic", IF($O1420="RSRepair-A", "Evolutionary Search", IF($O1420="SequenceR", "Deep Learning", IF($O1420="SimFix", "Search Like Pattern", IF($O1420="SketchFix", "True Pattern", IF($O1420="SOFix", "True Pattern", IF($O1420="ssFix", "Search Like Pattern", IF($O1420="TBar", "True Pattern", ""))))))))))))))))))))</f>
        <v>Evolutionary Search</v>
      </c>
      <c r="Q1420" s="13" t="str">
        <f>IF(NOT(ISERR(SEARCH("*_Buggy",$A1420))), "Buggy", IF(NOT(ISERR(SEARCH("*_Fixed",$A1420))), "Fixed", IF(NOT(ISERR(SEARCH("*_Repaired",$A1420))), "Repaired", "")))</f>
        <v>Repaired</v>
      </c>
      <c r="R1420" s="13" t="s">
        <v>1669</v>
      </c>
      <c r="S1420" s="25">
        <v>1</v>
      </c>
      <c r="T1420" s="25">
        <v>5</v>
      </c>
      <c r="U1420" s="25">
        <v>1</v>
      </c>
      <c r="V1420" s="13">
        <v>5</v>
      </c>
      <c r="W1420" s="13" t="str">
        <f>MID(A1420, SEARCH("_", A1420) +1, SEARCH("_", A1420, SEARCH("_", A1420) +1) - SEARCH("_", A1420) -1)</f>
        <v>Chart-12</v>
      </c>
      <c r="Y1420" t="str">
        <f>IF(AND($S895=1,$S1420=1,$V895=1,$V1420=1), "YES", "NO")</f>
        <v>NO</v>
      </c>
      <c r="Z1420" t="str">
        <f>IF(AND($S895=1,$S1420=1,$V895&gt;1,$V1420&gt;1), "YES", "NO")</f>
        <v>NO</v>
      </c>
      <c r="AA1420" t="str">
        <f>IF(AND($S895&gt;1,$S1420&gt;1,$S895=$V895,$S1420=$V1420), "YES", "NO")</f>
        <v>NO</v>
      </c>
      <c r="AB1420" t="str">
        <f>IF(AND($S895&gt;1,$S1420&gt;1,$S895&lt;$V895,$S1420&lt;$V1420), "YES", "NO")</f>
        <v>NO</v>
      </c>
      <c r="AC1420" t="str">
        <f>IF(AND($V895&gt;10,$V1420&gt;10), "YES", "NO")</f>
        <v>NO</v>
      </c>
      <c r="AD1420"/>
    </row>
    <row r="1421" spans="1:30" ht="15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>LEFT($A1421,FIND("_",$A1421)-1)</f>
        <v>RSRepair-A</v>
      </c>
      <c r="P1421" s="13" t="str">
        <f>IF($O1421="ACS", "True Search", IF($O1421="Arja", "Evolutionary Search", IF($O1421="AVATAR", "True Pattern", IF($O1421="CapGen", "Search Like Pattern", IF($O1421="Cardumen", "True Semantic", IF($O1421="DynaMoth", "True Semantic", IF($O1421="FixMiner", "True Pattern", IF($O1421="GenProg-A", "Evolutionary Search", IF($O1421="Hercules", "Learning Pattern", IF($O1421="Jaid", "True Semantic",
IF($O1421="Kali-A", "True Search", IF($O1421="kPAR", "True Pattern", IF($O1421="Nopol", "True Semantic", IF($O1421="RSRepair-A", "Evolutionary Search", IF($O1421="SequenceR", "Deep Learning", IF($O1421="SimFix", "Search Like Pattern", IF($O1421="SketchFix", "True Pattern", IF($O1421="SOFix", "True Pattern", IF($O1421="ssFix", "Search Like Pattern", IF($O1421="TBar", "True Pattern", ""))))))))))))))))))))</f>
        <v>Evolutionary Search</v>
      </c>
      <c r="Q1421" s="13" t="str">
        <f>IF(NOT(ISERR(SEARCH("*_Buggy",$A1421))), "Buggy", IF(NOT(ISERR(SEARCH("*_Fixed",$A1421))), "Fixed", IF(NOT(ISERR(SEARCH("*_Repaired",$A1421))), "Repaired", "")))</f>
        <v>Repaired</v>
      </c>
      <c r="R1421" s="13" t="s">
        <v>1669</v>
      </c>
      <c r="S1421" s="25">
        <v>1</v>
      </c>
      <c r="T1421" s="25">
        <v>1</v>
      </c>
      <c r="U1421" s="25">
        <v>10</v>
      </c>
      <c r="V1421" s="13">
        <v>10</v>
      </c>
      <c r="W1421" s="13" t="str">
        <f>MID(A1421, SEARCH("_", A1421) +1, SEARCH("_", A1421, SEARCH("_", A1421) +1) - SEARCH("_", A1421) -1)</f>
        <v>Chart-5</v>
      </c>
      <c r="Y1421" t="str">
        <f>IF(AND($S896=1,$S1421=1,$V896=1,$V1421=1), "YES", "NO")</f>
        <v>NO</v>
      </c>
      <c r="Z1421" t="str">
        <f>IF(AND($S896=1,$S1421=1,$V896&gt;1,$V1421&gt;1), "YES", "NO")</f>
        <v>NO</v>
      </c>
      <c r="AA1421" t="str">
        <f>IF(AND($S896&gt;1,$S1421&gt;1,$S896=$V896,$S1421=$V1421), "YES", "NO")</f>
        <v>NO</v>
      </c>
      <c r="AB1421" t="str">
        <f>IF(AND($S896&gt;1,$S1421&gt;1,$S896&lt;$V896,$S1421&lt;$V1421), "YES", "NO")</f>
        <v>NO</v>
      </c>
      <c r="AC1421" t="str">
        <f>IF(AND($V896&gt;10,$V1421&gt;10), "YES", "NO")</f>
        <v>NO</v>
      </c>
      <c r="AD1421"/>
    </row>
    <row r="1422" spans="1:30" ht="15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>LEFT($A1422,FIND("_",$A1422)-1)</f>
        <v>RSRepair-A</v>
      </c>
      <c r="P1422" s="13" t="str">
        <f>IF($O1422="ACS", "True Search", IF($O1422="Arja", "Evolutionary Search", IF($O1422="AVATAR", "True Pattern", IF($O1422="CapGen", "Search Like Pattern", IF($O1422="Cardumen", "True Semantic", IF($O1422="DynaMoth", "True Semantic", IF($O1422="FixMiner", "True Pattern", IF($O1422="GenProg-A", "Evolutionary Search", IF($O1422="Hercules", "Learning Pattern", IF($O1422="Jaid", "True Semantic",
IF($O1422="Kali-A", "True Search", IF($O1422="kPAR", "True Pattern", IF($O1422="Nopol", "True Semantic", IF($O1422="RSRepair-A", "Evolutionary Search", IF($O1422="SequenceR", "Deep Learning", IF($O1422="SimFix", "Search Like Pattern", IF($O1422="SketchFix", "True Pattern", IF($O1422="SOFix", "True Pattern", IF($O1422="ssFix", "Search Like Pattern", IF($O1422="TBar", "True Pattern", ""))))))))))))))))))))</f>
        <v>Evolutionary Search</v>
      </c>
      <c r="Q1422" s="13" t="str">
        <f>IF(NOT(ISERR(SEARCH("*_Buggy",$A1422))), "Buggy", IF(NOT(ISERR(SEARCH("*_Fixed",$A1422))), "Fixed", IF(NOT(ISERR(SEARCH("*_Repaired",$A1422))), "Repaired", "")))</f>
        <v>Repaired</v>
      </c>
      <c r="R1422" s="13" t="s">
        <v>1669</v>
      </c>
      <c r="S1422" s="25">
        <v>1</v>
      </c>
      <c r="T1422" s="25">
        <v>1</v>
      </c>
      <c r="U1422" s="25">
        <v>2</v>
      </c>
      <c r="V1422" s="13">
        <v>2</v>
      </c>
      <c r="W1422" s="13" t="str">
        <f>MID(A1422, SEARCH("_", A1422) +1, SEARCH("_", A1422, SEARCH("_", A1422) +1) - SEARCH("_", A1422) -1)</f>
        <v>Closure-10</v>
      </c>
      <c r="Y1422" t="str">
        <f>IF(AND($S897=1,$S1422=1,$V897=1,$V1422=1), "YES", "NO")</f>
        <v>NO</v>
      </c>
      <c r="Z1422" t="str">
        <f>IF(AND($S897=1,$S1422=1,$V897&gt;1,$V1422&gt;1), "YES", "NO")</f>
        <v>NO</v>
      </c>
      <c r="AA1422" t="str">
        <f>IF(AND($S897&gt;1,$S1422&gt;1,$S897=$V897,$S1422=$V1422), "YES", "NO")</f>
        <v>NO</v>
      </c>
      <c r="AB1422" t="str">
        <f>IF(AND($S897&gt;1,$S1422&gt;1,$S897&lt;$V897,$S1422&lt;$V1422), "YES", "NO")</f>
        <v>NO</v>
      </c>
      <c r="AC1422" t="str">
        <f>IF(AND($V897&gt;10,$V1422&gt;10), "YES", "NO")</f>
        <v>NO</v>
      </c>
      <c r="AD1422"/>
    </row>
    <row r="1423" spans="1:30" ht="28.8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>LEFT($A1423,FIND("_",$A1423)-1)</f>
        <v>RSRepair-A</v>
      </c>
      <c r="P1423" s="13" t="str">
        <f>IF($O1423="ACS", "True Search", IF($O1423="Arja", "Evolutionary Search", IF($O1423="AVATAR", "True Pattern", IF($O1423="CapGen", "Search Like Pattern", IF($O1423="Cardumen", "True Semantic", IF($O1423="DynaMoth", "True Semantic", IF($O1423="FixMiner", "True Pattern", IF($O1423="GenProg-A", "Evolutionary Search", IF($O1423="Hercules", "Learning Pattern", IF($O1423="Jaid", "True Semantic",
IF($O1423="Kali-A", "True Search", IF($O1423="kPAR", "True Pattern", IF($O1423="Nopol", "True Semantic", IF($O1423="RSRepair-A", "Evolutionary Search", IF($O1423="SequenceR", "Deep Learning", IF($O1423="SimFix", "Search Like Pattern", IF($O1423="SketchFix", "True Pattern", IF($O1423="SOFix", "True Pattern", IF($O1423="ssFix", "Search Like Pattern", IF($O1423="TBar", "True Pattern", ""))))))))))))))))))))</f>
        <v>Evolutionary Search</v>
      </c>
      <c r="Q1423" s="13" t="str">
        <f>IF(NOT(ISERR(SEARCH("*_Buggy",$A1423))), "Buggy", IF(NOT(ISERR(SEARCH("*_Fixed",$A1423))), "Fixed", IF(NOT(ISERR(SEARCH("*_Repaired",$A1423))), "Repaired", "")))</f>
        <v>Repaired</v>
      </c>
      <c r="R1423" s="13" t="s">
        <v>1669</v>
      </c>
      <c r="S1423" s="25">
        <v>1</v>
      </c>
      <c r="T1423" s="25">
        <v>0</v>
      </c>
      <c r="U1423" s="13">
        <v>2</v>
      </c>
      <c r="V1423" s="13">
        <v>2</v>
      </c>
      <c r="W1423" s="13" t="str">
        <f>MID(A1423, SEARCH("_", A1423) +1, SEARCH("_", A1423, SEARCH("_", A1423) +1) - SEARCH("_", A1423) -1)</f>
        <v>Closure-112</v>
      </c>
      <c r="Y1423" t="str">
        <f>IF(AND($S898=1,$S1423=1,$V898=1,$V1423=1), "YES", "NO")</f>
        <v>NO</v>
      </c>
      <c r="Z1423" t="str">
        <f>IF(AND($S898=1,$S1423=1,$V898&gt;1,$V1423&gt;1), "YES", "NO")</f>
        <v>YES</v>
      </c>
      <c r="AA1423" t="str">
        <f>IF(AND($S898&gt;1,$S1423&gt;1,$S898=$V898,$S1423=$V1423), "YES", "NO")</f>
        <v>NO</v>
      </c>
      <c r="AB1423" t="str">
        <f>IF(AND($S898&gt;1,$S1423&gt;1,$S898&lt;$V898,$S1423&lt;$V1423), "YES", "NO")</f>
        <v>NO</v>
      </c>
      <c r="AC1423" t="str">
        <f>IF(AND($V898&gt;10,$V1423&gt;10), "YES", "NO")</f>
        <v>NO</v>
      </c>
      <c r="AD1423"/>
    </row>
    <row r="1424" spans="1:30" ht="28.8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>LEFT($A1424,FIND("_",$A1424)-1)</f>
        <v>RSRepair-A</v>
      </c>
      <c r="P1424" s="13" t="str">
        <f>IF($O1424="ACS", "True Search", IF($O1424="Arja", "Evolutionary Search", IF($O1424="AVATAR", "True Pattern", IF($O1424="CapGen", "Search Like Pattern", IF($O1424="Cardumen", "True Semantic", IF($O1424="DynaMoth", "True Semantic", IF($O1424="FixMiner", "True Pattern", IF($O1424="GenProg-A", "Evolutionary Search", IF($O1424="Hercules", "Learning Pattern", IF($O1424="Jaid", "True Semantic",
IF($O1424="Kali-A", "True Search", IF($O1424="kPAR", "True Pattern", IF($O1424="Nopol", "True Semantic", IF($O1424="RSRepair-A", "Evolutionary Search", IF($O1424="SequenceR", "Deep Learning", IF($O1424="SimFix", "Search Like Pattern", IF($O1424="SketchFix", "True Pattern", IF($O1424="SOFix", "True Pattern", IF($O1424="ssFix", "Search Like Pattern", IF($O1424="TBar", "True Pattern", ""))))))))))))))))))))</f>
        <v>Evolutionary Search</v>
      </c>
      <c r="Q1424" s="13" t="str">
        <f>IF(NOT(ISERR(SEARCH("*_Buggy",$A1424))), "Buggy", IF(NOT(ISERR(SEARCH("*_Fixed",$A1424))), "Fixed", IF(NOT(ISERR(SEARCH("*_Repaired",$A1424))), "Repaired", "")))</f>
        <v>Repaired</v>
      </c>
      <c r="R1424" s="13" t="s">
        <v>1668</v>
      </c>
      <c r="S1424" s="25">
        <v>1</v>
      </c>
      <c r="T1424" s="25">
        <v>0</v>
      </c>
      <c r="U1424" s="13">
        <v>1</v>
      </c>
      <c r="V1424" s="13">
        <v>1</v>
      </c>
      <c r="W1424" s="13" t="str">
        <f>MID(A1424, SEARCH("_", A1424) +1, SEARCH("_", A1424, SEARCH("_", A1424) +1) - SEARCH("_", A1424) -1)</f>
        <v>Closure-115</v>
      </c>
      <c r="Y1424" t="str">
        <f>IF(AND($S899=1,$S1424=1,$V899=1,$V1424=1), "YES", "NO")</f>
        <v>NO</v>
      </c>
      <c r="Z1424" t="str">
        <f>IF(AND($S899=1,$S1424=1,$V899&gt;1,$V1424&gt;1), "YES", "NO")</f>
        <v>NO</v>
      </c>
      <c r="AA1424" t="str">
        <f>IF(AND($S899&gt;1,$S1424&gt;1,$S899=$V899,$S1424=$V1424), "YES", "NO")</f>
        <v>NO</v>
      </c>
      <c r="AB1424" t="str">
        <f>IF(AND($S899&gt;1,$S1424&gt;1,$S899&lt;$V899,$S1424&lt;$V1424), "YES", "NO")</f>
        <v>NO</v>
      </c>
      <c r="AC1424" t="str">
        <f>IF(AND($V899&gt;10,$V1424&gt;10), "YES", "NO")</f>
        <v>NO</v>
      </c>
      <c r="AD1424"/>
    </row>
    <row r="1425" spans="1:30" ht="28.8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>LEFT($A1425,FIND("_",$A1425)-1)</f>
        <v>RSRepair-A</v>
      </c>
      <c r="P1425" s="13" t="str">
        <f>IF($O1425="ACS", "True Search", IF($O1425="Arja", "Evolutionary Search", IF($O1425="AVATAR", "True Pattern", IF($O1425="CapGen", "Search Like Pattern", IF($O1425="Cardumen", "True Semantic", IF($O1425="DynaMoth", "True Semantic", IF($O1425="FixMiner", "True Pattern", IF($O1425="GenProg-A", "Evolutionary Search", IF($O1425="Hercules", "Learning Pattern", IF($O1425="Jaid", "True Semantic",
IF($O1425="Kali-A", "True Search", IF($O1425="kPAR", "True Pattern", IF($O1425="Nopol", "True Semantic", IF($O1425="RSRepair-A", "Evolutionary Search", IF($O1425="SequenceR", "Deep Learning", IF($O1425="SimFix", "Search Like Pattern", IF($O1425="SketchFix", "True Pattern", IF($O1425="SOFix", "True Pattern", IF($O1425="ssFix", "Search Like Pattern", IF($O1425="TBar", "True Pattern", ""))))))))))))))))))))</f>
        <v>Evolutionary Search</v>
      </c>
      <c r="Q1425" s="13" t="str">
        <f>IF(NOT(ISERR(SEARCH("*_Buggy",$A1425))), "Buggy", IF(NOT(ISERR(SEARCH("*_Fixed",$A1425))), "Fixed", IF(NOT(ISERR(SEARCH("*_Repaired",$A1425))), "Repaired", "")))</f>
        <v>Repaired</v>
      </c>
      <c r="R1425" s="13" t="s">
        <v>1669</v>
      </c>
      <c r="S1425" s="25">
        <v>1</v>
      </c>
      <c r="T1425" s="25">
        <v>0</v>
      </c>
      <c r="U1425" s="13">
        <v>28</v>
      </c>
      <c r="V1425" s="13">
        <v>28</v>
      </c>
      <c r="W1425" s="13" t="str">
        <f>MID(A1425, SEARCH("_", A1425) +1, SEARCH("_", A1425, SEARCH("_", A1425) +1) - SEARCH("_", A1425) -1)</f>
        <v>Closure-117</v>
      </c>
      <c r="Y1425" t="str">
        <f>IF(AND($S900=1,$S1425=1,$V900=1,$V1425=1), "YES", "NO")</f>
        <v>NO</v>
      </c>
      <c r="Z1425" t="str">
        <f>IF(AND($S900=1,$S1425=1,$V900&gt;1,$V1425&gt;1), "YES", "NO")</f>
        <v>NO</v>
      </c>
      <c r="AA1425" t="str">
        <f>IF(AND($S900&gt;1,$S1425&gt;1,$S900=$V900,$S1425=$V1425), "YES", "NO")</f>
        <v>NO</v>
      </c>
      <c r="AB1425" t="str">
        <f>IF(AND($S900&gt;1,$S1425&gt;1,$S900&lt;$V900,$S1425&lt;$V1425), "YES", "NO")</f>
        <v>NO</v>
      </c>
      <c r="AC1425" t="str">
        <f>IF(AND($V900&gt;10,$V1425&gt;10), "YES", "NO")</f>
        <v>YES</v>
      </c>
      <c r="AD1425"/>
    </row>
    <row r="1426" spans="1:30" ht="28.8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>LEFT($A1426,FIND("_",$A1426)-1)</f>
        <v>RSRepair-A</v>
      </c>
      <c r="P1426" s="13" t="str">
        <f>IF($O1426="ACS", "True Search", IF($O1426="Arja", "Evolutionary Search", IF($O1426="AVATAR", "True Pattern", IF($O1426="CapGen", "Search Like Pattern", IF($O1426="Cardumen", "True Semantic", IF($O1426="DynaMoth", "True Semantic", IF($O1426="FixMiner", "True Pattern", IF($O1426="GenProg-A", "Evolutionary Search", IF($O1426="Hercules", "Learning Pattern", IF($O1426="Jaid", "True Semantic",
IF($O1426="Kali-A", "True Search", IF($O1426="kPAR", "True Pattern", IF($O1426="Nopol", "True Semantic", IF($O1426="RSRepair-A", "Evolutionary Search", IF($O1426="SequenceR", "Deep Learning", IF($O1426="SimFix", "Search Like Pattern", IF($O1426="SketchFix", "True Pattern", IF($O1426="SOFix", "True Pattern", IF($O1426="ssFix", "Search Like Pattern", IF($O1426="TBar", "True Pattern", ""))))))))))))))))))))</f>
        <v>Evolutionary Search</v>
      </c>
      <c r="Q1426" s="13" t="str">
        <f>IF(NOT(ISERR(SEARCH("*_Buggy",$A1426))), "Buggy", IF(NOT(ISERR(SEARCH("*_Fixed",$A1426))), "Fixed", IF(NOT(ISERR(SEARCH("*_Repaired",$A1426))), "Repaired", "")))</f>
        <v>Repaired</v>
      </c>
      <c r="R1426" s="13" t="s">
        <v>1669</v>
      </c>
      <c r="S1426" s="25">
        <v>1</v>
      </c>
      <c r="T1426" s="25">
        <v>0</v>
      </c>
      <c r="U1426" s="13">
        <v>1</v>
      </c>
      <c r="V1426" s="13">
        <v>1</v>
      </c>
      <c r="W1426" s="13" t="str">
        <f>MID(A1426, SEARCH("_", A1426) +1, SEARCH("_", A1426, SEARCH("_", A1426) +1) - SEARCH("_", A1426) -1)</f>
        <v>Closure-120</v>
      </c>
      <c r="Y1426" t="str">
        <f>IF(AND($S901=1,$S1426=1,$V901=1,$V1426=1), "YES", "NO")</f>
        <v>NO</v>
      </c>
      <c r="Z1426" t="str">
        <f>IF(AND($S901=1,$S1426=1,$V901&gt;1,$V1426&gt;1), "YES", "NO")</f>
        <v>NO</v>
      </c>
      <c r="AA1426" t="str">
        <f>IF(AND($S901&gt;1,$S1426&gt;1,$S901=$V901,$S1426=$V1426), "YES", "NO")</f>
        <v>NO</v>
      </c>
      <c r="AB1426" t="str">
        <f>IF(AND($S901&gt;1,$S1426&gt;1,$S901&lt;$V901,$S1426&lt;$V1426), "YES", "NO")</f>
        <v>NO</v>
      </c>
      <c r="AC1426" t="str">
        <f>IF(AND($V901&gt;10,$V1426&gt;10), "YES", "NO")</f>
        <v>NO</v>
      </c>
      <c r="AD1426"/>
    </row>
    <row r="1427" spans="1:30" ht="28.8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>LEFT($A1427,FIND("_",$A1427)-1)</f>
        <v>RSRepair-A</v>
      </c>
      <c r="P1427" s="13" t="str">
        <f>IF($O1427="ACS", "True Search", IF($O1427="Arja", "Evolutionary Search", IF($O1427="AVATAR", "True Pattern", IF($O1427="CapGen", "Search Like Pattern", IF($O1427="Cardumen", "True Semantic", IF($O1427="DynaMoth", "True Semantic", IF($O1427="FixMiner", "True Pattern", IF($O1427="GenProg-A", "Evolutionary Search", IF($O1427="Hercules", "Learning Pattern", IF($O1427="Jaid", "True Semantic",
IF($O1427="Kali-A", "True Search", IF($O1427="kPAR", "True Pattern", IF($O1427="Nopol", "True Semantic", IF($O1427="RSRepair-A", "Evolutionary Search", IF($O1427="SequenceR", "Deep Learning", IF($O1427="SimFix", "Search Like Pattern", IF($O1427="SketchFix", "True Pattern", IF($O1427="SOFix", "True Pattern", IF($O1427="ssFix", "Search Like Pattern", IF($O1427="TBar", "True Pattern", ""))))))))))))))))))))</f>
        <v>Evolutionary Search</v>
      </c>
      <c r="Q1427" s="13" t="str">
        <f>IF(NOT(ISERR(SEARCH("*_Buggy",$A1427))), "Buggy", IF(NOT(ISERR(SEARCH("*_Fixed",$A1427))), "Fixed", IF(NOT(ISERR(SEARCH("*_Repaired",$A1427))), "Repaired", "")))</f>
        <v>Repaired</v>
      </c>
      <c r="R1427" s="13" t="s">
        <v>1669</v>
      </c>
      <c r="S1427" s="25">
        <v>1</v>
      </c>
      <c r="T1427" s="25">
        <v>0</v>
      </c>
      <c r="U1427" s="13">
        <v>1</v>
      </c>
      <c r="V1427" s="13">
        <v>1</v>
      </c>
      <c r="W1427" s="13" t="str">
        <f>MID(A1427, SEARCH("_", A1427) +1, SEARCH("_", A1427, SEARCH("_", A1427) +1) - SEARCH("_", A1427) -1)</f>
        <v>Closure-121</v>
      </c>
      <c r="Y1427" t="str">
        <f>IF(AND($S902=1,$S1427=1,$V902=1,$V1427=1), "YES", "NO")</f>
        <v>NO</v>
      </c>
      <c r="Z1427" t="str">
        <f>IF(AND($S902=1,$S1427=1,$V902&gt;1,$V1427&gt;1), "YES", "NO")</f>
        <v>NO</v>
      </c>
      <c r="AA1427" t="str">
        <f>IF(AND($S902&gt;1,$S1427&gt;1,$S902=$V902,$S1427=$V1427), "YES", "NO")</f>
        <v>NO</v>
      </c>
      <c r="AB1427" t="str">
        <f>IF(AND($S902&gt;1,$S1427&gt;1,$S902&lt;$V902,$S1427&lt;$V1427), "YES", "NO")</f>
        <v>NO</v>
      </c>
      <c r="AC1427" t="str">
        <f>IF(AND($V902&gt;10,$V1427&gt;10), "YES", "NO")</f>
        <v>NO</v>
      </c>
      <c r="AD1427"/>
    </row>
    <row r="1428" spans="1:30" ht="28.8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>LEFT($A1428,FIND("_",$A1428)-1)</f>
        <v>RSRepair-A</v>
      </c>
      <c r="P1428" s="13" t="str">
        <f>IF($O1428="ACS", "True Search", IF($O1428="Arja", "Evolutionary Search", IF($O1428="AVATAR", "True Pattern", IF($O1428="CapGen", "Search Like Pattern", IF($O1428="Cardumen", "True Semantic", IF($O1428="DynaMoth", "True Semantic", IF($O1428="FixMiner", "True Pattern", IF($O1428="GenProg-A", "Evolutionary Search", IF($O1428="Hercules", "Learning Pattern", IF($O1428="Jaid", "True Semantic",
IF($O1428="Kali-A", "True Search", IF($O1428="kPAR", "True Pattern", IF($O1428="Nopol", "True Semantic", IF($O1428="RSRepair-A", "Evolutionary Search", IF($O1428="SequenceR", "Deep Learning", IF($O1428="SimFix", "Search Like Pattern", IF($O1428="SketchFix", "True Pattern", IF($O1428="SOFix", "True Pattern", IF($O1428="ssFix", "Search Like Pattern", IF($O1428="TBar", "True Pattern", ""))))))))))))))))))))</f>
        <v>Evolutionary Search</v>
      </c>
      <c r="Q1428" s="13" t="str">
        <f>IF(NOT(ISERR(SEARCH("*_Buggy",$A1428))), "Buggy", IF(NOT(ISERR(SEARCH("*_Fixed",$A1428))), "Fixed", IF(NOT(ISERR(SEARCH("*_Repaired",$A1428))), "Repaired", "")))</f>
        <v>Repaired</v>
      </c>
      <c r="R1428" s="13" t="s">
        <v>1669</v>
      </c>
      <c r="S1428" s="25">
        <v>1</v>
      </c>
      <c r="T1428" s="25">
        <v>1</v>
      </c>
      <c r="U1428" s="25">
        <v>10</v>
      </c>
      <c r="V1428" s="13">
        <v>10</v>
      </c>
      <c r="W1428" s="13" t="str">
        <f>MID(A1428, SEARCH("_", A1428) +1, SEARCH("_", A1428, SEARCH("_", A1428) +1) - SEARCH("_", A1428) -1)</f>
        <v>Closure-124</v>
      </c>
      <c r="Y1428" t="str">
        <f>IF(AND($S903=1,$S1428=1,$V903=1,$V1428=1), "YES", "NO")</f>
        <v>NO</v>
      </c>
      <c r="Z1428" t="str">
        <f>IF(AND($S903=1,$S1428=1,$V903&gt;1,$V1428&gt;1), "YES", "NO")</f>
        <v>NO</v>
      </c>
      <c r="AA1428" t="str">
        <f>IF(AND($S903&gt;1,$S1428&gt;1,$S903=$V903,$S1428=$V1428), "YES", "NO")</f>
        <v>NO</v>
      </c>
      <c r="AB1428" t="str">
        <f>IF(AND($S903&gt;1,$S1428&gt;1,$S903&lt;$V903,$S1428&lt;$V1428), "YES", "NO")</f>
        <v>NO</v>
      </c>
      <c r="AC1428" t="str">
        <f>IF(AND($V903&gt;10,$V1428&gt;10), "YES", "NO")</f>
        <v>NO</v>
      </c>
      <c r="AD1428"/>
    </row>
    <row r="1429" spans="1:30" ht="28.8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>LEFT($A1429,FIND("_",$A1429)-1)</f>
        <v>RSRepair-A</v>
      </c>
      <c r="P1429" s="13" t="str">
        <f>IF($O1429="ACS", "True Search", IF($O1429="Arja", "Evolutionary Search", IF($O1429="AVATAR", "True Pattern", IF($O1429="CapGen", "Search Like Pattern", IF($O1429="Cardumen", "True Semantic", IF($O1429="DynaMoth", "True Semantic", IF($O1429="FixMiner", "True Pattern", IF($O1429="GenProg-A", "Evolutionary Search", IF($O1429="Hercules", "Learning Pattern", IF($O1429="Jaid", "True Semantic",
IF($O1429="Kali-A", "True Search", IF($O1429="kPAR", "True Pattern", IF($O1429="Nopol", "True Semantic", IF($O1429="RSRepair-A", "Evolutionary Search", IF($O1429="SequenceR", "Deep Learning", IF($O1429="SimFix", "Search Like Pattern", IF($O1429="SketchFix", "True Pattern", IF($O1429="SOFix", "True Pattern", IF($O1429="ssFix", "Search Like Pattern", IF($O1429="TBar", "True Pattern", ""))))))))))))))))))))</f>
        <v>Evolutionary Search</v>
      </c>
      <c r="Q1429" s="13" t="str">
        <f>IF(NOT(ISERR(SEARCH("*_Buggy",$A1429))), "Buggy", IF(NOT(ISERR(SEARCH("*_Fixed",$A1429))), "Fixed", IF(NOT(ISERR(SEARCH("*_Repaired",$A1429))), "Repaired", "")))</f>
        <v>Repaired</v>
      </c>
      <c r="R1429" s="13" t="s">
        <v>1669</v>
      </c>
      <c r="S1429" s="25">
        <v>1</v>
      </c>
      <c r="T1429" s="25">
        <v>1</v>
      </c>
      <c r="U1429" s="25">
        <v>6</v>
      </c>
      <c r="V1429" s="13">
        <v>6</v>
      </c>
      <c r="W1429" s="13" t="str">
        <f>MID(A1429, SEARCH("_", A1429) +1, SEARCH("_", A1429, SEARCH("_", A1429) +1) - SEARCH("_", A1429) -1)</f>
        <v>Closure-125</v>
      </c>
      <c r="Y1429" t="str">
        <f>IF(AND($S904=1,$S1429=1,$V904=1,$V1429=1), "YES", "NO")</f>
        <v>NO</v>
      </c>
      <c r="Z1429" t="str">
        <f>IF(AND($S904=1,$S1429=1,$V904&gt;1,$V1429&gt;1), "YES", "NO")</f>
        <v>NO</v>
      </c>
      <c r="AA1429" t="str">
        <f>IF(AND($S904&gt;1,$S1429&gt;1,$S904=$V904,$S1429=$V1429), "YES", "NO")</f>
        <v>NO</v>
      </c>
      <c r="AB1429" t="str">
        <f>IF(AND($S904&gt;1,$S1429&gt;1,$S904&lt;$V904,$S1429&lt;$V1429), "YES", "NO")</f>
        <v>NO</v>
      </c>
      <c r="AC1429" t="str">
        <f>IF(AND($V904&gt;10,$V1429&gt;10), "YES", "NO")</f>
        <v>NO</v>
      </c>
      <c r="AD1429"/>
    </row>
    <row r="1430" spans="1:30" ht="15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>LEFT($A1430,FIND("_",$A1430)-1)</f>
        <v>RSRepair-A</v>
      </c>
      <c r="P1430" s="13" t="str">
        <f>IF($O1430="ACS", "True Search", IF($O1430="Arja", "Evolutionary Search", IF($O1430="AVATAR", "True Pattern", IF($O1430="CapGen", "Search Like Pattern", IF($O1430="Cardumen", "True Semantic", IF($O1430="DynaMoth", "True Semantic", IF($O1430="FixMiner", "True Pattern", IF($O1430="GenProg-A", "Evolutionary Search", IF($O1430="Hercules", "Learning Pattern", IF($O1430="Jaid", "True Semantic",
IF($O1430="Kali-A", "True Search", IF($O1430="kPAR", "True Pattern", IF($O1430="Nopol", "True Semantic", IF($O1430="RSRepair-A", "Evolutionary Search", IF($O1430="SequenceR", "Deep Learning", IF($O1430="SimFix", "Search Like Pattern", IF($O1430="SketchFix", "True Pattern", IF($O1430="SOFix", "True Pattern", IF($O1430="ssFix", "Search Like Pattern", IF($O1430="TBar", "True Pattern", ""))))))))))))))))))))</f>
        <v>Evolutionary Search</v>
      </c>
      <c r="Q1430" s="13" t="str">
        <f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2</v>
      </c>
      <c r="U1430" s="25">
        <v>1</v>
      </c>
      <c r="V1430" s="13">
        <v>2</v>
      </c>
      <c r="W1430" s="13" t="str">
        <f>MID(A1430, SEARCH("_", A1430) +1, SEARCH("_", A1430, SEARCH("_", A1430) +1) - SEARCH("_", A1430) -1)</f>
        <v>Closure-21</v>
      </c>
      <c r="Y1430" t="str">
        <f>IF(AND($S905=1,$S1430=1,$V905=1,$V1430=1), "YES", "NO")</f>
        <v>NO</v>
      </c>
      <c r="Z1430" t="str">
        <f>IF(AND($S905=1,$S1430=1,$V905&gt;1,$V1430&gt;1), "YES", "NO")</f>
        <v>NO</v>
      </c>
      <c r="AA1430" t="str">
        <f>IF(AND($S905&gt;1,$S1430&gt;1,$S905=$V905,$S1430=$V1430), "YES", "NO")</f>
        <v>NO</v>
      </c>
      <c r="AB1430" t="str">
        <f>IF(AND($S905&gt;1,$S1430&gt;1,$S905&lt;$V905,$S1430&lt;$V1430), "YES", "NO")</f>
        <v>NO</v>
      </c>
      <c r="AC1430" t="str">
        <f>IF(AND($V905&gt;10,$V1430&gt;10), "YES", "NO")</f>
        <v>NO</v>
      </c>
      <c r="AD1430"/>
    </row>
    <row r="1431" spans="1:30" ht="15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>LEFT($A1431,FIND("_",$A1431)-1)</f>
        <v>RSRepair-A</v>
      </c>
      <c r="P1431" s="13" t="str">
        <f>IF($O1431="ACS", "True Search", IF($O1431="Arja", "Evolutionary Search", IF($O1431="AVATAR", "True Pattern", IF($O1431="CapGen", "Search Like Pattern", IF($O1431="Cardumen", "True Semantic", IF($O1431="DynaMoth", "True Semantic", IF($O1431="FixMiner", "True Pattern", IF($O1431="GenProg-A", "Evolutionary Search", IF($O1431="Hercules", "Learning Pattern", IF($O1431="Jaid", "True Semantic",
IF($O1431="Kali-A", "True Search", IF($O1431="kPAR", "True Pattern", IF($O1431="Nopol", "True Semantic", IF($O1431="RSRepair-A", "Evolutionary Search", IF($O1431="SequenceR", "Deep Learning", IF($O1431="SimFix", "Search Like Pattern", IF($O1431="SketchFix", "True Pattern", IF($O1431="SOFix", "True Pattern", IF($O1431="ssFix", "Search Like Pattern", IF($O1431="TBar", "True Pattern", ""))))))))))))))))))))</f>
        <v>Evolutionary Search</v>
      </c>
      <c r="Q1431" s="13" t="str">
        <f>IF(NOT(ISERR(SEARCH("*_Buggy",$A1431))), "Buggy", IF(NOT(ISERR(SEARCH("*_Fixed",$A1431))), "Fixed", IF(NOT(ISERR(SEARCH("*_Repaired",$A1431))), "Repaired", "")))</f>
        <v>Repaired</v>
      </c>
      <c r="R1431" s="13" t="s">
        <v>1668</v>
      </c>
      <c r="S1431" s="25">
        <v>1</v>
      </c>
      <c r="T1431" s="25">
        <v>0</v>
      </c>
      <c r="U1431" s="13">
        <v>14</v>
      </c>
      <c r="V1431" s="13">
        <v>14</v>
      </c>
      <c r="W1431" s="13" t="str">
        <f>MID(A1431, SEARCH("_", A1431) +1, SEARCH("_", A1431, SEARCH("_", A1431) +1) - SEARCH("_", A1431) -1)</f>
        <v>Closure-22</v>
      </c>
      <c r="Y1431" t="str">
        <f>IF(AND($S906=1,$S1431=1,$V906=1,$V1431=1), "YES", "NO")</f>
        <v>NO</v>
      </c>
      <c r="Z1431" t="str">
        <f>IF(AND($S906=1,$S1431=1,$V906&gt;1,$V1431&gt;1), "YES", "NO")</f>
        <v>NO</v>
      </c>
      <c r="AA1431" t="str">
        <f>IF(AND($S906&gt;1,$S1431&gt;1,$S906=$V906,$S1431=$V1431), "YES", "NO")</f>
        <v>NO</v>
      </c>
      <c r="AB1431" t="str">
        <f>IF(AND($S906&gt;1,$S1431&gt;1,$S906&lt;$V906,$S1431&lt;$V1431), "YES", "NO")</f>
        <v>NO</v>
      </c>
      <c r="AC1431" t="str">
        <f>IF(AND($V906&gt;10,$V1431&gt;10), "YES", "NO")</f>
        <v>YES</v>
      </c>
      <c r="AD1431"/>
    </row>
    <row r="1432" spans="1:30" ht="15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>LEFT($A1432,FIND("_",$A1432)-1)</f>
        <v>RSRepair-A</v>
      </c>
      <c r="P1432" s="13" t="str">
        <f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>IF(NOT(ISERR(SEARCH("*_Buggy",$A1432))), "Buggy", IF(NOT(ISERR(SEARCH("*_Fixed",$A1432))), "Fixed", IF(NOT(ISERR(SEARCH("*_Repaired",$A1432))), "Repaired", "")))</f>
        <v>Repaired</v>
      </c>
      <c r="R1432" s="13" t="s">
        <v>1669</v>
      </c>
      <c r="S1432" s="25">
        <v>1</v>
      </c>
      <c r="T1432" s="25">
        <v>1</v>
      </c>
      <c r="U1432" s="25">
        <v>14</v>
      </c>
      <c r="V1432" s="13">
        <v>14</v>
      </c>
      <c r="W1432" s="13" t="str">
        <f>MID(A1432, SEARCH("_", A1432) +1, SEARCH("_", A1432, SEARCH("_", A1432) +1) - SEARCH("_", A1432) -1)</f>
        <v>Closure-3</v>
      </c>
      <c r="Y1432" t="str">
        <f>IF(AND($S907=1,$S1432=1,$V907=1,$V1432=1), "YES", "NO")</f>
        <v>NO</v>
      </c>
      <c r="Z1432" t="str">
        <f>IF(AND($S907=1,$S1432=1,$V907&gt;1,$V1432&gt;1), "YES", "NO")</f>
        <v>NO</v>
      </c>
      <c r="AA1432" t="str">
        <f>IF(AND($S907&gt;1,$S1432&gt;1,$S907=$V907,$S1432=$V1432), "YES", "NO")</f>
        <v>NO</v>
      </c>
      <c r="AB1432" t="str">
        <f>IF(AND($S907&gt;1,$S1432&gt;1,$S907&lt;$V907,$S1432&lt;$V1432), "YES", "NO")</f>
        <v>NO</v>
      </c>
      <c r="AC1432" t="str">
        <f>IF(AND($V907&gt;10,$V1432&gt;10), "YES", "NO")</f>
        <v>NO</v>
      </c>
      <c r="AD1432"/>
    </row>
    <row r="1433" spans="1:30" ht="15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>LEFT($A1433,FIND("_",$A1433)-1)</f>
        <v>RSRepair-A</v>
      </c>
      <c r="P1433" s="13" t="str">
        <f>IF($O1433="ACS", "True Search", IF($O1433="Arja", "Evolutionary Search", IF($O1433="AVATAR", "True Pattern", IF($O1433="CapGen", "Search Like Pattern", IF($O1433="Cardumen", "True Semantic", IF($O1433="DynaMoth", "True Semantic", IF($O1433="FixMiner", "True Pattern", IF($O1433="GenProg-A", "Evolutionary Search", IF($O1433="Hercules", "Learning Pattern", IF($O1433="Jaid", "True Semantic",
IF($O1433="Kali-A", "True Search", IF($O1433="kPAR", "True Pattern", IF($O1433="Nopol", "True Semantic", IF($O1433="RSRepair-A", "Evolutionary Search", IF($O1433="SequenceR", "Deep Learning", IF($O1433="SimFix", "Search Like Pattern", IF($O1433="SketchFix", "True Pattern", IF($O1433="SOFix", "True Pattern", IF($O1433="ssFix", "Search Like Pattern", IF($O1433="TBar", "True Pattern", ""))))))))))))))))))))</f>
        <v>Evolutionary Search</v>
      </c>
      <c r="Q1433" s="13" t="str">
        <f>IF(NOT(ISERR(SEARCH("*_Buggy",$A1433))), "Buggy", IF(NOT(ISERR(SEARCH("*_Fixed",$A1433))), "Fixed", IF(NOT(ISERR(SEARCH("*_Repaired",$A1433))), "Repaired", "")))</f>
        <v>Repaired</v>
      </c>
      <c r="R1433" s="13" t="s">
        <v>1669</v>
      </c>
      <c r="S1433" s="25">
        <v>1</v>
      </c>
      <c r="T1433" s="25">
        <v>1</v>
      </c>
      <c r="U1433" s="25">
        <v>22</v>
      </c>
      <c r="V1433" s="13">
        <v>22</v>
      </c>
      <c r="W1433" s="13" t="str">
        <f>MID(A1433, SEARCH("_", A1433) +1, SEARCH("_", A1433, SEARCH("_", A1433) +1) - SEARCH("_", A1433) -1)</f>
        <v>Closure-33</v>
      </c>
      <c r="Y1433" t="str">
        <f>IF(AND($S908=1,$S1433=1,$V908=1,$V1433=1), "YES", "NO")</f>
        <v>NO</v>
      </c>
      <c r="Z1433" t="str">
        <f>IF(AND($S908=1,$S1433=1,$V908&gt;1,$V1433&gt;1), "YES", "NO")</f>
        <v>YES</v>
      </c>
      <c r="AA1433" t="str">
        <f>IF(AND($S908&gt;1,$S1433&gt;1,$S908=$V908,$S1433=$V1433), "YES", "NO")</f>
        <v>NO</v>
      </c>
      <c r="AB1433" t="str">
        <f>IF(AND($S908&gt;1,$S1433&gt;1,$S908&lt;$V908,$S1433&lt;$V1433), "YES", "NO")</f>
        <v>NO</v>
      </c>
      <c r="AC1433" t="str">
        <f>IF(AND($V908&gt;10,$V1433&gt;10), "YES", "NO")</f>
        <v>NO</v>
      </c>
      <c r="AD1433"/>
    </row>
    <row r="1434" spans="1:30" ht="15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>LEFT($A1434,FIND("_",$A1434)-1)</f>
        <v>RSRepair-A</v>
      </c>
      <c r="P1434" s="13" t="str">
        <f>IF($O1434="ACS", "True Search", IF($O1434="Arja", "Evolutionary Search", IF($O1434="AVATAR", "True Pattern", IF($O1434="CapGen", "Search Like Pattern", IF($O1434="Cardumen", "True Semantic", IF($O1434="DynaMoth", "True Semantic", IF($O1434="FixMiner", "True Pattern", IF($O1434="GenProg-A", "Evolutionary Search", IF($O1434="Hercules", "Learning Pattern", IF($O1434="Jaid", "True Semantic",
IF($O1434="Kali-A", "True Search", IF($O1434="kPAR", "True Pattern", IF($O1434="Nopol", "True Semantic", IF($O1434="RSRepair-A", "Evolutionary Search", IF($O1434="SequenceR", "Deep Learning", IF($O1434="SimFix", "Search Like Pattern", IF($O1434="SketchFix", "True Pattern", IF($O1434="SOFix", "True Pattern", IF($O1434="ssFix", "Search Like Pattern", IF($O1434="TBar", "True Pattern", ""))))))))))))))))))))</f>
        <v>Evolutionary Search</v>
      </c>
      <c r="Q1434" s="13" t="str">
        <f>IF(NOT(ISERR(SEARCH("*_Buggy",$A1434))), "Buggy", IF(NOT(ISERR(SEARCH("*_Fixed",$A1434))), "Fixed", IF(NOT(ISERR(SEARCH("*_Repaired",$A1434))), "Repaired", "")))</f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v>1</v>
      </c>
      <c r="W1434" s="13" t="str">
        <f>MID(A1434, SEARCH("_", A1434) +1, SEARCH("_", A1434, SEARCH("_", A1434) +1) - SEARCH("_", A1434) -1)</f>
        <v>Closure-55</v>
      </c>
      <c r="Y1434" t="str">
        <f>IF(AND($S909=1,$S1434=1,$V909=1,$V1434=1), "YES", "NO")</f>
        <v>NO</v>
      </c>
      <c r="Z1434" t="str">
        <f>IF(AND($S909=1,$S1434=1,$V909&gt;1,$V1434&gt;1), "YES", "NO")</f>
        <v>NO</v>
      </c>
      <c r="AA1434" t="str">
        <f>IF(AND($S909&gt;1,$S1434&gt;1,$S909=$V909,$S1434=$V1434), "YES", "NO")</f>
        <v>NO</v>
      </c>
      <c r="AB1434" t="str">
        <f>IF(AND($S909&gt;1,$S1434&gt;1,$S909&lt;$V909,$S1434&lt;$V1434), "YES", "NO")</f>
        <v>NO</v>
      </c>
      <c r="AC1434" t="str">
        <f>IF(AND($V909&gt;10,$V1434&gt;10), "YES", "NO")</f>
        <v>NO</v>
      </c>
      <c r="AD1434"/>
    </row>
    <row r="1435" spans="1:30" ht="15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>LEFT($A1435,FIND("_",$A1435)-1)</f>
        <v>RSRepair-A</v>
      </c>
      <c r="P1435" s="13" t="str">
        <f>IF($O1435="ACS", "True Search", IF($O1435="Arja", "Evolutionary Search", IF($O1435="AVATAR", "True Pattern", IF($O1435="CapGen", "Search Like Pattern", IF($O1435="Cardumen", "True Semantic", IF($O1435="DynaMoth", "True Semantic", IF($O1435="FixMiner", "True Pattern", IF($O1435="GenProg-A", "Evolutionary Search", IF($O1435="Hercules", "Learning Pattern", IF($O1435="Jaid", "True Semantic",
IF($O1435="Kali-A", "True Search", IF($O1435="kPAR", "True Pattern", IF($O1435="Nopol", "True Semantic", IF($O1435="RSRepair-A", "Evolutionary Search", IF($O1435="SequenceR", "Deep Learning", IF($O1435="SimFix", "Search Like Pattern", IF($O1435="SketchFix", "True Pattern", IF($O1435="SOFix", "True Pattern", IF($O1435="ssFix", "Search Like Pattern", IF($O1435="TBar", "True Pattern", ""))))))))))))))))))))</f>
        <v>Evolutionary Search</v>
      </c>
      <c r="Q1435" s="13" t="str">
        <f>IF(NOT(ISERR(SEARCH("*_Buggy",$A1435))), "Buggy", IF(NOT(ISERR(SEARCH("*_Fixed",$A1435))), "Fixed", IF(NOT(ISERR(SEARCH("*_Repaired",$A1435))), "Repaired", "")))</f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v>1</v>
      </c>
      <c r="W1435" s="13" t="str">
        <f>MID(A1435, SEARCH("_", A1435) +1, SEARCH("_", A1435, SEARCH("_", A1435) +1) - SEARCH("_", A1435) -1)</f>
        <v>Closure-75</v>
      </c>
      <c r="Y1435" t="str">
        <f>IF(AND($S910=1,$S1435=1,$V910=1,$V1435=1), "YES", "NO")</f>
        <v>NO</v>
      </c>
      <c r="Z1435" t="str">
        <f>IF(AND($S910=1,$S1435=1,$V910&gt;1,$V1435&gt;1), "YES", "NO")</f>
        <v>NO</v>
      </c>
      <c r="AA1435" t="str">
        <f>IF(AND($S910&gt;1,$S1435&gt;1,$S910=$V910,$S1435=$V1435), "YES", "NO")</f>
        <v>NO</v>
      </c>
      <c r="AB1435" t="str">
        <f>IF(AND($S910&gt;1,$S1435&gt;1,$S910&lt;$V910,$S1435&lt;$V1435), "YES", "NO")</f>
        <v>NO</v>
      </c>
      <c r="AC1435" t="str">
        <f>IF(AND($V910&gt;10,$V1435&gt;10), "YES", "NO")</f>
        <v>NO</v>
      </c>
      <c r="AD1435"/>
    </row>
    <row r="1436" spans="1:30" ht="15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>LEFT($A1436,FIND("_",$A1436)-1)</f>
        <v>RSRepair-A</v>
      </c>
      <c r="P1436" s="13" t="str">
        <f>IF($O1436="ACS", "True Search", IF($O1436="Arja", "Evolutionary Search", IF($O1436="AVATAR", "True Pattern", IF($O1436="CapGen", "Search Like Pattern", IF($O1436="Cardumen", "True Semantic", IF($O1436="DynaMoth", "True Semantic", IF($O1436="FixMiner", "True Pattern", IF($O1436="GenProg-A", "Evolutionary Search", IF($O1436="Hercules", "Learning Pattern", IF($O1436="Jaid", "True Semantic",
IF($O1436="Kali-A", "True Search", IF($O1436="kPAR", "True Pattern", IF($O1436="Nopol", "True Semantic", IF($O1436="RSRepair-A", "Evolutionary Search", IF($O1436="SequenceR", "Deep Learning", IF($O1436="SimFix", "Search Like Pattern", IF($O1436="SketchFix", "True Pattern", IF($O1436="SOFix", "True Pattern", IF($O1436="ssFix", "Search Like Pattern", IF($O1436="TBar", "True Pattern", ""))))))))))))))))))))</f>
        <v>Evolutionary Search</v>
      </c>
      <c r="Q1436" s="13" t="str">
        <f>IF(NOT(ISERR(SEARCH("*_Buggy",$A1436))), "Buggy", IF(NOT(ISERR(SEARCH("*_Fixed",$A1436))), "Fixed", IF(NOT(ISERR(SEARCH("*_Repaired",$A1436))), "Repaired", "")))</f>
        <v>Repaired</v>
      </c>
      <c r="R1436" s="13" t="s">
        <v>1668</v>
      </c>
      <c r="S1436" s="25">
        <v>1</v>
      </c>
      <c r="T1436" s="25">
        <v>1</v>
      </c>
      <c r="U1436" s="25">
        <v>4</v>
      </c>
      <c r="V1436" s="13">
        <v>4</v>
      </c>
      <c r="W1436" s="13" t="str">
        <f>MID(A1436, SEARCH("_", A1436) +1, SEARCH("_", A1436, SEARCH("_", A1436) +1) - SEARCH("_", A1436) -1)</f>
        <v>Closure-86</v>
      </c>
      <c r="Y1436" t="str">
        <f>IF(AND($S911=1,$S1436=1,$V911=1,$V1436=1), "YES", "NO")</f>
        <v>NO</v>
      </c>
      <c r="Z1436" t="str">
        <f>IF(AND($S911=1,$S1436=1,$V911&gt;1,$V1436&gt;1), "YES", "NO")</f>
        <v>NO</v>
      </c>
      <c r="AA1436" t="str">
        <f>IF(AND($S911&gt;1,$S1436&gt;1,$S911=$V911,$S1436=$V1436), "YES", "NO")</f>
        <v>NO</v>
      </c>
      <c r="AB1436" t="str">
        <f>IF(AND($S911&gt;1,$S1436&gt;1,$S911&lt;$V911,$S1436&lt;$V1436), "YES", "NO")</f>
        <v>NO</v>
      </c>
      <c r="AC1436" t="str">
        <f>IF(AND($V911&gt;10,$V1436&gt;10), "YES", "NO")</f>
        <v>NO</v>
      </c>
      <c r="AD1436"/>
    </row>
    <row r="1437" spans="1:30" ht="15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>LEFT($A1437,FIND("_",$A1437)-1)</f>
        <v>RSRepair-A</v>
      </c>
      <c r="P1437" s="13" t="str">
        <f>IF($O1437="ACS", "True Search", IF($O1437="Arja", "Evolutionary Search", IF($O1437="AVATAR", "True Pattern", IF($O1437="CapGen", "Search Like Pattern", IF($O1437="Cardumen", "True Semantic", IF($O1437="DynaMoth", "True Semantic", IF($O1437="FixMiner", "True Pattern", IF($O1437="GenProg-A", "Evolutionary Search", IF($O1437="Hercules", "Learning Pattern", IF($O1437="Jaid", "True Semantic",
IF($O1437="Kali-A", "True Search", IF($O1437="kPAR", "True Pattern", IF($O1437="Nopol", "True Semantic", IF($O1437="RSRepair-A", "Evolutionary Search", IF($O1437="SequenceR", "Deep Learning", IF($O1437="SimFix", "Search Like Pattern", IF($O1437="SketchFix", "True Pattern", IF($O1437="SOFix", "True Pattern", IF($O1437="ssFix", "Search Like Pattern", IF($O1437="TBar", "True Pattern", ""))))))))))))))))))))</f>
        <v>Evolutionary Search</v>
      </c>
      <c r="Q1437" s="13" t="str">
        <f>IF(NOT(ISERR(SEARCH("*_Buggy",$A1437))), "Buggy", IF(NOT(ISERR(SEARCH("*_Fixed",$A1437))), "Fixed", IF(NOT(ISERR(SEARCH("*_Repaired",$A1437))), "Repaired", "")))</f>
        <v>Repaired</v>
      </c>
      <c r="R1437" s="13" t="s">
        <v>1669</v>
      </c>
      <c r="S1437" s="25">
        <v>1</v>
      </c>
      <c r="T1437" s="25">
        <v>0</v>
      </c>
      <c r="U1437" s="13">
        <v>4</v>
      </c>
      <c r="V1437" s="13">
        <v>4</v>
      </c>
      <c r="W1437" s="13" t="str">
        <f>MID(A1437, SEARCH("_", A1437) +1, SEARCH("_", A1437, SEARCH("_", A1437) +1) - SEARCH("_", A1437) -1)</f>
        <v>Closure-88</v>
      </c>
      <c r="Y1437" t="str">
        <f>IF(AND($S912=1,$S1437=1,$V912=1,$V1437=1), "YES", "NO")</f>
        <v>NO</v>
      </c>
      <c r="Z1437" t="str">
        <f>IF(AND($S912=1,$S1437=1,$V912&gt;1,$V1437&gt;1), "YES", "NO")</f>
        <v>NO</v>
      </c>
      <c r="AA1437" t="str">
        <f>IF(AND($S912&gt;1,$S1437&gt;1,$S912=$V912,$S1437=$V1437), "YES", "NO")</f>
        <v>NO</v>
      </c>
      <c r="AB1437" t="str">
        <f>IF(AND($S912&gt;1,$S1437&gt;1,$S912&lt;$V912,$S1437&lt;$V1437), "YES", "NO")</f>
        <v>NO</v>
      </c>
      <c r="AC1437" t="str">
        <f>IF(AND($V912&gt;10,$V1437&gt;10), "YES", "NO")</f>
        <v>NO</v>
      </c>
      <c r="AD1437"/>
    </row>
    <row r="1438" spans="1:30" ht="15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>LEFT($A1438,FIND("_",$A1438)-1)</f>
        <v>RSRepair-A</v>
      </c>
      <c r="P1438" s="13" t="str">
        <f>IF($O1438="ACS", "True Search", IF($O1438="Arja", "Evolutionary Search", IF($O1438="AVATAR", "True Pattern", IF($O1438="CapGen", "Search Like Pattern", IF($O1438="Cardumen", "True Semantic", IF($O1438="DynaMoth", "True Semantic", IF($O1438="FixMiner", "True Pattern", IF($O1438="GenProg-A", "Evolutionary Search", IF($O1438="Hercules", "Learning Pattern", IF($O1438="Jaid", "True Semantic",
IF($O1438="Kali-A", "True Search", IF($O1438="kPAR", "True Pattern", IF($O1438="Nopol", "True Semantic", IF($O1438="RSRepair-A", "Evolutionary Search", IF($O1438="SequenceR", "Deep Learning", IF($O1438="SimFix", "Search Like Pattern", IF($O1438="SketchFix", "True Pattern", IF($O1438="SOFix", "True Pattern", IF($O1438="ssFix", "Search Like Pattern", IF($O1438="TBar", "True Pattern", ""))))))))))))))))))))</f>
        <v>Evolutionary Search</v>
      </c>
      <c r="Q1438" s="13" t="str">
        <f>IF(NOT(ISERR(SEARCH("*_Buggy",$A1438))), "Buggy", IF(NOT(ISERR(SEARCH("*_Fixed",$A1438))), "Fixed", IF(NOT(ISERR(SEARCH("*_Repaired",$A1438))), "Repaired", "")))</f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v>1</v>
      </c>
      <c r="W1438" s="13" t="str">
        <f>MID(A1438, SEARCH("_", A1438) +1, SEARCH("_", A1438, SEARCH("_", A1438) +1) - SEARCH("_", A1438) -1)</f>
        <v>Lang-13</v>
      </c>
      <c r="Y1438" t="str">
        <f>IF(AND($S913=1,$S1438=1,$V913=1,$V1438=1), "YES", "NO")</f>
        <v>NO</v>
      </c>
      <c r="Z1438" t="str">
        <f>IF(AND($S913=1,$S1438=1,$V913&gt;1,$V1438&gt;1), "YES", "NO")</f>
        <v>NO</v>
      </c>
      <c r="AA1438" t="str">
        <f>IF(AND($S913&gt;1,$S1438&gt;1,$S913=$V913,$S1438=$V1438), "YES", "NO")</f>
        <v>NO</v>
      </c>
      <c r="AB1438" t="str">
        <f>IF(AND($S913&gt;1,$S1438&gt;1,$S913&lt;$V913,$S1438&lt;$V1438), "YES", "NO")</f>
        <v>NO</v>
      </c>
      <c r="AC1438" t="str">
        <f>IF(AND($V913&gt;10,$V1438&gt;10), "YES", "NO")</f>
        <v>NO</v>
      </c>
      <c r="AD1438"/>
    </row>
    <row r="1439" spans="1:30" ht="15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>LEFT($A1439,FIND("_",$A1439)-1)</f>
        <v>RSRepair-A</v>
      </c>
      <c r="P1439" s="13" t="str">
        <f>IF($O1439="ACS", "True Search", IF($O1439="Arja", "Evolutionary Search", IF($O1439="AVATAR", "True Pattern", IF($O1439="CapGen", "Search Like Pattern", IF($O1439="Cardumen", "True Semantic", IF($O1439="DynaMoth", "True Semantic", IF($O1439="FixMiner", "True Pattern", IF($O1439="GenProg-A", "Evolutionary Search", IF($O1439="Hercules", "Learning Pattern", IF($O1439="Jaid", "True Semantic",
IF($O1439="Kali-A", "True Search", IF($O1439="kPAR", "True Pattern", IF($O1439="Nopol", "True Semantic", IF($O1439="RSRepair-A", "Evolutionary Search", IF($O1439="SequenceR", "Deep Learning", IF($O1439="SimFix", "Search Like Pattern", IF($O1439="SketchFix", "True Pattern", IF($O1439="SOFix", "True Pattern", IF($O1439="ssFix", "Search Like Pattern", IF($O1439="TBar", "True Pattern", ""))))))))))))))))))))</f>
        <v>Evolutionary Search</v>
      </c>
      <c r="Q1439" s="13" t="str">
        <f>IF(NOT(ISERR(SEARCH("*_Buggy",$A1439))), "Buggy", IF(NOT(ISERR(SEARCH("*_Fixed",$A1439))), "Fixed", IF(NOT(ISERR(SEARCH("*_Repaired",$A1439))), "Repaired", "")))</f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v>1</v>
      </c>
      <c r="W1439" s="13" t="str">
        <f>MID(A1439, SEARCH("_", A1439) +1, SEARCH("_", A1439, SEARCH("_", A1439) +1) - SEARCH("_", A1439) -1)</f>
        <v>Lang-16</v>
      </c>
      <c r="Y1439" t="str">
        <f>IF(AND($S914=1,$S1439=1,$V914=1,$V1439=1), "YES", "NO")</f>
        <v>YES</v>
      </c>
      <c r="Z1439" t="str">
        <f>IF(AND($S914=1,$S1439=1,$V914&gt;1,$V1439&gt;1), "YES", "NO")</f>
        <v>NO</v>
      </c>
      <c r="AA1439" t="str">
        <f>IF(AND($S914&gt;1,$S1439&gt;1,$S914=$V914,$S1439=$V1439), "YES", "NO")</f>
        <v>NO</v>
      </c>
      <c r="AB1439" t="str">
        <f>IF(AND($S914&gt;1,$S1439&gt;1,$S914&lt;$V914,$S1439&lt;$V1439), "YES", "NO")</f>
        <v>NO</v>
      </c>
      <c r="AC1439" t="str">
        <f>IF(AND($V914&gt;10,$V1439&gt;10), "YES", "NO")</f>
        <v>NO</v>
      </c>
      <c r="AD1439"/>
    </row>
    <row r="1440" spans="1:30" ht="15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>LEFT($A1440,FIND("_",$A1440)-1)</f>
        <v>RSRepair-A</v>
      </c>
      <c r="P1440" s="13" t="str">
        <f>IF($O1440="ACS", "True Search", IF($O1440="Arja", "Evolutionary Search", IF($O1440="AVATAR", "True Pattern", IF($O1440="CapGen", "Search Like Pattern", IF($O1440="Cardumen", "True Semantic", IF($O1440="DynaMoth", "True Semantic", IF($O1440="FixMiner", "True Pattern", IF($O1440="GenProg-A", "Evolutionary Search", IF($O1440="Hercules", "Learning Pattern", IF($O1440="Jaid", "True Semantic",
IF($O1440="Kali-A", "True Search", IF($O1440="kPAR", "True Pattern", IF($O1440="Nopol", "True Semantic", IF($O1440="RSRepair-A", "Evolutionary Search", IF($O1440="SequenceR", "Deep Learning", IF($O1440="SimFix", "Search Like Pattern", IF($O1440="SketchFix", "True Pattern", IF($O1440="SOFix", "True Pattern", IF($O1440="ssFix", "Search Like Pattern", IF($O1440="TBar", "True Pattern", ""))))))))))))))))))))</f>
        <v>Evolutionary Search</v>
      </c>
      <c r="Q1440" s="13" t="str">
        <f>IF(NOT(ISERR(SEARCH("*_Buggy",$A1440))), "Buggy", IF(NOT(ISERR(SEARCH("*_Fixed",$A1440))), "Fixed", IF(NOT(ISERR(SEARCH("*_Repaired",$A1440))), "Repaired", "")))</f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v>1</v>
      </c>
      <c r="W1440" s="13" t="str">
        <f>MID(A1440, SEARCH("_", A1440) +1, SEARCH("_", A1440, SEARCH("_", A1440) +1) - SEARCH("_", A1440) -1)</f>
        <v>Lang-43</v>
      </c>
      <c r="Y1440" t="str">
        <f>IF(AND($S915=1,$S1440=1,$V915=1,$V1440=1), "YES", "NO")</f>
        <v>YES</v>
      </c>
      <c r="Z1440" t="str">
        <f>IF(AND($S915=1,$S1440=1,$V915&gt;1,$V1440&gt;1), "YES", "NO")</f>
        <v>NO</v>
      </c>
      <c r="AA1440" t="str">
        <f>IF(AND($S915&gt;1,$S1440&gt;1,$S915=$V915,$S1440=$V1440), "YES", "NO")</f>
        <v>NO</v>
      </c>
      <c r="AB1440" t="str">
        <f>IF(AND($S915&gt;1,$S1440&gt;1,$S915&lt;$V915,$S1440&lt;$V1440), "YES", "NO")</f>
        <v>NO</v>
      </c>
      <c r="AC1440" t="str">
        <f>IF(AND($V915&gt;10,$V1440&gt;10), "YES", "NO")</f>
        <v>NO</v>
      </c>
      <c r="AD1440"/>
    </row>
    <row r="1441" spans="1:30" ht="15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>LEFT($A1441,FIND("_",$A1441)-1)</f>
        <v>RSRepair-A</v>
      </c>
      <c r="P1441" s="13" t="str">
        <f>IF($O1441="ACS", "True Search", IF($O1441="Arja", "Evolutionary Search", IF($O1441="AVATAR", "True Pattern", IF($O1441="CapGen", "Search Like Pattern", IF($O1441="Cardumen", "True Semantic", IF($O1441="DynaMoth", "True Semantic", IF($O1441="FixMiner", "True Pattern", IF($O1441="GenProg-A", "Evolutionary Search", IF($O1441="Hercules", "Learning Pattern", IF($O1441="Jaid", "True Semantic",
IF($O1441="Kali-A", "True Search", IF($O1441="kPAR", "True Pattern", IF($O1441="Nopol", "True Semantic", IF($O1441="RSRepair-A", "Evolutionary Search", IF($O1441="SequenceR", "Deep Learning", IF($O1441="SimFix", "Search Like Pattern", IF($O1441="SketchFix", "True Pattern", IF($O1441="SOFix", "True Pattern", IF($O1441="ssFix", "Search Like Pattern", IF($O1441="TBar", "True Pattern", ""))))))))))))))))))))</f>
        <v>Evolutionary Search</v>
      </c>
      <c r="Q1441" s="13" t="str">
        <f>IF(NOT(ISERR(SEARCH("*_Buggy",$A1441))), "Buggy", IF(NOT(ISERR(SEARCH("*_Fixed",$A1441))), "Fixed", IF(NOT(ISERR(SEARCH("*_Repaired",$A1441))), "Repaired", "")))</f>
        <v>Repaired</v>
      </c>
      <c r="R1441" s="13" t="s">
        <v>1668</v>
      </c>
      <c r="S1441" s="25">
        <v>1</v>
      </c>
      <c r="T1441" s="25">
        <v>3</v>
      </c>
      <c r="U1441" s="25">
        <v>1</v>
      </c>
      <c r="V1441" s="13">
        <v>3</v>
      </c>
      <c r="W1441" s="13" t="str">
        <f>MID(A1441, SEARCH("_", A1441) +1, SEARCH("_", A1441, SEARCH("_", A1441) +1) - SEARCH("_", A1441) -1)</f>
        <v>Lang-46</v>
      </c>
      <c r="Y1441" t="str">
        <f>IF(AND($S916=1,$S1441=1,$V916=1,$V1441=1), "YES", "NO")</f>
        <v>NO</v>
      </c>
      <c r="Z1441" t="str">
        <f>IF(AND($S916=1,$S1441=1,$V916&gt;1,$V1441&gt;1), "YES", "NO")</f>
        <v>NO</v>
      </c>
      <c r="AA1441" t="str">
        <f>IF(AND($S916&gt;1,$S1441&gt;1,$S916=$V916,$S1441=$V1441), "YES", "NO")</f>
        <v>NO</v>
      </c>
      <c r="AB1441" t="str">
        <f>IF(AND($S916&gt;1,$S1441&gt;1,$S916&lt;$V916,$S1441&lt;$V1441), "YES", "NO")</f>
        <v>NO</v>
      </c>
      <c r="AC1441" t="str">
        <f>IF(AND($V916&gt;10,$V1441&gt;10), "YES", "NO")</f>
        <v>NO</v>
      </c>
      <c r="AD1441"/>
    </row>
    <row r="1442" spans="1:30" ht="15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>LEFT($A1442,FIND("_",$A1442)-1)</f>
        <v>RSRepair-A</v>
      </c>
      <c r="P1442" s="13" t="str">
        <f>IF($O1442="ACS", "True Search", IF($O1442="Arja", "Evolutionary Search", IF($O1442="AVATAR", "True Pattern", IF($O1442="CapGen", "Search Like Pattern", IF($O1442="Cardumen", "True Semantic", IF($O1442="DynaMoth", "True Semantic", IF($O1442="FixMiner", "True Pattern", IF($O1442="GenProg-A", "Evolutionary Search", IF($O1442="Hercules", "Learning Pattern", IF($O1442="Jaid", "True Semantic",
IF($O1442="Kali-A", "True Search", IF($O1442="kPAR", "True Pattern", IF($O1442="Nopol", "True Semantic", IF($O1442="RSRepair-A", "Evolutionary Search", IF($O1442="SequenceR", "Deep Learning", IF($O1442="SimFix", "Search Like Pattern", IF($O1442="SketchFix", "True Pattern", IF($O1442="SOFix", "True Pattern", IF($O1442="ssFix", "Search Like Pattern", IF($O1442="TBar", "True Pattern", ""))))))))))))))))))))</f>
        <v>Evolutionary Search</v>
      </c>
      <c r="Q1442" s="13" t="str">
        <f>IF(NOT(ISERR(SEARCH("*_Buggy",$A1442))), "Buggy", IF(NOT(ISERR(SEARCH("*_Fixed",$A1442))), "Fixed", IF(NOT(ISERR(SEARCH("*_Repaired",$A1442))), "Repaired", "")))</f>
        <v>Repaired</v>
      </c>
      <c r="R1442" s="13" t="s">
        <v>1669</v>
      </c>
      <c r="S1442" s="25">
        <v>1</v>
      </c>
      <c r="T1442" s="25">
        <v>2</v>
      </c>
      <c r="U1442" s="25">
        <v>1</v>
      </c>
      <c r="V1442" s="13">
        <v>2</v>
      </c>
      <c r="W1442" s="13" t="str">
        <f>MID(A1442, SEARCH("_", A1442) +1, SEARCH("_", A1442, SEARCH("_", A1442) +1) - SEARCH("_", A1442) -1)</f>
        <v>Lang-59</v>
      </c>
      <c r="Y1442" t="str">
        <f>IF(AND($S917=1,$S1442=1,$V917=1,$V1442=1), "YES", "NO")</f>
        <v>NO</v>
      </c>
      <c r="Z1442" t="str">
        <f>IF(AND($S917=1,$S1442=1,$V917&gt;1,$V1442&gt;1), "YES", "NO")</f>
        <v>NO</v>
      </c>
      <c r="AA1442" t="str">
        <f>IF(AND($S917&gt;1,$S1442&gt;1,$S917=$V917,$S1442=$V1442), "YES", "NO")</f>
        <v>NO</v>
      </c>
      <c r="AB1442" t="str">
        <f>IF(AND($S917&gt;1,$S1442&gt;1,$S917&lt;$V917,$S1442&lt;$V1442), "YES", "NO")</f>
        <v>NO</v>
      </c>
      <c r="AC1442" t="str">
        <f>IF(AND($V917&gt;10,$V1442&gt;10), "YES", "NO")</f>
        <v>NO</v>
      </c>
      <c r="AD1442"/>
    </row>
    <row r="1443" spans="1:30" ht="15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>LEFT($A1443,FIND("_",$A1443)-1)</f>
        <v>RSRepair-A</v>
      </c>
      <c r="P1443" s="13" t="str">
        <f>IF($O1443="ACS", "True Search", IF($O1443="Arja", "Evolutionary Search", IF($O1443="AVATAR", "True Pattern", IF($O1443="CapGen", "Search Like Pattern", IF($O1443="Cardumen", "True Semantic", IF($O1443="DynaMoth", "True Semantic", IF($O1443="FixMiner", "True Pattern", IF($O1443="GenProg-A", "Evolutionary Search", IF($O1443="Hercules", "Learning Pattern", IF($O1443="Jaid", "True Semantic",
IF($O1443="Kali-A", "True Search", IF($O1443="kPAR", "True Pattern", IF($O1443="Nopol", "True Semantic", IF($O1443="RSRepair-A", "Evolutionary Search", IF($O1443="SequenceR", "Deep Learning", IF($O1443="SimFix", "Search Like Pattern", IF($O1443="SketchFix", "True Pattern", IF($O1443="SOFix", "True Pattern", IF($O1443="ssFix", "Search Like Pattern", IF($O1443="TBar", "True Pattern", ""))))))))))))))))))))</f>
        <v>Evolutionary Search</v>
      </c>
      <c r="Q1443" s="13" t="str">
        <f>IF(NOT(ISERR(SEARCH("*_Buggy",$A1443))), "Buggy", IF(NOT(ISERR(SEARCH("*_Fixed",$A1443))), "Fixed", IF(NOT(ISERR(SEARCH("*_Repaired",$A1443))), "Repaired", "")))</f>
        <v>Repaired</v>
      </c>
      <c r="R1443" s="13" t="s">
        <v>1669</v>
      </c>
      <c r="S1443" s="25">
        <v>2</v>
      </c>
      <c r="T1443" s="25">
        <v>0</v>
      </c>
      <c r="U1443" s="13">
        <v>2</v>
      </c>
      <c r="V1443" s="13">
        <v>2</v>
      </c>
      <c r="W1443" s="13" t="str">
        <f>MID(A1443, SEARCH("_", A1443) +1, SEARCH("_", A1443, SEARCH("_", A1443) +1) - SEARCH("_", A1443) -1)</f>
        <v>Lang-63</v>
      </c>
      <c r="Y1443" t="str">
        <f>IF(AND($S918=1,$S1443=1,$V918=1,$V1443=1), "YES", "NO")</f>
        <v>NO</v>
      </c>
      <c r="Z1443" t="str">
        <f>IF(AND($S918=1,$S1443=1,$V918&gt;1,$V1443&gt;1), "YES", "NO")</f>
        <v>NO</v>
      </c>
      <c r="AA1443" t="str">
        <f>IF(AND($S918&gt;1,$S1443&gt;1,$S918=$V918,$S1443=$V1443), "YES", "NO")</f>
        <v>NO</v>
      </c>
      <c r="AB1443" t="str">
        <f>IF(AND($S918&gt;1,$S1443&gt;1,$S918&lt;$V918,$S1443&lt;$V1443), "YES", "NO")</f>
        <v>NO</v>
      </c>
      <c r="AC1443" t="str">
        <f>IF(AND($V918&gt;10,$V1443&gt;10), "YES", "NO")</f>
        <v>NO</v>
      </c>
      <c r="AD1443"/>
    </row>
    <row r="1444" spans="1:30" ht="15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>LEFT($A1444,FIND("_",$A1444)-1)</f>
        <v>RSRepair-A</v>
      </c>
      <c r="P1444" s="13" t="str">
        <f>IF($O1444="ACS", "True Search", IF($O1444="Arja", "Evolutionary Search", IF($O1444="AVATAR", "True Pattern", IF($O1444="CapGen", "Search Like Pattern", IF($O1444="Cardumen", "True Semantic", IF($O1444="DynaMoth", "True Semantic", IF($O1444="FixMiner", "True Pattern", IF($O1444="GenProg-A", "Evolutionary Search", IF($O1444="Hercules", "Learning Pattern", IF($O1444="Jaid", "True Semantic",
IF($O1444="Kali-A", "True Search", IF($O1444="kPAR", "True Pattern", IF($O1444="Nopol", "True Semantic", IF($O1444="RSRepair-A", "Evolutionary Search", IF($O1444="SequenceR", "Deep Learning", IF($O1444="SimFix", "Search Like Pattern", IF($O1444="SketchFix", "True Pattern", IF($O1444="SOFix", "True Pattern", IF($O1444="ssFix", "Search Like Pattern", IF($O1444="TBar", "True Pattern", ""))))))))))))))))))))</f>
        <v>Evolutionary Search</v>
      </c>
      <c r="Q1444" s="13" t="str">
        <f>IF(NOT(ISERR(SEARCH("*_Buggy",$A1444))), "Buggy", IF(NOT(ISERR(SEARCH("*_Fixed",$A1444))), "Fixed", IF(NOT(ISERR(SEARCH("*_Repaired",$A1444))), "Repaired", "")))</f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v>1</v>
      </c>
      <c r="W1444" s="13" t="str">
        <f>MID(A1444, SEARCH("_", A1444) +1, SEARCH("_", A1444, SEARCH("_", A1444) +1) - SEARCH("_", A1444) -1)</f>
        <v>Lang-7</v>
      </c>
      <c r="Y1444" t="str">
        <f>IF(AND($S919=1,$S1444=1,$V919=1,$V1444=1), "YES", "NO")</f>
        <v>NO</v>
      </c>
      <c r="Z1444" t="str">
        <f>IF(AND($S919=1,$S1444=1,$V919&gt;1,$V1444&gt;1), "YES", "NO")</f>
        <v>NO</v>
      </c>
      <c r="AA1444" t="str">
        <f>IF(AND($S919&gt;1,$S1444&gt;1,$S919=$V919,$S1444=$V1444), "YES", "NO")</f>
        <v>NO</v>
      </c>
      <c r="AB1444" t="str">
        <f>IF(AND($S919&gt;1,$S1444&gt;1,$S919&lt;$V919,$S1444&lt;$V1444), "YES", "NO")</f>
        <v>NO</v>
      </c>
      <c r="AC1444" t="str">
        <f>IF(AND($V919&gt;10,$V1444&gt;10), "YES", "NO")</f>
        <v>NO</v>
      </c>
      <c r="AD1444"/>
    </row>
    <row r="1445" spans="1:30" ht="15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>LEFT($A1445,FIND("_",$A1445)-1)</f>
        <v>RSRepair-A</v>
      </c>
      <c r="P1445" s="13" t="str">
        <f>IF($O1445="ACS", "True Search", IF($O1445="Arja", "Evolutionary Search", IF($O1445="AVATAR", "True Pattern", IF($O1445="CapGen", "Search Like Pattern", IF($O1445="Cardumen", "True Semantic", IF($O1445="DynaMoth", "True Semantic", IF($O1445="FixMiner", "True Pattern", IF($O1445="GenProg-A", "Evolutionary Search", IF($O1445="Hercules", "Learning Pattern", IF($O1445="Jaid", "True Semantic",
IF($O1445="Kali-A", "True Search", IF($O1445="kPAR", "True Pattern", IF($O1445="Nopol", "True Semantic", IF($O1445="RSRepair-A", "Evolutionary Search", IF($O1445="SequenceR", "Deep Learning", IF($O1445="SimFix", "Search Like Pattern", IF($O1445="SketchFix", "True Pattern", IF($O1445="SOFix", "True Pattern", IF($O1445="ssFix", "Search Like Pattern", IF($O1445="TBar", "True Pattern", ""))))))))))))))))))))</f>
        <v>Evolutionary Search</v>
      </c>
      <c r="Q1445" s="13" t="str">
        <f>IF(NOT(ISERR(SEARCH("*_Buggy",$A1445))), "Buggy", IF(NOT(ISERR(SEARCH("*_Fixed",$A1445))), "Fixed", IF(NOT(ISERR(SEARCH("*_Repaired",$A1445))), "Repaired", "")))</f>
        <v>Repaired</v>
      </c>
      <c r="R1445" s="13" t="s">
        <v>1669</v>
      </c>
      <c r="S1445" s="25">
        <v>1</v>
      </c>
      <c r="T1445" s="25">
        <v>0</v>
      </c>
      <c r="U1445" s="13">
        <v>7</v>
      </c>
      <c r="V1445" s="13">
        <v>7</v>
      </c>
      <c r="W1445" s="13" t="str">
        <f>MID(A1445, SEARCH("_", A1445) +1, SEARCH("_", A1445, SEARCH("_", A1445) +1) - SEARCH("_", A1445) -1)</f>
        <v>Math-28</v>
      </c>
      <c r="Y1445" t="str">
        <f>IF(AND($S920=1,$S1445=1,$V920=1,$V1445=1), "YES", "NO")</f>
        <v>NO</v>
      </c>
      <c r="Z1445" t="str">
        <f>IF(AND($S920=1,$S1445=1,$V920&gt;1,$V1445&gt;1), "YES", "NO")</f>
        <v>NO</v>
      </c>
      <c r="AA1445" t="str">
        <f>IF(AND($S920&gt;1,$S1445&gt;1,$S920=$V920,$S1445=$V1445), "YES", "NO")</f>
        <v>NO</v>
      </c>
      <c r="AB1445" t="str">
        <f>IF(AND($S920&gt;1,$S1445&gt;1,$S920&lt;$V920,$S1445&lt;$V1445), "YES", "NO")</f>
        <v>NO</v>
      </c>
      <c r="AC1445" t="str">
        <f>IF(AND($V920&gt;10,$V1445&gt;10), "YES", "NO")</f>
        <v>NO</v>
      </c>
      <c r="AD1445"/>
    </row>
    <row r="1446" spans="1:30" ht="15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>LEFT($A1446,FIND("_",$A1446)-1)</f>
        <v>RSRepair-A</v>
      </c>
      <c r="P1446" s="13" t="str">
        <f>IF($O1446="ACS", "True Search", IF($O1446="Arja", "Evolutionary Search", IF($O1446="AVATAR", "True Pattern", IF($O1446="CapGen", "Search Like Pattern", IF($O1446="Cardumen", "True Semantic", IF($O1446="DynaMoth", "True Semantic", IF($O1446="FixMiner", "True Pattern", IF($O1446="GenProg-A", "Evolutionary Search", IF($O1446="Hercules", "Learning Pattern", IF($O1446="Jaid", "True Semantic",
IF($O1446="Kali-A", "True Search", IF($O1446="kPAR", "True Pattern", IF($O1446="Nopol", "True Semantic", IF($O1446="RSRepair-A", "Evolutionary Search", IF($O1446="SequenceR", "Deep Learning", IF($O1446="SimFix", "Search Like Pattern", IF($O1446="SketchFix", "True Pattern", IF($O1446="SOFix", "True Pattern", IF($O1446="ssFix", "Search Like Pattern", IF($O1446="TBar", "True Pattern", ""))))))))))))))))))))</f>
        <v>Evolutionary Search</v>
      </c>
      <c r="Q1446" s="13" t="str">
        <f>IF(NOT(ISERR(SEARCH("*_Buggy",$A1446))), "Buggy", IF(NOT(ISERR(SEARCH("*_Fixed",$A1446))), "Fixed", IF(NOT(ISERR(SEARCH("*_Repaired",$A1446))), "Repaired", "")))</f>
        <v>Repaired</v>
      </c>
      <c r="R1446" s="13" t="s">
        <v>1669</v>
      </c>
      <c r="S1446" s="25">
        <v>1</v>
      </c>
      <c r="T1446" s="25">
        <v>0</v>
      </c>
      <c r="U1446" s="13">
        <v>3</v>
      </c>
      <c r="V1446" s="13">
        <v>3</v>
      </c>
      <c r="W1446" s="13" t="str">
        <f>MID(A1446, SEARCH("_", A1446) +1, SEARCH("_", A1446, SEARCH("_", A1446) +1) - SEARCH("_", A1446) -1)</f>
        <v>Math-33</v>
      </c>
      <c r="Y1446" t="str">
        <f>IF(AND($S921=1,$S1446=1,$V921=1,$V1446=1), "YES", "NO")</f>
        <v>NO</v>
      </c>
      <c r="Z1446" t="str">
        <f>IF(AND($S921=1,$S1446=1,$V921&gt;1,$V1446&gt;1), "YES", "NO")</f>
        <v>NO</v>
      </c>
      <c r="AA1446" t="str">
        <f>IF(AND($S921&gt;1,$S1446&gt;1,$S921=$V921,$S1446=$V1446), "YES", "NO")</f>
        <v>NO</v>
      </c>
      <c r="AB1446" t="str">
        <f>IF(AND($S921&gt;1,$S1446&gt;1,$S921&lt;$V921,$S1446&lt;$V1446), "YES", "NO")</f>
        <v>NO</v>
      </c>
      <c r="AC1446" t="str">
        <f>IF(AND($V921&gt;10,$V1446&gt;10), "YES", "NO")</f>
        <v>NO</v>
      </c>
      <c r="AD1446"/>
    </row>
    <row r="1447" spans="1:30" ht="15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>LEFT($A1447,FIND("_",$A1447)-1)</f>
        <v>RSRepair-A</v>
      </c>
      <c r="P1447" s="13" t="str">
        <f>IF($O1447="ACS", "True Search", IF($O1447="Arja", "Evolutionary Search", IF($O1447="AVATAR", "True Pattern", IF($O1447="CapGen", "Search Like Pattern", IF($O1447="Cardumen", "True Semantic", IF($O1447="DynaMoth", "True Semantic", IF($O1447="FixMiner", "True Pattern", IF($O1447="GenProg-A", "Evolutionary Search", IF($O1447="Hercules", "Learning Pattern", IF($O1447="Jaid", "True Semantic",
IF($O1447="Kali-A", "True Search", IF($O1447="kPAR", "True Pattern", IF($O1447="Nopol", "True Semantic", IF($O1447="RSRepair-A", "Evolutionary Search", IF($O1447="SequenceR", "Deep Learning", IF($O1447="SimFix", "Search Like Pattern", IF($O1447="SketchFix", "True Pattern", IF($O1447="SOFix", "True Pattern", IF($O1447="ssFix", "Search Like Pattern", IF($O1447="TBar", "True Pattern", ""))))))))))))))))))))</f>
        <v>Evolutionary Search</v>
      </c>
      <c r="Q1447" s="13" t="str">
        <f>IF(NOT(ISERR(SEARCH("*_Buggy",$A1447))), "Buggy", IF(NOT(ISERR(SEARCH("*_Fixed",$A1447))), "Fixed", IF(NOT(ISERR(SEARCH("*_Repaired",$A1447))), "Repaired", "")))</f>
        <v>Repaired</v>
      </c>
      <c r="R1447" s="13" t="s">
        <v>1669</v>
      </c>
      <c r="S1447" s="25">
        <v>1</v>
      </c>
      <c r="T1447" s="25">
        <v>2</v>
      </c>
      <c r="U1447" s="25">
        <v>1</v>
      </c>
      <c r="V1447" s="13">
        <v>2</v>
      </c>
      <c r="W1447" s="13" t="str">
        <f>MID(A1447, SEARCH("_", A1447) +1, SEARCH("_", A1447, SEARCH("_", A1447) +1) - SEARCH("_", A1447) -1)</f>
        <v>Math-40</v>
      </c>
      <c r="Y1447" t="str">
        <f>IF(AND($S922=1,$S1447=1,$V922=1,$V1447=1), "YES", "NO")</f>
        <v>NO</v>
      </c>
      <c r="Z1447" t="str">
        <f>IF(AND($S922=1,$S1447=1,$V922&gt;1,$V1447&gt;1), "YES", "NO")</f>
        <v>NO</v>
      </c>
      <c r="AA1447" t="str">
        <f>IF(AND($S922&gt;1,$S1447&gt;1,$S922=$V922,$S1447=$V1447), "YES", "NO")</f>
        <v>NO</v>
      </c>
      <c r="AB1447" t="str">
        <f>IF(AND($S922&gt;1,$S1447&gt;1,$S922&lt;$V922,$S1447&lt;$V1447), "YES", "NO")</f>
        <v>NO</v>
      </c>
      <c r="AC1447" t="str">
        <f>IF(AND($V922&gt;10,$V1447&gt;10), "YES", "NO")</f>
        <v>NO</v>
      </c>
      <c r="AD1447"/>
    </row>
    <row r="1448" spans="1:30" ht="15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>LEFT($A1448,FIND("_",$A1448)-1)</f>
        <v>RSRepair-A</v>
      </c>
      <c r="P1448" s="13" t="str">
        <f>IF($O1448="ACS", "True Search", IF($O1448="Arja", "Evolutionary Search", IF($O1448="AVATAR", "True Pattern", IF($O1448="CapGen", "Search Like Pattern", IF($O1448="Cardumen", "True Semantic", IF($O1448="DynaMoth", "True Semantic", IF($O1448="FixMiner", "True Pattern", IF($O1448="GenProg-A", "Evolutionary Search", IF($O1448="Hercules", "Learning Pattern", IF($O1448="Jaid", "True Semantic",
IF($O1448="Kali-A", "True Search", IF($O1448="kPAR", "True Pattern", IF($O1448="Nopol", "True Semantic", IF($O1448="RSRepair-A", "Evolutionary Search", IF($O1448="SequenceR", "Deep Learning", IF($O1448="SimFix", "Search Like Pattern", IF($O1448="SketchFix", "True Pattern", IF($O1448="SOFix", "True Pattern", IF($O1448="ssFix", "Search Like Pattern", IF($O1448="TBar", "True Pattern", ""))))))))))))))))))))</f>
        <v>Evolutionary Search</v>
      </c>
      <c r="Q1448" s="13" t="str">
        <f>IF(NOT(ISERR(SEARCH("*_Buggy",$A1448))), "Buggy", IF(NOT(ISERR(SEARCH("*_Fixed",$A1448))), "Fixed", IF(NOT(ISERR(SEARCH("*_Repaired",$A1448))), "Repaired", "")))</f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v>1</v>
      </c>
      <c r="W1448" s="13" t="str">
        <f>MID(A1448, SEARCH("_", A1448) +1, SEARCH("_", A1448, SEARCH("_", A1448) +1) - SEARCH("_", A1448) -1)</f>
        <v>Math-5</v>
      </c>
      <c r="Y1448" t="str">
        <f>IF(AND($S923=1,$S1448=1,$V923=1,$V1448=1), "YES", "NO")</f>
        <v>YES</v>
      </c>
      <c r="Z1448" t="str">
        <f>IF(AND($S923=1,$S1448=1,$V923&gt;1,$V1448&gt;1), "YES", "NO")</f>
        <v>NO</v>
      </c>
      <c r="AA1448" t="str">
        <f>IF(AND($S923&gt;1,$S1448&gt;1,$S923=$V923,$S1448=$V1448), "YES", "NO")</f>
        <v>NO</v>
      </c>
      <c r="AB1448" t="str">
        <f>IF(AND($S923&gt;1,$S1448&gt;1,$S923&lt;$V923,$S1448&lt;$V1448), "YES", "NO")</f>
        <v>NO</v>
      </c>
      <c r="AC1448" t="str">
        <f>IF(AND($V923&gt;10,$V1448&gt;10), "YES", "NO")</f>
        <v>NO</v>
      </c>
      <c r="AD1448"/>
    </row>
    <row r="1449" spans="1:30" ht="15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>LEFT($A1449,FIND("_",$A1449)-1)</f>
        <v>RSRepair-A</v>
      </c>
      <c r="P1449" s="13" t="str">
        <f>IF($O1449="ACS", "True Search", IF($O1449="Arja", "Evolutionary Search", IF($O1449="AVATAR", "True Pattern", IF($O1449="CapGen", "Search Like Pattern", IF($O1449="Cardumen", "True Semantic", IF($O1449="DynaMoth", "True Semantic", IF($O1449="FixMiner", "True Pattern", IF($O1449="GenProg-A", "Evolutionary Search", IF($O1449="Hercules", "Learning Pattern", IF($O1449="Jaid", "True Semantic",
IF($O1449="Kali-A", "True Search", IF($O1449="kPAR", "True Pattern", IF($O1449="Nopol", "True Semantic", IF($O1449="RSRepair-A", "Evolutionary Search", IF($O1449="SequenceR", "Deep Learning", IF($O1449="SimFix", "Search Like Pattern", IF($O1449="SketchFix", "True Pattern", IF($O1449="SOFix", "True Pattern", IF($O1449="ssFix", "Search Like Pattern", IF($O1449="TBar", "True Pattern", ""))))))))))))))))))))</f>
        <v>Evolutionary Search</v>
      </c>
      <c r="Q1449" s="13" t="str">
        <f>IF(NOT(ISERR(SEARCH("*_Buggy",$A1449))), "Buggy", IF(NOT(ISERR(SEARCH("*_Fixed",$A1449))), "Fixed", IF(NOT(ISERR(SEARCH("*_Repaired",$A1449))), "Repaired", "")))</f>
        <v>Repaired</v>
      </c>
      <c r="R1449" s="13" t="s">
        <v>1668</v>
      </c>
      <c r="S1449" s="25">
        <v>1</v>
      </c>
      <c r="T1449" s="25">
        <v>1</v>
      </c>
      <c r="U1449" s="25">
        <v>5</v>
      </c>
      <c r="V1449" s="13">
        <v>5</v>
      </c>
      <c r="W1449" s="13" t="str">
        <f>MID(A1449, SEARCH("_", A1449) +1, SEARCH("_", A1449, SEARCH("_", A1449) +1) - SEARCH("_", A1449) -1)</f>
        <v>Math-50</v>
      </c>
      <c r="Y1449" t="str">
        <f>IF(AND($S924=1,$S1449=1,$V924=1,$V1449=1), "YES", "NO")</f>
        <v>NO</v>
      </c>
      <c r="Z1449" t="str">
        <f>IF(AND($S924=1,$S1449=1,$V924&gt;1,$V1449&gt;1), "YES", "NO")</f>
        <v>YES</v>
      </c>
      <c r="AA1449" t="str">
        <f>IF(AND($S924&gt;1,$S1449&gt;1,$S924=$V924,$S1449=$V1449), "YES", "NO")</f>
        <v>NO</v>
      </c>
      <c r="AB1449" t="str">
        <f>IF(AND($S924&gt;1,$S1449&gt;1,$S924&lt;$V924,$S1449&lt;$V1449), "YES", "NO")</f>
        <v>NO</v>
      </c>
      <c r="AC1449" t="str">
        <f>IF(AND($V924&gt;10,$V1449&gt;10), "YES", "NO")</f>
        <v>NO</v>
      </c>
      <c r="AD1449"/>
    </row>
    <row r="1450" spans="1:30" ht="15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>LEFT($A1450,FIND("_",$A1450)-1)</f>
        <v>RSRepair-A</v>
      </c>
      <c r="P1450" s="13" t="str">
        <f>IF($O1450="ACS", "True Search", IF($O1450="Arja", "Evolutionary Search", IF($O1450="AVATAR", "True Pattern", IF($O1450="CapGen", "Search Like Pattern", IF($O1450="Cardumen", "True Semantic", IF($O1450="DynaMoth", "True Semantic", IF($O1450="FixMiner", "True Pattern", IF($O1450="GenProg-A", "Evolutionary Search", IF($O1450="Hercules", "Learning Pattern", IF($O1450="Jaid", "True Semantic",
IF($O1450="Kali-A", "True Search", IF($O1450="kPAR", "True Pattern", IF($O1450="Nopol", "True Semantic", IF($O1450="RSRepair-A", "Evolutionary Search", IF($O1450="SequenceR", "Deep Learning", IF($O1450="SimFix", "Search Like Pattern", IF($O1450="SketchFix", "True Pattern", IF($O1450="SOFix", "True Pattern", IF($O1450="ssFix", "Search Like Pattern", IF($O1450="TBar", "True Pattern", ""))))))))))))))))))))</f>
        <v>Evolutionary Search</v>
      </c>
      <c r="Q1450" s="13" t="str">
        <f>IF(NOT(ISERR(SEARCH("*_Buggy",$A1450))), "Buggy", IF(NOT(ISERR(SEARCH("*_Fixed",$A1450))), "Fixed", IF(NOT(ISERR(SEARCH("*_Repaired",$A1450))), "Repaired", "")))</f>
        <v>Repaired</v>
      </c>
      <c r="R1450" s="13" t="s">
        <v>1669</v>
      </c>
      <c r="S1450" s="25">
        <v>1</v>
      </c>
      <c r="T1450" s="25">
        <v>3</v>
      </c>
      <c r="U1450" s="25">
        <v>1</v>
      </c>
      <c r="V1450" s="13">
        <v>3</v>
      </c>
      <c r="W1450" s="13" t="str">
        <f>MID(A1450, SEARCH("_", A1450) +1, SEARCH("_", A1450, SEARCH("_", A1450) +1) - SEARCH("_", A1450) -1)</f>
        <v>Math-53</v>
      </c>
      <c r="Y1450" t="str">
        <f>IF(AND($S925=1,$S1450=1,$V925=1,$V1450=1), "YES", "NO")</f>
        <v>NO</v>
      </c>
      <c r="Z1450" t="str">
        <f>IF(AND($S925=1,$S1450=1,$V925&gt;1,$V1450&gt;1), "YES", "NO")</f>
        <v>YES</v>
      </c>
      <c r="AA1450" t="str">
        <f>IF(AND($S925&gt;1,$S1450&gt;1,$S925=$V925,$S1450=$V1450), "YES", "NO")</f>
        <v>NO</v>
      </c>
      <c r="AB1450" t="str">
        <f>IF(AND($S925&gt;1,$S1450&gt;1,$S925&lt;$V925,$S1450&lt;$V1450), "YES", "NO")</f>
        <v>NO</v>
      </c>
      <c r="AC1450" t="str">
        <f>IF(AND($V925&gt;10,$V1450&gt;10), "YES", "NO")</f>
        <v>NO</v>
      </c>
      <c r="AD1450"/>
    </row>
    <row r="1451" spans="1:30" ht="15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>LEFT($A1451,FIND("_",$A1451)-1)</f>
        <v>RSRepair-A</v>
      </c>
      <c r="P1451" s="13" t="str">
        <f>IF($O1451="ACS", "True Search", IF($O1451="Arja", "Evolutionary Search", IF($O1451="AVATAR", "True Pattern", IF($O1451="CapGen", "Search Like Pattern", IF($O1451="Cardumen", "True Semantic", IF($O1451="DynaMoth", "True Semantic", IF($O1451="FixMiner", "True Pattern", IF($O1451="GenProg-A", "Evolutionary Search", IF($O1451="Hercules", "Learning Pattern", IF($O1451="Jaid", "True Semantic",
IF($O1451="Kali-A", "True Search", IF($O1451="kPAR", "True Pattern", IF($O1451="Nopol", "True Semantic", IF($O1451="RSRepair-A", "Evolutionary Search", IF($O1451="SequenceR", "Deep Learning", IF($O1451="SimFix", "Search Like Pattern", IF($O1451="SketchFix", "True Pattern", IF($O1451="SOFix", "True Pattern", IF($O1451="ssFix", "Search Like Pattern", IF($O1451="TBar", "True Pattern", ""))))))))))))))))))))</f>
        <v>Evolutionary Search</v>
      </c>
      <c r="Q1451" s="13" t="str">
        <f>IF(NOT(ISERR(SEARCH("*_Buggy",$A1451))), "Buggy", IF(NOT(ISERR(SEARCH("*_Fixed",$A1451))), "Fixed", IF(NOT(ISERR(SEARCH("*_Repaired",$A1451))), "Repaired", "")))</f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v>1</v>
      </c>
      <c r="W1451" s="13" t="str">
        <f>MID(A1451, SEARCH("_", A1451) +1, SEARCH("_", A1451, SEARCH("_", A1451) +1) - SEARCH("_", A1451) -1)</f>
        <v>Math-58</v>
      </c>
      <c r="Y1451" t="str">
        <f>IF(AND($S926=1,$S1451=1,$V926=1,$V1451=1), "YES", "NO")</f>
        <v>YES</v>
      </c>
      <c r="Z1451" t="str">
        <f>IF(AND($S926=1,$S1451=1,$V926&gt;1,$V1451&gt;1), "YES", "NO")</f>
        <v>NO</v>
      </c>
      <c r="AA1451" t="str">
        <f>IF(AND($S926&gt;1,$S1451&gt;1,$S926=$V926,$S1451=$V1451), "YES", "NO")</f>
        <v>NO</v>
      </c>
      <c r="AB1451" t="str">
        <f>IF(AND($S926&gt;1,$S1451&gt;1,$S926&lt;$V926,$S1451&lt;$V1451), "YES", "NO")</f>
        <v>NO</v>
      </c>
      <c r="AC1451" t="str">
        <f>IF(AND($V926&gt;10,$V1451&gt;10), "YES", "NO")</f>
        <v>NO</v>
      </c>
      <c r="AD1451"/>
    </row>
    <row r="1452" spans="1:30" ht="15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>LEFT($A1452,FIND("_",$A1452)-1)</f>
        <v>RSRepair-A</v>
      </c>
      <c r="P1452" s="13" t="str">
        <f>IF($O1452="ACS", "True Search", IF($O1452="Arja", "Evolutionary Search", IF($O1452="AVATAR", "True Pattern", IF($O1452="CapGen", "Search Like Pattern", IF($O1452="Cardumen", "True Semantic", IF($O1452="DynaMoth", "True Semantic", IF($O1452="FixMiner", "True Pattern", IF($O1452="GenProg-A", "Evolutionary Search", IF($O1452="Hercules", "Learning Pattern", IF($O1452="Jaid", "True Semantic",
IF($O1452="Kali-A", "True Search", IF($O1452="kPAR", "True Pattern", IF($O1452="Nopol", "True Semantic", IF($O1452="RSRepair-A", "Evolutionary Search", IF($O1452="SequenceR", "Deep Learning", IF($O1452="SimFix", "Search Like Pattern", IF($O1452="SketchFix", "True Pattern", IF($O1452="SOFix", "True Pattern", IF($O1452="ssFix", "Search Like Pattern", IF($O1452="TBar", "True Pattern", ""))))))))))))))))))))</f>
        <v>Evolutionary Search</v>
      </c>
      <c r="Q1452" s="13" t="str">
        <f>IF(NOT(ISERR(SEARCH("*_Buggy",$A1452))), "Buggy", IF(NOT(ISERR(SEARCH("*_Fixed",$A1452))), "Fixed", IF(NOT(ISERR(SEARCH("*_Repaired",$A1452))), "Repaired", "")))</f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v>1</v>
      </c>
      <c r="W1452" s="13" t="str">
        <f>MID(A1452, SEARCH("_", A1452) +1, SEARCH("_", A1452, SEARCH("_", A1452) +1) - SEARCH("_", A1452) -1)</f>
        <v>Math-70</v>
      </c>
      <c r="Y1452" t="str">
        <f>IF(AND($S927=1,$S1452=1,$V927=1,$V1452=1), "YES", "NO")</f>
        <v>YES</v>
      </c>
      <c r="Z1452" t="str">
        <f>IF(AND($S927=1,$S1452=1,$V927&gt;1,$V1452&gt;1), "YES", "NO")</f>
        <v>NO</v>
      </c>
      <c r="AA1452" t="str">
        <f>IF(AND($S927&gt;1,$S1452&gt;1,$S927=$V927,$S1452=$V1452), "YES", "NO")</f>
        <v>NO</v>
      </c>
      <c r="AB1452" t="str">
        <f>IF(AND($S927&gt;1,$S1452&gt;1,$S927&lt;$V927,$S1452&lt;$V1452), "YES", "NO")</f>
        <v>NO</v>
      </c>
      <c r="AC1452" t="str">
        <f>IF(AND($V927&gt;10,$V1452&gt;10), "YES", "NO")</f>
        <v>NO</v>
      </c>
      <c r="AD1452"/>
    </row>
    <row r="1453" spans="1:30" ht="15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>LEFT($A1453,FIND("_",$A1453)-1)</f>
        <v>RSRepair-A</v>
      </c>
      <c r="P1453" s="13" t="str">
        <f>IF($O1453="ACS", "True Search", IF($O1453="Arja", "Evolutionary Search", IF($O1453="AVATAR", "True Pattern", IF($O1453="CapGen", "Search Like Pattern", IF($O1453="Cardumen", "True Semantic", IF($O1453="DynaMoth", "True Semantic", IF($O1453="FixMiner", "True Pattern", IF($O1453="GenProg-A", "Evolutionary Search", IF($O1453="Hercules", "Learning Pattern", IF($O1453="Jaid", "True Semantic",
IF($O1453="Kali-A", "True Search", IF($O1453="kPAR", "True Pattern", IF($O1453="Nopol", "True Semantic", IF($O1453="RSRepair-A", "Evolutionary Search", IF($O1453="SequenceR", "Deep Learning", IF($O1453="SimFix", "Search Like Pattern", IF($O1453="SketchFix", "True Pattern", IF($O1453="SOFix", "True Pattern", IF($O1453="ssFix", "Search Like Pattern", IF($O1453="TBar", "True Pattern", ""))))))))))))))))))))</f>
        <v>Evolutionary Search</v>
      </c>
      <c r="Q1453" s="13" t="str">
        <f>IF(NOT(ISERR(SEARCH("*_Buggy",$A1453))), "Buggy", IF(NOT(ISERR(SEARCH("*_Fixed",$A1453))), "Fixed", IF(NOT(ISERR(SEARCH("*_Repaired",$A1453))), "Repaired", "")))</f>
        <v>Repaired</v>
      </c>
      <c r="R1453" s="13" t="s">
        <v>1669</v>
      </c>
      <c r="S1453" s="25">
        <v>1</v>
      </c>
      <c r="T1453" s="25">
        <v>6</v>
      </c>
      <c r="U1453" s="25">
        <v>1</v>
      </c>
      <c r="V1453" s="13">
        <v>6</v>
      </c>
      <c r="W1453" s="13" t="str">
        <f>MID(A1453, SEARCH("_", A1453) +1, SEARCH("_", A1453, SEARCH("_", A1453) +1) - SEARCH("_", A1453) -1)</f>
        <v>Math-80</v>
      </c>
      <c r="Y1453" t="str">
        <f>IF(AND($S928=1,$S1453=1,$V928=1,$V1453=1), "YES", "NO")</f>
        <v>NO</v>
      </c>
      <c r="Z1453" t="str">
        <f>IF(AND($S928=1,$S1453=1,$V928&gt;1,$V1453&gt;1), "YES", "NO")</f>
        <v>NO</v>
      </c>
      <c r="AA1453" t="str">
        <f>IF(AND($S928&gt;1,$S1453&gt;1,$S928=$V928,$S1453=$V1453), "YES", "NO")</f>
        <v>NO</v>
      </c>
      <c r="AB1453" t="str">
        <f>IF(AND($S928&gt;1,$S1453&gt;1,$S928&lt;$V928,$S1453&lt;$V1453), "YES", "NO")</f>
        <v>NO</v>
      </c>
      <c r="AC1453" t="str">
        <f>IF(AND($V928&gt;10,$V1453&gt;10), "YES", "NO")</f>
        <v>NO</v>
      </c>
      <c r="AD1453"/>
    </row>
    <row r="1454" spans="1:30" ht="15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>LEFT($A1454,FIND("_",$A1454)-1)</f>
        <v>RSRepair-A</v>
      </c>
      <c r="P1454" s="13" t="str">
        <f>IF($O1454="ACS", "True Search", IF($O1454="Arja", "Evolutionary Search", IF($O1454="AVATAR", "True Pattern", IF($O1454="CapGen", "Search Like Pattern", IF($O1454="Cardumen", "True Semantic", IF($O1454="DynaMoth", "True Semantic", IF($O1454="FixMiner", "True Pattern", IF($O1454="GenProg-A", "Evolutionary Search", IF($O1454="Hercules", "Learning Pattern", IF($O1454="Jaid", "True Semantic",
IF($O1454="Kali-A", "True Search", IF($O1454="kPAR", "True Pattern", IF($O1454="Nopol", "True Semantic", IF($O1454="RSRepair-A", "Evolutionary Search", IF($O1454="SequenceR", "Deep Learning", IF($O1454="SimFix", "Search Like Pattern", IF($O1454="SketchFix", "True Pattern", IF($O1454="SOFix", "True Pattern", IF($O1454="ssFix", "Search Like Pattern", IF($O1454="TBar", "True Pattern", ""))))))))))))))))))))</f>
        <v>Evolutionary Search</v>
      </c>
      <c r="Q1454" s="13" t="str">
        <f>IF(NOT(ISERR(SEARCH("*_Buggy",$A1454))), "Buggy", IF(NOT(ISERR(SEARCH("*_Fixed",$A1454))), "Fixed", IF(NOT(ISERR(SEARCH("*_Repaired",$A1454))), "Repaired", "")))</f>
        <v>Repaired</v>
      </c>
      <c r="R1454" s="13" t="s">
        <v>1669</v>
      </c>
      <c r="S1454" s="25">
        <v>1</v>
      </c>
      <c r="T1454" s="25">
        <v>0</v>
      </c>
      <c r="U1454" s="13">
        <v>21</v>
      </c>
      <c r="V1454" s="13">
        <v>21</v>
      </c>
      <c r="W1454" s="13" t="str">
        <f>MID(A1454, SEARCH("_", A1454) +1, SEARCH("_", A1454, SEARCH("_", A1454) +1) - SEARCH("_", A1454) -1)</f>
        <v>Math-81</v>
      </c>
      <c r="Y1454" t="str">
        <f>IF(AND($S929=1,$S1454=1,$V929=1,$V1454=1), "YES", "NO")</f>
        <v>NO</v>
      </c>
      <c r="Z1454" t="str">
        <f>IF(AND($S929=1,$S1454=1,$V929&gt;1,$V1454&gt;1), "YES", "NO")</f>
        <v>NO</v>
      </c>
      <c r="AA1454" t="str">
        <f>IF(AND($S929&gt;1,$S1454&gt;1,$S929=$V929,$S1454=$V1454), "YES", "NO")</f>
        <v>NO</v>
      </c>
      <c r="AB1454" t="str">
        <f>IF(AND($S929&gt;1,$S1454&gt;1,$S929&lt;$V929,$S1454&lt;$V1454), "YES", "NO")</f>
        <v>NO</v>
      </c>
      <c r="AC1454" t="str">
        <f>IF(AND($V929&gt;10,$V1454&gt;10), "YES", "NO")</f>
        <v>NO</v>
      </c>
      <c r="AD1454"/>
    </row>
    <row r="1455" spans="1:30" ht="15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>LEFT($A1455,FIND("_",$A1455)-1)</f>
        <v>RSRepair-A</v>
      </c>
      <c r="P1455" s="13" t="str">
        <f>IF($O1455="ACS", "True Search", IF($O1455="Arja", "Evolutionary Search", IF($O1455="AVATAR", "True Pattern", IF($O1455="CapGen", "Search Like Pattern", IF($O1455="Cardumen", "True Semantic", IF($O1455="DynaMoth", "True Semantic", IF($O1455="FixMiner", "True Pattern", IF($O1455="GenProg-A", "Evolutionary Search", IF($O1455="Hercules", "Learning Pattern", IF($O1455="Jaid", "True Semantic",
IF($O1455="Kali-A", "True Search", IF($O1455="kPAR", "True Pattern", IF($O1455="Nopol", "True Semantic", IF($O1455="RSRepair-A", "Evolutionary Search", IF($O1455="SequenceR", "Deep Learning", IF($O1455="SimFix", "Search Like Pattern", IF($O1455="SketchFix", "True Pattern", IF($O1455="SOFix", "True Pattern", IF($O1455="ssFix", "Search Like Pattern", IF($O1455="TBar", "True Pattern", ""))))))))))))))))))))</f>
        <v>Evolutionary Search</v>
      </c>
      <c r="Q1455" s="13" t="str">
        <f>IF(NOT(ISERR(SEARCH("*_Buggy",$A1455))), "Buggy", IF(NOT(ISERR(SEARCH("*_Fixed",$A1455))), "Fixed", IF(NOT(ISERR(SEARCH("*_Repaired",$A1455))), "Repaired", "")))</f>
        <v>Repaired</v>
      </c>
      <c r="R1455" s="13" t="s">
        <v>1669</v>
      </c>
      <c r="S1455" s="25">
        <v>1</v>
      </c>
      <c r="T1455" s="25">
        <v>0</v>
      </c>
      <c r="U1455" s="13">
        <v>1</v>
      </c>
      <c r="V1455" s="13">
        <v>1</v>
      </c>
      <c r="W1455" s="13" t="str">
        <f>MID(A1455, SEARCH("_", A1455) +1, SEARCH("_", A1455, SEARCH("_", A1455) +1) - SEARCH("_", A1455) -1)</f>
        <v>Math-82</v>
      </c>
      <c r="Y1455" t="str">
        <f>IF(AND($S930=1,$S1455=1,$V930=1,$V1455=1), "YES", "NO")</f>
        <v>YES</v>
      </c>
      <c r="Z1455" t="str">
        <f>IF(AND($S930=1,$S1455=1,$V930&gt;1,$V1455&gt;1), "YES", "NO")</f>
        <v>NO</v>
      </c>
      <c r="AA1455" t="str">
        <f>IF(AND($S930&gt;1,$S1455&gt;1,$S930=$V930,$S1455=$V1455), "YES", "NO")</f>
        <v>NO</v>
      </c>
      <c r="AB1455" t="str">
        <f>IF(AND($S930&gt;1,$S1455&gt;1,$S930&lt;$V930,$S1455&lt;$V1455), "YES", "NO")</f>
        <v>NO</v>
      </c>
      <c r="AC1455" t="str">
        <f>IF(AND($V930&gt;10,$V1455&gt;10), "YES", "NO")</f>
        <v>NO</v>
      </c>
      <c r="AD1455"/>
    </row>
    <row r="1456" spans="1:30" ht="15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>LEFT($A1456,FIND("_",$A1456)-1)</f>
        <v>RSRepair-A</v>
      </c>
      <c r="P1456" s="13" t="str">
        <f>IF($O1456="ACS", "True Search", IF($O1456="Arja", "Evolutionary Search", IF($O1456="AVATAR", "True Pattern", IF($O1456="CapGen", "Search Like Pattern", IF($O1456="Cardumen", "True Semantic", IF($O1456="DynaMoth", "True Semantic", IF($O1456="FixMiner", "True Pattern", IF($O1456="GenProg-A", "Evolutionary Search", IF($O1456="Hercules", "Learning Pattern", IF($O1456="Jaid", "True Semantic",
IF($O1456="Kali-A", "True Search", IF($O1456="kPAR", "True Pattern", IF($O1456="Nopol", "True Semantic", IF($O1456="RSRepair-A", "Evolutionary Search", IF($O1456="SequenceR", "Deep Learning", IF($O1456="SimFix", "Search Like Pattern", IF($O1456="SketchFix", "True Pattern", IF($O1456="SOFix", "True Pattern", IF($O1456="ssFix", "Search Like Pattern", IF($O1456="TBar", "True Pattern", ""))))))))))))))))))))</f>
        <v>Evolutionary Search</v>
      </c>
      <c r="Q1456" s="13" t="str">
        <f>IF(NOT(ISERR(SEARCH("*_Buggy",$A1456))), "Buggy", IF(NOT(ISERR(SEARCH("*_Fixed",$A1456))), "Fixed", IF(NOT(ISERR(SEARCH("*_Repaired",$A1456))), "Repaired", "")))</f>
        <v>Repaired</v>
      </c>
      <c r="R1456" s="13" t="s">
        <v>1669</v>
      </c>
      <c r="S1456" s="25">
        <v>1</v>
      </c>
      <c r="T1456" s="25">
        <v>1</v>
      </c>
      <c r="U1456" s="25">
        <v>6</v>
      </c>
      <c r="V1456" s="13">
        <v>6</v>
      </c>
      <c r="W1456" s="13" t="str">
        <f>MID(A1456, SEARCH("_", A1456) +1, SEARCH("_", A1456, SEARCH("_", A1456) +1) - SEARCH("_", A1456) -1)</f>
        <v>Math-84</v>
      </c>
      <c r="Y1456" t="str">
        <f>IF(AND($S931=1,$S1456=1,$V931=1,$V1456=1), "YES", "NO")</f>
        <v>NO</v>
      </c>
      <c r="Z1456" t="str">
        <f>IF(AND($S931=1,$S1456=1,$V931&gt;1,$V1456&gt;1), "YES", "NO")</f>
        <v>NO</v>
      </c>
      <c r="AA1456" t="str">
        <f>IF(AND($S931&gt;1,$S1456&gt;1,$S931=$V931,$S1456=$V1456), "YES", "NO")</f>
        <v>NO</v>
      </c>
      <c r="AB1456" t="str">
        <f>IF(AND($S931&gt;1,$S1456&gt;1,$S931&lt;$V931,$S1456&lt;$V1456), "YES", "NO")</f>
        <v>NO</v>
      </c>
      <c r="AC1456" t="str">
        <f>IF(AND($V931&gt;10,$V1456&gt;10), "YES", "NO")</f>
        <v>NO</v>
      </c>
      <c r="AD1456"/>
    </row>
    <row r="1457" spans="1:30" ht="15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>LEFT($A1457,FIND("_",$A1457)-1)</f>
        <v>RSRepair-A</v>
      </c>
      <c r="P1457" s="13" t="str">
        <f>IF($O1457="ACS", "True Search", IF($O1457="Arja", "Evolutionary Search", IF($O1457="AVATAR", "True Pattern", IF($O1457="CapGen", "Search Like Pattern", IF($O1457="Cardumen", "True Semantic", IF($O1457="DynaMoth", "True Semantic", IF($O1457="FixMiner", "True Pattern", IF($O1457="GenProg-A", "Evolutionary Search", IF($O1457="Hercules", "Learning Pattern", IF($O1457="Jaid", "True Semantic",
IF($O1457="Kali-A", "True Search", IF($O1457="kPAR", "True Pattern", IF($O1457="Nopol", "True Semantic", IF($O1457="RSRepair-A", "Evolutionary Search", IF($O1457="SequenceR", "Deep Learning", IF($O1457="SimFix", "Search Like Pattern", IF($O1457="SketchFix", "True Pattern", IF($O1457="SOFix", "True Pattern", IF($O1457="ssFix", "Search Like Pattern", IF($O1457="TBar", "True Pattern", ""))))))))))))))))))))</f>
        <v>Evolutionary Search</v>
      </c>
      <c r="Q1457" s="13" t="str">
        <f>IF(NOT(ISERR(SEARCH("*_Buggy",$A1457))), "Buggy", IF(NOT(ISERR(SEARCH("*_Fixed",$A1457))), "Fixed", IF(NOT(ISERR(SEARCH("*_Repaired",$A1457))), "Repaired", "")))</f>
        <v>Repaired</v>
      </c>
      <c r="R1457" s="13" t="s">
        <v>1669</v>
      </c>
      <c r="S1457" s="25">
        <v>1</v>
      </c>
      <c r="T1457" s="25">
        <v>0</v>
      </c>
      <c r="U1457" s="13">
        <v>9</v>
      </c>
      <c r="V1457" s="13">
        <v>9</v>
      </c>
      <c r="W1457" s="13" t="str">
        <f>MID(A1457, SEARCH("_", A1457) +1, SEARCH("_", A1457, SEARCH("_", A1457) +1) - SEARCH("_", A1457) -1)</f>
        <v>Math-85</v>
      </c>
      <c r="Y1457" t="str">
        <f>IF(AND($S932=1,$S1457=1,$V932=1,$V1457=1), "YES", "NO")</f>
        <v>NO</v>
      </c>
      <c r="Z1457" t="str">
        <f>IF(AND($S932=1,$S1457=1,$V932&gt;1,$V1457&gt;1), "YES", "NO")</f>
        <v>NO</v>
      </c>
      <c r="AA1457" t="str">
        <f>IF(AND($S932&gt;1,$S1457&gt;1,$S932=$V932,$S1457=$V1457), "YES", "NO")</f>
        <v>NO</v>
      </c>
      <c r="AB1457" t="str">
        <f>IF(AND($S932&gt;1,$S1457&gt;1,$S932&lt;$V932,$S1457&lt;$V1457), "YES", "NO")</f>
        <v>NO</v>
      </c>
      <c r="AC1457" t="str">
        <f>IF(AND($V932&gt;10,$V1457&gt;10), "YES", "NO")</f>
        <v>NO</v>
      </c>
      <c r="AD1457"/>
    </row>
    <row r="1458" spans="1:30" ht="15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>LEFT($A1458,FIND("_",$A1458)-1)</f>
        <v>RSRepair-A</v>
      </c>
      <c r="P1458" s="13" t="str">
        <f>IF($O1458="ACS", "True Search", IF($O1458="Arja", "Evolutionary Search", IF($O1458="AVATAR", "True Pattern", IF($O1458="CapGen", "Search Like Pattern", IF($O1458="Cardumen", "True Semantic", IF($O1458="DynaMoth", "True Semantic", IF($O1458="FixMiner", "True Pattern", IF($O1458="GenProg-A", "Evolutionary Search", IF($O1458="Hercules", "Learning Pattern", IF($O1458="Jaid", "True Semantic",
IF($O1458="Kali-A", "True Search", IF($O1458="kPAR", "True Pattern", IF($O1458="Nopol", "True Semantic", IF($O1458="RSRepair-A", "Evolutionary Search", IF($O1458="SequenceR", "Deep Learning", IF($O1458="SimFix", "Search Like Pattern", IF($O1458="SketchFix", "True Pattern", IF($O1458="SOFix", "True Pattern", IF($O1458="ssFix", "Search Like Pattern", IF($O1458="TBar", "True Pattern", ""))))))))))))))))))))</f>
        <v>Evolutionary Search</v>
      </c>
      <c r="Q1458" s="13" t="str">
        <f>IF(NOT(ISERR(SEARCH("*_Buggy",$A1458))), "Buggy", IF(NOT(ISERR(SEARCH("*_Fixed",$A1458))), "Fixed", IF(NOT(ISERR(SEARCH("*_Repaired",$A1458))), "Repaired", "")))</f>
        <v>Repaired</v>
      </c>
      <c r="R1458" s="13" t="s">
        <v>1669</v>
      </c>
      <c r="S1458" s="25">
        <v>1</v>
      </c>
      <c r="T1458" s="25">
        <v>3</v>
      </c>
      <c r="U1458" s="25">
        <v>1</v>
      </c>
      <c r="V1458" s="13">
        <v>3</v>
      </c>
      <c r="W1458" s="13" t="str">
        <f>MID(A1458, SEARCH("_", A1458) +1, SEARCH("_", A1458, SEARCH("_", A1458) +1) - SEARCH("_", A1458) -1)</f>
        <v>Math-88</v>
      </c>
      <c r="Y1458" t="str">
        <f>IF(AND($S933=1,$S1458=1,$V933=1,$V1458=1), "YES", "NO")</f>
        <v>NO</v>
      </c>
      <c r="Z1458" t="str">
        <f>IF(AND($S933=1,$S1458=1,$V933&gt;1,$V1458&gt;1), "YES", "NO")</f>
        <v>NO</v>
      </c>
      <c r="AA1458" t="str">
        <f>IF(AND($S933&gt;1,$S1458&gt;1,$S933=$V933,$S1458=$V1458), "YES", "NO")</f>
        <v>NO</v>
      </c>
      <c r="AB1458" t="str">
        <f>IF(AND($S933&gt;1,$S1458&gt;1,$S933&lt;$V933,$S1458&lt;$V1458), "YES", "NO")</f>
        <v>NO</v>
      </c>
      <c r="AC1458" t="str">
        <f>IF(AND($V933&gt;10,$V1458&gt;10), "YES", "NO")</f>
        <v>NO</v>
      </c>
      <c r="AD1458"/>
    </row>
    <row r="1459" spans="1:30" ht="15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>LEFT($A1459,FIND("_",$A1459)-1)</f>
        <v>RSRepair-A</v>
      </c>
      <c r="P1459" s="13" t="str">
        <f>IF($O1459="ACS", "True Search", IF($O1459="Arja", "Evolutionary Search", IF($O1459="AVATAR", "True Pattern", IF($O1459="CapGen", "Search Like Pattern", IF($O1459="Cardumen", "True Semantic", IF($O1459="DynaMoth", "True Semantic", IF($O1459="FixMiner", "True Pattern", IF($O1459="GenProg-A", "Evolutionary Search", IF($O1459="Hercules", "Learning Pattern", IF($O1459="Jaid", "True Semantic",
IF($O1459="Kali-A", "True Search", IF($O1459="kPAR", "True Pattern", IF($O1459="Nopol", "True Semantic", IF($O1459="RSRepair-A", "Evolutionary Search", IF($O1459="SequenceR", "Deep Learning", IF($O1459="SimFix", "Search Like Pattern", IF($O1459="SketchFix", "True Pattern", IF($O1459="SOFix", "True Pattern", IF($O1459="ssFix", "Search Like Pattern", IF($O1459="TBar", "True Pattern", ""))))))))))))))))))))</f>
        <v>Evolutionary Search</v>
      </c>
      <c r="Q1459" s="13" t="str">
        <f>IF(NOT(ISERR(SEARCH("*_Buggy",$A1459))), "Buggy", IF(NOT(ISERR(SEARCH("*_Fixed",$A1459))), "Fixed", IF(NOT(ISERR(SEARCH("*_Repaired",$A1459))), "Repaired", "")))</f>
        <v>Repaired</v>
      </c>
      <c r="R1459" s="13" t="s">
        <v>1669</v>
      </c>
      <c r="S1459" s="25">
        <v>1</v>
      </c>
      <c r="T1459" s="25">
        <v>1</v>
      </c>
      <c r="U1459" s="25">
        <v>2</v>
      </c>
      <c r="V1459" s="13">
        <v>2</v>
      </c>
      <c r="W1459" s="13" t="str">
        <f>MID(A1459, SEARCH("_", A1459) +1, SEARCH("_", A1459, SEARCH("_", A1459) +1) - SEARCH("_", A1459) -1)</f>
        <v>Math-95</v>
      </c>
      <c r="Y1459" t="str">
        <f>IF(AND($S934=1,$S1459=1,$V934=1,$V1459=1), "YES", "NO")</f>
        <v>NO</v>
      </c>
      <c r="Z1459" t="str">
        <f>IF(AND($S934=1,$S1459=1,$V934&gt;1,$V1459&gt;1), "YES", "NO")</f>
        <v>NO</v>
      </c>
      <c r="AA1459" t="str">
        <f>IF(AND($S934&gt;1,$S1459&gt;1,$S934=$V934,$S1459=$V1459), "YES", "NO")</f>
        <v>NO</v>
      </c>
      <c r="AB1459" t="str">
        <f>IF(AND($S934&gt;1,$S1459&gt;1,$S934&lt;$V934,$S1459&lt;$V1459), "YES", "NO")</f>
        <v>NO</v>
      </c>
      <c r="AC1459" t="str">
        <f>IF(AND($V934&gt;10,$V1459&gt;10), "YES", "NO")</f>
        <v>NO</v>
      </c>
      <c r="AD1459"/>
    </row>
    <row r="1460" spans="1:30" ht="15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>LEFT($A1460,FIND("_",$A1460)-1)</f>
        <v>SimFix</v>
      </c>
      <c r="P1460" s="13" t="str">
        <f>IF($O1460="ACS", "True Search", IF($O1460="Arja", "Evolutionary Search", IF($O1460="AVATAR", "True Pattern", IF($O1460="CapGen", "Search Like Pattern", IF($O1460="Cardumen", "True Semantic", IF($O1460="DynaMoth", "True Semantic", IF($O1460="FixMiner", "True Pattern", IF($O1460="GenProg-A", "Evolutionary Search", IF($O1460="Hercules", "Learning Pattern", IF($O1460="Jaid", "True Semantic",
IF($O1460="Kali-A", "True Search", IF($O1460="kPAR", "True Pattern", IF($O1460="Nopol", "True Semantic", IF($O1460="RSRepair-A", "Evolutionary Search", IF($O1460="SequenceR", "Deep Learning", IF($O1460="SimFix", "Search Like Pattern", IF($O1460="SketchFix", "True Pattern", IF($O1460="SOFix", "True Pattern", IF($O1460="ssFix", "Search Like Pattern", IF($O1460="TBar", "True Pattern", ""))))))))))))))))))))</f>
        <v>Search Like Pattern</v>
      </c>
      <c r="Q1460" s="13" t="str">
        <f>IF(NOT(ISERR(SEARCH("*_Buggy",$A1460))), "Buggy", IF(NOT(ISERR(SEARCH("*_Fixed",$A1460))), "Fixed", IF(NOT(ISERR(SEARCH("*_Repaired",$A1460))), "Repaired", "")))</f>
        <v>Repaired</v>
      </c>
      <c r="R1460" s="13" t="s">
        <v>1668</v>
      </c>
      <c r="S1460" s="25">
        <v>2</v>
      </c>
      <c r="T1460" s="13">
        <v>7</v>
      </c>
      <c r="U1460" s="25">
        <v>0</v>
      </c>
      <c r="V1460" s="13">
        <v>7</v>
      </c>
      <c r="W1460" s="13" t="str">
        <f>MID(A1460, SEARCH("_", A1460) +1, SEARCH("_", A1460, SEARCH("_", A1460) +1) - SEARCH("_", A1460) -1)</f>
        <v>Chart-1</v>
      </c>
      <c r="Y1460" t="str">
        <f>IF(AND($S935=1,$S1460=1,$V935=1,$V1460=1), "YES", "NO")</f>
        <v>NO</v>
      </c>
      <c r="Z1460" t="str">
        <f>IF(AND($S935=1,$S1460=1,$V935&gt;1,$V1460&gt;1), "YES", "NO")</f>
        <v>NO</v>
      </c>
      <c r="AA1460" t="str">
        <f>IF(AND($S935&gt;1,$S1460&gt;1,$S935=$V935,$S1460=$V1460), "YES", "NO")</f>
        <v>NO</v>
      </c>
      <c r="AB1460" t="str">
        <f>IF(AND($S935&gt;1,$S1460&gt;1,$S935&lt;$V935,$S1460&lt;$V1460), "YES", "NO")</f>
        <v>NO</v>
      </c>
      <c r="AC1460" t="str">
        <f>IF(AND($V935&gt;10,$V1460&gt;10), "YES", "NO")</f>
        <v>NO</v>
      </c>
      <c r="AD1460"/>
    </row>
    <row r="1461" spans="1:30" ht="15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>LEFT($A1461,FIND("_",$A1461)-1)</f>
        <v>SimFix</v>
      </c>
      <c r="P1461" s="13" t="str">
        <f>IF($O1461="ACS", "True Search", IF($O1461="Arja", "Evolutionary Search", IF($O1461="AVATAR", "True Pattern", IF($O1461="CapGen", "Search Like Pattern", IF($O1461="Cardumen", "True Semantic", IF($O1461="DynaMoth", "True Semantic", IF($O1461="FixMiner", "True Pattern", IF($O1461="GenProg-A", "Evolutionary Search", IF($O1461="Hercules", "Learning Pattern", IF($O1461="Jaid", "True Semantic",
IF($O1461="Kali-A", "True Search", IF($O1461="kPAR", "True Pattern", IF($O1461="Nopol", "True Semantic", IF($O1461="RSRepair-A", "Evolutionary Search", IF($O1461="SequenceR", "Deep Learning", IF($O1461="SimFix", "Search Like Pattern", IF($O1461="SketchFix", "True Pattern", IF($O1461="SOFix", "True Pattern", IF($O1461="ssFix", "Search Like Pattern", IF($O1461="TBar", "True Pattern", ""))))))))))))))))))))</f>
        <v>Search Like Pattern</v>
      </c>
      <c r="Q1461" s="13" t="str">
        <f>IF(NOT(ISERR(SEARCH("*_Buggy",$A1461))), "Buggy", IF(NOT(ISERR(SEARCH("*_Fixed",$A1461))), "Fixed", IF(NOT(ISERR(SEARCH("*_Repaired",$A1461))), "Repaired", "")))</f>
        <v>Repaired</v>
      </c>
      <c r="R1461" s="13" t="s">
        <v>1669</v>
      </c>
      <c r="S1461" s="25">
        <v>2</v>
      </c>
      <c r="T1461" s="13">
        <v>10</v>
      </c>
      <c r="U1461" s="25">
        <v>0</v>
      </c>
      <c r="V1461" s="13">
        <v>10</v>
      </c>
      <c r="W1461" s="13" t="str">
        <f>MID(A1461, SEARCH("_", A1461) +1, SEARCH("_", A1461, SEARCH("_", A1461) +1) - SEARCH("_", A1461) -1)</f>
        <v>Chart-12</v>
      </c>
      <c r="Y1461" t="str">
        <f>IF(AND($S936=1,$S1461=1,$V936=1,$V1461=1), "YES", "NO")</f>
        <v>NO</v>
      </c>
      <c r="Z1461" t="str">
        <f>IF(AND($S936=1,$S1461=1,$V936&gt;1,$V1461&gt;1), "YES", "NO")</f>
        <v>NO</v>
      </c>
      <c r="AA1461" t="str">
        <f>IF(AND($S936&gt;1,$S1461&gt;1,$S936=$V936,$S1461=$V1461), "YES", "NO")</f>
        <v>NO</v>
      </c>
      <c r="AB1461" t="str">
        <f>IF(AND($S936&gt;1,$S1461&gt;1,$S936&lt;$V936,$S1461&lt;$V1461), "YES", "NO")</f>
        <v>NO</v>
      </c>
      <c r="AC1461" t="str">
        <f>IF(AND($V936&gt;10,$V1461&gt;10), "YES", "NO")</f>
        <v>NO</v>
      </c>
      <c r="AD1461"/>
    </row>
    <row r="1462" spans="1:30" ht="15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>LEFT($A1462,FIND("_",$A1462)-1)</f>
        <v>SimFix</v>
      </c>
      <c r="P1462" s="13" t="str">
        <f>IF($O1462="ACS", "True Search", IF($O1462="Arja", "Evolutionary Search", IF($O1462="AVATAR", "True Pattern", IF($O1462="CapGen", "Search Like Pattern", IF($O1462="Cardumen", "True Semantic", IF($O1462="DynaMoth", "True Semantic", IF($O1462="FixMiner", "True Pattern", IF($O1462="GenProg-A", "Evolutionary Search", IF($O1462="Hercules", "Learning Pattern", IF($O1462="Jaid", "True Semantic",
IF($O1462="Kali-A", "True Search", IF($O1462="kPAR", "True Pattern", IF($O1462="Nopol", "True Semantic", IF($O1462="RSRepair-A", "Evolutionary Search", IF($O1462="SequenceR", "Deep Learning", IF($O1462="SimFix", "Search Like Pattern", IF($O1462="SketchFix", "True Pattern", IF($O1462="SOFix", "True Pattern", IF($O1462="ssFix", "Search Like Pattern", IF($O1462="TBar", "True Pattern", ""))))))))))))))))))))</f>
        <v>Search Like Pattern</v>
      </c>
      <c r="Q1462" s="13" t="str">
        <f>IF(NOT(ISERR(SEARCH("*_Buggy",$A1462))), "Buggy", IF(NOT(ISERR(SEARCH("*_Fixed",$A1462))), "Fixed", IF(NOT(ISERR(SEARCH("*_Repaired",$A1462))), "Repaired", "")))</f>
        <v>Repaired</v>
      </c>
      <c r="R1462" s="13" t="s">
        <v>1669</v>
      </c>
      <c r="S1462" s="25">
        <v>6</v>
      </c>
      <c r="T1462" s="13">
        <v>34</v>
      </c>
      <c r="U1462" s="25">
        <v>0</v>
      </c>
      <c r="V1462" s="13">
        <v>34</v>
      </c>
      <c r="W1462" s="13" t="str">
        <f>MID(A1462, SEARCH("_", A1462) +1, SEARCH("_", A1462, SEARCH("_", A1462) +1) - SEARCH("_", A1462) -1)</f>
        <v>Chart-22</v>
      </c>
      <c r="Y1462" t="str">
        <f>IF(AND($S937=1,$S1462=1,$V937=1,$V1462=1), "YES", "NO")</f>
        <v>NO</v>
      </c>
      <c r="Z1462" t="str">
        <f>IF(AND($S937=1,$S1462=1,$V937&gt;1,$V1462&gt;1), "YES", "NO")</f>
        <v>NO</v>
      </c>
      <c r="AA1462" t="str">
        <f>IF(AND($S937&gt;1,$S1462&gt;1,$S937=$V937,$S1462=$V1462), "YES", "NO")</f>
        <v>NO</v>
      </c>
      <c r="AB1462" t="str">
        <f>IF(AND($S937&gt;1,$S1462&gt;1,$S937&lt;$V937,$S1462&lt;$V1462), "YES", "NO")</f>
        <v>YES</v>
      </c>
      <c r="AC1462" t="str">
        <f>IF(AND($V937&gt;10,$V1462&gt;10), "YES", "NO")</f>
        <v>YES</v>
      </c>
      <c r="AD1462"/>
    </row>
    <row r="1463" spans="1:30" ht="15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>LEFT($A1463,FIND("_",$A1463)-1)</f>
        <v>SimFix</v>
      </c>
      <c r="P1463" s="13" t="str">
        <f>IF($O1463="ACS", "True Search", IF($O1463="Arja", "Evolutionary Search", IF($O1463="AVATAR", "True Pattern", IF($O1463="CapGen", "Search Like Pattern", IF($O1463="Cardumen", "True Semantic", IF($O1463="DynaMoth", "True Semantic", IF($O1463="FixMiner", "True Pattern", IF($O1463="GenProg-A", "Evolutionary Search", IF($O1463="Hercules", "Learning Pattern", IF($O1463="Jaid", "True Semantic",
IF($O1463="Kali-A", "True Search", IF($O1463="kPAR", "True Pattern", IF($O1463="Nopol", "True Semantic", IF($O1463="RSRepair-A", "Evolutionary Search", IF($O1463="SequenceR", "Deep Learning", IF($O1463="SimFix", "Search Like Pattern", IF($O1463="SketchFix", "True Pattern", IF($O1463="SOFix", "True Pattern", IF($O1463="ssFix", "Search Like Pattern", IF($O1463="TBar", "True Pattern", ""))))))))))))))))))))</f>
        <v>Search Like Pattern</v>
      </c>
      <c r="Q1463" s="13" t="str">
        <f>IF(NOT(ISERR(SEARCH("*_Buggy",$A1463))), "Buggy", IF(NOT(ISERR(SEARCH("*_Fixed",$A1463))), "Fixed", IF(NOT(ISERR(SEARCH("*_Repaired",$A1463))), "Repaired", "")))</f>
        <v>Repaired</v>
      </c>
      <c r="R1463" s="13" t="s">
        <v>1669</v>
      </c>
      <c r="S1463" s="25">
        <v>2</v>
      </c>
      <c r="T1463" s="13">
        <v>9</v>
      </c>
      <c r="U1463" s="25">
        <v>0</v>
      </c>
      <c r="V1463" s="13">
        <v>9</v>
      </c>
      <c r="W1463" s="13" t="str">
        <f>MID(A1463, SEARCH("_", A1463) +1, SEARCH("_", A1463, SEARCH("_", A1463) +1) - SEARCH("_", A1463) -1)</f>
        <v>Chart-25</v>
      </c>
      <c r="Y1463" t="str">
        <f>IF(AND($S938=1,$S1463=1,$V938=1,$V1463=1), "YES", "NO")</f>
        <v>NO</v>
      </c>
      <c r="Z1463" t="str">
        <f>IF(AND($S938=1,$S1463=1,$V938&gt;1,$V1463&gt;1), "YES", "NO")</f>
        <v>NO</v>
      </c>
      <c r="AA1463" t="str">
        <f>IF(AND($S938&gt;1,$S1463&gt;1,$S938=$V938,$S1463=$V1463), "YES", "NO")</f>
        <v>NO</v>
      </c>
      <c r="AB1463" t="str">
        <f>IF(AND($S938&gt;1,$S1463&gt;1,$S938&lt;$V938,$S1463&lt;$V1463), "YES", "NO")</f>
        <v>YES</v>
      </c>
      <c r="AC1463" t="str">
        <f>IF(AND($V938&gt;10,$V1463&gt;10), "YES", "NO")</f>
        <v>NO</v>
      </c>
      <c r="AD1463"/>
    </row>
    <row r="1464" spans="1:30" ht="15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>LEFT($A1464,FIND("_",$A1464)-1)</f>
        <v>SimFix</v>
      </c>
      <c r="P1464" s="13" t="str">
        <f>IF($O1464="ACS", "True Search", IF($O1464="Arja", "Evolutionary Search", IF($O1464="AVATAR", "True Pattern", IF($O1464="CapGen", "Search Like Pattern", IF($O1464="Cardumen", "True Semantic", IF($O1464="DynaMoth", "True Semantic", IF($O1464="FixMiner", "True Pattern", IF($O1464="GenProg-A", "Evolutionary Search", IF($O1464="Hercules", "Learning Pattern", IF($O1464="Jaid", "True Semantic",
IF($O1464="Kali-A", "True Search", IF($O1464="kPAR", "True Pattern", IF($O1464="Nopol", "True Semantic", IF($O1464="RSRepair-A", "Evolutionary Search", IF($O1464="SequenceR", "Deep Learning", IF($O1464="SimFix", "Search Like Pattern", IF($O1464="SketchFix", "True Pattern", IF($O1464="SOFix", "True Pattern", IF($O1464="ssFix", "Search Like Pattern", IF($O1464="TBar", "True Pattern", ""))))))))))))))))))))</f>
        <v>Search Like Pattern</v>
      </c>
      <c r="Q1464" s="13" t="str">
        <f>IF(NOT(ISERR(SEARCH("*_Buggy",$A1464))), "Buggy", IF(NOT(ISERR(SEARCH("*_Fixed",$A1464))), "Fixed", IF(NOT(ISERR(SEARCH("*_Repaired",$A1464))), "Repaired", "")))</f>
        <v>Repaired</v>
      </c>
      <c r="R1464" s="13" t="s">
        <v>1669</v>
      </c>
      <c r="S1464" s="25">
        <v>2</v>
      </c>
      <c r="T1464" s="13">
        <v>9</v>
      </c>
      <c r="U1464" s="25">
        <v>0</v>
      </c>
      <c r="V1464" s="13">
        <v>9</v>
      </c>
      <c r="W1464" s="13" t="str">
        <f>MID(A1464, SEARCH("_", A1464) +1, SEARCH("_", A1464, SEARCH("_", A1464) +1) - SEARCH("_", A1464) -1)</f>
        <v>Closure-11</v>
      </c>
      <c r="Y1464" t="str">
        <f>IF(AND($S939=1,$S1464=1,$V939=1,$V1464=1), "YES", "NO")</f>
        <v>NO</v>
      </c>
      <c r="Z1464" t="str">
        <f>IF(AND($S939=1,$S1464=1,$V939&gt;1,$V1464&gt;1), "YES", "NO")</f>
        <v>NO</v>
      </c>
      <c r="AA1464" t="str">
        <f>IF(AND($S939&gt;1,$S1464&gt;1,$S939=$V939,$S1464=$V1464), "YES", "NO")</f>
        <v>NO</v>
      </c>
      <c r="AB1464" t="str">
        <f>IF(AND($S939&gt;1,$S1464&gt;1,$S939&lt;$V939,$S1464&lt;$V1464), "YES", "NO")</f>
        <v>NO</v>
      </c>
      <c r="AC1464" t="str">
        <f>IF(AND($V939&gt;10,$V1464&gt;10), "YES", "NO")</f>
        <v>NO</v>
      </c>
      <c r="AD1464"/>
    </row>
    <row r="1465" spans="1:30" ht="15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>LEFT($A1465,FIND("_",$A1465)-1)</f>
        <v>SimFix</v>
      </c>
      <c r="P1465" s="13" t="str">
        <f>IF($O1465="ACS", "True Search", IF($O1465="Arja", "Evolutionary Search", IF($O1465="AVATAR", "True Pattern", IF($O1465="CapGen", "Search Like Pattern", IF($O1465="Cardumen", "True Semantic", IF($O1465="DynaMoth", "True Semantic", IF($O1465="FixMiner", "True Pattern", IF($O1465="GenProg-A", "Evolutionary Search", IF($O1465="Hercules", "Learning Pattern", IF($O1465="Jaid", "True Semantic",
IF($O1465="Kali-A", "True Search", IF($O1465="kPAR", "True Pattern", IF($O1465="Nopol", "True Semantic", IF($O1465="RSRepair-A", "Evolutionary Search", IF($O1465="SequenceR", "Deep Learning", IF($O1465="SimFix", "Search Like Pattern", IF($O1465="SketchFix", "True Pattern", IF($O1465="SOFix", "True Pattern", IF($O1465="ssFix", "Search Like Pattern", IF($O1465="TBar", "True Pattern", ""))))))))))))))))))))</f>
        <v>Search Like Pattern</v>
      </c>
      <c r="Q1465" s="13" t="str">
        <f>IF(NOT(ISERR(SEARCH("*_Buggy",$A1465))), "Buggy", IF(NOT(ISERR(SEARCH("*_Fixed",$A1465))), "Fixed", IF(NOT(ISERR(SEARCH("*_Repaired",$A1465))), "Repaired", "")))</f>
        <v>Repaired</v>
      </c>
      <c r="R1465" s="13" t="s">
        <v>1668</v>
      </c>
      <c r="S1465" s="25">
        <v>2</v>
      </c>
      <c r="T1465" s="13">
        <v>7</v>
      </c>
      <c r="U1465" s="25">
        <v>0</v>
      </c>
      <c r="V1465" s="13">
        <v>7</v>
      </c>
      <c r="W1465" s="13" t="str">
        <f>MID(A1465, SEARCH("_", A1465) +1, SEARCH("_", A1465, SEARCH("_", A1465) +1) - SEARCH("_", A1465) -1)</f>
        <v>Closure-115</v>
      </c>
      <c r="Y1465" t="str">
        <f>IF(AND($S940=1,$S1465=1,$V940=1,$V1465=1), "YES", "NO")</f>
        <v>NO</v>
      </c>
      <c r="Z1465" t="str">
        <f>IF(AND($S940=1,$S1465=1,$V940&gt;1,$V1465&gt;1), "YES", "NO")</f>
        <v>NO</v>
      </c>
      <c r="AA1465" t="str">
        <f>IF(AND($S940&gt;1,$S1465&gt;1,$S940=$V940,$S1465=$V1465), "YES", "NO")</f>
        <v>NO</v>
      </c>
      <c r="AB1465" t="str">
        <f>IF(AND($S940&gt;1,$S1465&gt;1,$S940&lt;$V940,$S1465&lt;$V1465), "YES", "NO")</f>
        <v>YES</v>
      </c>
      <c r="AC1465" t="str">
        <f>IF(AND($V940&gt;10,$V1465&gt;10), "YES", "NO")</f>
        <v>NO</v>
      </c>
      <c r="AD1465"/>
    </row>
    <row r="1466" spans="1:30" ht="15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>LEFT($A1466,FIND("_",$A1466)-1)</f>
        <v>SimFix</v>
      </c>
      <c r="P1466" s="13" t="str">
        <f>IF($O1466="ACS", "True Search", IF($O1466="Arja", "Evolutionary Search", IF($O1466="AVATAR", "True Pattern", IF($O1466="CapGen", "Search Like Pattern", IF($O1466="Cardumen", "True Semantic", IF($O1466="DynaMoth", "True Semantic", IF($O1466="FixMiner", "True Pattern", IF($O1466="GenProg-A", "Evolutionary Search", IF($O1466="Hercules", "Learning Pattern", IF($O1466="Jaid", "True Semantic",
IF($O1466="Kali-A", "True Search", IF($O1466="kPAR", "True Pattern", IF($O1466="Nopol", "True Semantic", IF($O1466="RSRepair-A", "Evolutionary Search", IF($O1466="SequenceR", "Deep Learning", IF($O1466="SimFix", "Search Like Pattern", IF($O1466="SketchFix", "True Pattern", IF($O1466="SOFix", "True Pattern", IF($O1466="ssFix", "Search Like Pattern", IF($O1466="TBar", "True Pattern", ""))))))))))))))))))))</f>
        <v>Search Like Pattern</v>
      </c>
      <c r="Q1466" s="13" t="str">
        <f>IF(NOT(ISERR(SEARCH("*_Buggy",$A1466))), "Buggy", IF(NOT(ISERR(SEARCH("*_Fixed",$A1466))), "Fixed", IF(NOT(ISERR(SEARCH("*_Repaired",$A1466))), "Repaired", "")))</f>
        <v>Repaired</v>
      </c>
      <c r="R1466" s="13" t="s">
        <v>1669</v>
      </c>
      <c r="S1466" s="25">
        <v>2</v>
      </c>
      <c r="T1466" s="13">
        <v>10</v>
      </c>
      <c r="U1466" s="25">
        <v>0</v>
      </c>
      <c r="V1466" s="13">
        <v>10</v>
      </c>
      <c r="W1466" s="13" t="str">
        <f>MID(A1466, SEARCH("_", A1466) +1, SEARCH("_", A1466, SEARCH("_", A1466) +1) - SEARCH("_", A1466) -1)</f>
        <v>Closure-125</v>
      </c>
      <c r="Y1466" t="str">
        <f>IF(AND($S941=1,$S1466=1,$V941=1,$V1466=1), "YES", "NO")</f>
        <v>NO</v>
      </c>
      <c r="Z1466" t="str">
        <f>IF(AND($S941=1,$S1466=1,$V941&gt;1,$V1466&gt;1), "YES", "NO")</f>
        <v>NO</v>
      </c>
      <c r="AA1466" t="str">
        <f>IF(AND($S941&gt;1,$S1466&gt;1,$S941=$V941,$S1466=$V1466), "YES", "NO")</f>
        <v>NO</v>
      </c>
      <c r="AB1466" t="str">
        <f>IF(AND($S941&gt;1,$S1466&gt;1,$S941&lt;$V941,$S1466&lt;$V1466), "YES", "NO")</f>
        <v>NO</v>
      </c>
      <c r="AC1466" t="str">
        <f>IF(AND($V941&gt;10,$V1466&gt;10), "YES", "NO")</f>
        <v>NO</v>
      </c>
      <c r="AD1466"/>
    </row>
    <row r="1467" spans="1:30" ht="15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>LEFT($A1467,FIND("_",$A1467)-1)</f>
        <v>SimFix</v>
      </c>
      <c r="P1467" s="13" t="str">
        <f>IF($O1467="ACS", "True Search", IF($O1467="Arja", "Evolutionary Search", IF($O1467="AVATAR", "True Pattern", IF($O1467="CapGen", "Search Like Pattern", IF($O1467="Cardumen", "True Semantic", IF($O1467="DynaMoth", "True Semantic", IF($O1467="FixMiner", "True Pattern", IF($O1467="GenProg-A", "Evolutionary Search", IF($O1467="Hercules", "Learning Pattern", IF($O1467="Jaid", "True Semantic",
IF($O1467="Kali-A", "True Search", IF($O1467="kPAR", "True Pattern", IF($O1467="Nopol", "True Semantic", IF($O1467="RSRepair-A", "Evolutionary Search", IF($O1467="SequenceR", "Deep Learning", IF($O1467="SimFix", "Search Like Pattern", IF($O1467="SketchFix", "True Pattern", IF($O1467="SOFix", "True Pattern", IF($O1467="ssFix", "Search Like Pattern", IF($O1467="TBar", "True Pattern", ""))))))))))))))))))))</f>
        <v>Search Like Pattern</v>
      </c>
      <c r="Q1467" s="13" t="str">
        <f>IF(NOT(ISERR(SEARCH("*_Buggy",$A1467))), "Buggy", IF(NOT(ISERR(SEARCH("*_Fixed",$A1467))), "Fixed", IF(NOT(ISERR(SEARCH("*_Repaired",$A1467))), "Repaired", "")))</f>
        <v>Repaired</v>
      </c>
      <c r="R1467" s="13" t="s">
        <v>1668</v>
      </c>
      <c r="S1467" s="25">
        <v>2</v>
      </c>
      <c r="T1467" s="13">
        <v>7</v>
      </c>
      <c r="U1467" s="25">
        <v>0</v>
      </c>
      <c r="V1467" s="13">
        <v>7</v>
      </c>
      <c r="W1467" s="13" t="str">
        <f>MID(A1467, SEARCH("_", A1467) +1, SEARCH("_", A1467, SEARCH("_", A1467) +1) - SEARCH("_", A1467) -1)</f>
        <v>Closure-14</v>
      </c>
      <c r="Y1467" t="str">
        <f>IF(AND($S942=1,$S1467=1,$V942=1,$V1467=1), "YES", "NO")</f>
        <v>NO</v>
      </c>
      <c r="Z1467" t="str">
        <f>IF(AND($S942=1,$S1467=1,$V942&gt;1,$V1467&gt;1), "YES", "NO")</f>
        <v>NO</v>
      </c>
      <c r="AA1467" t="str">
        <f>IF(AND($S942&gt;1,$S1467&gt;1,$S942=$V942,$S1467=$V1467), "YES", "NO")</f>
        <v>NO</v>
      </c>
      <c r="AB1467" t="str">
        <f>IF(AND($S942&gt;1,$S1467&gt;1,$S942&lt;$V942,$S1467&lt;$V1467), "YES", "NO")</f>
        <v>NO</v>
      </c>
      <c r="AC1467" t="str">
        <f>IF(AND($V942&gt;10,$V1467&gt;10), "YES", "NO")</f>
        <v>NO</v>
      </c>
      <c r="AD1467"/>
    </row>
    <row r="1468" spans="1:30" ht="15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>LEFT($A1468,FIND("_",$A1468)-1)</f>
        <v>SimFix</v>
      </c>
      <c r="P1468" s="13" t="str">
        <f>IF($O1468="ACS", "True Search", IF($O1468="Arja", "Evolutionary Search", IF($O1468="AVATAR", "True Pattern", IF($O1468="CapGen", "Search Like Pattern", IF($O1468="Cardumen", "True Semantic", IF($O1468="DynaMoth", "True Semantic", IF($O1468="FixMiner", "True Pattern", IF($O1468="GenProg-A", "Evolutionary Search", IF($O1468="Hercules", "Learning Pattern", IF($O1468="Jaid", "True Semantic",
IF($O1468="Kali-A", "True Search", IF($O1468="kPAR", "True Pattern", IF($O1468="Nopol", "True Semantic", IF($O1468="RSRepair-A", "Evolutionary Search", IF($O1468="SequenceR", "Deep Learning", IF($O1468="SimFix", "Search Like Pattern", IF($O1468="SketchFix", "True Pattern", IF($O1468="SOFix", "True Pattern", IF($O1468="ssFix", "Search Like Pattern", IF($O1468="TBar", "True Pattern", ""))))))))))))))))))))</f>
        <v>Search Like Pattern</v>
      </c>
      <c r="Q1468" s="13" t="str">
        <f>IF(NOT(ISERR(SEARCH("*_Buggy",$A1468))), "Buggy", IF(NOT(ISERR(SEARCH("*_Fixed",$A1468))), "Fixed", IF(NOT(ISERR(SEARCH("*_Repaired",$A1468))), "Repaired", "")))</f>
        <v>Repaired</v>
      </c>
      <c r="R1468" s="13" t="s">
        <v>1668</v>
      </c>
      <c r="S1468" s="25">
        <v>2</v>
      </c>
      <c r="T1468" s="13">
        <v>10</v>
      </c>
      <c r="U1468" s="25">
        <v>0</v>
      </c>
      <c r="V1468" s="13">
        <v>10</v>
      </c>
      <c r="W1468" s="13" t="str">
        <f>MID(A1468, SEARCH("_", A1468) +1, SEARCH("_", A1468, SEARCH("_", A1468) +1) - SEARCH("_", A1468) -1)</f>
        <v>Closure-19</v>
      </c>
      <c r="Y1468" t="str">
        <f>IF(AND($S943=1,$S1468=1,$V943=1,$V1468=1), "YES", "NO")</f>
        <v>NO</v>
      </c>
      <c r="Z1468" t="str">
        <f>IF(AND($S943=1,$S1468=1,$V943&gt;1,$V1468&gt;1), "YES", "NO")</f>
        <v>NO</v>
      </c>
      <c r="AA1468" t="str">
        <f>IF(AND($S943&gt;1,$S1468&gt;1,$S943=$V943,$S1468=$V1468), "YES", "NO")</f>
        <v>NO</v>
      </c>
      <c r="AB1468" t="str">
        <f>IF(AND($S943&gt;1,$S1468&gt;1,$S943&lt;$V943,$S1468&lt;$V1468), "YES", "NO")</f>
        <v>NO</v>
      </c>
      <c r="AC1468" t="str">
        <f>IF(AND($V943&gt;10,$V1468&gt;10), "YES", "NO")</f>
        <v>NO</v>
      </c>
      <c r="AD1468"/>
    </row>
    <row r="1469" spans="1:30" ht="15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>LEFT($A1469,FIND("_",$A1469)-1)</f>
        <v>SimFix</v>
      </c>
      <c r="P1469" s="13" t="str">
        <f>IF($O1469="ACS", "True Search", IF($O1469="Arja", "Evolutionary Search", IF($O1469="AVATAR", "True Pattern", IF($O1469="CapGen", "Search Like Pattern", IF($O1469="Cardumen", "True Semantic", IF($O1469="DynaMoth", "True Semantic", IF($O1469="FixMiner", "True Pattern", IF($O1469="GenProg-A", "Evolutionary Search", IF($O1469="Hercules", "Learning Pattern", IF($O1469="Jaid", "True Semantic",
IF($O1469="Kali-A", "True Search", IF($O1469="kPAR", "True Pattern", IF($O1469="Nopol", "True Semantic", IF($O1469="RSRepair-A", "Evolutionary Search", IF($O1469="SequenceR", "Deep Learning", IF($O1469="SimFix", "Search Like Pattern", IF($O1469="SketchFix", "True Pattern", IF($O1469="SOFix", "True Pattern", IF($O1469="ssFix", "Search Like Pattern", IF($O1469="TBar", "True Pattern", ""))))))))))))))))))))</f>
        <v>Search Like Pattern</v>
      </c>
      <c r="Q1469" s="13" t="str">
        <f>IF(NOT(ISERR(SEARCH("*_Buggy",$A1469))), "Buggy", IF(NOT(ISERR(SEARCH("*_Fixed",$A1469))), "Fixed", IF(NOT(ISERR(SEARCH("*_Repaired",$A1469))), "Repaired", "")))</f>
        <v>Repaired</v>
      </c>
      <c r="R1469" s="13" t="s">
        <v>1669</v>
      </c>
      <c r="S1469" s="25">
        <v>2</v>
      </c>
      <c r="T1469" s="13">
        <v>9</v>
      </c>
      <c r="U1469" s="25">
        <v>0</v>
      </c>
      <c r="V1469" s="13">
        <v>9</v>
      </c>
      <c r="W1469" s="13" t="str">
        <f>MID(A1469, SEARCH("_", A1469) +1, SEARCH("_", A1469, SEARCH("_", A1469) +1) - SEARCH("_", A1469) -1)</f>
        <v>Closure-21</v>
      </c>
      <c r="Y1469" t="str">
        <f>IF(AND($S944=1,$S1469=1,$V944=1,$V1469=1), "YES", "NO")</f>
        <v>NO</v>
      </c>
      <c r="Z1469" t="str">
        <f>IF(AND($S944=1,$S1469=1,$V944&gt;1,$V1469&gt;1), "YES", "NO")</f>
        <v>NO</v>
      </c>
      <c r="AA1469" t="str">
        <f>IF(AND($S944&gt;1,$S1469&gt;1,$S944=$V944,$S1469=$V1469), "YES", "NO")</f>
        <v>NO</v>
      </c>
      <c r="AB1469" t="str">
        <f>IF(AND($S944&gt;1,$S1469&gt;1,$S944&lt;$V944,$S1469&lt;$V1469), "YES", "NO")</f>
        <v>YES</v>
      </c>
      <c r="AC1469" t="str">
        <f>IF(AND($V944&gt;10,$V1469&gt;10), "YES", "NO")</f>
        <v>NO</v>
      </c>
      <c r="AD1469"/>
    </row>
    <row r="1470" spans="1:30" ht="15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>LEFT($A1470,FIND("_",$A1470)-1)</f>
        <v>SimFix</v>
      </c>
      <c r="P1470" s="13" t="str">
        <f>IF($O1470="ACS", "True Search", IF($O1470="Arja", "Evolutionary Search", IF($O1470="AVATAR", "True Pattern", IF($O1470="CapGen", "Search Like Pattern", IF($O1470="Cardumen", "True Semantic", IF($O1470="DynaMoth", "True Semantic", IF($O1470="FixMiner", "True Pattern", IF($O1470="GenProg-A", "Evolutionary Search", IF($O1470="Hercules", "Learning Pattern", IF($O1470="Jaid", "True Semantic",
IF($O1470="Kali-A", "True Search", IF($O1470="kPAR", "True Pattern", IF($O1470="Nopol", "True Semantic", IF($O1470="RSRepair-A", "Evolutionary Search", IF($O1470="SequenceR", "Deep Learning", IF($O1470="SimFix", "Search Like Pattern", IF($O1470="SketchFix", "True Pattern", IF($O1470="SOFix", "True Pattern", IF($O1470="ssFix", "Search Like Pattern", IF($O1470="TBar", "True Pattern", ""))))))))))))))))))))</f>
        <v>Search Like Pattern</v>
      </c>
      <c r="Q1470" s="13" t="str">
        <f>IF(NOT(ISERR(SEARCH("*_Buggy",$A1470))), "Buggy", IF(NOT(ISERR(SEARCH("*_Fixed",$A1470))), "Fixed", IF(NOT(ISERR(SEARCH("*_Repaired",$A1470))), "Repaired", "")))</f>
        <v>Repaired</v>
      </c>
      <c r="R1470" s="13" t="s">
        <v>1669</v>
      </c>
      <c r="S1470" s="25">
        <v>2</v>
      </c>
      <c r="T1470" s="13">
        <v>9</v>
      </c>
      <c r="U1470" s="25">
        <v>0</v>
      </c>
      <c r="V1470" s="13">
        <v>9</v>
      </c>
      <c r="W1470" s="13" t="str">
        <f>MID(A1470, SEARCH("_", A1470) +1, SEARCH("_", A1470, SEARCH("_", A1470) +1) - SEARCH("_", A1470) -1)</f>
        <v>Closure-22</v>
      </c>
      <c r="Y1470" t="str">
        <f>IF(AND($S945=1,$S1470=1,$V945=1,$V1470=1), "YES", "NO")</f>
        <v>NO</v>
      </c>
      <c r="Z1470" t="str">
        <f>IF(AND($S945=1,$S1470=1,$V945&gt;1,$V1470&gt;1), "YES", "NO")</f>
        <v>NO</v>
      </c>
      <c r="AA1470" t="str">
        <f>IF(AND($S945&gt;1,$S1470&gt;1,$S945=$V945,$S1470=$V1470), "YES", "NO")</f>
        <v>NO</v>
      </c>
      <c r="AB1470" t="str">
        <f>IF(AND($S945&gt;1,$S1470&gt;1,$S945&lt;$V945,$S1470&lt;$V1470), "YES", "NO")</f>
        <v>YES</v>
      </c>
      <c r="AC1470" t="str">
        <f>IF(AND($V945&gt;10,$V1470&gt;10), "YES", "NO")</f>
        <v>NO</v>
      </c>
      <c r="AD1470"/>
    </row>
    <row r="1471" spans="1:30" ht="15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>LEFT($A1471,FIND("_",$A1471)-1)</f>
        <v>SimFix</v>
      </c>
      <c r="P1471" s="13" t="str">
        <f>IF($O1471="ACS", "True Search", IF($O1471="Arja", "Evolutionary Search", IF($O1471="AVATAR", "True Pattern", IF($O1471="CapGen", "Search Like Pattern", IF($O1471="Cardumen", "True Semantic", IF($O1471="DynaMoth", "True Semantic", IF($O1471="FixMiner", "True Pattern", IF($O1471="GenProg-A", "Evolutionary Search", IF($O1471="Hercules", "Learning Pattern", IF($O1471="Jaid", "True Semantic",
IF($O1471="Kali-A", "True Search", IF($O1471="kPAR", "True Pattern", IF($O1471="Nopol", "True Semantic", IF($O1471="RSRepair-A", "Evolutionary Search", IF($O1471="SequenceR", "Deep Learning", IF($O1471="SimFix", "Search Like Pattern", IF($O1471="SketchFix", "True Pattern", IF($O1471="SOFix", "True Pattern", IF($O1471="ssFix", "Search Like Pattern", IF($O1471="TBar", "True Pattern", ""))))))))))))))))))))</f>
        <v>Search Like Pattern</v>
      </c>
      <c r="Q1471" s="13" t="str">
        <f>IF(NOT(ISERR(SEARCH("*_Buggy",$A1471))), "Buggy", IF(NOT(ISERR(SEARCH("*_Fixed",$A1471))), "Fixed", IF(NOT(ISERR(SEARCH("*_Repaired",$A1471))), "Repaired", "")))</f>
        <v>Repaired</v>
      </c>
      <c r="R1471" s="13" t="s">
        <v>1669</v>
      </c>
      <c r="S1471" s="25">
        <v>2</v>
      </c>
      <c r="T1471" s="13">
        <v>7</v>
      </c>
      <c r="U1471" s="25">
        <v>0</v>
      </c>
      <c r="V1471" s="13">
        <v>7</v>
      </c>
      <c r="W1471" s="13" t="str">
        <f>MID(A1471, SEARCH("_", A1471) +1, SEARCH("_", A1471, SEARCH("_", A1471) +1) - SEARCH("_", A1471) -1)</f>
        <v>Closure-38</v>
      </c>
      <c r="Y1471" t="str">
        <f>IF(AND($S946=1,$S1471=1,$V946=1,$V1471=1), "YES", "NO")</f>
        <v>NO</v>
      </c>
      <c r="Z1471" t="str">
        <f>IF(AND($S946=1,$S1471=1,$V946&gt;1,$V1471&gt;1), "YES", "NO")</f>
        <v>NO</v>
      </c>
      <c r="AA1471" t="str">
        <f>IF(AND($S946&gt;1,$S1471&gt;1,$S946=$V946,$S1471=$V1471), "YES", "NO")</f>
        <v>NO</v>
      </c>
      <c r="AB1471" t="str">
        <f>IF(AND($S946&gt;1,$S1471&gt;1,$S946&lt;$V946,$S1471&lt;$V1471), "YES", "NO")</f>
        <v>NO</v>
      </c>
      <c r="AC1471" t="str">
        <f>IF(AND($V946&gt;10,$V1471&gt;10), "YES", "NO")</f>
        <v>NO</v>
      </c>
      <c r="AD1471"/>
    </row>
    <row r="1472" spans="1:30" ht="15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>LEFT($A1472,FIND("_",$A1472)-1)</f>
        <v>SimFix</v>
      </c>
      <c r="P1472" s="13" t="str">
        <f>IF($O1472="ACS", "True Search", IF($O1472="Arja", "Evolutionary Search", IF($O1472="AVATAR", "True Pattern", IF($O1472="CapGen", "Search Like Pattern", IF($O1472="Cardumen", "True Semantic", IF($O1472="DynaMoth", "True Semantic", IF($O1472="FixMiner", "True Pattern", IF($O1472="GenProg-A", "Evolutionary Search", IF($O1472="Hercules", "Learning Pattern", IF($O1472="Jaid", "True Semantic",
IF($O1472="Kali-A", "True Search", IF($O1472="kPAR", "True Pattern", IF($O1472="Nopol", "True Semantic", IF($O1472="RSRepair-A", "Evolutionary Search", IF($O1472="SequenceR", "Deep Learning", IF($O1472="SimFix", "Search Like Pattern", IF($O1472="SketchFix", "True Pattern", IF($O1472="SOFix", "True Pattern", IF($O1472="ssFix", "Search Like Pattern", IF($O1472="TBar", "True Pattern", ""))))))))))))))))))))</f>
        <v>Search Like Pattern</v>
      </c>
      <c r="Q1472" s="13" t="str">
        <f>IF(NOT(ISERR(SEARCH("*_Buggy",$A1472))), "Buggy", IF(NOT(ISERR(SEARCH("*_Fixed",$A1472))), "Fixed", IF(NOT(ISERR(SEARCH("*_Repaired",$A1472))), "Repaired", "")))</f>
        <v>Repaired</v>
      </c>
      <c r="R1472" s="13" t="s">
        <v>1669</v>
      </c>
      <c r="S1472" s="25">
        <v>2</v>
      </c>
      <c r="T1472" s="13">
        <v>14</v>
      </c>
      <c r="U1472" s="25">
        <v>0</v>
      </c>
      <c r="V1472" s="13">
        <v>14</v>
      </c>
      <c r="W1472" s="13" t="str">
        <f>MID(A1472, SEARCH("_", A1472) +1, SEARCH("_", A1472, SEARCH("_", A1472) +1) - SEARCH("_", A1472) -1)</f>
        <v>Closure-46</v>
      </c>
      <c r="Y1472" t="str">
        <f>IF(AND($S947=1,$S1472=1,$V947=1,$V1472=1), "YES", "NO")</f>
        <v>NO</v>
      </c>
      <c r="Z1472" t="str">
        <f>IF(AND($S947=1,$S1472=1,$V947&gt;1,$V1472&gt;1), "YES", "NO")</f>
        <v>NO</v>
      </c>
      <c r="AA1472" t="str">
        <f>IF(AND($S947&gt;1,$S1472&gt;1,$S947=$V947,$S1472=$V1472), "YES", "NO")</f>
        <v>NO</v>
      </c>
      <c r="AB1472" t="str">
        <f>IF(AND($S947&gt;1,$S1472&gt;1,$S947&lt;$V947,$S1472&lt;$V1472), "YES", "NO")</f>
        <v>NO</v>
      </c>
      <c r="AC1472" t="str">
        <f>IF(AND($V947&gt;10,$V1472&gt;10), "YES", "NO")</f>
        <v>YES</v>
      </c>
      <c r="AD1472"/>
    </row>
    <row r="1473" spans="1:30" ht="15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>LEFT($A1473,FIND("_",$A1473)-1)</f>
        <v>SimFix</v>
      </c>
      <c r="P1473" s="13" t="str">
        <f>IF($O1473="ACS", "True Search", IF($O1473="Arja", "Evolutionary Search", IF($O1473="AVATAR", "True Pattern", IF($O1473="CapGen", "Search Like Pattern", IF($O1473="Cardumen", "True Semantic", IF($O1473="DynaMoth", "True Semantic", IF($O1473="FixMiner", "True Pattern", IF($O1473="GenProg-A", "Evolutionary Search", IF($O1473="Hercules", "Learning Pattern", IF($O1473="Jaid", "True Semantic",
IF($O1473="Kali-A", "True Search", IF($O1473="kPAR", "True Pattern", IF($O1473="Nopol", "True Semantic", IF($O1473="RSRepair-A", "Evolutionary Search", IF($O1473="SequenceR", "Deep Learning", IF($O1473="SimFix", "Search Like Pattern", IF($O1473="SketchFix", "True Pattern", IF($O1473="SOFix", "True Pattern", IF($O1473="ssFix", "Search Like Pattern", IF($O1473="TBar", "True Pattern", ""))))))))))))))))))))</f>
        <v>Search Like Pattern</v>
      </c>
      <c r="Q1473" s="13" t="str">
        <f>IF(NOT(ISERR(SEARCH("*_Buggy",$A1473))), "Buggy", IF(NOT(ISERR(SEARCH("*_Fixed",$A1473))), "Fixed", IF(NOT(ISERR(SEARCH("*_Repaired",$A1473))), "Repaired", "")))</f>
        <v>Repaired</v>
      </c>
      <c r="R1473" s="13" t="s">
        <v>1668</v>
      </c>
      <c r="S1473" s="25">
        <v>2</v>
      </c>
      <c r="T1473" s="13">
        <v>7</v>
      </c>
      <c r="U1473" s="25">
        <v>0</v>
      </c>
      <c r="V1473" s="13">
        <v>7</v>
      </c>
      <c r="W1473" s="13" t="str">
        <f>MID(A1473, SEARCH("_", A1473) +1, SEARCH("_", A1473, SEARCH("_", A1473) +1) - SEARCH("_", A1473) -1)</f>
        <v>Closure-57</v>
      </c>
      <c r="Y1473" t="str">
        <f>IF(AND($S948=1,$S1473=1,$V948=1,$V1473=1), "YES", "NO")</f>
        <v>NO</v>
      </c>
      <c r="Z1473" t="str">
        <f>IF(AND($S948=1,$S1473=1,$V948&gt;1,$V1473&gt;1), "YES", "NO")</f>
        <v>NO</v>
      </c>
      <c r="AA1473" t="str">
        <f>IF(AND($S948&gt;1,$S1473&gt;1,$S948=$V948,$S1473=$V1473), "YES", "NO")</f>
        <v>NO</v>
      </c>
      <c r="AB1473" t="str">
        <f>IF(AND($S948&gt;1,$S1473&gt;1,$S948&lt;$V948,$S1473&lt;$V1473), "YES", "NO")</f>
        <v>NO</v>
      </c>
      <c r="AC1473" t="str">
        <f>IF(AND($V948&gt;10,$V1473&gt;10), "YES", "NO")</f>
        <v>NO</v>
      </c>
      <c r="AD1473"/>
    </row>
    <row r="1474" spans="1:30" ht="15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>LEFT($A1474,FIND("_",$A1474)-1)</f>
        <v>SimFix</v>
      </c>
      <c r="P1474" s="13" t="str">
        <f>IF($O1474="ACS", "True Search", IF($O1474="Arja", "Evolutionary Search", IF($O1474="AVATAR", "True Pattern", IF($O1474="CapGen", "Search Like Pattern", IF($O1474="Cardumen", "True Semantic", IF($O1474="DynaMoth", "True Semantic", IF($O1474="FixMiner", "True Pattern", IF($O1474="GenProg-A", "Evolutionary Search", IF($O1474="Hercules", "Learning Pattern", IF($O1474="Jaid", "True Semantic",
IF($O1474="Kali-A", "True Search", IF($O1474="kPAR", "True Pattern", IF($O1474="Nopol", "True Semantic", IF($O1474="RSRepair-A", "Evolutionary Search", IF($O1474="SequenceR", "Deep Learning", IF($O1474="SimFix", "Search Like Pattern", IF($O1474="SketchFix", "True Pattern", IF($O1474="SOFix", "True Pattern", IF($O1474="ssFix", "Search Like Pattern", IF($O1474="TBar", "True Pattern", ""))))))))))))))))))))</f>
        <v>Search Like Pattern</v>
      </c>
      <c r="Q1474" s="13" t="str">
        <f>IF(NOT(ISERR(SEARCH("*_Buggy",$A1474))), "Buggy", IF(NOT(ISERR(SEARCH("*_Fixed",$A1474))), "Fixed", IF(NOT(ISERR(SEARCH("*_Repaired",$A1474))), "Repaired", "")))</f>
        <v>Repaired</v>
      </c>
      <c r="R1474" s="13" t="s">
        <v>1669</v>
      </c>
      <c r="S1474" s="25">
        <v>2</v>
      </c>
      <c r="T1474" s="13">
        <v>9</v>
      </c>
      <c r="U1474" s="25">
        <v>0</v>
      </c>
      <c r="V1474" s="13">
        <v>9</v>
      </c>
      <c r="W1474" s="13" t="str">
        <f>MID(A1474, SEARCH("_", A1474) +1, SEARCH("_", A1474, SEARCH("_", A1474) +1) - SEARCH("_", A1474) -1)</f>
        <v>Closure-6</v>
      </c>
      <c r="Y1474" t="str">
        <f>IF(AND($S949=1,$S1474=1,$V949=1,$V1474=1), "YES", "NO")</f>
        <v>NO</v>
      </c>
      <c r="Z1474" t="str">
        <f>IF(AND($S949=1,$S1474=1,$V949&gt;1,$V1474&gt;1), "YES", "NO")</f>
        <v>NO</v>
      </c>
      <c r="AA1474" t="str">
        <f>IF(AND($S949&gt;1,$S1474&gt;1,$S949=$V949,$S1474=$V1474), "YES", "NO")</f>
        <v>NO</v>
      </c>
      <c r="AB1474" t="str">
        <f>IF(AND($S949&gt;1,$S1474&gt;1,$S949&lt;$V949,$S1474&lt;$V1474), "YES", "NO")</f>
        <v>YES</v>
      </c>
      <c r="AC1474" t="str">
        <f>IF(AND($V949&gt;10,$V1474&gt;10), "YES", "NO")</f>
        <v>NO</v>
      </c>
      <c r="AD1474"/>
    </row>
    <row r="1475" spans="1:30" ht="15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>LEFT($A1475,FIND("_",$A1475)-1)</f>
        <v>SimFix</v>
      </c>
      <c r="P1475" s="13" t="str">
        <f>IF($O1475="ACS", "True Search", IF($O1475="Arja", "Evolutionary Search", IF($O1475="AVATAR", "True Pattern", IF($O1475="CapGen", "Search Like Pattern", IF($O1475="Cardumen", "True Semantic", IF($O1475="DynaMoth", "True Semantic", IF($O1475="FixMiner", "True Pattern", IF($O1475="GenProg-A", "Evolutionary Search", IF($O1475="Hercules", "Learning Pattern", IF($O1475="Jaid", "True Semantic",
IF($O1475="Kali-A", "True Search", IF($O1475="kPAR", "True Pattern", IF($O1475="Nopol", "True Semantic", IF($O1475="RSRepair-A", "Evolutionary Search", IF($O1475="SequenceR", "Deep Learning", IF($O1475="SimFix", "Search Like Pattern", IF($O1475="SketchFix", "True Pattern", IF($O1475="SOFix", "True Pattern", IF($O1475="ssFix", "Search Like Pattern", IF($O1475="TBar", "True Pattern", ""))))))))))))))))))))</f>
        <v>Search Like Pattern</v>
      </c>
      <c r="Q1475" s="13" t="str">
        <f>IF(NOT(ISERR(SEARCH("*_Buggy",$A1475))), "Buggy", IF(NOT(ISERR(SEARCH("*_Fixed",$A1475))), "Fixed", IF(NOT(ISERR(SEARCH("*_Repaired",$A1475))), "Repaired", "")))</f>
        <v>Repaired</v>
      </c>
      <c r="R1475" s="13" t="s">
        <v>1668</v>
      </c>
      <c r="S1475" s="25">
        <v>2</v>
      </c>
      <c r="T1475" s="13">
        <v>15</v>
      </c>
      <c r="U1475" s="25">
        <v>0</v>
      </c>
      <c r="V1475" s="13">
        <v>15</v>
      </c>
      <c r="W1475" s="13" t="str">
        <f>MID(A1475, SEARCH("_", A1475) +1, SEARCH("_", A1475, SEARCH("_", A1475) +1) - SEARCH("_", A1475) -1)</f>
        <v>Closure-62</v>
      </c>
      <c r="Y1475" t="str">
        <f>IF(AND($S950=1,$S1475=1,$V950=1,$V1475=1), "YES", "NO")</f>
        <v>NO</v>
      </c>
      <c r="Z1475" t="str">
        <f>IF(AND($S950=1,$S1475=1,$V950&gt;1,$V1475&gt;1), "YES", "NO")</f>
        <v>NO</v>
      </c>
      <c r="AA1475" t="str">
        <f>IF(AND($S950&gt;1,$S1475&gt;1,$S950=$V950,$S1475=$V1475), "YES", "NO")</f>
        <v>NO</v>
      </c>
      <c r="AB1475" t="str">
        <f>IF(AND($S950&gt;1,$S1475&gt;1,$S950&lt;$V950,$S1475&lt;$V1475), "YES", "NO")</f>
        <v>NO</v>
      </c>
      <c r="AC1475" t="str">
        <f>IF(AND($V950&gt;10,$V1475&gt;10), "YES", "NO")</f>
        <v>NO</v>
      </c>
      <c r="AD1475"/>
    </row>
    <row r="1476" spans="1:30" ht="15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>LEFT($A1476,FIND("_",$A1476)-1)</f>
        <v>SimFix</v>
      </c>
      <c r="P1476" s="13" t="str">
        <f>IF($O1476="ACS", "True Search", IF($O1476="Arja", "Evolutionary Search", IF($O1476="AVATAR", "True Pattern", IF($O1476="CapGen", "Search Like Pattern", IF($O1476="Cardumen", "True Semantic", IF($O1476="DynaMoth", "True Semantic", IF($O1476="FixMiner", "True Pattern", IF($O1476="GenProg-A", "Evolutionary Search", IF($O1476="Hercules", "Learning Pattern", IF($O1476="Jaid", "True Semantic",
IF($O1476="Kali-A", "True Search", IF($O1476="kPAR", "True Pattern", IF($O1476="Nopol", "True Semantic", IF($O1476="RSRepair-A", "Evolutionary Search", IF($O1476="SequenceR", "Deep Learning", IF($O1476="SimFix", "Search Like Pattern", IF($O1476="SketchFix", "True Pattern", IF($O1476="SOFix", "True Pattern", IF($O1476="ssFix", "Search Like Pattern", IF($O1476="TBar", "True Pattern", ""))))))))))))))))))))</f>
        <v>Search Like Pattern</v>
      </c>
      <c r="Q1476" s="13" t="str">
        <f>IF(NOT(ISERR(SEARCH("*_Buggy",$A1476))), "Buggy", IF(NOT(ISERR(SEARCH("*_Fixed",$A1476))), "Fixed", IF(NOT(ISERR(SEARCH("*_Repaired",$A1476))), "Repaired", "")))</f>
        <v>Repaired</v>
      </c>
      <c r="R1476" s="13" t="s">
        <v>1668</v>
      </c>
      <c r="S1476" s="25">
        <v>2</v>
      </c>
      <c r="T1476" s="13">
        <v>9</v>
      </c>
      <c r="U1476" s="25">
        <v>0</v>
      </c>
      <c r="V1476" s="13">
        <v>9</v>
      </c>
      <c r="W1476" s="13" t="str">
        <f>MID(A1476, SEARCH("_", A1476) +1, SEARCH("_", A1476, SEARCH("_", A1476) +1) - SEARCH("_", A1476) -1)</f>
        <v>Closure-73</v>
      </c>
      <c r="Y1476" t="str">
        <f>IF(AND($S951=1,$S1476=1,$V951=1,$V1476=1), "YES", "NO")</f>
        <v>NO</v>
      </c>
      <c r="Z1476" t="str">
        <f>IF(AND($S951=1,$S1476=1,$V951&gt;1,$V1476&gt;1), "YES", "NO")</f>
        <v>NO</v>
      </c>
      <c r="AA1476" t="str">
        <f>IF(AND($S951&gt;1,$S1476&gt;1,$S951=$V951,$S1476=$V1476), "YES", "NO")</f>
        <v>NO</v>
      </c>
      <c r="AB1476" t="str">
        <f>IF(AND($S951&gt;1,$S1476&gt;1,$S951&lt;$V951,$S1476&lt;$V1476), "YES", "NO")</f>
        <v>NO</v>
      </c>
      <c r="AC1476" t="str">
        <f>IF(AND($V951&gt;10,$V1476&gt;10), "YES", "NO")</f>
        <v>NO</v>
      </c>
      <c r="AD1476"/>
    </row>
    <row r="1477" spans="1:30" ht="15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>LEFT($A1477,FIND("_",$A1477)-1)</f>
        <v>SimFix</v>
      </c>
      <c r="P1477" s="13" t="str">
        <f>IF($O1477="ACS", "True Search", IF($O1477="Arja", "Evolutionary Search", IF($O1477="AVATAR", "True Pattern", IF($O1477="CapGen", "Search Like Pattern", IF($O1477="Cardumen", "True Semantic", IF($O1477="DynaMoth", "True Semantic", IF($O1477="FixMiner", "True Pattern", IF($O1477="GenProg-A", "Evolutionary Search", IF($O1477="Hercules", "Learning Pattern", IF($O1477="Jaid", "True Semantic",
IF($O1477="Kali-A", "True Search", IF($O1477="kPAR", "True Pattern", IF($O1477="Nopol", "True Semantic", IF($O1477="RSRepair-A", "Evolutionary Search", IF($O1477="SequenceR", "Deep Learning", IF($O1477="SimFix", "Search Like Pattern", IF($O1477="SketchFix", "True Pattern", IF($O1477="SOFix", "True Pattern", IF($O1477="ssFix", "Search Like Pattern", IF($O1477="TBar", "True Pattern", ""))))))))))))))))))))</f>
        <v>Search Like Pattern</v>
      </c>
      <c r="Q1477" s="13" t="str">
        <f>IF(NOT(ISERR(SEARCH("*_Buggy",$A1477))), "Buggy", IF(NOT(ISERR(SEARCH("*_Fixed",$A1477))), "Fixed", IF(NOT(ISERR(SEARCH("*_Repaired",$A1477))), "Repaired", "")))</f>
        <v>Repaired</v>
      </c>
      <c r="R1477" s="13" t="s">
        <v>1669</v>
      </c>
      <c r="S1477" s="25">
        <v>2</v>
      </c>
      <c r="T1477" s="13">
        <v>12</v>
      </c>
      <c r="U1477" s="25">
        <v>0</v>
      </c>
      <c r="V1477" s="13">
        <v>12</v>
      </c>
      <c r="W1477" s="13" t="str">
        <f>MID(A1477, SEARCH("_", A1477) +1, SEARCH("_", A1477, SEARCH("_", A1477) +1) - SEARCH("_", A1477) -1)</f>
        <v>Lang-1</v>
      </c>
      <c r="Y1477" t="str">
        <f>IF(AND($S952=1,$S1477=1,$V952=1,$V1477=1), "YES", "NO")</f>
        <v>NO</v>
      </c>
      <c r="Z1477" t="str">
        <f>IF(AND($S952=1,$S1477=1,$V952&gt;1,$V1477&gt;1), "YES", "NO")</f>
        <v>NO</v>
      </c>
      <c r="AA1477" t="str">
        <f>IF(AND($S952&gt;1,$S1477&gt;1,$S952=$V952,$S1477=$V1477), "YES", "NO")</f>
        <v>NO</v>
      </c>
      <c r="AB1477" t="str">
        <f>IF(AND($S952&gt;1,$S1477&gt;1,$S952&lt;$V952,$S1477&lt;$V1477), "YES", "NO")</f>
        <v>YES</v>
      </c>
      <c r="AC1477" t="str">
        <f>IF(AND($V952&gt;10,$V1477&gt;10), "YES", "NO")</f>
        <v>YES</v>
      </c>
      <c r="AD1477"/>
    </row>
    <row r="1478" spans="1:30" ht="15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>LEFT($A1478,FIND("_",$A1478)-1)</f>
        <v>SimFix</v>
      </c>
      <c r="P1478" s="13" t="str">
        <f>IF($O1478="ACS", "True Search", IF($O1478="Arja", "Evolutionary Search", IF($O1478="AVATAR", "True Pattern", IF($O1478="CapGen", "Search Like Pattern", IF($O1478="Cardumen", "True Semantic", IF($O1478="DynaMoth", "True Semantic", IF($O1478="FixMiner", "True Pattern", IF($O1478="GenProg-A", "Evolutionary Search", IF($O1478="Hercules", "Learning Pattern", IF($O1478="Jaid", "True Semantic",
IF($O1478="Kali-A", "True Search", IF($O1478="kPAR", "True Pattern", IF($O1478="Nopol", "True Semantic", IF($O1478="RSRepair-A", "Evolutionary Search", IF($O1478="SequenceR", "Deep Learning", IF($O1478="SimFix", "Search Like Pattern", IF($O1478="SketchFix", "True Pattern", IF($O1478="SOFix", "True Pattern", IF($O1478="ssFix", "Search Like Pattern", IF($O1478="TBar", "True Pattern", ""))))))))))))))))))))</f>
        <v>Search Like Pattern</v>
      </c>
      <c r="Q1478" s="13" t="str">
        <f>IF(NOT(ISERR(SEARCH("*_Buggy",$A1478))), "Buggy", IF(NOT(ISERR(SEARCH("*_Fixed",$A1478))), "Fixed", IF(NOT(ISERR(SEARCH("*_Repaired",$A1478))), "Repaired", "")))</f>
        <v>Repaired</v>
      </c>
      <c r="R1478" s="13" t="s">
        <v>1669</v>
      </c>
      <c r="S1478" s="25">
        <v>2</v>
      </c>
      <c r="T1478" s="13">
        <v>14</v>
      </c>
      <c r="U1478" s="25">
        <v>0</v>
      </c>
      <c r="V1478" s="13">
        <v>14</v>
      </c>
      <c r="W1478" s="13" t="str">
        <f>MID(A1478, SEARCH("_", A1478) +1, SEARCH("_", A1478, SEARCH("_", A1478) +1) - SEARCH("_", A1478) -1)</f>
        <v>Lang-12</v>
      </c>
      <c r="Y1478" t="str">
        <f>IF(AND($S953=1,$S1478=1,$V953=1,$V1478=1), "YES", "NO")</f>
        <v>NO</v>
      </c>
      <c r="Z1478" t="str">
        <f>IF(AND($S953=1,$S1478=1,$V953&gt;1,$V1478&gt;1), "YES", "NO")</f>
        <v>NO</v>
      </c>
      <c r="AA1478" t="str">
        <f>IF(AND($S953&gt;1,$S1478&gt;1,$S953=$V953,$S1478=$V1478), "YES", "NO")</f>
        <v>NO</v>
      </c>
      <c r="AB1478" t="str">
        <f>IF(AND($S953&gt;1,$S1478&gt;1,$S953&lt;$V953,$S1478&lt;$V1478), "YES", "NO")</f>
        <v>YES</v>
      </c>
      <c r="AC1478" t="str">
        <f>IF(AND($V953&gt;10,$V1478&gt;10), "YES", "NO")</f>
        <v>NO</v>
      </c>
      <c r="AD1478"/>
    </row>
    <row r="1479" spans="1:30" ht="15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>LEFT($A1479,FIND("_",$A1479)-1)</f>
        <v>SimFix</v>
      </c>
      <c r="P1479" s="13" t="str">
        <f>IF($O1479="ACS", "True Search", IF($O1479="Arja", "Evolutionary Search", IF($O1479="AVATAR", "True Pattern", IF($O1479="CapGen", "Search Like Pattern", IF($O1479="Cardumen", "True Semantic", IF($O1479="DynaMoth", "True Semantic", IF($O1479="FixMiner", "True Pattern", IF($O1479="GenProg-A", "Evolutionary Search", IF($O1479="Hercules", "Learning Pattern", IF($O1479="Jaid", "True Semantic",
IF($O1479="Kali-A", "True Search", IF($O1479="kPAR", "True Pattern", IF($O1479="Nopol", "True Semantic", IF($O1479="RSRepair-A", "Evolutionary Search", IF($O1479="SequenceR", "Deep Learning", IF($O1479="SimFix", "Search Like Pattern", IF($O1479="SketchFix", "True Pattern", IF($O1479="SOFix", "True Pattern", IF($O1479="ssFix", "Search Like Pattern", IF($O1479="TBar", "True Pattern", ""))))))))))))))))))))</f>
        <v>Search Like Pattern</v>
      </c>
      <c r="Q1479" s="13" t="str">
        <f>IF(NOT(ISERR(SEARCH("*_Buggy",$A1479))), "Buggy", IF(NOT(ISERR(SEARCH("*_Fixed",$A1479))), "Fixed", IF(NOT(ISERR(SEARCH("*_Repaired",$A1479))), "Repaired", "")))</f>
        <v>Repaired</v>
      </c>
      <c r="R1479" s="13" t="s">
        <v>1669</v>
      </c>
      <c r="S1479" s="25">
        <v>2</v>
      </c>
      <c r="T1479" s="13">
        <v>8</v>
      </c>
      <c r="U1479" s="25">
        <v>0</v>
      </c>
      <c r="V1479" s="13">
        <v>8</v>
      </c>
      <c r="W1479" s="13" t="str">
        <f>MID(A1479, SEARCH("_", A1479) +1, SEARCH("_", A1479, SEARCH("_", A1479) +1) - SEARCH("_", A1479) -1)</f>
        <v>Lang-16</v>
      </c>
      <c r="Y1479" t="str">
        <f>IF(AND($S954=1,$S1479=1,$V954=1,$V1479=1), "YES", "NO")</f>
        <v>NO</v>
      </c>
      <c r="Z1479" t="str">
        <f>IF(AND($S954=1,$S1479=1,$V954&gt;1,$V1479&gt;1), "YES", "NO")</f>
        <v>NO</v>
      </c>
      <c r="AA1479" t="str">
        <f>IF(AND($S954&gt;1,$S1479&gt;1,$S954=$V954,$S1479=$V1479), "YES", "NO")</f>
        <v>NO</v>
      </c>
      <c r="AB1479" t="str">
        <f>IF(AND($S954&gt;1,$S1479&gt;1,$S954&lt;$V954,$S1479&lt;$V1479), "YES", "NO")</f>
        <v>NO</v>
      </c>
      <c r="AC1479" t="str">
        <f>IF(AND($V954&gt;10,$V1479&gt;10), "YES", "NO")</f>
        <v>NO</v>
      </c>
      <c r="AD1479"/>
    </row>
    <row r="1480" spans="1:30" ht="15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>LEFT($A1480,FIND("_",$A1480)-1)</f>
        <v>SimFix</v>
      </c>
      <c r="P1480" s="13" t="str">
        <f>IF($O1480="ACS", "True Search", IF($O1480="Arja", "Evolutionary Search", IF($O1480="AVATAR", "True Pattern", IF($O1480="CapGen", "Search Like Pattern", IF($O1480="Cardumen", "True Semantic", IF($O1480="DynaMoth", "True Semantic", IF($O1480="FixMiner", "True Pattern", IF($O1480="GenProg-A", "Evolutionary Search", IF($O1480="Hercules", "Learning Pattern", IF($O1480="Jaid", "True Semantic",
IF($O1480="Kali-A", "True Search", IF($O1480="kPAR", "True Pattern", IF($O1480="Nopol", "True Semantic", IF($O1480="RSRepair-A", "Evolutionary Search", IF($O1480="SequenceR", "Deep Learning", IF($O1480="SimFix", "Search Like Pattern", IF($O1480="SketchFix", "True Pattern", IF($O1480="SOFix", "True Pattern", IF($O1480="ssFix", "Search Like Pattern", IF($O1480="TBar", "True Pattern", ""))))))))))))))))))))</f>
        <v>Search Like Pattern</v>
      </c>
      <c r="Q1480" s="13" t="str">
        <f>IF(NOT(ISERR(SEARCH("*_Buggy",$A1480))), "Buggy", IF(NOT(ISERR(SEARCH("*_Fixed",$A1480))), "Fixed", IF(NOT(ISERR(SEARCH("*_Repaired",$A1480))), "Repaired", "")))</f>
        <v>Repaired</v>
      </c>
      <c r="R1480" s="13" t="s">
        <v>1669</v>
      </c>
      <c r="S1480" s="25">
        <v>2</v>
      </c>
      <c r="T1480" s="13">
        <v>8</v>
      </c>
      <c r="U1480" s="25">
        <v>0</v>
      </c>
      <c r="V1480" s="13">
        <v>8</v>
      </c>
      <c r="W1480" s="13" t="str">
        <f>MID(A1480, SEARCH("_", A1480) +1, SEARCH("_", A1480, SEARCH("_", A1480) +1) - SEARCH("_", A1480) -1)</f>
        <v>Lang-27</v>
      </c>
      <c r="Y1480" t="str">
        <f>IF(AND($S955=1,$S1480=1,$V955=1,$V1480=1), "YES", "NO")</f>
        <v>NO</v>
      </c>
      <c r="Z1480" t="str">
        <f>IF(AND($S955=1,$S1480=1,$V955&gt;1,$V1480&gt;1), "YES", "NO")</f>
        <v>NO</v>
      </c>
      <c r="AA1480" t="str">
        <f>IF(AND($S955&gt;1,$S1480&gt;1,$S955=$V955,$S1480=$V1480), "YES", "NO")</f>
        <v>NO</v>
      </c>
      <c r="AB1480" t="str">
        <f>IF(AND($S955&gt;1,$S1480&gt;1,$S955&lt;$V955,$S1480&lt;$V1480), "YES", "NO")</f>
        <v>YES</v>
      </c>
      <c r="AC1480" t="str">
        <f>IF(AND($V955&gt;10,$V1480&gt;10), "YES", "NO")</f>
        <v>NO</v>
      </c>
      <c r="AD1480"/>
    </row>
    <row r="1481" spans="1:30" ht="15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>LEFT($A1481,FIND("_",$A1481)-1)</f>
        <v>SimFix</v>
      </c>
      <c r="P1481" s="13" t="str">
        <f>IF($O1481="ACS", "True Search", IF($O1481="Arja", "Evolutionary Search", IF($O1481="AVATAR", "True Pattern", IF($O1481="CapGen", "Search Like Pattern", IF($O1481="Cardumen", "True Semantic", IF($O1481="DynaMoth", "True Semantic", IF($O1481="FixMiner", "True Pattern", IF($O1481="GenProg-A", "Evolutionary Search", IF($O1481="Hercules", "Learning Pattern", IF($O1481="Jaid", "True Semantic",
IF($O1481="Kali-A", "True Search", IF($O1481="kPAR", "True Pattern", IF($O1481="Nopol", "True Semantic", IF($O1481="RSRepair-A", "Evolutionary Search", IF($O1481="SequenceR", "Deep Learning", IF($O1481="SimFix", "Search Like Pattern", IF($O1481="SketchFix", "True Pattern", IF($O1481="SOFix", "True Pattern", IF($O1481="ssFix", "Search Like Pattern", IF($O1481="TBar", "True Pattern", ""))))))))))))))))))))</f>
        <v>Search Like Pattern</v>
      </c>
      <c r="Q1481" s="13" t="str">
        <f>IF(NOT(ISERR(SEARCH("*_Buggy",$A1481))), "Buggy", IF(NOT(ISERR(SEARCH("*_Fixed",$A1481))), "Fixed", IF(NOT(ISERR(SEARCH("*_Repaired",$A1481))), "Repaired", "")))</f>
        <v>Repaired</v>
      </c>
      <c r="R1481" s="13" t="s">
        <v>1668</v>
      </c>
      <c r="S1481" s="25">
        <v>2</v>
      </c>
      <c r="T1481" s="13">
        <v>7</v>
      </c>
      <c r="U1481" s="25">
        <v>0</v>
      </c>
      <c r="V1481" s="13">
        <v>7</v>
      </c>
      <c r="W1481" s="13" t="str">
        <f>MID(A1481, SEARCH("_", A1481) +1, SEARCH("_", A1481, SEARCH("_", A1481) +1) - SEARCH("_", A1481) -1)</f>
        <v>Lang-33</v>
      </c>
      <c r="Y1481" t="str">
        <f>IF(AND($S956=1,$S1481=1,$V956=1,$V1481=1), "YES", "NO")</f>
        <v>NO</v>
      </c>
      <c r="Z1481" t="str">
        <f>IF(AND($S956=1,$S1481=1,$V956&gt;1,$V1481&gt;1), "YES", "NO")</f>
        <v>NO</v>
      </c>
      <c r="AA1481" t="str">
        <f>IF(AND($S956&gt;1,$S1481&gt;1,$S956=$V956,$S1481=$V1481), "YES", "NO")</f>
        <v>NO</v>
      </c>
      <c r="AB1481" t="str">
        <f>IF(AND($S956&gt;1,$S1481&gt;1,$S956&lt;$V956,$S1481&lt;$V1481), "YES", "NO")</f>
        <v>NO</v>
      </c>
      <c r="AC1481" t="str">
        <f>IF(AND($V956&gt;10,$V1481&gt;10), "YES", "NO")</f>
        <v>NO</v>
      </c>
      <c r="AD1481"/>
    </row>
    <row r="1482" spans="1:30" ht="15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>LEFT($A1482,FIND("_",$A1482)-1)</f>
        <v>SimFix</v>
      </c>
      <c r="P1482" s="13" t="str">
        <f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>IF(NOT(ISERR(SEARCH("*_Buggy",$A1482))), "Buggy", IF(NOT(ISERR(SEARCH("*_Fixed",$A1482))), "Fixed", IF(NOT(ISERR(SEARCH("*_Repaired",$A1482))), "Repaired", "")))</f>
        <v>Repaired</v>
      </c>
      <c r="R1482" s="13" t="s">
        <v>1668</v>
      </c>
      <c r="S1482" s="25">
        <v>2</v>
      </c>
      <c r="T1482" s="13">
        <v>13</v>
      </c>
      <c r="U1482" s="25">
        <v>0</v>
      </c>
      <c r="V1482" s="13">
        <v>13</v>
      </c>
      <c r="W1482" s="13" t="str">
        <f>MID(A1482, SEARCH("_", A1482) +1, SEARCH("_", A1482, SEARCH("_", A1482) +1) - SEARCH("_", A1482) -1)</f>
        <v>Lang-39</v>
      </c>
      <c r="Y1482" t="str">
        <f>IF(AND($S957=1,$S1482=1,$V957=1,$V1482=1), "YES", "NO")</f>
        <v>NO</v>
      </c>
      <c r="Z1482" t="str">
        <f>IF(AND($S957=1,$S1482=1,$V957&gt;1,$V1482&gt;1), "YES", "NO")</f>
        <v>NO</v>
      </c>
      <c r="AA1482" t="str">
        <f>IF(AND($S957&gt;1,$S1482&gt;1,$S957=$V957,$S1482=$V1482), "YES", "NO")</f>
        <v>NO</v>
      </c>
      <c r="AB1482" t="str">
        <f>IF(AND($S957&gt;1,$S1482&gt;1,$S957&lt;$V957,$S1482&lt;$V1482), "YES", "NO")</f>
        <v>NO</v>
      </c>
      <c r="AC1482" t="str">
        <f>IF(AND($V957&gt;10,$V1482&gt;10), "YES", "NO")</f>
        <v>NO</v>
      </c>
      <c r="AD1482"/>
    </row>
    <row r="1483" spans="1:30" ht="15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>LEFT($A1483,FIND("_",$A1483)-1)</f>
        <v>SimFix</v>
      </c>
      <c r="P1483" s="13" t="str">
        <f>IF($O1483="ACS", "True Search", IF($O1483="Arja", "Evolutionary Search", IF($O1483="AVATAR", "True Pattern", IF($O1483="CapGen", "Search Like Pattern", IF($O1483="Cardumen", "True Semantic", IF($O1483="DynaMoth", "True Semantic", IF($O1483="FixMiner", "True Pattern", IF($O1483="GenProg-A", "Evolutionary Search", IF($O1483="Hercules", "Learning Pattern", IF($O1483="Jaid", "True Semantic",
IF($O1483="Kali-A", "True Search", IF($O1483="kPAR", "True Pattern", IF($O1483="Nopol", "True Semantic", IF($O1483="RSRepair-A", "Evolutionary Search", IF($O1483="SequenceR", "Deep Learning", IF($O1483="SimFix", "Search Like Pattern", IF($O1483="SketchFix", "True Pattern", IF($O1483="SOFix", "True Pattern", IF($O1483="ssFix", "Search Like Pattern", IF($O1483="TBar", "True Pattern", ""))))))))))))))))))))</f>
        <v>Search Like Pattern</v>
      </c>
      <c r="Q1483" s="13" t="str">
        <f>IF(NOT(ISERR(SEARCH("*_Buggy",$A1483))), "Buggy", IF(NOT(ISERR(SEARCH("*_Fixed",$A1483))), "Fixed", IF(NOT(ISERR(SEARCH("*_Repaired",$A1483))), "Repaired", "")))</f>
        <v>Repaired</v>
      </c>
      <c r="R1483" s="13" t="s">
        <v>1669</v>
      </c>
      <c r="S1483" s="25">
        <v>4</v>
      </c>
      <c r="T1483" s="13">
        <v>16</v>
      </c>
      <c r="U1483" s="25">
        <v>0</v>
      </c>
      <c r="V1483" s="13">
        <v>16</v>
      </c>
      <c r="W1483" s="13" t="str">
        <f>MID(A1483, SEARCH("_", A1483) +1, SEARCH("_", A1483, SEARCH("_", A1483) +1) - SEARCH("_", A1483) -1)</f>
        <v>Lang-41</v>
      </c>
      <c r="Y1483" t="str">
        <f>IF(AND($S958=1,$S1483=1,$V958=1,$V1483=1), "YES", "NO")</f>
        <v>NO</v>
      </c>
      <c r="Z1483" t="str">
        <f>IF(AND($S958=1,$S1483=1,$V958&gt;1,$V1483&gt;1), "YES", "NO")</f>
        <v>NO</v>
      </c>
      <c r="AA1483" t="str">
        <f>IF(AND($S958&gt;1,$S1483&gt;1,$S958=$V958,$S1483=$V1483), "YES", "NO")</f>
        <v>NO</v>
      </c>
      <c r="AB1483" t="str">
        <f>IF(AND($S958&gt;1,$S1483&gt;1,$S958&lt;$V958,$S1483&lt;$V1483), "YES", "NO")</f>
        <v>YES</v>
      </c>
      <c r="AC1483" t="str">
        <f>IF(AND($V958&gt;10,$V1483&gt;10), "YES", "NO")</f>
        <v>YES</v>
      </c>
      <c r="AD1483"/>
    </row>
    <row r="1484" spans="1:30" ht="15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>LEFT($A1484,FIND("_",$A1484)-1)</f>
        <v>SimFix</v>
      </c>
      <c r="P1484" s="13" t="str">
        <f>IF($O1484="ACS", "True Search", IF($O1484="Arja", "Evolutionary Search", IF($O1484="AVATAR", "True Pattern", IF($O1484="CapGen", "Search Like Pattern", IF($O1484="Cardumen", "True Semantic", IF($O1484="DynaMoth", "True Semantic", IF($O1484="FixMiner", "True Pattern", IF($O1484="GenProg-A", "Evolutionary Search", IF($O1484="Hercules", "Learning Pattern", IF($O1484="Jaid", "True Semantic",
IF($O1484="Kali-A", "True Search", IF($O1484="kPAR", "True Pattern", IF($O1484="Nopol", "True Semantic", IF($O1484="RSRepair-A", "Evolutionary Search", IF($O1484="SequenceR", "Deep Learning", IF($O1484="SimFix", "Search Like Pattern", IF($O1484="SketchFix", "True Pattern", IF($O1484="SOFix", "True Pattern", IF($O1484="ssFix", "Search Like Pattern", IF($O1484="TBar", "True Pattern", ""))))))))))))))))))))</f>
        <v>Search Like Pattern</v>
      </c>
      <c r="Q1484" s="13" t="str">
        <f>IF(NOT(ISERR(SEARCH("*_Buggy",$A1484))), "Buggy", IF(NOT(ISERR(SEARCH("*_Fixed",$A1484))), "Fixed", IF(NOT(ISERR(SEARCH("*_Repaired",$A1484))), "Repaired", "")))</f>
        <v>Repaired</v>
      </c>
      <c r="R1484" s="13" t="s">
        <v>1668</v>
      </c>
      <c r="S1484" s="25">
        <v>2</v>
      </c>
      <c r="T1484" s="13">
        <v>8</v>
      </c>
      <c r="U1484" s="25">
        <v>0</v>
      </c>
      <c r="V1484" s="13">
        <v>8</v>
      </c>
      <c r="W1484" s="13" t="str">
        <f>MID(A1484, SEARCH("_", A1484) +1, SEARCH("_", A1484, SEARCH("_", A1484) +1) - SEARCH("_", A1484) -1)</f>
        <v>Lang-43</v>
      </c>
      <c r="Y1484" t="str">
        <f>IF(AND($S959=1,$S1484=1,$V959=1,$V1484=1), "YES", "NO")</f>
        <v>NO</v>
      </c>
      <c r="Z1484" t="str">
        <f>IF(AND($S959=1,$S1484=1,$V959&gt;1,$V1484&gt;1), "YES", "NO")</f>
        <v>NO</v>
      </c>
      <c r="AA1484" t="str">
        <f>IF(AND($S959&gt;1,$S1484&gt;1,$S959=$V959,$S1484=$V1484), "YES", "NO")</f>
        <v>NO</v>
      </c>
      <c r="AB1484" t="str">
        <f>IF(AND($S959&gt;1,$S1484&gt;1,$S959&lt;$V959,$S1484&lt;$V1484), "YES", "NO")</f>
        <v>NO</v>
      </c>
      <c r="AC1484" t="str">
        <f>IF(AND($V959&gt;10,$V1484&gt;10), "YES", "NO")</f>
        <v>NO</v>
      </c>
      <c r="AD1484"/>
    </row>
    <row r="1485" spans="1:30" ht="15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>LEFT($A1485,FIND("_",$A1485)-1)</f>
        <v>SimFix</v>
      </c>
      <c r="P1485" s="13" t="str">
        <f>IF($O1485="ACS", "True Search", IF($O1485="Arja", "Evolutionary Search", IF($O1485="AVATAR", "True Pattern", IF($O1485="CapGen", "Search Like Pattern", IF($O1485="Cardumen", "True Semantic", IF($O1485="DynaMoth", "True Semantic", IF($O1485="FixMiner", "True Pattern", IF($O1485="GenProg-A", "Evolutionary Search", IF($O1485="Hercules", "Learning Pattern", IF($O1485="Jaid", "True Semantic",
IF($O1485="Kali-A", "True Search", IF($O1485="kPAR", "True Pattern", IF($O1485="Nopol", "True Semantic", IF($O1485="RSRepair-A", "Evolutionary Search", IF($O1485="SequenceR", "Deep Learning", IF($O1485="SimFix", "Search Like Pattern", IF($O1485="SketchFix", "True Pattern", IF($O1485="SOFix", "True Pattern", IF($O1485="ssFix", "Search Like Pattern", IF($O1485="TBar", "True Pattern", ""))))))))))))))))))))</f>
        <v>Search Like Pattern</v>
      </c>
      <c r="Q1485" s="13" t="str">
        <f>IF(NOT(ISERR(SEARCH("*_Buggy",$A1485))), "Buggy", IF(NOT(ISERR(SEARCH("*_Fixed",$A1485))), "Fixed", IF(NOT(ISERR(SEARCH("*_Repaired",$A1485))), "Repaired", "")))</f>
        <v>Repaired</v>
      </c>
      <c r="R1485" s="13" t="s">
        <v>1669</v>
      </c>
      <c r="S1485" s="25">
        <v>2</v>
      </c>
      <c r="T1485" s="13">
        <v>9</v>
      </c>
      <c r="U1485" s="25">
        <v>0</v>
      </c>
      <c r="V1485" s="13">
        <v>9</v>
      </c>
      <c r="W1485" s="13" t="str">
        <f>MID(A1485, SEARCH("_", A1485) +1, SEARCH("_", A1485, SEARCH("_", A1485) +1) - SEARCH("_", A1485) -1)</f>
        <v>Lang-45</v>
      </c>
      <c r="Y1485" t="str">
        <f>IF(AND($S960=1,$S1485=1,$V960=1,$V1485=1), "YES", "NO")</f>
        <v>NO</v>
      </c>
      <c r="Z1485" t="str">
        <f>IF(AND($S960=1,$S1485=1,$V960&gt;1,$V1485&gt;1), "YES", "NO")</f>
        <v>NO</v>
      </c>
      <c r="AA1485" t="str">
        <f>IF(AND($S960&gt;1,$S1485&gt;1,$S960=$V960,$S1485=$V1485), "YES", "NO")</f>
        <v>NO</v>
      </c>
      <c r="AB1485" t="str">
        <f>IF(AND($S960&gt;1,$S1485&gt;1,$S960&lt;$V960,$S1485&lt;$V1485), "YES", "NO")</f>
        <v>NO</v>
      </c>
      <c r="AC1485" t="str">
        <f>IF(AND($V960&gt;10,$V1485&gt;10), "YES", "NO")</f>
        <v>NO</v>
      </c>
      <c r="AD1485"/>
    </row>
    <row r="1486" spans="1:30" ht="15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>LEFT($A1486,FIND("_",$A1486)-1)</f>
        <v>SimFix</v>
      </c>
      <c r="P1486" s="13" t="str">
        <f>IF($O1486="ACS", "True Search", IF($O1486="Arja", "Evolutionary Search", IF($O1486="AVATAR", "True Pattern", IF($O1486="CapGen", "Search Like Pattern", IF($O1486="Cardumen", "True Semantic", IF($O1486="DynaMoth", "True Semantic", IF($O1486="FixMiner", "True Pattern", IF($O1486="GenProg-A", "Evolutionary Search", IF($O1486="Hercules", "Learning Pattern", IF($O1486="Jaid", "True Semantic",
IF($O1486="Kali-A", "True Search", IF($O1486="kPAR", "True Pattern", IF($O1486="Nopol", "True Semantic", IF($O1486="RSRepair-A", "Evolutionary Search", IF($O1486="SequenceR", "Deep Learning", IF($O1486="SimFix", "Search Like Pattern", IF($O1486="SketchFix", "True Pattern", IF($O1486="SOFix", "True Pattern", IF($O1486="ssFix", "Search Like Pattern", IF($O1486="TBar", "True Pattern", ""))))))))))))))))))))</f>
        <v>Search Like Pattern</v>
      </c>
      <c r="Q1486" s="13" t="str">
        <f>IF(NOT(ISERR(SEARCH("*_Buggy",$A1486))), "Buggy", IF(NOT(ISERR(SEARCH("*_Fixed",$A1486))), "Fixed", IF(NOT(ISERR(SEARCH("*_Repaired",$A1486))), "Repaired", "")))</f>
        <v>Repaired</v>
      </c>
      <c r="R1486" s="13" t="s">
        <v>1669</v>
      </c>
      <c r="S1486" s="25">
        <v>4</v>
      </c>
      <c r="T1486" s="13">
        <v>20</v>
      </c>
      <c r="U1486" s="25">
        <v>0</v>
      </c>
      <c r="V1486" s="13">
        <v>20</v>
      </c>
      <c r="W1486" s="13" t="str">
        <f>MID(A1486, SEARCH("_", A1486) +1, SEARCH("_", A1486, SEARCH("_", A1486) +1) - SEARCH("_", A1486) -1)</f>
        <v>Lang-50</v>
      </c>
      <c r="Y1486" t="str">
        <f>IF(AND($S961=1,$S1486=1,$V961=1,$V1486=1), "YES", "NO")</f>
        <v>NO</v>
      </c>
      <c r="Z1486" t="str">
        <f>IF(AND($S961=1,$S1486=1,$V961&gt;1,$V1486&gt;1), "YES", "NO")</f>
        <v>NO</v>
      </c>
      <c r="AA1486" t="str">
        <f>IF(AND($S961&gt;1,$S1486&gt;1,$S961=$V961,$S1486=$V1486), "YES", "NO")</f>
        <v>NO</v>
      </c>
      <c r="AB1486" t="str">
        <f>IF(AND($S961&gt;1,$S1486&gt;1,$S961&lt;$V961,$S1486&lt;$V1486), "YES", "NO")</f>
        <v>YES</v>
      </c>
      <c r="AC1486" t="str">
        <f>IF(AND($V961&gt;10,$V1486&gt;10), "YES", "NO")</f>
        <v>YES</v>
      </c>
      <c r="AD1486"/>
    </row>
    <row r="1487" spans="1:30" ht="15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>LEFT($A1487,FIND("_",$A1487)-1)</f>
        <v>SimFix</v>
      </c>
      <c r="P1487" s="13" t="str">
        <f>IF($O1487="ACS", "True Search", IF($O1487="Arja", "Evolutionary Search", IF($O1487="AVATAR", "True Pattern", IF($O1487="CapGen", "Search Like Pattern", IF($O1487="Cardumen", "True Semantic", IF($O1487="DynaMoth", "True Semantic", IF($O1487="FixMiner", "True Pattern", IF($O1487="GenProg-A", "Evolutionary Search", IF($O1487="Hercules", "Learning Pattern", IF($O1487="Jaid", "True Semantic",
IF($O1487="Kali-A", "True Search", IF($O1487="kPAR", "True Pattern", IF($O1487="Nopol", "True Semantic", IF($O1487="RSRepair-A", "Evolutionary Search", IF($O1487="SequenceR", "Deep Learning", IF($O1487="SimFix", "Search Like Pattern", IF($O1487="SketchFix", "True Pattern", IF($O1487="SOFix", "True Pattern", IF($O1487="ssFix", "Search Like Pattern", IF($O1487="TBar", "True Pattern", ""))))))))))))))))))))</f>
        <v>Search Like Pattern</v>
      </c>
      <c r="Q1487" s="13" t="str">
        <f>IF(NOT(ISERR(SEARCH("*_Buggy",$A1487))), "Buggy", IF(NOT(ISERR(SEARCH("*_Fixed",$A1487))), "Fixed", IF(NOT(ISERR(SEARCH("*_Repaired",$A1487))), "Repaired", "")))</f>
        <v>Repaired</v>
      </c>
      <c r="R1487" s="13" t="s">
        <v>1668</v>
      </c>
      <c r="S1487" s="25">
        <v>2</v>
      </c>
      <c r="T1487" s="13">
        <v>12</v>
      </c>
      <c r="U1487" s="25">
        <v>0</v>
      </c>
      <c r="V1487" s="13">
        <v>12</v>
      </c>
      <c r="W1487" s="13" t="str">
        <f>MID(A1487, SEARCH("_", A1487) +1, SEARCH("_", A1487, SEARCH("_", A1487) +1) - SEARCH("_", A1487) -1)</f>
        <v>Lang-58</v>
      </c>
      <c r="Y1487" t="str">
        <f>IF(AND($S962=1,$S1487=1,$V962=1,$V1487=1), "YES", "NO")</f>
        <v>NO</v>
      </c>
      <c r="Z1487" t="str">
        <f>IF(AND($S962=1,$S1487=1,$V962&gt;1,$V1487&gt;1), "YES", "NO")</f>
        <v>NO</v>
      </c>
      <c r="AA1487" t="str">
        <f>IF(AND($S962&gt;1,$S1487&gt;1,$S962=$V962,$S1487=$V1487), "YES", "NO")</f>
        <v>NO</v>
      </c>
      <c r="AB1487" t="str">
        <f>IF(AND($S962&gt;1,$S1487&gt;1,$S962&lt;$V962,$S1487&lt;$V1487), "YES", "NO")</f>
        <v>NO</v>
      </c>
      <c r="AC1487" t="str">
        <f>IF(AND($V962&gt;10,$V1487&gt;10), "YES", "NO")</f>
        <v>NO</v>
      </c>
      <c r="AD1487"/>
    </row>
    <row r="1488" spans="1:30" ht="15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>LEFT($A1488,FIND("_",$A1488)-1)</f>
        <v>SimFix</v>
      </c>
      <c r="P1488" s="13" t="str">
        <f>IF($O1488="ACS", "True Search", IF($O1488="Arja", "Evolutionary Search", IF($O1488="AVATAR", "True Pattern", IF($O1488="CapGen", "Search Like Pattern", IF($O1488="Cardumen", "True Semantic", IF($O1488="DynaMoth", "True Semantic", IF($O1488="FixMiner", "True Pattern", IF($O1488="GenProg-A", "Evolutionary Search", IF($O1488="Hercules", "Learning Pattern", IF($O1488="Jaid", "True Semantic",
IF($O1488="Kali-A", "True Search", IF($O1488="kPAR", "True Pattern", IF($O1488="Nopol", "True Semantic", IF($O1488="RSRepair-A", "Evolutionary Search", IF($O1488="SequenceR", "Deep Learning", IF($O1488="SimFix", "Search Like Pattern", IF($O1488="SketchFix", "True Pattern", IF($O1488="SOFix", "True Pattern", IF($O1488="ssFix", "Search Like Pattern", IF($O1488="TBar", "True Pattern", ""))))))))))))))))))))</f>
        <v>Search Like Pattern</v>
      </c>
      <c r="Q1488" s="13" t="str">
        <f>IF(NOT(ISERR(SEARCH("*_Buggy",$A1488))), "Buggy", IF(NOT(ISERR(SEARCH("*_Fixed",$A1488))), "Fixed", IF(NOT(ISERR(SEARCH("*_Repaired",$A1488))), "Repaired", "")))</f>
        <v>Repaired</v>
      </c>
      <c r="R1488" s="13" t="s">
        <v>1668</v>
      </c>
      <c r="S1488" s="25">
        <v>4</v>
      </c>
      <c r="T1488" s="13">
        <v>18</v>
      </c>
      <c r="U1488" s="25">
        <v>0</v>
      </c>
      <c r="V1488" s="13">
        <v>18</v>
      </c>
      <c r="W1488" s="13" t="str">
        <f>MID(A1488, SEARCH("_", A1488) +1, SEARCH("_", A1488, SEARCH("_", A1488) +1) - SEARCH("_", A1488) -1)</f>
        <v>Lang-60</v>
      </c>
      <c r="Y1488" t="str">
        <f>IF(AND($S963=1,$S1488=1,$V963=1,$V1488=1), "YES", "NO")</f>
        <v>NO</v>
      </c>
      <c r="Z1488" t="str">
        <f>IF(AND($S963=1,$S1488=1,$V963&gt;1,$V1488&gt;1), "YES", "NO")</f>
        <v>NO</v>
      </c>
      <c r="AA1488" t="str">
        <f>IF(AND($S963&gt;1,$S1488&gt;1,$S963=$V963,$S1488=$V1488), "YES", "NO")</f>
        <v>NO</v>
      </c>
      <c r="AB1488" t="str">
        <f>IF(AND($S963&gt;1,$S1488&gt;1,$S963&lt;$V963,$S1488&lt;$V1488), "YES", "NO")</f>
        <v>NO</v>
      </c>
      <c r="AC1488" t="str">
        <f>IF(AND($V963&gt;10,$V1488&gt;10), "YES", "NO")</f>
        <v>NO</v>
      </c>
      <c r="AD1488"/>
    </row>
    <row r="1489" spans="1:30" ht="15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>LEFT($A1489,FIND("_",$A1489)-1)</f>
        <v>SimFix</v>
      </c>
      <c r="P1489" s="13" t="str">
        <f>IF($O1489="ACS", "True Search", IF($O1489="Arja", "Evolutionary Search", IF($O1489="AVATAR", "True Pattern", IF($O1489="CapGen", "Search Like Pattern", IF($O1489="Cardumen", "True Semantic", IF($O1489="DynaMoth", "True Semantic", IF($O1489="FixMiner", "True Pattern", IF($O1489="GenProg-A", "Evolutionary Search", IF($O1489="Hercules", "Learning Pattern", IF($O1489="Jaid", "True Semantic",
IF($O1489="Kali-A", "True Search", IF($O1489="kPAR", "True Pattern", IF($O1489="Nopol", "True Semantic", IF($O1489="RSRepair-A", "Evolutionary Search", IF($O1489="SequenceR", "Deep Learning", IF($O1489="SimFix", "Search Like Pattern", IF($O1489="SketchFix", "True Pattern", IF($O1489="SOFix", "True Pattern", IF($O1489="ssFix", "Search Like Pattern", IF($O1489="TBar", "True Pattern", ""))))))))))))))))))))</f>
        <v>Search Like Pattern</v>
      </c>
      <c r="Q1489" s="13" t="str">
        <f>IF(NOT(ISERR(SEARCH("*_Buggy",$A1489))), "Buggy", IF(NOT(ISERR(SEARCH("*_Fixed",$A1489))), "Fixed", IF(NOT(ISERR(SEARCH("*_Repaired",$A1489))), "Repaired", "")))</f>
        <v>Repaired</v>
      </c>
      <c r="R1489" s="13" t="s">
        <v>1669</v>
      </c>
      <c r="S1489" s="25">
        <v>2</v>
      </c>
      <c r="T1489" s="13">
        <v>12</v>
      </c>
      <c r="U1489" s="25">
        <v>0</v>
      </c>
      <c r="V1489" s="13">
        <v>12</v>
      </c>
      <c r="W1489" s="13" t="str">
        <f>MID(A1489, SEARCH("_", A1489) +1, SEARCH("_", A1489, SEARCH("_", A1489) +1) - SEARCH("_", A1489) -1)</f>
        <v>Lang-61</v>
      </c>
      <c r="Y1489" t="str">
        <f>IF(AND($S964=1,$S1489=1,$V964=1,$V1489=1), "YES", "NO")</f>
        <v>NO</v>
      </c>
      <c r="Z1489" t="str">
        <f>IF(AND($S964=1,$S1489=1,$V964&gt;1,$V1489&gt;1), "YES", "NO")</f>
        <v>NO</v>
      </c>
      <c r="AA1489" t="str">
        <f>IF(AND($S964&gt;1,$S1489&gt;1,$S964=$V964,$S1489=$V1489), "YES", "NO")</f>
        <v>NO</v>
      </c>
      <c r="AB1489" t="str">
        <f>IF(AND($S964&gt;1,$S1489&gt;1,$S964&lt;$V964,$S1489&lt;$V1489), "YES", "NO")</f>
        <v>NO</v>
      </c>
      <c r="AC1489" t="str">
        <f>IF(AND($V964&gt;10,$V1489&gt;10), "YES", "NO")</f>
        <v>NO</v>
      </c>
      <c r="AD1489"/>
    </row>
    <row r="1490" spans="1:30" ht="15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>LEFT($A1490,FIND("_",$A1490)-1)</f>
        <v>SimFix</v>
      </c>
      <c r="P1490" s="13" t="str">
        <f>IF($O1490="ACS", "True Search", IF($O1490="Arja", "Evolutionary Search", IF($O1490="AVATAR", "True Pattern", IF($O1490="CapGen", "Search Like Pattern", IF($O1490="Cardumen", "True Semantic", IF($O1490="DynaMoth", "True Semantic", IF($O1490="FixMiner", "True Pattern", IF($O1490="GenProg-A", "Evolutionary Search", IF($O1490="Hercules", "Learning Pattern", IF($O1490="Jaid", "True Semantic",
IF($O1490="Kali-A", "True Search", IF($O1490="kPAR", "True Pattern", IF($O1490="Nopol", "True Semantic", IF($O1490="RSRepair-A", "Evolutionary Search", IF($O1490="SequenceR", "Deep Learning", IF($O1490="SimFix", "Search Like Pattern", IF($O1490="SketchFix", "True Pattern", IF($O1490="SOFix", "True Pattern", IF($O1490="ssFix", "Search Like Pattern", IF($O1490="TBar", "True Pattern", ""))))))))))))))))))))</f>
        <v>Search Like Pattern</v>
      </c>
      <c r="Q1490" s="13" t="str">
        <f>IF(NOT(ISERR(SEARCH("*_Buggy",$A1490))), "Buggy", IF(NOT(ISERR(SEARCH("*_Fixed",$A1490))), "Fixed", IF(NOT(ISERR(SEARCH("*_Repaired",$A1490))), "Repaired", "")))</f>
        <v>Repaired</v>
      </c>
      <c r="R1490" s="13" t="s">
        <v>1669</v>
      </c>
      <c r="S1490" s="25">
        <v>2</v>
      </c>
      <c r="T1490" s="13">
        <v>11</v>
      </c>
      <c r="U1490" s="25">
        <v>0</v>
      </c>
      <c r="V1490" s="13">
        <v>11</v>
      </c>
      <c r="W1490" s="13" t="str">
        <f>MID(A1490, SEARCH("_", A1490) +1, SEARCH("_", A1490, SEARCH("_", A1490) +1) - SEARCH("_", A1490) -1)</f>
        <v>Lang-63</v>
      </c>
      <c r="Y1490" t="str">
        <f>IF(AND($S965=1,$S1490=1,$V965=1,$V1490=1), "YES", "NO")</f>
        <v>NO</v>
      </c>
      <c r="Z1490" t="str">
        <f>IF(AND($S965=1,$S1490=1,$V965&gt;1,$V1490&gt;1), "YES", "NO")</f>
        <v>NO</v>
      </c>
      <c r="AA1490" t="str">
        <f>IF(AND($S965&gt;1,$S1490&gt;1,$S965=$V965,$S1490=$V1490), "YES", "NO")</f>
        <v>NO</v>
      </c>
      <c r="AB1490" t="str">
        <f>IF(AND($S965&gt;1,$S1490&gt;1,$S965&lt;$V965,$S1490&lt;$V1490), "YES", "NO")</f>
        <v>YES</v>
      </c>
      <c r="AC1490" t="str">
        <f>IF(AND($V965&gt;10,$V1490&gt;10), "YES", "NO")</f>
        <v>YES</v>
      </c>
      <c r="AD1490"/>
    </row>
    <row r="1491" spans="1:30" ht="15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>LEFT($A1491,FIND("_",$A1491)-1)</f>
        <v>SimFix</v>
      </c>
      <c r="P1491" s="13" t="str">
        <f>IF($O1491="ACS", "True Search", IF($O1491="Arja", "Evolutionary Search", IF($O1491="AVATAR", "True Pattern", IF($O1491="CapGen", "Search Like Pattern", IF($O1491="Cardumen", "True Semantic", IF($O1491="DynaMoth", "True Semantic", IF($O1491="FixMiner", "True Pattern", IF($O1491="GenProg-A", "Evolutionary Search", IF($O1491="Hercules", "Learning Pattern", IF($O1491="Jaid", "True Semantic",
IF($O1491="Kali-A", "True Search", IF($O1491="kPAR", "True Pattern", IF($O1491="Nopol", "True Semantic", IF($O1491="RSRepair-A", "Evolutionary Search", IF($O1491="SequenceR", "Deep Learning", IF($O1491="SimFix", "Search Like Pattern", IF($O1491="SketchFix", "True Pattern", IF($O1491="SOFix", "True Pattern", IF($O1491="ssFix", "Search Like Pattern", IF($O1491="TBar", "True Pattern", ""))))))))))))))))))))</f>
        <v>Search Like Pattern</v>
      </c>
      <c r="Q1491" s="13" t="str">
        <f>IF(NOT(ISERR(SEARCH("*_Buggy",$A1491))), "Buggy", IF(NOT(ISERR(SEARCH("*_Fixed",$A1491))), "Fixed", IF(NOT(ISERR(SEARCH("*_Repaired",$A1491))), "Repaired", "")))</f>
        <v>Repaired</v>
      </c>
      <c r="R1491" s="13" t="s">
        <v>1668</v>
      </c>
      <c r="S1491" s="25">
        <v>2</v>
      </c>
      <c r="T1491" s="13">
        <v>7</v>
      </c>
      <c r="U1491" s="25">
        <v>0</v>
      </c>
      <c r="V1491" s="13">
        <v>7</v>
      </c>
      <c r="W1491" s="13" t="str">
        <f>MID(A1491, SEARCH("_", A1491) +1, SEARCH("_", A1491, SEARCH("_", A1491) +1) - SEARCH("_", A1491) -1)</f>
        <v>Math-33</v>
      </c>
      <c r="Y1491" t="str">
        <f>IF(AND($S966=1,$S1491=1,$V966=1,$V1491=1), "YES", "NO")</f>
        <v>NO</v>
      </c>
      <c r="Z1491" t="str">
        <f>IF(AND($S966=1,$S1491=1,$V966&gt;1,$V1491&gt;1), "YES", "NO")</f>
        <v>NO</v>
      </c>
      <c r="AA1491" t="str">
        <f>IF(AND($S966&gt;1,$S1491&gt;1,$S966=$V966,$S1491=$V1491), "YES", "NO")</f>
        <v>NO</v>
      </c>
      <c r="AB1491" t="str">
        <f>IF(AND($S966&gt;1,$S1491&gt;1,$S966&lt;$V966,$S1491&lt;$V1491), "YES", "NO")</f>
        <v>NO</v>
      </c>
      <c r="AC1491" t="str">
        <f>IF(AND($V966&gt;10,$V1491&gt;10), "YES", "NO")</f>
        <v>NO</v>
      </c>
      <c r="AD1491"/>
    </row>
    <row r="1492" spans="1:30" ht="15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>LEFT($A1492,FIND("_",$A1492)-1)</f>
        <v>SimFix</v>
      </c>
      <c r="P1492" s="13" t="str">
        <f>IF($O1492="ACS", "True Search", IF($O1492="Arja", "Evolutionary Search", IF($O1492="AVATAR", "True Pattern", IF($O1492="CapGen", "Search Like Pattern", IF($O1492="Cardumen", "True Semantic", IF($O1492="DynaMoth", "True Semantic", IF($O1492="FixMiner", "True Pattern", IF($O1492="GenProg-A", "Evolutionary Search", IF($O1492="Hercules", "Learning Pattern", IF($O1492="Jaid", "True Semantic",
IF($O1492="Kali-A", "True Search", IF($O1492="kPAR", "True Pattern", IF($O1492="Nopol", "True Semantic", IF($O1492="RSRepair-A", "Evolutionary Search", IF($O1492="SequenceR", "Deep Learning", IF($O1492="SimFix", "Search Like Pattern", IF($O1492="SketchFix", "True Pattern", IF($O1492="SOFix", "True Pattern", IF($O1492="ssFix", "Search Like Pattern", IF($O1492="TBar", "True Pattern", ""))))))))))))))))))))</f>
        <v>Search Like Pattern</v>
      </c>
      <c r="Q1492" s="13" t="str">
        <f>IF(NOT(ISERR(SEARCH("*_Buggy",$A1492))), "Buggy", IF(NOT(ISERR(SEARCH("*_Fixed",$A1492))), "Fixed", IF(NOT(ISERR(SEARCH("*_Repaired",$A1492))), "Repaired", "")))</f>
        <v>Repaired</v>
      </c>
      <c r="R1492" s="13" t="s">
        <v>1668</v>
      </c>
      <c r="S1492" s="25">
        <v>4</v>
      </c>
      <c r="T1492" s="13">
        <v>18</v>
      </c>
      <c r="U1492" s="25">
        <v>0</v>
      </c>
      <c r="V1492" s="13">
        <v>18</v>
      </c>
      <c r="W1492" s="13" t="str">
        <f>MID(A1492, SEARCH("_", A1492) +1, SEARCH("_", A1492, SEARCH("_", A1492) +1) - SEARCH("_", A1492) -1)</f>
        <v>Math-35</v>
      </c>
      <c r="Y1492" t="str">
        <f>IF(AND($S967=1,$S1492=1,$V967=1,$V1492=1), "YES", "NO")</f>
        <v>NO</v>
      </c>
      <c r="Z1492" t="str">
        <f>IF(AND($S967=1,$S1492=1,$V967&gt;1,$V1492&gt;1), "YES", "NO")</f>
        <v>NO</v>
      </c>
      <c r="AA1492" t="str">
        <f>IF(AND($S967&gt;1,$S1492&gt;1,$S967=$V967,$S1492=$V1492), "YES", "NO")</f>
        <v>NO</v>
      </c>
      <c r="AB1492" t="str">
        <f>IF(AND($S967&gt;1,$S1492&gt;1,$S967&lt;$V967,$S1492&lt;$V1492), "YES", "NO")</f>
        <v>NO</v>
      </c>
      <c r="AC1492" t="str">
        <f>IF(AND($V967&gt;10,$V1492&gt;10), "YES", "NO")</f>
        <v>NO</v>
      </c>
      <c r="AD1492"/>
    </row>
    <row r="1493" spans="1:30" ht="15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>LEFT($A1493,FIND("_",$A1493)-1)</f>
        <v>SimFix</v>
      </c>
      <c r="P1493" s="13" t="str">
        <f>IF($O1493="ACS", "True Search", IF($O1493="Arja", "Evolutionary Search", IF($O1493="AVATAR", "True Pattern", IF($O1493="CapGen", "Search Like Pattern", IF($O1493="Cardumen", "True Semantic", IF($O1493="DynaMoth", "True Semantic", IF($O1493="FixMiner", "True Pattern", IF($O1493="GenProg-A", "Evolutionary Search", IF($O1493="Hercules", "Learning Pattern", IF($O1493="Jaid", "True Semantic",
IF($O1493="Kali-A", "True Search", IF($O1493="kPAR", "True Pattern", IF($O1493="Nopol", "True Semantic", IF($O1493="RSRepair-A", "Evolutionary Search", IF($O1493="SequenceR", "Deep Learning", IF($O1493="SimFix", "Search Like Pattern", IF($O1493="SketchFix", "True Pattern", IF($O1493="SOFix", "True Pattern", IF($O1493="ssFix", "Search Like Pattern", IF($O1493="TBar", "True Pattern", ""))))))))))))))))))))</f>
        <v>Search Like Pattern</v>
      </c>
      <c r="Q1493" s="13" t="str">
        <f>IF(NOT(ISERR(SEARCH("*_Buggy",$A1493))), "Buggy", IF(NOT(ISERR(SEARCH("*_Fixed",$A1493))), "Fixed", IF(NOT(ISERR(SEARCH("*_Repaired",$A1493))), "Repaired", "")))</f>
        <v>Repaired</v>
      </c>
      <c r="R1493" s="13" t="s">
        <v>1668</v>
      </c>
      <c r="S1493" s="25">
        <v>2</v>
      </c>
      <c r="T1493" s="13">
        <v>7</v>
      </c>
      <c r="U1493" s="25">
        <v>0</v>
      </c>
      <c r="V1493" s="13">
        <v>7</v>
      </c>
      <c r="W1493" s="13" t="str">
        <f>MID(A1493, SEARCH("_", A1493) +1, SEARCH("_", A1493, SEARCH("_", A1493) +1) - SEARCH("_", A1493) -1)</f>
        <v>Math-41</v>
      </c>
      <c r="Y1493" t="str">
        <f>IF(AND($S968=1,$S1493=1,$V968=1,$V1493=1), "YES", "NO")</f>
        <v>NO</v>
      </c>
      <c r="Z1493" t="str">
        <f>IF(AND($S968=1,$S1493=1,$V968&gt;1,$V1493&gt;1), "YES", "NO")</f>
        <v>NO</v>
      </c>
      <c r="AA1493" t="str">
        <f>IF(AND($S968&gt;1,$S1493&gt;1,$S968=$V968,$S1493=$V1493), "YES", "NO")</f>
        <v>NO</v>
      </c>
      <c r="AB1493" t="str">
        <f>IF(AND($S968&gt;1,$S1493&gt;1,$S968&lt;$V968,$S1493&lt;$V1493), "YES", "NO")</f>
        <v>NO</v>
      </c>
      <c r="AC1493" t="str">
        <f>IF(AND($V968&gt;10,$V1493&gt;10), "YES", "NO")</f>
        <v>NO</v>
      </c>
      <c r="AD1493"/>
    </row>
    <row r="1494" spans="1:30" ht="15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>LEFT($A1494,FIND("_",$A1494)-1)</f>
        <v>SimFix</v>
      </c>
      <c r="P1494" s="13" t="str">
        <f>IF($O1494="ACS", "True Search", IF($O1494="Arja", "Evolutionary Search", IF($O1494="AVATAR", "True Pattern", IF($O1494="CapGen", "Search Like Pattern", IF($O1494="Cardumen", "True Semantic", IF($O1494="DynaMoth", "True Semantic", IF($O1494="FixMiner", "True Pattern", IF($O1494="GenProg-A", "Evolutionary Search", IF($O1494="Hercules", "Learning Pattern", IF($O1494="Jaid", "True Semantic",
IF($O1494="Kali-A", "True Search", IF($O1494="kPAR", "True Pattern", IF($O1494="Nopol", "True Semantic", IF($O1494="RSRepair-A", "Evolutionary Search", IF($O1494="SequenceR", "Deep Learning", IF($O1494="SimFix", "Search Like Pattern", IF($O1494="SketchFix", "True Pattern", IF($O1494="SOFix", "True Pattern", IF($O1494="ssFix", "Search Like Pattern", IF($O1494="TBar", "True Pattern", ""))))))))))))))))))))</f>
        <v>Search Like Pattern</v>
      </c>
      <c r="Q1494" s="13" t="str">
        <f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14</v>
      </c>
      <c r="U1494" s="25">
        <v>0</v>
      </c>
      <c r="V1494" s="13">
        <v>14</v>
      </c>
      <c r="W1494" s="13" t="str">
        <f>MID(A1494, SEARCH("_", A1494) +1, SEARCH("_", A1494, SEARCH("_", A1494) +1) - SEARCH("_", A1494) -1)</f>
        <v>Math-43</v>
      </c>
      <c r="Y1494" t="str">
        <f>IF(AND($S969=1,$S1494=1,$V969=1,$V1494=1), "YES", "NO")</f>
        <v>NO</v>
      </c>
      <c r="Z1494" t="str">
        <f>IF(AND($S969=1,$S1494=1,$V969&gt;1,$V1494&gt;1), "YES", "NO")</f>
        <v>NO</v>
      </c>
      <c r="AA1494" t="str">
        <f>IF(AND($S969&gt;1,$S1494&gt;1,$S969=$V969,$S1494=$V1494), "YES", "NO")</f>
        <v>NO</v>
      </c>
      <c r="AB1494" t="str">
        <f>IF(AND($S969&gt;1,$S1494&gt;1,$S969&lt;$V969,$S1494&lt;$V1494), "YES", "NO")</f>
        <v>NO</v>
      </c>
      <c r="AC1494" t="str">
        <f>IF(AND($V969&gt;10,$V1494&gt;10), "YES", "NO")</f>
        <v>NO</v>
      </c>
      <c r="AD1494"/>
    </row>
    <row r="1495" spans="1:30" ht="15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>LEFT($A1495,FIND("_",$A1495)-1)</f>
        <v>SimFix</v>
      </c>
      <c r="P1495" s="13" t="str">
        <f>IF($O1495="ACS", "True Search", IF($O1495="Arja", "Evolutionary Search", IF($O1495="AVATAR", "True Pattern", IF($O1495="CapGen", "Search Like Pattern", IF($O1495="Cardumen", "True Semantic", IF($O1495="DynaMoth", "True Semantic", IF($O1495="FixMiner", "True Pattern", IF($O1495="GenProg-A", "Evolutionary Search", IF($O1495="Hercules", "Learning Pattern", IF($O1495="Jaid", "True Semantic",
IF($O1495="Kali-A", "True Search", IF($O1495="kPAR", "True Pattern", IF($O1495="Nopol", "True Semantic", IF($O1495="RSRepair-A", "Evolutionary Search", IF($O1495="SequenceR", "Deep Learning", IF($O1495="SimFix", "Search Like Pattern", IF($O1495="SketchFix", "True Pattern", IF($O1495="SOFix", "True Pattern", IF($O1495="ssFix", "Search Like Pattern", IF($O1495="TBar", "True Pattern", ""))))))))))))))))))))</f>
        <v>Search Like Pattern</v>
      </c>
      <c r="Q1495" s="13" t="str">
        <f>IF(NOT(ISERR(SEARCH("*_Buggy",$A1495))), "Buggy", IF(NOT(ISERR(SEARCH("*_Fixed",$A1495))), "Fixed", IF(NOT(ISERR(SEARCH("*_Repaired",$A1495))), "Repaired", "")))</f>
        <v>Repaired</v>
      </c>
      <c r="R1495" s="13" t="s">
        <v>1668</v>
      </c>
      <c r="S1495" s="25">
        <v>2</v>
      </c>
      <c r="T1495" s="13">
        <v>7</v>
      </c>
      <c r="U1495" s="25">
        <v>0</v>
      </c>
      <c r="V1495" s="13">
        <v>7</v>
      </c>
      <c r="W1495" s="13" t="str">
        <f>MID(A1495, SEARCH("_", A1495) +1, SEARCH("_", A1495, SEARCH("_", A1495) +1) - SEARCH("_", A1495) -1)</f>
        <v>Math-5</v>
      </c>
      <c r="Y1495" t="str">
        <f>IF(AND($S970=1,$S1495=1,$V970=1,$V1495=1), "YES", "NO")</f>
        <v>NO</v>
      </c>
      <c r="Z1495" t="str">
        <f>IF(AND($S970=1,$S1495=1,$V970&gt;1,$V1495&gt;1), "YES", "NO")</f>
        <v>NO</v>
      </c>
      <c r="AA1495" t="str">
        <f>IF(AND($S970&gt;1,$S1495&gt;1,$S970=$V970,$S1495=$V1495), "YES", "NO")</f>
        <v>NO</v>
      </c>
      <c r="AB1495" t="str">
        <f>IF(AND($S970&gt;1,$S1495&gt;1,$S970&lt;$V970,$S1495&lt;$V1495), "YES", "NO")</f>
        <v>NO</v>
      </c>
      <c r="AC1495" t="str">
        <f>IF(AND($V970&gt;10,$V1495&gt;10), "YES", "NO")</f>
        <v>NO</v>
      </c>
      <c r="AD1495"/>
    </row>
    <row r="1496" spans="1:30" ht="15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>LEFT($A1496,FIND("_",$A1496)-1)</f>
        <v>SimFix</v>
      </c>
      <c r="P1496" s="13" t="str">
        <f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>IF(NOT(ISERR(SEARCH("*_Buggy",$A1496))), "Buggy", IF(NOT(ISERR(SEARCH("*_Fixed",$A1496))), "Fixed", IF(NOT(ISERR(SEARCH("*_Repaired",$A1496))), "Repaired", "")))</f>
        <v>Repaired</v>
      </c>
      <c r="R1496" s="13" t="s">
        <v>1669</v>
      </c>
      <c r="S1496" s="25">
        <v>2</v>
      </c>
      <c r="T1496" s="13">
        <v>8</v>
      </c>
      <c r="U1496" s="25">
        <v>0</v>
      </c>
      <c r="V1496" s="13">
        <v>8</v>
      </c>
      <c r="W1496" s="13" t="str">
        <f>MID(A1496, SEARCH("_", A1496) +1, SEARCH("_", A1496, SEARCH("_", A1496) +1) - SEARCH("_", A1496) -1)</f>
        <v>Math-50</v>
      </c>
      <c r="Y1496" t="str">
        <f>IF(AND($S971=1,$S1496=1,$V971=1,$V1496=1), "YES", "NO")</f>
        <v>NO</v>
      </c>
      <c r="Z1496" t="str">
        <f>IF(AND($S971=1,$S1496=1,$V971&gt;1,$V1496&gt;1), "YES", "NO")</f>
        <v>NO</v>
      </c>
      <c r="AA1496" t="str">
        <f>IF(AND($S971&gt;1,$S1496&gt;1,$S971=$V971,$S1496=$V1496), "YES", "NO")</f>
        <v>NO</v>
      </c>
      <c r="AB1496" t="str">
        <f>IF(AND($S971&gt;1,$S1496&gt;1,$S971&lt;$V971,$S1496&lt;$V1496), "YES", "NO")</f>
        <v>NO</v>
      </c>
      <c r="AC1496" t="str">
        <f>IF(AND($V971&gt;10,$V1496&gt;10), "YES", "NO")</f>
        <v>NO</v>
      </c>
      <c r="AD1496"/>
    </row>
    <row r="1497" spans="1:30" ht="15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>LEFT($A1497,FIND("_",$A1497)-1)</f>
        <v>SimFix</v>
      </c>
      <c r="P1497" s="13" t="str">
        <f>IF($O1497="ACS", "True Search", IF($O1497="Arja", "Evolutionary Search", IF($O1497="AVATAR", "True Pattern", IF($O1497="CapGen", "Search Like Pattern", IF($O1497="Cardumen", "True Semantic", IF($O1497="DynaMoth", "True Semantic", IF($O1497="FixMiner", "True Pattern", IF($O1497="GenProg-A", "Evolutionary Search", IF($O1497="Hercules", "Learning Pattern", IF($O1497="Jaid", "True Semantic",
IF($O1497="Kali-A", "True Search", IF($O1497="kPAR", "True Pattern", IF($O1497="Nopol", "True Semantic", IF($O1497="RSRepair-A", "Evolutionary Search", IF($O1497="SequenceR", "Deep Learning", IF($O1497="SimFix", "Search Like Pattern", IF($O1497="SketchFix", "True Pattern", IF($O1497="SOFix", "True Pattern", IF($O1497="ssFix", "Search Like Pattern", IF($O1497="TBar", "True Pattern", ""))))))))))))))))))))</f>
        <v>Search Like Pattern</v>
      </c>
      <c r="Q1497" s="13" t="str">
        <f>IF(NOT(ISERR(SEARCH("*_Buggy",$A1497))), "Buggy", IF(NOT(ISERR(SEARCH("*_Fixed",$A1497))), "Fixed", IF(NOT(ISERR(SEARCH("*_Repaired",$A1497))), "Repaired", "")))</f>
        <v>Repaired</v>
      </c>
      <c r="R1497" s="13" t="s">
        <v>1668</v>
      </c>
      <c r="S1497" s="25">
        <v>2</v>
      </c>
      <c r="T1497" s="13">
        <v>9</v>
      </c>
      <c r="U1497" s="25">
        <v>0</v>
      </c>
      <c r="V1497" s="13">
        <v>9</v>
      </c>
      <c r="W1497" s="13" t="str">
        <f>MID(A1497, SEARCH("_", A1497) +1, SEARCH("_", A1497, SEARCH("_", A1497) +1) - SEARCH("_", A1497) -1)</f>
        <v>Math-53</v>
      </c>
      <c r="Y1497" t="str">
        <f>IF(AND($S972=1,$S1497=1,$V972=1,$V1497=1), "YES", "NO")</f>
        <v>NO</v>
      </c>
      <c r="Z1497" t="str">
        <f>IF(AND($S972=1,$S1497=1,$V972&gt;1,$V1497&gt;1), "YES", "NO")</f>
        <v>NO</v>
      </c>
      <c r="AA1497" t="str">
        <f>IF(AND($S972&gt;1,$S1497&gt;1,$S972=$V972,$S1497=$V1497), "YES", "NO")</f>
        <v>NO</v>
      </c>
      <c r="AB1497" t="str">
        <f>IF(AND($S972&gt;1,$S1497&gt;1,$S972&lt;$V972,$S1497&lt;$V1497), "YES", "NO")</f>
        <v>NO</v>
      </c>
      <c r="AC1497" t="str">
        <f>IF(AND($V972&gt;10,$V1497&gt;10), "YES", "NO")</f>
        <v>NO</v>
      </c>
      <c r="AD1497"/>
    </row>
    <row r="1498" spans="1:30" ht="15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>LEFT($A1498,FIND("_",$A1498)-1)</f>
        <v>SimFix</v>
      </c>
      <c r="P1498" s="13" t="str">
        <f>IF($O1498="ACS", "True Search", IF($O1498="Arja", "Evolutionary Search", IF($O1498="AVATAR", "True Pattern", IF($O1498="CapGen", "Search Like Pattern", IF($O1498="Cardumen", "True Semantic", IF($O1498="DynaMoth", "True Semantic", IF($O1498="FixMiner", "True Pattern", IF($O1498="GenProg-A", "Evolutionary Search", IF($O1498="Hercules", "Learning Pattern", IF($O1498="Jaid", "True Semantic",
IF($O1498="Kali-A", "True Search", IF($O1498="kPAR", "True Pattern", IF($O1498="Nopol", "True Semantic", IF($O1498="RSRepair-A", "Evolutionary Search", IF($O1498="SequenceR", "Deep Learning", IF($O1498="SimFix", "Search Like Pattern", IF($O1498="SketchFix", "True Pattern", IF($O1498="SOFix", "True Pattern", IF($O1498="ssFix", "Search Like Pattern", IF($O1498="TBar", "True Pattern", ""))))))))))))))))))))</f>
        <v>Search Like Pattern</v>
      </c>
      <c r="Q1498" s="13" t="str">
        <f>IF(NOT(ISERR(SEARCH("*_Buggy",$A1498))), "Buggy", IF(NOT(ISERR(SEARCH("*_Fixed",$A1498))), "Fixed", IF(NOT(ISERR(SEARCH("*_Repaired",$A1498))), "Repaired", "")))</f>
        <v>Repaired</v>
      </c>
      <c r="R1498" s="13" t="s">
        <v>1668</v>
      </c>
      <c r="S1498" s="25">
        <v>2</v>
      </c>
      <c r="T1498" s="13">
        <v>12</v>
      </c>
      <c r="U1498" s="25">
        <v>0</v>
      </c>
      <c r="V1498" s="13">
        <v>12</v>
      </c>
      <c r="W1498" s="13" t="str">
        <f>MID(A1498, SEARCH("_", A1498) +1, SEARCH("_", A1498, SEARCH("_", A1498) +1) - SEARCH("_", A1498) -1)</f>
        <v>Math-57</v>
      </c>
      <c r="Y1498" t="str">
        <f>IF(AND($S973=1,$S1498=1,$V973=1,$V1498=1), "YES", "NO")</f>
        <v>NO</v>
      </c>
      <c r="Z1498" t="str">
        <f>IF(AND($S973=1,$S1498=1,$V973&gt;1,$V1498&gt;1), "YES", "NO")</f>
        <v>NO</v>
      </c>
      <c r="AA1498" t="str">
        <f>IF(AND($S973&gt;1,$S1498&gt;1,$S973=$V973,$S1498=$V1498), "YES", "NO")</f>
        <v>NO</v>
      </c>
      <c r="AB1498" t="str">
        <f>IF(AND($S973&gt;1,$S1498&gt;1,$S973&lt;$V973,$S1498&lt;$V1498), "YES", "NO")</f>
        <v>NO</v>
      </c>
      <c r="AC1498" t="str">
        <f>IF(AND($V973&gt;10,$V1498&gt;10), "YES", "NO")</f>
        <v>NO</v>
      </c>
      <c r="AD1498"/>
    </row>
    <row r="1499" spans="1:30" ht="15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>LEFT($A1499,FIND("_",$A1499)-1)</f>
        <v>SimFix</v>
      </c>
      <c r="P1499" s="13" t="str">
        <f>IF($O1499="ACS", "True Search", IF($O1499="Arja", "Evolutionary Search", IF($O1499="AVATAR", "True Pattern", IF($O1499="CapGen", "Search Like Pattern", IF($O1499="Cardumen", "True Semantic", IF($O1499="DynaMoth", "True Semantic", IF($O1499="FixMiner", "True Pattern", IF($O1499="GenProg-A", "Evolutionary Search", IF($O1499="Hercules", "Learning Pattern", IF($O1499="Jaid", "True Semantic",
IF($O1499="Kali-A", "True Search", IF($O1499="kPAR", "True Pattern", IF($O1499="Nopol", "True Semantic", IF($O1499="RSRepair-A", "Evolutionary Search", IF($O1499="SequenceR", "Deep Learning", IF($O1499="SimFix", "Search Like Pattern", IF($O1499="SketchFix", "True Pattern", IF($O1499="SOFix", "True Pattern", IF($O1499="ssFix", "Search Like Pattern", IF($O1499="TBar", "True Pattern", ""))))))))))))))))))))</f>
        <v>Search Like Pattern</v>
      </c>
      <c r="Q1499" s="13" t="str">
        <f>IF(NOT(ISERR(SEARCH("*_Buggy",$A1499))), "Buggy", IF(NOT(ISERR(SEARCH("*_Fixed",$A1499))), "Fixed", IF(NOT(ISERR(SEARCH("*_Repaired",$A1499))), "Repaired", "")))</f>
        <v>Repaired</v>
      </c>
      <c r="R1499" s="13" t="s">
        <v>1668</v>
      </c>
      <c r="S1499" s="25">
        <v>3</v>
      </c>
      <c r="T1499" s="25">
        <v>6</v>
      </c>
      <c r="U1499" s="25">
        <v>1</v>
      </c>
      <c r="V1499" s="13">
        <v>6</v>
      </c>
      <c r="W1499" s="13" t="str">
        <f>MID(A1499, SEARCH("_", A1499) +1, SEARCH("_", A1499, SEARCH("_", A1499) +1) - SEARCH("_", A1499) -1)</f>
        <v>Math-59</v>
      </c>
      <c r="Y1499" t="str">
        <f>IF(AND($S974=1,$S1499=1,$V974=1,$V1499=1), "YES", "NO")</f>
        <v>NO</v>
      </c>
      <c r="Z1499" t="str">
        <f>IF(AND($S974=1,$S1499=1,$V974&gt;1,$V1499&gt;1), "YES", "NO")</f>
        <v>NO</v>
      </c>
      <c r="AA1499" t="str">
        <f>IF(AND($S974&gt;1,$S1499&gt;1,$S974=$V974,$S1499=$V1499), "YES", "NO")</f>
        <v>NO</v>
      </c>
      <c r="AB1499" t="str">
        <f>IF(AND($S974&gt;1,$S1499&gt;1,$S974&lt;$V974,$S1499&lt;$V1499), "YES", "NO")</f>
        <v>NO</v>
      </c>
      <c r="AC1499" t="str">
        <f>IF(AND($V974&gt;10,$V1499&gt;10), "YES", "NO")</f>
        <v>NO</v>
      </c>
      <c r="AD1499"/>
    </row>
    <row r="1500" spans="1:30" ht="15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>LEFT($A1500,FIND("_",$A1500)-1)</f>
        <v>SimFix</v>
      </c>
      <c r="P1500" s="13" t="str">
        <f>IF($O1500="ACS", "True Search", IF($O1500="Arja", "Evolutionary Search", IF($O1500="AVATAR", "True Pattern", IF($O1500="CapGen", "Search Like Pattern", IF($O1500="Cardumen", "True Semantic", IF($O1500="DynaMoth", "True Semantic", IF($O1500="FixMiner", "True Pattern", IF($O1500="GenProg-A", "Evolutionary Search", IF($O1500="Hercules", "Learning Pattern", IF($O1500="Jaid", "True Semantic",
IF($O1500="Kali-A", "True Search", IF($O1500="kPAR", "True Pattern", IF($O1500="Nopol", "True Semantic", IF($O1500="RSRepair-A", "Evolutionary Search", IF($O1500="SequenceR", "Deep Learning", IF($O1500="SimFix", "Search Like Pattern", IF($O1500="SketchFix", "True Pattern", IF($O1500="SOFix", "True Pattern", IF($O1500="ssFix", "Search Like Pattern", IF($O1500="TBar", "True Pattern", ""))))))))))))))))))))</f>
        <v>Search Like Pattern</v>
      </c>
      <c r="Q1500" s="13" t="str">
        <f>IF(NOT(ISERR(SEARCH("*_Buggy",$A1500))), "Buggy", IF(NOT(ISERR(SEARCH("*_Fixed",$A1500))), "Fixed", IF(NOT(ISERR(SEARCH("*_Repaired",$A1500))), "Repaired", "")))</f>
        <v>Repaired</v>
      </c>
      <c r="R1500" s="13" t="s">
        <v>1669</v>
      </c>
      <c r="S1500" s="25">
        <v>2</v>
      </c>
      <c r="T1500" s="13">
        <v>5</v>
      </c>
      <c r="U1500" s="25">
        <v>0</v>
      </c>
      <c r="V1500" s="13">
        <v>5</v>
      </c>
      <c r="W1500" s="13" t="str">
        <f>MID(A1500, SEARCH("_", A1500) +1, SEARCH("_", A1500, SEARCH("_", A1500) +1) - SEARCH("_", A1500) -1)</f>
        <v>Math-63</v>
      </c>
      <c r="Y1500" t="str">
        <f>IF(AND($S975=1,$S1500=1,$V975=1,$V1500=1), "YES", "NO")</f>
        <v>NO</v>
      </c>
      <c r="Z1500" t="str">
        <f>IF(AND($S975=1,$S1500=1,$V975&gt;1,$V1500&gt;1), "YES", "NO")</f>
        <v>NO</v>
      </c>
      <c r="AA1500" t="str">
        <f>IF(AND($S975&gt;1,$S1500&gt;1,$S975=$V975,$S1500=$V1500), "YES", "NO")</f>
        <v>NO</v>
      </c>
      <c r="AB1500" t="str">
        <f>IF(AND($S975&gt;1,$S1500&gt;1,$S975&lt;$V975,$S1500&lt;$V1500), "YES", "NO")</f>
        <v>NO</v>
      </c>
      <c r="AC1500" t="str">
        <f>IF(AND($V975&gt;10,$V1500&gt;10), "YES", "NO")</f>
        <v>NO</v>
      </c>
      <c r="AD1500"/>
    </row>
    <row r="1501" spans="1:30" ht="15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>LEFT($A1501,FIND("_",$A1501)-1)</f>
        <v>SimFix</v>
      </c>
      <c r="P1501" s="13" t="str">
        <f>IF($O1501="ACS", "True Search", IF($O1501="Arja", "Evolutionary Search", IF($O1501="AVATAR", "True Pattern", IF($O1501="CapGen", "Search Like Pattern", IF($O1501="Cardumen", "True Semantic", IF($O1501="DynaMoth", "True Semantic", IF($O1501="FixMiner", "True Pattern", IF($O1501="GenProg-A", "Evolutionary Search", IF($O1501="Hercules", "Learning Pattern", IF($O1501="Jaid", "True Semantic",
IF($O1501="Kali-A", "True Search", IF($O1501="kPAR", "True Pattern", IF($O1501="Nopol", "True Semantic", IF($O1501="RSRepair-A", "Evolutionary Search", IF($O1501="SequenceR", "Deep Learning", IF($O1501="SimFix", "Search Like Pattern", IF($O1501="SketchFix", "True Pattern", IF($O1501="SOFix", "True Pattern", IF($O1501="ssFix", "Search Like Pattern", IF($O1501="TBar", "True Pattern", ""))))))))))))))))))))</f>
        <v>Search Like Pattern</v>
      </c>
      <c r="Q1501" s="13" t="str">
        <f>IF(NOT(ISERR(SEARCH("*_Buggy",$A1501))), "Buggy", IF(NOT(ISERR(SEARCH("*_Fixed",$A1501))), "Fixed", IF(NOT(ISERR(SEARCH("*_Repaired",$A1501))), "Repaired", "")))</f>
        <v>Repaired</v>
      </c>
      <c r="R1501" s="13" t="s">
        <v>1669</v>
      </c>
      <c r="S1501" s="25">
        <v>2</v>
      </c>
      <c r="T1501" s="13">
        <v>11</v>
      </c>
      <c r="U1501" s="25">
        <v>0</v>
      </c>
      <c r="V1501" s="13">
        <v>11</v>
      </c>
      <c r="W1501" s="13" t="str">
        <f>MID(A1501, SEARCH("_", A1501) +1, SEARCH("_", A1501, SEARCH("_", A1501) +1) - SEARCH("_", A1501) -1)</f>
        <v>Math-69</v>
      </c>
      <c r="Y1501" t="str">
        <f>IF(AND($S976=1,$S1501=1,$V976=1,$V1501=1), "YES", "NO")</f>
        <v>NO</v>
      </c>
      <c r="Z1501" t="str">
        <f>IF(AND($S976=1,$S1501=1,$V976&gt;1,$V1501&gt;1), "YES", "NO")</f>
        <v>NO</v>
      </c>
      <c r="AA1501" t="str">
        <f>IF(AND($S976&gt;1,$S1501&gt;1,$S976=$V976,$S1501=$V1501), "YES", "NO")</f>
        <v>NO</v>
      </c>
      <c r="AB1501" t="str">
        <f>IF(AND($S976&gt;1,$S1501&gt;1,$S976&lt;$V976,$S1501&lt;$V1501), "YES", "NO")</f>
        <v>NO</v>
      </c>
      <c r="AC1501" t="str">
        <f>IF(AND($V976&gt;10,$V1501&gt;10), "YES", "NO")</f>
        <v>NO</v>
      </c>
      <c r="AD1501"/>
    </row>
    <row r="1502" spans="1:30" ht="15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>LEFT($A1502,FIND("_",$A1502)-1)</f>
        <v>SimFix</v>
      </c>
      <c r="P1502" s="13" t="str">
        <f>IF($O1502="ACS", "True Search", IF($O1502="Arja", "Evolutionary Search", IF($O1502="AVATAR", "True Pattern", IF($O1502="CapGen", "Search Like Pattern", IF($O1502="Cardumen", "True Semantic", IF($O1502="DynaMoth", "True Semantic", IF($O1502="FixMiner", "True Pattern", IF($O1502="GenProg-A", "Evolutionary Search", IF($O1502="Hercules", "Learning Pattern", IF($O1502="Jaid", "True Semantic",
IF($O1502="Kali-A", "True Search", IF($O1502="kPAR", "True Pattern", IF($O1502="Nopol", "True Semantic", IF($O1502="RSRepair-A", "Evolutionary Search", IF($O1502="SequenceR", "Deep Learning", IF($O1502="SimFix", "Search Like Pattern", IF($O1502="SketchFix", "True Pattern", IF($O1502="SOFix", "True Pattern", IF($O1502="ssFix", "Search Like Pattern", IF($O1502="TBar", "True Pattern", ""))))))))))))))))))))</f>
        <v>Search Like Pattern</v>
      </c>
      <c r="Q1502" s="13" t="str">
        <f>IF(NOT(ISERR(SEARCH("*_Buggy",$A1502))), "Buggy", IF(NOT(ISERR(SEARCH("*_Fixed",$A1502))), "Fixed", IF(NOT(ISERR(SEARCH("*_Repaired",$A1502))), "Repaired", "")))</f>
        <v>Repaired</v>
      </c>
      <c r="R1502" s="13" t="s">
        <v>1668</v>
      </c>
      <c r="S1502" s="25">
        <v>2</v>
      </c>
      <c r="T1502" s="13">
        <v>5</v>
      </c>
      <c r="U1502" s="25">
        <v>0</v>
      </c>
      <c r="V1502" s="13">
        <v>5</v>
      </c>
      <c r="W1502" s="13" t="str">
        <f>MID(A1502, SEARCH("_", A1502) +1, SEARCH("_", A1502, SEARCH("_", A1502) +1) - SEARCH("_", A1502) -1)</f>
        <v>Math-70</v>
      </c>
      <c r="Y1502" t="str">
        <f>IF(AND($S977=1,$S1502=1,$V977=1,$V1502=1), "YES", "NO")</f>
        <v>NO</v>
      </c>
      <c r="Z1502" t="str">
        <f>IF(AND($S977=1,$S1502=1,$V977&gt;1,$V1502&gt;1), "YES", "NO")</f>
        <v>NO</v>
      </c>
      <c r="AA1502" t="str">
        <f>IF(AND($S977&gt;1,$S1502&gt;1,$S977=$V977,$S1502=$V1502), "YES", "NO")</f>
        <v>NO</v>
      </c>
      <c r="AB1502" t="str">
        <f>IF(AND($S977&gt;1,$S1502&gt;1,$S977&lt;$V977,$S1502&lt;$V1502), "YES", "NO")</f>
        <v>NO</v>
      </c>
      <c r="AC1502" t="str">
        <f>IF(AND($V977&gt;10,$V1502&gt;10), "YES", "NO")</f>
        <v>NO</v>
      </c>
      <c r="AD1502"/>
    </row>
    <row r="1503" spans="1:30" ht="15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>LEFT($A1503,FIND("_",$A1503)-1)</f>
        <v>SimFix</v>
      </c>
      <c r="P1503" s="13" t="str">
        <f>IF($O1503="ACS", "True Search", IF($O1503="Arja", "Evolutionary Search", IF($O1503="AVATAR", "True Pattern", IF($O1503="CapGen", "Search Like Pattern", IF($O1503="Cardumen", "True Semantic", IF($O1503="DynaMoth", "True Semantic", IF($O1503="FixMiner", "True Pattern", IF($O1503="GenProg-A", "Evolutionary Search", IF($O1503="Hercules", "Learning Pattern", IF($O1503="Jaid", "True Semantic",
IF($O1503="Kali-A", "True Search", IF($O1503="kPAR", "True Pattern", IF($O1503="Nopol", "True Semantic", IF($O1503="RSRepair-A", "Evolutionary Search", IF($O1503="SequenceR", "Deep Learning", IF($O1503="SimFix", "Search Like Pattern", IF($O1503="SketchFix", "True Pattern", IF($O1503="SOFix", "True Pattern", IF($O1503="ssFix", "Search Like Pattern", IF($O1503="TBar", "True Pattern", ""))))))))))))))))))))</f>
        <v>Search Like Pattern</v>
      </c>
      <c r="Q1503" s="13" t="str">
        <f>IF(NOT(ISERR(SEARCH("*_Buggy",$A1503))), "Buggy", IF(NOT(ISERR(SEARCH("*_Fixed",$A1503))), "Fixed", IF(NOT(ISERR(SEARCH("*_Repaired",$A1503))), "Repaired", "")))</f>
        <v>Repaired</v>
      </c>
      <c r="R1503" s="13" t="s">
        <v>1668</v>
      </c>
      <c r="S1503" s="25">
        <v>2</v>
      </c>
      <c r="T1503" s="13">
        <v>11</v>
      </c>
      <c r="U1503" s="25">
        <v>0</v>
      </c>
      <c r="V1503" s="13">
        <v>11</v>
      </c>
      <c r="W1503" s="13" t="str">
        <f>MID(A1503, SEARCH("_", A1503) +1, SEARCH("_", A1503, SEARCH("_", A1503) +1) - SEARCH("_", A1503) -1)</f>
        <v>Math-71</v>
      </c>
      <c r="Y1503" t="str">
        <f>IF(AND($S978=1,$S1503=1,$V978=1,$V1503=1), "YES", "NO")</f>
        <v>NO</v>
      </c>
      <c r="Z1503" t="str">
        <f>IF(AND($S978=1,$S1503=1,$V978&gt;1,$V1503&gt;1), "YES", "NO")</f>
        <v>NO</v>
      </c>
      <c r="AA1503" t="str">
        <f>IF(AND($S978&gt;1,$S1503&gt;1,$S978=$V978,$S1503=$V1503), "YES", "NO")</f>
        <v>NO</v>
      </c>
      <c r="AB1503" t="str">
        <f>IF(AND($S978&gt;1,$S1503&gt;1,$S978&lt;$V978,$S1503&lt;$V1503), "YES", "NO")</f>
        <v>NO</v>
      </c>
      <c r="AC1503" t="str">
        <f>IF(AND($V978&gt;10,$V1503&gt;10), "YES", "NO")</f>
        <v>NO</v>
      </c>
      <c r="AD1503"/>
    </row>
    <row r="1504" spans="1:30" ht="15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>LEFT($A1504,FIND("_",$A1504)-1)</f>
        <v>SimFix</v>
      </c>
      <c r="P1504" s="13" t="str">
        <f>IF($O1504="ACS", "True Search", IF($O1504="Arja", "Evolutionary Search", IF($O1504="AVATAR", "True Pattern", IF($O1504="CapGen", "Search Like Pattern", IF($O1504="Cardumen", "True Semantic", IF($O1504="DynaMoth", "True Semantic", IF($O1504="FixMiner", "True Pattern", IF($O1504="GenProg-A", "Evolutionary Search", IF($O1504="Hercules", "Learning Pattern", IF($O1504="Jaid", "True Semantic",
IF($O1504="Kali-A", "True Search", IF($O1504="kPAR", "True Pattern", IF($O1504="Nopol", "True Semantic", IF($O1504="RSRepair-A", "Evolutionary Search", IF($O1504="SequenceR", "Deep Learning", IF($O1504="SimFix", "Search Like Pattern", IF($O1504="SketchFix", "True Pattern", IF($O1504="SOFix", "True Pattern", IF($O1504="ssFix", "Search Like Pattern", IF($O1504="TBar", "True Pattern", ""))))))))))))))))))))</f>
        <v>Search Like Pattern</v>
      </c>
      <c r="Q1504" s="13" t="str">
        <f>IF(NOT(ISERR(SEARCH("*_Buggy",$A1504))), "Buggy", IF(NOT(ISERR(SEARCH("*_Fixed",$A1504))), "Fixed", IF(NOT(ISERR(SEARCH("*_Repaired",$A1504))), "Repaired", "")))</f>
        <v>Repaired</v>
      </c>
      <c r="R1504" s="13" t="s">
        <v>1668</v>
      </c>
      <c r="S1504" s="25">
        <v>2</v>
      </c>
      <c r="T1504" s="13">
        <v>8</v>
      </c>
      <c r="U1504" s="25">
        <v>0</v>
      </c>
      <c r="V1504" s="13">
        <v>8</v>
      </c>
      <c r="W1504" s="13" t="str">
        <f>MID(A1504, SEARCH("_", A1504) +1, SEARCH("_", A1504, SEARCH("_", A1504) +1) - SEARCH("_", A1504) -1)</f>
        <v>Math-72</v>
      </c>
      <c r="Y1504" t="str">
        <f>IF(AND($S979=1,$S1504=1,$V979=1,$V1504=1), "YES", "NO")</f>
        <v>NO</v>
      </c>
      <c r="Z1504" t="str">
        <f>IF(AND($S979=1,$S1504=1,$V979&gt;1,$V1504&gt;1), "YES", "NO")</f>
        <v>NO</v>
      </c>
      <c r="AA1504" t="str">
        <f>IF(AND($S979&gt;1,$S1504&gt;1,$S979=$V979,$S1504=$V1504), "YES", "NO")</f>
        <v>NO</v>
      </c>
      <c r="AB1504" t="str">
        <f>IF(AND($S979&gt;1,$S1504&gt;1,$S979&lt;$V979,$S1504&lt;$V1504), "YES", "NO")</f>
        <v>NO</v>
      </c>
      <c r="AC1504" t="str">
        <f>IF(AND($V979&gt;10,$V1504&gt;10), "YES", "NO")</f>
        <v>NO</v>
      </c>
      <c r="AD1504"/>
    </row>
    <row r="1505" spans="1:30" ht="15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>LEFT($A1505,FIND("_",$A1505)-1)</f>
        <v>SimFix</v>
      </c>
      <c r="P1505" s="13" t="str">
        <f>IF($O1505="ACS", "True Search", IF($O1505="Arja", "Evolutionary Search", IF($O1505="AVATAR", "True Pattern", IF($O1505="CapGen", "Search Like Pattern", IF($O1505="Cardumen", "True Semantic", IF($O1505="DynaMoth", "True Semantic", IF($O1505="FixMiner", "True Pattern", IF($O1505="GenProg-A", "Evolutionary Search", IF($O1505="Hercules", "Learning Pattern", IF($O1505="Jaid", "True Semantic",
IF($O1505="Kali-A", "True Search", IF($O1505="kPAR", "True Pattern", IF($O1505="Nopol", "True Semantic", IF($O1505="RSRepair-A", "Evolutionary Search", IF($O1505="SequenceR", "Deep Learning", IF($O1505="SimFix", "Search Like Pattern", IF($O1505="SketchFix", "True Pattern", IF($O1505="SOFix", "True Pattern", IF($O1505="ssFix", "Search Like Pattern", IF($O1505="TBar", "True Pattern", ""))))))))))))))))))))</f>
        <v>Search Like Pattern</v>
      </c>
      <c r="Q1505" s="13" t="str">
        <f>IF(NOT(ISERR(SEARCH("*_Buggy",$A1505))), "Buggy", IF(NOT(ISERR(SEARCH("*_Fixed",$A1505))), "Fixed", IF(NOT(ISERR(SEARCH("*_Repaired",$A1505))), "Repaired", "")))</f>
        <v>Repaired</v>
      </c>
      <c r="R1505" s="13" t="s">
        <v>1669</v>
      </c>
      <c r="S1505" s="25">
        <v>2</v>
      </c>
      <c r="T1505" s="13">
        <v>8</v>
      </c>
      <c r="U1505" s="25">
        <v>0</v>
      </c>
      <c r="V1505" s="13">
        <v>8</v>
      </c>
      <c r="W1505" s="13" t="str">
        <f>MID(A1505, SEARCH("_", A1505) +1, SEARCH("_", A1505, SEARCH("_", A1505) +1) - SEARCH("_", A1505) -1)</f>
        <v>Math-73</v>
      </c>
      <c r="Y1505" t="str">
        <f>IF(AND($S980=1,$S1505=1,$V980=1,$V1505=1), "YES", "NO")</f>
        <v>NO</v>
      </c>
      <c r="Z1505" t="str">
        <f>IF(AND($S980=1,$S1505=1,$V980&gt;1,$V1505&gt;1), "YES", "NO")</f>
        <v>NO</v>
      </c>
      <c r="AA1505" t="str">
        <f>IF(AND($S980&gt;1,$S1505&gt;1,$S980=$V980,$S1505=$V1505), "YES", "NO")</f>
        <v>NO</v>
      </c>
      <c r="AB1505" t="str">
        <f>IF(AND($S980&gt;1,$S1505&gt;1,$S980&lt;$V980,$S1505&lt;$V1505), "YES", "NO")</f>
        <v>NO</v>
      </c>
      <c r="AC1505" t="str">
        <f>IF(AND($V980&gt;10,$V1505&gt;10), "YES", "NO")</f>
        <v>NO</v>
      </c>
      <c r="AD1505"/>
    </row>
    <row r="1506" spans="1:30" ht="15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>LEFT($A1506,FIND("_",$A1506)-1)</f>
        <v>SimFix</v>
      </c>
      <c r="P1506" s="13" t="str">
        <f>IF($O1506="ACS", "True Search", IF($O1506="Arja", "Evolutionary Search", IF($O1506="AVATAR", "True Pattern", IF($O1506="CapGen", "Search Like Pattern", IF($O1506="Cardumen", "True Semantic", IF($O1506="DynaMoth", "True Semantic", IF($O1506="FixMiner", "True Pattern", IF($O1506="GenProg-A", "Evolutionary Search", IF($O1506="Hercules", "Learning Pattern", IF($O1506="Jaid", "True Semantic",
IF($O1506="Kali-A", "True Search", IF($O1506="kPAR", "True Pattern", IF($O1506="Nopol", "True Semantic", IF($O1506="RSRepair-A", "Evolutionary Search", IF($O1506="SequenceR", "Deep Learning", IF($O1506="SimFix", "Search Like Pattern", IF($O1506="SketchFix", "True Pattern", IF($O1506="SOFix", "True Pattern", IF($O1506="ssFix", "Search Like Pattern", IF($O1506="TBar", "True Pattern", ""))))))))))))))))))))</f>
        <v>Search Like Pattern</v>
      </c>
      <c r="Q1506" s="13" t="str">
        <f>IF(NOT(ISERR(SEARCH("*_Buggy",$A1506))), "Buggy", IF(NOT(ISERR(SEARCH("*_Fixed",$A1506))), "Fixed", IF(NOT(ISERR(SEARCH("*_Repaired",$A1506))), "Repaired", "")))</f>
        <v>Repaired</v>
      </c>
      <c r="R1506" s="13" t="s">
        <v>1668</v>
      </c>
      <c r="S1506" s="25">
        <v>2</v>
      </c>
      <c r="T1506" s="13">
        <v>5</v>
      </c>
      <c r="U1506" s="25">
        <v>0</v>
      </c>
      <c r="V1506" s="13">
        <v>5</v>
      </c>
      <c r="W1506" s="13" t="str">
        <f>MID(A1506, SEARCH("_", A1506) +1, SEARCH("_", A1506, SEARCH("_", A1506) +1) - SEARCH("_", A1506) -1)</f>
        <v>Math-75</v>
      </c>
      <c r="Y1506" t="str">
        <f>IF(AND($S981=1,$S1506=1,$V981=1,$V1506=1), "YES", "NO")</f>
        <v>NO</v>
      </c>
      <c r="Z1506" t="str">
        <f>IF(AND($S981=1,$S1506=1,$V981&gt;1,$V1506&gt;1), "YES", "NO")</f>
        <v>NO</v>
      </c>
      <c r="AA1506" t="str">
        <f>IF(AND($S981&gt;1,$S1506&gt;1,$S981=$V981,$S1506=$V1506), "YES", "NO")</f>
        <v>NO</v>
      </c>
      <c r="AB1506" t="str">
        <f>IF(AND($S981&gt;1,$S1506&gt;1,$S981&lt;$V981,$S1506&lt;$V1506), "YES", "NO")</f>
        <v>NO</v>
      </c>
      <c r="AC1506" t="str">
        <f>IF(AND($V981&gt;10,$V1506&gt;10), "YES", "NO")</f>
        <v>NO</v>
      </c>
      <c r="AD1506"/>
    </row>
    <row r="1507" spans="1:30" ht="15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>LEFT($A1507,FIND("_",$A1507)-1)</f>
        <v>SimFix</v>
      </c>
      <c r="P1507" s="13" t="str">
        <f>IF($O1507="ACS", "True Search", IF($O1507="Arja", "Evolutionary Search", IF($O1507="AVATAR", "True Pattern", IF($O1507="CapGen", "Search Like Pattern", IF($O1507="Cardumen", "True Semantic", IF($O1507="DynaMoth", "True Semantic", IF($O1507="FixMiner", "True Pattern", IF($O1507="GenProg-A", "Evolutionary Search", IF($O1507="Hercules", "Learning Pattern", IF($O1507="Jaid", "True Semantic",
IF($O1507="Kali-A", "True Search", IF($O1507="kPAR", "True Pattern", IF($O1507="Nopol", "True Semantic", IF($O1507="RSRepair-A", "Evolutionary Search", IF($O1507="SequenceR", "Deep Learning", IF($O1507="SimFix", "Search Like Pattern", IF($O1507="SketchFix", "True Pattern", IF($O1507="SOFix", "True Pattern", IF($O1507="ssFix", "Search Like Pattern", IF($O1507="TBar", "True Pattern", ""))))))))))))))))))))</f>
        <v>Search Like Pattern</v>
      </c>
      <c r="Q1507" s="13" t="str">
        <f>IF(NOT(ISERR(SEARCH("*_Buggy",$A1507))), "Buggy", IF(NOT(ISERR(SEARCH("*_Fixed",$A1507))), "Fixed", IF(NOT(ISERR(SEARCH("*_Repaired",$A1507))), "Repaired", "")))</f>
        <v>Repaired</v>
      </c>
      <c r="R1507" s="13" t="s">
        <v>1668</v>
      </c>
      <c r="S1507" s="25">
        <v>2</v>
      </c>
      <c r="T1507" s="13">
        <v>10</v>
      </c>
      <c r="U1507" s="25">
        <v>0</v>
      </c>
      <c r="V1507" s="13">
        <v>10</v>
      </c>
      <c r="W1507" s="13" t="str">
        <f>MID(A1507, SEARCH("_", A1507) +1, SEARCH("_", A1507, SEARCH("_", A1507) +1) - SEARCH("_", A1507) -1)</f>
        <v>Math-79</v>
      </c>
      <c r="Y1507" t="str">
        <f>IF(AND($S982=1,$S1507=1,$V982=1,$V1507=1), "YES", "NO")</f>
        <v>NO</v>
      </c>
      <c r="Z1507" t="str">
        <f>IF(AND($S982=1,$S1507=1,$V982&gt;1,$V1507&gt;1), "YES", "NO")</f>
        <v>NO</v>
      </c>
      <c r="AA1507" t="str">
        <f>IF(AND($S982&gt;1,$S1507&gt;1,$S982=$V982,$S1507=$V1507), "YES", "NO")</f>
        <v>NO</v>
      </c>
      <c r="AB1507" t="str">
        <f>IF(AND($S982&gt;1,$S1507&gt;1,$S982&lt;$V982,$S1507&lt;$V1507), "YES", "NO")</f>
        <v>NO</v>
      </c>
      <c r="AC1507" t="str">
        <f>IF(AND($V982&gt;10,$V1507&gt;10), "YES", "NO")</f>
        <v>NO</v>
      </c>
      <c r="AD1507"/>
    </row>
    <row r="1508" spans="1:30" ht="15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>LEFT($A1508,FIND("_",$A1508)-1)</f>
        <v>SimFix</v>
      </c>
      <c r="P1508" s="13" t="str">
        <f>IF($O1508="ACS", "True Search", IF($O1508="Arja", "Evolutionary Search", IF($O1508="AVATAR", "True Pattern", IF($O1508="CapGen", "Search Like Pattern", IF($O1508="Cardumen", "True Semantic", IF($O1508="DynaMoth", "True Semantic", IF($O1508="FixMiner", "True Pattern", IF($O1508="GenProg-A", "Evolutionary Search", IF($O1508="Hercules", "Learning Pattern", IF($O1508="Jaid", "True Semantic",
IF($O1508="Kali-A", "True Search", IF($O1508="kPAR", "True Pattern", IF($O1508="Nopol", "True Semantic", IF($O1508="RSRepair-A", "Evolutionary Search", IF($O1508="SequenceR", "Deep Learning", IF($O1508="SimFix", "Search Like Pattern", IF($O1508="SketchFix", "True Pattern", IF($O1508="SOFix", "True Pattern", IF($O1508="ssFix", "Search Like Pattern", IF($O1508="TBar", "True Pattern", ""))))))))))))))))))))</f>
        <v>Search Like Pattern</v>
      </c>
      <c r="Q1508" s="13" t="str">
        <f>IF(NOT(ISERR(SEARCH("*_Buggy",$A1508))), "Buggy", IF(NOT(ISERR(SEARCH("*_Fixed",$A1508))), "Fixed", IF(NOT(ISERR(SEARCH("*_Repaired",$A1508))), "Repaired", "")))</f>
        <v>Repaired</v>
      </c>
      <c r="R1508" s="13" t="s">
        <v>1669</v>
      </c>
      <c r="S1508" s="25">
        <v>2</v>
      </c>
      <c r="T1508" s="13">
        <v>7</v>
      </c>
      <c r="U1508" s="25">
        <v>0</v>
      </c>
      <c r="V1508" s="13">
        <v>7</v>
      </c>
      <c r="W1508" s="13" t="str">
        <f>MID(A1508, SEARCH("_", A1508) +1, SEARCH("_", A1508, SEARCH("_", A1508) +1) - SEARCH("_", A1508) -1)</f>
        <v>Math-8</v>
      </c>
      <c r="Y1508" t="str">
        <f>IF(AND($S983=1,$S1508=1,$V983=1,$V1508=1), "YES", "NO")</f>
        <v>NO</v>
      </c>
      <c r="Z1508" t="str">
        <f>IF(AND($S983=1,$S1508=1,$V983&gt;1,$V1508&gt;1), "YES", "NO")</f>
        <v>NO</v>
      </c>
      <c r="AA1508" t="str">
        <f>IF(AND($S983&gt;1,$S1508&gt;1,$S983=$V983,$S1508=$V1508), "YES", "NO")</f>
        <v>NO</v>
      </c>
      <c r="AB1508" t="str">
        <f>IF(AND($S983&gt;1,$S1508&gt;1,$S983&lt;$V983,$S1508&lt;$V1508), "YES", "NO")</f>
        <v>NO</v>
      </c>
      <c r="AC1508" t="str">
        <f>IF(AND($V983&gt;10,$V1508&gt;10), "YES", "NO")</f>
        <v>NO</v>
      </c>
      <c r="AD1508"/>
    </row>
    <row r="1509" spans="1:30" ht="15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>LEFT($A1509,FIND("_",$A1509)-1)</f>
        <v>SimFix</v>
      </c>
      <c r="P1509" s="13" t="str">
        <f>IF($O1509="ACS", "True Search", IF($O1509="Arja", "Evolutionary Search", IF($O1509="AVATAR", "True Pattern", IF($O1509="CapGen", "Search Like Pattern", IF($O1509="Cardumen", "True Semantic", IF($O1509="DynaMoth", "True Semantic", IF($O1509="FixMiner", "True Pattern", IF($O1509="GenProg-A", "Evolutionary Search", IF($O1509="Hercules", "Learning Pattern", IF($O1509="Jaid", "True Semantic",
IF($O1509="Kali-A", "True Search", IF($O1509="kPAR", "True Pattern", IF($O1509="Nopol", "True Semantic", IF($O1509="RSRepair-A", "Evolutionary Search", IF($O1509="SequenceR", "Deep Learning", IF($O1509="SimFix", "Search Like Pattern", IF($O1509="SketchFix", "True Pattern", IF($O1509="SOFix", "True Pattern", IF($O1509="ssFix", "Search Like Pattern", IF($O1509="TBar", "True Pattern", ""))))))))))))))))))))</f>
        <v>Search Like Pattern</v>
      </c>
      <c r="Q1509" s="13" t="str">
        <f>IF(NOT(ISERR(SEARCH("*_Buggy",$A1509))), "Buggy", IF(NOT(ISERR(SEARCH("*_Fixed",$A1509))), "Fixed", IF(NOT(ISERR(SEARCH("*_Repaired",$A1509))), "Repaired", "")))</f>
        <v>Repaired</v>
      </c>
      <c r="R1509" s="13" t="s">
        <v>1669</v>
      </c>
      <c r="S1509" s="25">
        <v>2</v>
      </c>
      <c r="T1509" s="13">
        <v>9</v>
      </c>
      <c r="U1509" s="25">
        <v>0</v>
      </c>
      <c r="V1509" s="13">
        <v>9</v>
      </c>
      <c r="W1509" s="13" t="str">
        <f>MID(A1509, SEARCH("_", A1509) +1, SEARCH("_", A1509, SEARCH("_", A1509) +1) - SEARCH("_", A1509) -1)</f>
        <v>Math-80</v>
      </c>
      <c r="Y1509" t="str">
        <f>IF(AND($S984=1,$S1509=1,$V984=1,$V1509=1), "YES", "NO")</f>
        <v>NO</v>
      </c>
      <c r="Z1509" t="str">
        <f>IF(AND($S984=1,$S1509=1,$V984&gt;1,$V1509&gt;1), "YES", "NO")</f>
        <v>NO</v>
      </c>
      <c r="AA1509" t="str">
        <f>IF(AND($S984&gt;1,$S1509&gt;1,$S984=$V984,$S1509=$V1509), "YES", "NO")</f>
        <v>NO</v>
      </c>
      <c r="AB1509" t="str">
        <f>IF(AND($S984&gt;1,$S1509&gt;1,$S984&lt;$V984,$S1509&lt;$V1509), "YES", "NO")</f>
        <v>NO</v>
      </c>
      <c r="AC1509" t="str">
        <f>IF(AND($V984&gt;10,$V1509&gt;10), "YES", "NO")</f>
        <v>NO</v>
      </c>
      <c r="AD1509"/>
    </row>
    <row r="1510" spans="1:30" ht="15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>LEFT($A1510,FIND("_",$A1510)-1)</f>
        <v>SimFix</v>
      </c>
      <c r="P1510" s="13" t="str">
        <f>IF($O1510="ACS", "True Search", IF($O1510="Arja", "Evolutionary Search", IF($O1510="AVATAR", "True Pattern", IF($O1510="CapGen", "Search Like Pattern", IF($O1510="Cardumen", "True Semantic", IF($O1510="DynaMoth", "True Semantic", IF($O1510="FixMiner", "True Pattern", IF($O1510="GenProg-A", "Evolutionary Search", IF($O1510="Hercules", "Learning Pattern", IF($O1510="Jaid", "True Semantic",
IF($O1510="Kali-A", "True Search", IF($O1510="kPAR", "True Pattern", IF($O1510="Nopol", "True Semantic", IF($O1510="RSRepair-A", "Evolutionary Search", IF($O1510="SequenceR", "Deep Learning", IF($O1510="SimFix", "Search Like Pattern", IF($O1510="SketchFix", "True Pattern", IF($O1510="SOFix", "True Pattern", IF($O1510="ssFix", "Search Like Pattern", IF($O1510="TBar", "True Pattern", ""))))))))))))))))))))</f>
        <v>Search Like Pattern</v>
      </c>
      <c r="Q1510" s="13" t="str">
        <f>IF(NOT(ISERR(SEARCH("*_Buggy",$A1510))), "Buggy", IF(NOT(ISERR(SEARCH("*_Fixed",$A1510))), "Fixed", IF(NOT(ISERR(SEARCH("*_Repaired",$A1510))), "Repaired", "")))</f>
        <v>Repaired</v>
      </c>
      <c r="R1510" s="13" t="s">
        <v>1669</v>
      </c>
      <c r="S1510" s="25">
        <v>2</v>
      </c>
      <c r="T1510" s="13">
        <v>23</v>
      </c>
      <c r="U1510" s="25">
        <v>0</v>
      </c>
      <c r="V1510" s="13">
        <v>23</v>
      </c>
      <c r="W1510" s="13" t="str">
        <f>MID(A1510, SEARCH("_", A1510) +1, SEARCH("_", A1510, SEARCH("_", A1510) +1) - SEARCH("_", A1510) -1)</f>
        <v>Math-81</v>
      </c>
      <c r="Y1510" t="str">
        <f>IF(AND($S985=1,$S1510=1,$V985=1,$V1510=1), "YES", "NO")</f>
        <v>NO</v>
      </c>
      <c r="Z1510" t="str">
        <f>IF(AND($S985=1,$S1510=1,$V985&gt;1,$V1510&gt;1), "YES", "NO")</f>
        <v>NO</v>
      </c>
      <c r="AA1510" t="str">
        <f>IF(AND($S985&gt;1,$S1510&gt;1,$S985=$V985,$S1510=$V1510), "YES", "NO")</f>
        <v>NO</v>
      </c>
      <c r="AB1510" t="str">
        <f>IF(AND($S985&gt;1,$S1510&gt;1,$S985&lt;$V985,$S1510&lt;$V1510), "YES", "NO")</f>
        <v>YES</v>
      </c>
      <c r="AC1510" t="str">
        <f>IF(AND($V985&gt;10,$V1510&gt;10), "YES", "NO")</f>
        <v>NO</v>
      </c>
      <c r="AD1510"/>
    </row>
    <row r="1511" spans="1:30" ht="15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>LEFT($A1511,FIND("_",$A1511)-1)</f>
        <v>SimFix</v>
      </c>
      <c r="P1511" s="13" t="str">
        <f>IF($O1511="ACS", "True Search", IF($O1511="Arja", "Evolutionary Search", IF($O1511="AVATAR", "True Pattern", IF($O1511="CapGen", "Search Like Pattern", IF($O1511="Cardumen", "True Semantic", IF($O1511="DynaMoth", "True Semantic", IF($O1511="FixMiner", "True Pattern", IF($O1511="GenProg-A", "Evolutionary Search", IF($O1511="Hercules", "Learning Pattern", IF($O1511="Jaid", "True Semantic",
IF($O1511="Kali-A", "True Search", IF($O1511="kPAR", "True Pattern", IF($O1511="Nopol", "True Semantic", IF($O1511="RSRepair-A", "Evolutionary Search", IF($O1511="SequenceR", "Deep Learning", IF($O1511="SimFix", "Search Like Pattern", IF($O1511="SketchFix", "True Pattern", IF($O1511="SOFix", "True Pattern", IF($O1511="ssFix", "Search Like Pattern", IF($O1511="TBar", "True Pattern", ""))))))))))))))))))))</f>
        <v>Search Like Pattern</v>
      </c>
      <c r="Q1511" s="13" t="str">
        <f>IF(NOT(ISERR(SEARCH("*_Buggy",$A1511))), "Buggy", IF(NOT(ISERR(SEARCH("*_Fixed",$A1511))), "Fixed", IF(NOT(ISERR(SEARCH("*_Repaired",$A1511))), "Repaired", "")))</f>
        <v>Repaired</v>
      </c>
      <c r="R1511" s="13" t="s">
        <v>1669</v>
      </c>
      <c r="S1511" s="25">
        <v>2</v>
      </c>
      <c r="T1511" s="13">
        <v>8</v>
      </c>
      <c r="U1511" s="25">
        <v>0</v>
      </c>
      <c r="V1511" s="13">
        <v>8</v>
      </c>
      <c r="W1511" s="13" t="str">
        <f>MID(A1511, SEARCH("_", A1511) +1, SEARCH("_", A1511, SEARCH("_", A1511) +1) - SEARCH("_", A1511) -1)</f>
        <v>Math-82</v>
      </c>
      <c r="Y1511" t="str">
        <f>IF(AND($S986=1,$S1511=1,$V986=1,$V1511=1), "YES", "NO")</f>
        <v>NO</v>
      </c>
      <c r="Z1511" t="str">
        <f>IF(AND($S986=1,$S1511=1,$V986&gt;1,$V1511&gt;1), "YES", "NO")</f>
        <v>NO</v>
      </c>
      <c r="AA1511" t="str">
        <f>IF(AND($S986&gt;1,$S1511&gt;1,$S986=$V986,$S1511=$V1511), "YES", "NO")</f>
        <v>NO</v>
      </c>
      <c r="AB1511" t="str">
        <f>IF(AND($S986&gt;1,$S1511&gt;1,$S986&lt;$V986,$S1511&lt;$V1511), "YES", "NO")</f>
        <v>NO</v>
      </c>
      <c r="AC1511" t="str">
        <f>IF(AND($V986&gt;10,$V1511&gt;10), "YES", "NO")</f>
        <v>NO</v>
      </c>
      <c r="AD1511"/>
    </row>
    <row r="1512" spans="1:30" ht="15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>LEFT($A1512,FIND("_",$A1512)-1)</f>
        <v>SimFix</v>
      </c>
      <c r="P1512" s="13" t="str">
        <f>IF($O1512="ACS", "True Search", IF($O1512="Arja", "Evolutionary Search", IF($O1512="AVATAR", "True Pattern", IF($O1512="CapGen", "Search Like Pattern", IF($O1512="Cardumen", "True Semantic", IF($O1512="DynaMoth", "True Semantic", IF($O1512="FixMiner", "True Pattern", IF($O1512="GenProg-A", "Evolutionary Search", IF($O1512="Hercules", "Learning Pattern", IF($O1512="Jaid", "True Semantic",
IF($O1512="Kali-A", "True Search", IF($O1512="kPAR", "True Pattern", IF($O1512="Nopol", "True Semantic", IF($O1512="RSRepair-A", "Evolutionary Search", IF($O1512="SequenceR", "Deep Learning", IF($O1512="SimFix", "Search Like Pattern", IF($O1512="SketchFix", "True Pattern", IF($O1512="SOFix", "True Pattern", IF($O1512="ssFix", "Search Like Pattern", IF($O1512="TBar", "True Pattern", ""))))))))))))))))))))</f>
        <v>Search Like Pattern</v>
      </c>
      <c r="Q1512" s="13" t="str">
        <f>IF(NOT(ISERR(SEARCH("*_Buggy",$A1512))), "Buggy", IF(NOT(ISERR(SEARCH("*_Fixed",$A1512))), "Fixed", IF(NOT(ISERR(SEARCH("*_Repaired",$A1512))), "Repaired", "")))</f>
        <v>Repaired</v>
      </c>
      <c r="R1512" s="13" t="s">
        <v>1669</v>
      </c>
      <c r="S1512" s="25">
        <v>2</v>
      </c>
      <c r="T1512" s="13">
        <v>7</v>
      </c>
      <c r="U1512" s="25">
        <v>0</v>
      </c>
      <c r="V1512" s="13">
        <v>7</v>
      </c>
      <c r="W1512" s="13" t="str">
        <f>MID(A1512, SEARCH("_", A1512) +1, SEARCH("_", A1512, SEARCH("_", A1512) +1) - SEARCH("_", A1512) -1)</f>
        <v>Math-84</v>
      </c>
      <c r="Y1512" t="str">
        <f>IF(AND($S987=1,$S1512=1,$V987=1,$V1512=1), "YES", "NO")</f>
        <v>NO</v>
      </c>
      <c r="Z1512" t="str">
        <f>IF(AND($S987=1,$S1512=1,$V987&gt;1,$V1512&gt;1), "YES", "NO")</f>
        <v>NO</v>
      </c>
      <c r="AA1512" t="str">
        <f>IF(AND($S987&gt;1,$S1512&gt;1,$S987=$V987,$S1512=$V1512), "YES", "NO")</f>
        <v>NO</v>
      </c>
      <c r="AB1512" t="str">
        <f>IF(AND($S987&gt;1,$S1512&gt;1,$S987&lt;$V987,$S1512&lt;$V1512), "YES", "NO")</f>
        <v>YES</v>
      </c>
      <c r="AC1512" t="str">
        <f>IF(AND($V987&gt;10,$V1512&gt;10), "YES", "NO")</f>
        <v>NO</v>
      </c>
      <c r="AD1512"/>
    </row>
    <row r="1513" spans="1:30" ht="15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>LEFT($A1513,FIND("_",$A1513)-1)</f>
        <v>SimFix</v>
      </c>
      <c r="P1513" s="13" t="str">
        <f>IF($O1513="ACS", "True Search", IF($O1513="Arja", "Evolutionary Search", IF($O1513="AVATAR", "True Pattern", IF($O1513="CapGen", "Search Like Pattern", IF($O1513="Cardumen", "True Semantic", IF($O1513="DynaMoth", "True Semantic", IF($O1513="FixMiner", "True Pattern", IF($O1513="GenProg-A", "Evolutionary Search", IF($O1513="Hercules", "Learning Pattern", IF($O1513="Jaid", "True Semantic",
IF($O1513="Kali-A", "True Search", IF($O1513="kPAR", "True Pattern", IF($O1513="Nopol", "True Semantic", IF($O1513="RSRepair-A", "Evolutionary Search", IF($O1513="SequenceR", "Deep Learning", IF($O1513="SimFix", "Search Like Pattern", IF($O1513="SketchFix", "True Pattern", IF($O1513="SOFix", "True Pattern", IF($O1513="ssFix", "Search Like Pattern", IF($O1513="TBar", "True Pattern", ""))))))))))))))))))))</f>
        <v>Search Like Pattern</v>
      </c>
      <c r="Q1513" s="13" t="str">
        <f>IF(NOT(ISERR(SEARCH("*_Buggy",$A1513))), "Buggy", IF(NOT(ISERR(SEARCH("*_Fixed",$A1513))), "Fixed", IF(NOT(ISERR(SEARCH("*_Repaired",$A1513))), "Repaired", "")))</f>
        <v>Repaired</v>
      </c>
      <c r="R1513" s="13" t="s">
        <v>1669</v>
      </c>
      <c r="S1513" s="25">
        <v>2</v>
      </c>
      <c r="T1513" s="13">
        <v>7</v>
      </c>
      <c r="U1513" s="25">
        <v>0</v>
      </c>
      <c r="V1513" s="13">
        <v>7</v>
      </c>
      <c r="W1513" s="13" t="str">
        <f>MID(A1513, SEARCH("_", A1513) +1, SEARCH("_", A1513, SEARCH("_", A1513) +1) - SEARCH("_", A1513) -1)</f>
        <v>Math-85</v>
      </c>
      <c r="Y1513" t="str">
        <f>IF(AND($S988=1,$S1513=1,$V988=1,$V1513=1), "YES", "NO")</f>
        <v>NO</v>
      </c>
      <c r="Z1513" t="str">
        <f>IF(AND($S988=1,$S1513=1,$V988&gt;1,$V1513&gt;1), "YES", "NO")</f>
        <v>NO</v>
      </c>
      <c r="AA1513" t="str">
        <f>IF(AND($S988&gt;1,$S1513&gt;1,$S988=$V988,$S1513=$V1513), "YES", "NO")</f>
        <v>NO</v>
      </c>
      <c r="AB1513" t="str">
        <f>IF(AND($S988&gt;1,$S1513&gt;1,$S988&lt;$V988,$S1513&lt;$V1513), "YES", "NO")</f>
        <v>NO</v>
      </c>
      <c r="AC1513" t="str">
        <f>IF(AND($V988&gt;10,$V1513&gt;10), "YES", "NO")</f>
        <v>NO</v>
      </c>
      <c r="AD1513"/>
    </row>
    <row r="1514" spans="1:30" ht="15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>LEFT($A1514,FIND("_",$A1514)-1)</f>
        <v>TBar</v>
      </c>
      <c r="P1514" s="13" t="str">
        <f>IF($O1514="ACS", "True Search", IF($O1514="Arja", "Evolutionary Search", IF($O1514="AVATAR", "True Pattern", IF($O1514="CapGen", "Search Like Pattern", IF($O1514="Cardumen", "True Semantic", IF($O1514="DynaMoth", "True Semantic", IF($O1514="FixMiner", "True Pattern", IF($O1514="GenProg-A", "Evolutionary Search", IF($O1514="Hercules", "Learning Pattern", IF($O1514="Jaid", "True Semantic",
IF($O1514="Kali-A", "True Search", IF($O1514="kPAR", "True Pattern", IF($O1514="Nopol", "True Semantic", IF($O1514="RSRepair-A", "Evolutionary Search", IF($O1514="SequenceR", "Deep Learning", IF($O1514="SimFix", "Search Like Pattern", IF($O1514="SketchFix", "True Pattern", IF($O1514="SOFix", "True Pattern", IF($O1514="ssFix", "Search Like Pattern", IF($O1514="TBar", "True Pattern", ""))))))))))))))))))))</f>
        <v>True Pattern</v>
      </c>
      <c r="Q1514" s="13" t="str">
        <f>IF(NOT(ISERR(SEARCH("*_Buggy",$A1514))), "Buggy", IF(NOT(ISERR(SEARCH("*_Fixed",$A1514))), "Fixed", IF(NOT(ISERR(SEARCH("*_Repaired",$A1514))), "Repaired", "")))</f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v>1</v>
      </c>
      <c r="W1514" s="13" t="str">
        <f>MID(A1514, SEARCH("_", A1514) +1, SEARCH("_", A1514, SEARCH("_", A1514) +1) - SEARCH("_", A1514) -1)</f>
        <v>Chart-1</v>
      </c>
      <c r="Y1514" t="str">
        <f>IF(AND($S989=1,$S1514=1,$V989=1,$V1514=1), "YES", "NO")</f>
        <v>YES</v>
      </c>
      <c r="Z1514" t="str">
        <f>IF(AND($S989=1,$S1514=1,$V989&gt;1,$V1514&gt;1), "YES", "NO")</f>
        <v>NO</v>
      </c>
      <c r="AA1514" t="str">
        <f>IF(AND($S989&gt;1,$S1514&gt;1,$S989=$V989,$S1514=$V1514), "YES", "NO")</f>
        <v>NO</v>
      </c>
      <c r="AB1514" t="str">
        <f>IF(AND($S989&gt;1,$S1514&gt;1,$S989&lt;$V989,$S1514&lt;$V1514), "YES", "NO")</f>
        <v>NO</v>
      </c>
      <c r="AC1514" t="str">
        <f>IF(AND($V989&gt;10,$V1514&gt;10), "YES", "NO")</f>
        <v>NO</v>
      </c>
      <c r="AD1514"/>
    </row>
    <row r="1515" spans="1:30" ht="15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>LEFT($A1515,FIND("_",$A1515)-1)</f>
        <v>TBar</v>
      </c>
      <c r="P1515" s="13" t="str">
        <f>IF($O1515="ACS", "True Search", IF($O1515="Arja", "Evolutionary Search", IF($O1515="AVATAR", "True Pattern", IF($O1515="CapGen", "Search Like Pattern", IF($O1515="Cardumen", "True Semantic", IF($O1515="DynaMoth", "True Semantic", IF($O1515="FixMiner", "True Pattern", IF($O1515="GenProg-A", "Evolutionary Search", IF($O1515="Hercules", "Learning Pattern", IF($O1515="Jaid", "True Semantic",
IF($O1515="Kali-A", "True Search", IF($O1515="kPAR", "True Pattern", IF($O1515="Nopol", "True Semantic", IF($O1515="RSRepair-A", "Evolutionary Search", IF($O1515="SequenceR", "Deep Learning", IF($O1515="SimFix", "Search Like Pattern", IF($O1515="SketchFix", "True Pattern", IF($O1515="SOFix", "True Pattern", IF($O1515="ssFix", "Search Like Pattern", IF($O1515="TBar", "True Pattern", ""))))))))))))))))))))</f>
        <v>True Pattern</v>
      </c>
      <c r="Q1515" s="13" t="str">
        <f>IF(NOT(ISERR(SEARCH("*_Buggy",$A1515))), "Buggy", IF(NOT(ISERR(SEARCH("*_Fixed",$A1515))), "Fixed", IF(NOT(ISERR(SEARCH("*_Repaired",$A1515))), "Repaired", "")))</f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v>1</v>
      </c>
      <c r="W1515" s="13" t="str">
        <f>MID(A1515, SEARCH("_", A1515) +1, SEARCH("_", A1515, SEARCH("_", A1515) +1) - SEARCH("_", A1515) -1)</f>
        <v>Chart-11</v>
      </c>
      <c r="Y1515" t="str">
        <f>IF(AND($S990=1,$S1515=1,$V990=1,$V1515=1), "YES", "NO")</f>
        <v>YES</v>
      </c>
      <c r="Z1515" t="str">
        <f>IF(AND($S990=1,$S1515=1,$V990&gt;1,$V1515&gt;1), "YES", "NO")</f>
        <v>NO</v>
      </c>
      <c r="AA1515" t="str">
        <f>IF(AND($S990&gt;1,$S1515&gt;1,$S990=$V990,$S1515=$V1515), "YES", "NO")</f>
        <v>NO</v>
      </c>
      <c r="AB1515" t="str">
        <f>IF(AND($S990&gt;1,$S1515&gt;1,$S990&lt;$V990,$S1515&lt;$V1515), "YES", "NO")</f>
        <v>NO</v>
      </c>
      <c r="AC1515" t="str">
        <f>IF(AND($V990&gt;10,$V1515&gt;10), "YES", "NO")</f>
        <v>NO</v>
      </c>
      <c r="AD1515"/>
    </row>
    <row r="1516" spans="1:30" ht="15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>LEFT($A1516,FIND("_",$A1516)-1)</f>
        <v>TBar</v>
      </c>
      <c r="P1516" s="13" t="str">
        <f>IF($O1516="ACS", "True Search", IF($O1516="Arja", "Evolutionary Search", IF($O1516="AVATAR", "True Pattern", IF($O1516="CapGen", "Search Like Pattern", IF($O1516="Cardumen", "True Semantic", IF($O1516="DynaMoth", "True Semantic", IF($O1516="FixMiner", "True Pattern", IF($O1516="GenProg-A", "Evolutionary Search", IF($O1516="Hercules", "Learning Pattern", IF($O1516="Jaid", "True Semantic",
IF($O1516="Kali-A", "True Search", IF($O1516="kPAR", "True Pattern", IF($O1516="Nopol", "True Semantic", IF($O1516="RSRepair-A", "Evolutionary Search", IF($O1516="SequenceR", "Deep Learning", IF($O1516="SimFix", "Search Like Pattern", IF($O1516="SketchFix", "True Pattern", IF($O1516="SOFix", "True Pattern", IF($O1516="ssFix", "Search Like Pattern", IF($O1516="TBar", "True Pattern", ""))))))))))))))))))))</f>
        <v>True Pattern</v>
      </c>
      <c r="Q1516" s="13" t="str">
        <f>IF(NOT(ISERR(SEARCH("*_Buggy",$A1516))), "Buggy", IF(NOT(ISERR(SEARCH("*_Fixed",$A1516))), "Fixed", IF(NOT(ISERR(SEARCH("*_Repaired",$A1516))), "Repaired", "")))</f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v>1</v>
      </c>
      <c r="W1516" s="13" t="str">
        <f>MID(A1516, SEARCH("_", A1516) +1, SEARCH("_", A1516, SEARCH("_", A1516) +1) - SEARCH("_", A1516) -1)</f>
        <v>Chart-12</v>
      </c>
      <c r="Y1516" t="str">
        <f>IF(AND($S991=1,$S1516=1,$V991=1,$V1516=1), "YES", "NO")</f>
        <v>YES</v>
      </c>
      <c r="Z1516" t="str">
        <f>IF(AND($S991=1,$S1516=1,$V991&gt;1,$V1516&gt;1), "YES", "NO")</f>
        <v>NO</v>
      </c>
      <c r="AA1516" t="str">
        <f>IF(AND($S991&gt;1,$S1516&gt;1,$S991=$V991,$S1516=$V1516), "YES", "NO")</f>
        <v>NO</v>
      </c>
      <c r="AB1516" t="str">
        <f>IF(AND($S991&gt;1,$S1516&gt;1,$S991&lt;$V991,$S1516&lt;$V1516), "YES", "NO")</f>
        <v>NO</v>
      </c>
      <c r="AC1516" t="str">
        <f>IF(AND($V991&gt;10,$V1516&gt;10), "YES", "NO")</f>
        <v>NO</v>
      </c>
      <c r="AD1516"/>
    </row>
    <row r="1517" spans="1:30" ht="15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>LEFT($A1517,FIND("_",$A1517)-1)</f>
        <v>TBar</v>
      </c>
      <c r="P1517" s="13" t="str">
        <f>IF($O1517="ACS", "True Search", IF($O1517="Arja", "Evolutionary Search", IF($O1517="AVATAR", "True Pattern", IF($O1517="CapGen", "Search Like Pattern", IF($O1517="Cardumen", "True Semantic", IF($O1517="DynaMoth", "True Semantic", IF($O1517="FixMiner", "True Pattern", IF($O1517="GenProg-A", "Evolutionary Search", IF($O1517="Hercules", "Learning Pattern", IF($O1517="Jaid", "True Semantic",
IF($O1517="Kali-A", "True Search", IF($O1517="kPAR", "True Pattern", IF($O1517="Nopol", "True Semantic", IF($O1517="RSRepair-A", "Evolutionary Search", IF($O1517="SequenceR", "Deep Learning", IF($O1517="SimFix", "Search Like Pattern", IF($O1517="SketchFix", "True Pattern", IF($O1517="SOFix", "True Pattern", IF($O1517="ssFix", "Search Like Pattern", IF($O1517="TBar", "True Pattern", ""))))))))))))))))))))</f>
        <v>True Pattern</v>
      </c>
      <c r="Q1517" s="13" t="str">
        <f>IF(NOT(ISERR(SEARCH("*_Buggy",$A1517))), "Buggy", IF(NOT(ISERR(SEARCH("*_Fixed",$A1517))), "Fixed", IF(NOT(ISERR(SEARCH("*_Repaired",$A1517))), "Repaired", "")))</f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v>1</v>
      </c>
      <c r="W1517" s="13" t="str">
        <f>MID(A1517, SEARCH("_", A1517) +1, SEARCH("_", A1517, SEARCH("_", A1517) +1) - SEARCH("_", A1517) -1)</f>
        <v>Chart-13</v>
      </c>
      <c r="Y1517" t="str">
        <f>IF(AND($S992=1,$S1517=1,$V992=1,$V1517=1), "YES", "NO")</f>
        <v>YES</v>
      </c>
      <c r="Z1517" t="str">
        <f>IF(AND($S992=1,$S1517=1,$V992&gt;1,$V1517&gt;1), "YES", "NO")</f>
        <v>NO</v>
      </c>
      <c r="AA1517" t="str">
        <f>IF(AND($S992&gt;1,$S1517&gt;1,$S992=$V992,$S1517=$V1517), "YES", "NO")</f>
        <v>NO</v>
      </c>
      <c r="AB1517" t="str">
        <f>IF(AND($S992&gt;1,$S1517&gt;1,$S992&lt;$V992,$S1517&lt;$V1517), "YES", "NO")</f>
        <v>NO</v>
      </c>
      <c r="AC1517" t="str">
        <f>IF(AND($V992&gt;10,$V1517&gt;10), "YES", "NO")</f>
        <v>NO</v>
      </c>
      <c r="AD1517"/>
    </row>
    <row r="1518" spans="1:30" ht="15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>LEFT($A1518,FIND("_",$A1518)-1)</f>
        <v>TBar</v>
      </c>
      <c r="P1518" s="13" t="str">
        <f>IF($O1518="ACS", "True Search", IF($O1518="Arja", "Evolutionary Search", IF($O1518="AVATAR", "True Pattern", IF($O1518="CapGen", "Search Like Pattern", IF($O1518="Cardumen", "True Semantic", IF($O1518="DynaMoth", "True Semantic", IF($O1518="FixMiner", "True Pattern", IF($O1518="GenProg-A", "Evolutionary Search", IF($O1518="Hercules", "Learning Pattern", IF($O1518="Jaid", "True Semantic",
IF($O1518="Kali-A", "True Search", IF($O1518="kPAR", "True Pattern", IF($O1518="Nopol", "True Semantic", IF($O1518="RSRepair-A", "Evolutionary Search", IF($O1518="SequenceR", "Deep Learning", IF($O1518="SimFix", "Search Like Pattern", IF($O1518="SketchFix", "True Pattern", IF($O1518="SOFix", "True Pattern", IF($O1518="ssFix", "Search Like Pattern", IF($O1518="TBar", "True Pattern", ""))))))))))))))))))))</f>
        <v>True Pattern</v>
      </c>
      <c r="Q1518" s="13" t="str">
        <f>IF(NOT(ISERR(SEARCH("*_Buggy",$A1518))), "Buggy", IF(NOT(ISERR(SEARCH("*_Fixed",$A1518))), "Fixed", IF(NOT(ISERR(SEARCH("*_Repaired",$A1518))), "Repaired", "")))</f>
        <v>Repaired</v>
      </c>
      <c r="R1518" s="13" t="s">
        <v>1668</v>
      </c>
      <c r="S1518" s="25">
        <v>1</v>
      </c>
      <c r="T1518" s="25">
        <v>4</v>
      </c>
      <c r="U1518" s="25">
        <v>1</v>
      </c>
      <c r="V1518" s="13">
        <v>4</v>
      </c>
      <c r="W1518" s="13" t="str">
        <f>MID(A1518, SEARCH("_", A1518) +1, SEARCH("_", A1518, SEARCH("_", A1518) +1) - SEARCH("_", A1518) -1)</f>
        <v>Chart-19</v>
      </c>
      <c r="Y1518" t="str">
        <f>IF(AND($S993=1,$S1518=1,$V993=1,$V1518=1), "YES", "NO")</f>
        <v>NO</v>
      </c>
      <c r="Z1518" t="str">
        <f>IF(AND($S993=1,$S1518=1,$V993&gt;1,$V1518&gt;1), "YES", "NO")</f>
        <v>NO</v>
      </c>
      <c r="AA1518" t="str">
        <f>IF(AND($S993&gt;1,$S1518&gt;1,$S993=$V993,$S1518=$V1518), "YES", "NO")</f>
        <v>NO</v>
      </c>
      <c r="AB1518" t="str">
        <f>IF(AND($S993&gt;1,$S1518&gt;1,$S993&lt;$V993,$S1518&lt;$V1518), "YES", "NO")</f>
        <v>NO</v>
      </c>
      <c r="AC1518" t="str">
        <f>IF(AND($V993&gt;10,$V1518&gt;10), "YES", "NO")</f>
        <v>NO</v>
      </c>
      <c r="AD1518"/>
    </row>
    <row r="1519" spans="1:30" ht="15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>LEFT($A1519,FIND("_",$A1519)-1)</f>
        <v>TBar</v>
      </c>
      <c r="P1519" s="13" t="str">
        <f>IF($O1519="ACS", "True Search", IF($O1519="Arja", "Evolutionary Search", IF($O1519="AVATAR", "True Pattern", IF($O1519="CapGen", "Search Like Pattern", IF($O1519="Cardumen", "True Semantic", IF($O1519="DynaMoth", "True Semantic", IF($O1519="FixMiner", "True Pattern", IF($O1519="GenProg-A", "Evolutionary Search", IF($O1519="Hercules", "Learning Pattern", IF($O1519="Jaid", "True Semantic",
IF($O1519="Kali-A", "True Search", IF($O1519="kPAR", "True Pattern", IF($O1519="Nopol", "True Semantic", IF($O1519="RSRepair-A", "Evolutionary Search", IF($O1519="SequenceR", "Deep Learning", IF($O1519="SimFix", "Search Like Pattern", IF($O1519="SketchFix", "True Pattern", IF($O1519="SOFix", "True Pattern", IF($O1519="ssFix", "Search Like Pattern", IF($O1519="TBar", "True Pattern", ""))))))))))))))))))))</f>
        <v>True Pattern</v>
      </c>
      <c r="Q1519" s="13" t="str">
        <f>IF(NOT(ISERR(SEARCH("*_Buggy",$A1519))), "Buggy", IF(NOT(ISERR(SEARCH("*_Fixed",$A1519))), "Fixed", IF(NOT(ISERR(SEARCH("*_Repaired",$A1519))), "Repaired", "")))</f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v>1</v>
      </c>
      <c r="W1519" s="13" t="str">
        <f>MID(A1519, SEARCH("_", A1519) +1, SEARCH("_", A1519, SEARCH("_", A1519) +1) - SEARCH("_", A1519) -1)</f>
        <v>Chart-20</v>
      </c>
      <c r="Y1519" t="str">
        <f>IF(AND($S994=1,$S1519=1,$V994=1,$V1519=1), "YES", "NO")</f>
        <v>YES</v>
      </c>
      <c r="Z1519" t="str">
        <f>IF(AND($S994=1,$S1519=1,$V994&gt;1,$V1519&gt;1), "YES", "NO")</f>
        <v>NO</v>
      </c>
      <c r="AA1519" t="str">
        <f>IF(AND($S994&gt;1,$S1519&gt;1,$S994=$V994,$S1519=$V1519), "YES", "NO")</f>
        <v>NO</v>
      </c>
      <c r="AB1519" t="str">
        <f>IF(AND($S994&gt;1,$S1519&gt;1,$S994&lt;$V994,$S1519&lt;$V1519), "YES", "NO")</f>
        <v>NO</v>
      </c>
      <c r="AC1519" t="str">
        <f>IF(AND($V994&gt;10,$V1519&gt;10), "YES", "NO")</f>
        <v>NO</v>
      </c>
      <c r="AD1519"/>
    </row>
    <row r="1520" spans="1:30" ht="15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>LEFT($A1520,FIND("_",$A1520)-1)</f>
        <v>TBar</v>
      </c>
      <c r="P1520" s="13" t="str">
        <f>IF($O1520="ACS", "True Search", IF($O1520="Arja", "Evolutionary Search", IF($O1520="AVATAR", "True Pattern", IF($O1520="CapGen", "Search Like Pattern", IF($O1520="Cardumen", "True Semantic", IF($O1520="DynaMoth", "True Semantic", IF($O1520="FixMiner", "True Pattern", IF($O1520="GenProg-A", "Evolutionary Search", IF($O1520="Hercules", "Learning Pattern", IF($O1520="Jaid", "True Semantic",
IF($O1520="Kali-A", "True Search", IF($O1520="kPAR", "True Pattern", IF($O1520="Nopol", "True Semantic", IF($O1520="RSRepair-A", "Evolutionary Search", IF($O1520="SequenceR", "Deep Learning", IF($O1520="SimFix", "Search Like Pattern", IF($O1520="SketchFix", "True Pattern", IF($O1520="SOFix", "True Pattern", IF($O1520="ssFix", "Search Like Pattern", IF($O1520="TBar", "True Pattern", ""))))))))))))))))))))</f>
        <v>True Pattern</v>
      </c>
      <c r="Q1520" s="13" t="str">
        <f>IF(NOT(ISERR(SEARCH("*_Buggy",$A1520))), "Buggy", IF(NOT(ISERR(SEARCH("*_Fixed",$A1520))), "Fixed", IF(NOT(ISERR(SEARCH("*_Repaired",$A1520))), "Repaired", "")))</f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v>1</v>
      </c>
      <c r="W1520" s="13" t="str">
        <f>MID(A1520, SEARCH("_", A1520) +1, SEARCH("_", A1520, SEARCH("_", A1520) +1) - SEARCH("_", A1520) -1)</f>
        <v>Chart-24</v>
      </c>
      <c r="Y1520" t="str">
        <f>IF(AND($S995=1,$S1520=1,$V995=1,$V1520=1), "YES", "NO")</f>
        <v>YES</v>
      </c>
      <c r="Z1520" t="str">
        <f>IF(AND($S995=1,$S1520=1,$V995&gt;1,$V1520&gt;1), "YES", "NO")</f>
        <v>NO</v>
      </c>
      <c r="AA1520" t="str">
        <f>IF(AND($S995&gt;1,$S1520&gt;1,$S995=$V995,$S1520=$V1520), "YES", "NO")</f>
        <v>NO</v>
      </c>
      <c r="AB1520" t="str">
        <f>IF(AND($S995&gt;1,$S1520&gt;1,$S995&lt;$V995,$S1520&lt;$V1520), "YES", "NO")</f>
        <v>NO</v>
      </c>
      <c r="AC1520" t="str">
        <f>IF(AND($V995&gt;10,$V1520&gt;10), "YES", "NO")</f>
        <v>NO</v>
      </c>
      <c r="AD1520"/>
    </row>
    <row r="1521" spans="1:30" ht="15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>LEFT($A1521,FIND("_",$A1521)-1)</f>
        <v>TBar</v>
      </c>
      <c r="P1521" s="13" t="str">
        <f>IF($O1521="ACS", "True Search", IF($O1521="Arja", "Evolutionary Search", IF($O1521="AVATAR", "True Pattern", IF($O1521="CapGen", "Search Like Pattern", IF($O1521="Cardumen", "True Semantic", IF($O1521="DynaMoth", "True Semantic", IF($O1521="FixMiner", "True Pattern", IF($O1521="GenProg-A", "Evolutionary Search", IF($O1521="Hercules", "Learning Pattern", IF($O1521="Jaid", "True Semantic",
IF($O1521="Kali-A", "True Search", IF($O1521="kPAR", "True Pattern", IF($O1521="Nopol", "True Semantic", IF($O1521="RSRepair-A", "Evolutionary Search", IF($O1521="SequenceR", "Deep Learning", IF($O1521="SimFix", "Search Like Pattern", IF($O1521="SketchFix", "True Pattern", IF($O1521="SOFix", "True Pattern", IF($O1521="ssFix", "Search Like Pattern", IF($O1521="TBar", "True Pattern", ""))))))))))))))))))))</f>
        <v>True Pattern</v>
      </c>
      <c r="Q1521" s="13" t="str">
        <f>IF(NOT(ISERR(SEARCH("*_Buggy",$A1521))), "Buggy", IF(NOT(ISERR(SEARCH("*_Fixed",$A1521))), "Fixed", IF(NOT(ISERR(SEARCH("*_Repaired",$A1521))), "Repaired", "")))</f>
        <v>Repaired</v>
      </c>
      <c r="R1521" s="13" t="s">
        <v>1669</v>
      </c>
      <c r="S1521" s="25">
        <v>1</v>
      </c>
      <c r="T1521" s="25">
        <v>1</v>
      </c>
      <c r="U1521" s="25">
        <v>43</v>
      </c>
      <c r="V1521" s="13">
        <v>43</v>
      </c>
      <c r="W1521" s="13" t="str">
        <f>MID(A1521, SEARCH("_", A1521) +1, SEARCH("_", A1521, SEARCH("_", A1521) +1) - SEARCH("_", A1521) -1)</f>
        <v>Chart-25</v>
      </c>
      <c r="Y1521" t="str">
        <f>IF(AND($S996=1,$S1521=1,$V996=1,$V1521=1), "YES", "NO")</f>
        <v>NO</v>
      </c>
      <c r="Z1521" t="str">
        <f>IF(AND($S996=1,$S1521=1,$V996&gt;1,$V1521&gt;1), "YES", "NO")</f>
        <v>NO</v>
      </c>
      <c r="AA1521" t="str">
        <f>IF(AND($S996&gt;1,$S1521&gt;1,$S996=$V996,$S1521=$V1521), "YES", "NO")</f>
        <v>NO</v>
      </c>
      <c r="AB1521" t="str">
        <f>IF(AND($S996&gt;1,$S1521&gt;1,$S996&lt;$V996,$S1521&lt;$V1521), "YES", "NO")</f>
        <v>NO</v>
      </c>
      <c r="AC1521" t="str">
        <f>IF(AND($V996&gt;10,$V1521&gt;10), "YES", "NO")</f>
        <v>YES</v>
      </c>
      <c r="AD1521"/>
    </row>
    <row r="1522" spans="1:30" ht="15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>LEFT($A1522,FIND("_",$A1522)-1)</f>
        <v>TBar</v>
      </c>
      <c r="P1522" s="13" t="str">
        <f>IF($O1522="ACS", "True Search", IF($O1522="Arja", "Evolutionary Search", IF($O1522="AVATAR", "True Pattern", IF($O1522="CapGen", "Search Like Pattern", IF($O1522="Cardumen", "True Semantic", IF($O1522="DynaMoth", "True Semantic", IF($O1522="FixMiner", "True Pattern", IF($O1522="GenProg-A", "Evolutionary Search", IF($O1522="Hercules", "Learning Pattern", IF($O1522="Jaid", "True Semantic",
IF($O1522="Kali-A", "True Search", IF($O1522="kPAR", "True Pattern", IF($O1522="Nopol", "True Semantic", IF($O1522="RSRepair-A", "Evolutionary Search", IF($O1522="SequenceR", "Deep Learning", IF($O1522="SimFix", "Search Like Pattern", IF($O1522="SketchFix", "True Pattern", IF($O1522="SOFix", "True Pattern", IF($O1522="ssFix", "Search Like Pattern", IF($O1522="TBar", "True Pattern", ""))))))))))))))))))))</f>
        <v>True Pattern</v>
      </c>
      <c r="Q1522" s="13" t="str">
        <f>IF(NOT(ISERR(SEARCH("*_Buggy",$A1522))), "Buggy", IF(NOT(ISERR(SEARCH("*_Fixed",$A1522))), "Fixed", IF(NOT(ISERR(SEARCH("*_Repaired",$A1522))), "Repaired", "")))</f>
        <v>Repaired</v>
      </c>
      <c r="R1522" s="13" t="s">
        <v>1668</v>
      </c>
      <c r="S1522" s="25">
        <v>2</v>
      </c>
      <c r="T1522" s="25">
        <v>4</v>
      </c>
      <c r="U1522" s="25">
        <v>1</v>
      </c>
      <c r="V1522" s="13">
        <v>4</v>
      </c>
      <c r="W1522" s="13" t="str">
        <f>MID(A1522, SEARCH("_", A1522) +1, SEARCH("_", A1522, SEARCH("_", A1522) +1) - SEARCH("_", A1522) -1)</f>
        <v>Chart-26</v>
      </c>
      <c r="Y1522" t="str">
        <f>IF(AND($S997=1,$S1522=1,$V997=1,$V1522=1), "YES", "NO")</f>
        <v>NO</v>
      </c>
      <c r="Z1522" t="str">
        <f>IF(AND($S997=1,$S1522=1,$V997&gt;1,$V1522&gt;1), "YES", "NO")</f>
        <v>NO</v>
      </c>
      <c r="AA1522" t="str">
        <f>IF(AND($S997&gt;1,$S1522&gt;1,$S997=$V997,$S1522=$V1522), "YES", "NO")</f>
        <v>NO</v>
      </c>
      <c r="AB1522" t="str">
        <f>IF(AND($S997&gt;1,$S1522&gt;1,$S997&lt;$V997,$S1522&lt;$V1522), "YES", "NO")</f>
        <v>NO</v>
      </c>
      <c r="AC1522" t="str">
        <f>IF(AND($V997&gt;10,$V1522&gt;10), "YES", "NO")</f>
        <v>NO</v>
      </c>
      <c r="AD1522"/>
    </row>
    <row r="1523" spans="1:30" ht="15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>LEFT($A1523,FIND("_",$A1523)-1)</f>
        <v>TBar</v>
      </c>
      <c r="P1523" s="13" t="str">
        <f>IF($O1523="ACS", "True Search", IF($O1523="Arja", "Evolutionary Search", IF($O1523="AVATAR", "True Pattern", IF($O1523="CapGen", "Search Like Pattern", IF($O1523="Cardumen", "True Semantic", IF($O1523="DynaMoth", "True Semantic", IF($O1523="FixMiner", "True Pattern", IF($O1523="GenProg-A", "Evolutionary Search", IF($O1523="Hercules", "Learning Pattern", IF($O1523="Jaid", "True Semantic",
IF($O1523="Kali-A", "True Search", IF($O1523="kPAR", "True Pattern", IF($O1523="Nopol", "True Semantic", IF($O1523="RSRepair-A", "Evolutionary Search", IF($O1523="SequenceR", "Deep Learning", IF($O1523="SimFix", "Search Like Pattern", IF($O1523="SketchFix", "True Pattern", IF($O1523="SOFix", "True Pattern", IF($O1523="ssFix", "Search Like Pattern", IF($O1523="TBar", "True Pattern", ""))))))))))))))))))))</f>
        <v>True Pattern</v>
      </c>
      <c r="Q1523" s="13" t="str">
        <f>IF(NOT(ISERR(SEARCH("*_Buggy",$A1523))), "Buggy", IF(NOT(ISERR(SEARCH("*_Fixed",$A1523))), "Fixed", IF(NOT(ISERR(SEARCH("*_Repaired",$A1523))), "Repaired", "")))</f>
        <v>Repaired</v>
      </c>
      <c r="R1523" s="13" t="s">
        <v>1669</v>
      </c>
      <c r="S1523" s="25">
        <v>1</v>
      </c>
      <c r="T1523" s="25">
        <v>2</v>
      </c>
      <c r="U1523" s="25">
        <v>1</v>
      </c>
      <c r="V1523" s="13">
        <v>2</v>
      </c>
      <c r="W1523" s="13" t="str">
        <f>MID(A1523, SEARCH("_", A1523) +1, SEARCH("_", A1523, SEARCH("_", A1523) +1) - SEARCH("_", A1523) -1)</f>
        <v>Chart-3</v>
      </c>
      <c r="Y1523" t="str">
        <f>IF(AND($S998=1,$S1523=1,$V998=1,$V1523=1), "YES", "NO")</f>
        <v>NO</v>
      </c>
      <c r="Z1523" t="str">
        <f>IF(AND($S998=1,$S1523=1,$V998&gt;1,$V1523&gt;1), "YES", "NO")</f>
        <v>YES</v>
      </c>
      <c r="AA1523" t="str">
        <f>IF(AND($S998&gt;1,$S1523&gt;1,$S998=$V998,$S1523=$V1523), "YES", "NO")</f>
        <v>NO</v>
      </c>
      <c r="AB1523" t="str">
        <f>IF(AND($S998&gt;1,$S1523&gt;1,$S998&lt;$V998,$S1523&lt;$V1523), "YES", "NO")</f>
        <v>NO</v>
      </c>
      <c r="AC1523" t="str">
        <f>IF(AND($V998&gt;10,$V1523&gt;10), "YES", "NO")</f>
        <v>NO</v>
      </c>
      <c r="AD1523"/>
    </row>
    <row r="1524" spans="1:30" ht="15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>LEFT($A1524,FIND("_",$A1524)-1)</f>
        <v>TBar</v>
      </c>
      <c r="P1524" s="13" t="str">
        <f>IF($O1524="ACS", "True Search", IF($O1524="Arja", "Evolutionary Search", IF($O1524="AVATAR", "True Pattern", IF($O1524="CapGen", "Search Like Pattern", IF($O1524="Cardumen", "True Semantic", IF($O1524="DynaMoth", "True Semantic", IF($O1524="FixMiner", "True Pattern", IF($O1524="GenProg-A", "Evolutionary Search", IF($O1524="Hercules", "Learning Pattern", IF($O1524="Jaid", "True Semantic",
IF($O1524="Kali-A", "True Search", IF($O1524="kPAR", "True Pattern", IF($O1524="Nopol", "True Semantic", IF($O1524="RSRepair-A", "Evolutionary Search", IF($O1524="SequenceR", "Deep Learning", IF($O1524="SimFix", "Search Like Pattern", IF($O1524="SketchFix", "True Pattern", IF($O1524="SOFix", "True Pattern", IF($O1524="ssFix", "Search Like Pattern", IF($O1524="TBar", "True Pattern", ""))))))))))))))))))))</f>
        <v>True Pattern</v>
      </c>
      <c r="Q1524" s="13" t="str">
        <f>IF(NOT(ISERR(SEARCH("*_Buggy",$A1524))), "Buggy", IF(NOT(ISERR(SEARCH("*_Fixed",$A1524))), "Fixed", IF(NOT(ISERR(SEARCH("*_Repaired",$A1524))), "Repaired", "")))</f>
        <v>Repaired</v>
      </c>
      <c r="R1524" s="13" t="s">
        <v>1668</v>
      </c>
      <c r="S1524" s="25">
        <v>2</v>
      </c>
      <c r="T1524" s="25">
        <v>4</v>
      </c>
      <c r="U1524" s="25">
        <v>1</v>
      </c>
      <c r="V1524" s="13">
        <v>4</v>
      </c>
      <c r="W1524" s="13" t="str">
        <f>MID(A1524, SEARCH("_", A1524) +1, SEARCH("_", A1524, SEARCH("_", A1524) +1) - SEARCH("_", A1524) -1)</f>
        <v>Chart-4</v>
      </c>
      <c r="Y1524" t="str">
        <f>IF(AND($S999=1,$S1524=1,$V999=1,$V1524=1), "YES", "NO")</f>
        <v>NO</v>
      </c>
      <c r="Z1524" t="str">
        <f>IF(AND($S999=1,$S1524=1,$V999&gt;1,$V1524&gt;1), "YES", "NO")</f>
        <v>NO</v>
      </c>
      <c r="AA1524" t="str">
        <f>IF(AND($S999&gt;1,$S1524&gt;1,$S999=$V999,$S1524=$V1524), "YES", "NO")</f>
        <v>NO</v>
      </c>
      <c r="AB1524" t="str">
        <f>IF(AND($S999&gt;1,$S1524&gt;1,$S999&lt;$V999,$S1524&lt;$V1524), "YES", "NO")</f>
        <v>NO</v>
      </c>
      <c r="AC1524" t="str">
        <f>IF(AND($V999&gt;10,$V1524&gt;10), "YES", "NO")</f>
        <v>NO</v>
      </c>
      <c r="AD1524"/>
    </row>
    <row r="1525" spans="1:30" ht="15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>LEFT($A1525,FIND("_",$A1525)-1)</f>
        <v>TBar</v>
      </c>
      <c r="P1525" s="13" t="str">
        <f>IF($O1525="ACS", "True Search", IF($O1525="Arja", "Evolutionary Search", IF($O1525="AVATAR", "True Pattern", IF($O1525="CapGen", "Search Like Pattern", IF($O1525="Cardumen", "True Semantic", IF($O1525="DynaMoth", "True Semantic", IF($O1525="FixMiner", "True Pattern", IF($O1525="GenProg-A", "Evolutionary Search", IF($O1525="Hercules", "Learning Pattern", IF($O1525="Jaid", "True Semantic",
IF($O1525="Kali-A", "True Search", IF($O1525="kPAR", "True Pattern", IF($O1525="Nopol", "True Semantic", IF($O1525="RSRepair-A", "Evolutionary Search", IF($O1525="SequenceR", "Deep Learning", IF($O1525="SimFix", "Search Like Pattern", IF($O1525="SketchFix", "True Pattern", IF($O1525="SOFix", "True Pattern", IF($O1525="ssFix", "Search Like Pattern", IF($O1525="TBar", "True Pattern", ""))))))))))))))))))))</f>
        <v>True Pattern</v>
      </c>
      <c r="Q1525" s="13" t="str">
        <f>IF(NOT(ISERR(SEARCH("*_Buggy",$A1525))), "Buggy", IF(NOT(ISERR(SEARCH("*_Fixed",$A1525))), "Fixed", IF(NOT(ISERR(SEARCH("*_Repaired",$A1525))), "Repaired", "")))</f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v>1</v>
      </c>
      <c r="W1525" s="13" t="str">
        <f>MID(A1525, SEARCH("_", A1525) +1, SEARCH("_", A1525, SEARCH("_", A1525) +1) - SEARCH("_", A1525) -1)</f>
        <v>Chart-5</v>
      </c>
      <c r="Y1525" t="str">
        <f>IF(AND($S1000=1,$S1525=1,$V1000=1,$V1525=1), "YES", "NO")</f>
        <v>NO</v>
      </c>
      <c r="Z1525" t="str">
        <f>IF(AND($S1000=1,$S1525=1,$V1000&gt;1,$V1525&gt;1), "YES", "NO")</f>
        <v>NO</v>
      </c>
      <c r="AA1525" t="str">
        <f>IF(AND($S1000&gt;1,$S1525&gt;1,$S1000=$V1000,$S1525=$V1525), "YES", "NO")</f>
        <v>NO</v>
      </c>
      <c r="AB1525" t="str">
        <f>IF(AND($S1000&gt;1,$S1525&gt;1,$S1000&lt;$V1000,$S1525&lt;$V1525), "YES", "NO")</f>
        <v>NO</v>
      </c>
      <c r="AC1525" t="str">
        <f>IF(AND($V1000&gt;10,$V1525&gt;10), "YES", "NO")</f>
        <v>NO</v>
      </c>
      <c r="AD1525"/>
    </row>
    <row r="1526" spans="1:30" ht="15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>LEFT($A1526,FIND("_",$A1526)-1)</f>
        <v>TBar</v>
      </c>
      <c r="P1526" s="13" t="str">
        <f>IF($O1526="ACS", "True Search", IF($O1526="Arja", "Evolutionary Search", IF($O1526="AVATAR", "True Pattern", IF($O1526="CapGen", "Search Like Pattern", IF($O1526="Cardumen", "True Semantic", IF($O1526="DynaMoth", "True Semantic", IF($O1526="FixMiner", "True Pattern", IF($O1526="GenProg-A", "Evolutionary Search", IF($O1526="Hercules", "Learning Pattern", IF($O1526="Jaid", "True Semantic",
IF($O1526="Kali-A", "True Search", IF($O1526="kPAR", "True Pattern", IF($O1526="Nopol", "True Semantic", IF($O1526="RSRepair-A", "Evolutionary Search", IF($O1526="SequenceR", "Deep Learning", IF($O1526="SimFix", "Search Like Pattern", IF($O1526="SketchFix", "True Pattern", IF($O1526="SOFix", "True Pattern", IF($O1526="ssFix", "Search Like Pattern", IF($O1526="TBar", "True Pattern", ""))))))))))))))))))))</f>
        <v>True Pattern</v>
      </c>
      <c r="Q1526" s="13" t="str">
        <f>IF(NOT(ISERR(SEARCH("*_Buggy",$A1526))), "Buggy", IF(NOT(ISERR(SEARCH("*_Fixed",$A1526))), "Fixed", IF(NOT(ISERR(SEARCH("*_Repaired",$A1526))), "Repaired", "")))</f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v>1</v>
      </c>
      <c r="W1526" s="13" t="str">
        <f>MID(A1526, SEARCH("_", A1526) +1, SEARCH("_", A1526, SEARCH("_", A1526) +1) - SEARCH("_", A1526) -1)</f>
        <v>Chart-7</v>
      </c>
      <c r="Y1526" t="str">
        <f>IF(AND($S1001=1,$S1526=1,$V1001=1,$V1526=1), "YES", "NO")</f>
        <v>NO</v>
      </c>
      <c r="Z1526" t="str">
        <f>IF(AND($S1001=1,$S1526=1,$V1001&gt;1,$V1526&gt;1), "YES", "NO")</f>
        <v>NO</v>
      </c>
      <c r="AA1526" t="str">
        <f>IF(AND($S1001&gt;1,$S1526&gt;1,$S1001=$V1001,$S1526=$V1526), "YES", "NO")</f>
        <v>NO</v>
      </c>
      <c r="AB1526" t="str">
        <f>IF(AND($S1001&gt;1,$S1526&gt;1,$S1001&lt;$V1001,$S1526&lt;$V1526), "YES", "NO")</f>
        <v>NO</v>
      </c>
      <c r="AC1526" t="str">
        <f>IF(AND($V1001&gt;10,$V1526&gt;10), "YES", "NO")</f>
        <v>NO</v>
      </c>
      <c r="AD1526"/>
    </row>
    <row r="1527" spans="1:30" ht="15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>LEFT($A1527,FIND("_",$A1527)-1)</f>
        <v>TBar</v>
      </c>
      <c r="P1527" s="13" t="str">
        <f>IF($O1527="ACS", "True Search", IF($O1527="Arja", "Evolutionary Search", IF($O1527="AVATAR", "True Pattern", IF($O1527="CapGen", "Search Like Pattern", IF($O1527="Cardumen", "True Semantic", IF($O1527="DynaMoth", "True Semantic", IF($O1527="FixMiner", "True Pattern", IF($O1527="GenProg-A", "Evolutionary Search", IF($O1527="Hercules", "Learning Pattern", IF($O1527="Jaid", "True Semantic",
IF($O1527="Kali-A", "True Search", IF($O1527="kPAR", "True Pattern", IF($O1527="Nopol", "True Semantic", IF($O1527="RSRepair-A", "Evolutionary Search", IF($O1527="SequenceR", "Deep Learning", IF($O1527="SimFix", "Search Like Pattern", IF($O1527="SketchFix", "True Pattern", IF($O1527="SOFix", "True Pattern", IF($O1527="ssFix", "Search Like Pattern", IF($O1527="TBar", "True Pattern", ""))))))))))))))))))))</f>
        <v>True Pattern</v>
      </c>
      <c r="Q1527" s="13" t="str">
        <f>IF(NOT(ISERR(SEARCH("*_Buggy",$A1527))), "Buggy", IF(NOT(ISERR(SEARCH("*_Fixed",$A1527))), "Fixed", IF(NOT(ISERR(SEARCH("*_Repaired",$A1527))), "Repaired", "")))</f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v>1</v>
      </c>
      <c r="W1527" s="13" t="str">
        <f>MID(A1527, SEARCH("_", A1527) +1, SEARCH("_", A1527, SEARCH("_", A1527) +1) - SEARCH("_", A1527) -1)</f>
        <v>Chart-8</v>
      </c>
      <c r="Y1527" t="str">
        <f>IF(AND($S1002=1,$S1527=1,$V1002=1,$V1527=1), "YES", "NO")</f>
        <v>YES</v>
      </c>
      <c r="Z1527" t="str">
        <f>IF(AND($S1002=1,$S1527=1,$V1002&gt;1,$V1527&gt;1), "YES", "NO")</f>
        <v>NO</v>
      </c>
      <c r="AA1527" t="str">
        <f>IF(AND($S1002&gt;1,$S1527&gt;1,$S1002=$V1002,$S1527=$V1527), "YES", "NO")</f>
        <v>NO</v>
      </c>
      <c r="AB1527" t="str">
        <f>IF(AND($S1002&gt;1,$S1527&gt;1,$S1002&lt;$V1002,$S1527&lt;$V1527), "YES", "NO")</f>
        <v>NO</v>
      </c>
      <c r="AC1527" t="str">
        <f>IF(AND($V1002&gt;10,$V1527&gt;10), "YES", "NO")</f>
        <v>NO</v>
      </c>
      <c r="AD1527"/>
    </row>
    <row r="1528" spans="1:30" ht="15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>LEFT($A1528,FIND("_",$A1528)-1)</f>
        <v>TBar</v>
      </c>
      <c r="P1528" s="13" t="str">
        <f>IF($O1528="ACS", "True Search", IF($O1528="Arja", "Evolutionary Search", IF($O1528="AVATAR", "True Pattern", IF($O1528="CapGen", "Search Like Pattern", IF($O1528="Cardumen", "True Semantic", IF($O1528="DynaMoth", "True Semantic", IF($O1528="FixMiner", "True Pattern", IF($O1528="GenProg-A", "Evolutionary Search", IF($O1528="Hercules", "Learning Pattern", IF($O1528="Jaid", "True Semantic",
IF($O1528="Kali-A", "True Search", IF($O1528="kPAR", "True Pattern", IF($O1528="Nopol", "True Semantic", IF($O1528="RSRepair-A", "Evolutionary Search", IF($O1528="SequenceR", "Deep Learning", IF($O1528="SimFix", "Search Like Pattern", IF($O1528="SketchFix", "True Pattern", IF($O1528="SOFix", "True Pattern", IF($O1528="ssFix", "Search Like Pattern", IF($O1528="TBar", "True Pattern", ""))))))))))))))))))))</f>
        <v>True Pattern</v>
      </c>
      <c r="Q1528" s="13" t="str">
        <f>IF(NOT(ISERR(SEARCH("*_Buggy",$A1528))), "Buggy", IF(NOT(ISERR(SEARCH("*_Fixed",$A1528))), "Fixed", IF(NOT(ISERR(SEARCH("*_Repaired",$A1528))), "Repaired", "")))</f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v>1</v>
      </c>
      <c r="W1528" s="13" t="str">
        <f>MID(A1528, SEARCH("_", A1528) +1, SEARCH("_", A1528, SEARCH("_", A1528) +1) - SEARCH("_", A1528) -1)</f>
        <v>Chart-9</v>
      </c>
      <c r="Y1528" t="str">
        <f>IF(AND($S1003=1,$S1528=1,$V1003=1,$V1528=1), "YES", "NO")</f>
        <v>YES</v>
      </c>
      <c r="Z1528" t="str">
        <f>IF(AND($S1003=1,$S1528=1,$V1003&gt;1,$V1528&gt;1), "YES", "NO")</f>
        <v>NO</v>
      </c>
      <c r="AA1528" t="str">
        <f>IF(AND($S1003&gt;1,$S1528&gt;1,$S1003=$V1003,$S1528=$V1528), "YES", "NO")</f>
        <v>NO</v>
      </c>
      <c r="AB1528" t="str">
        <f>IF(AND($S1003&gt;1,$S1528&gt;1,$S1003&lt;$V1003,$S1528&lt;$V1528), "YES", "NO")</f>
        <v>NO</v>
      </c>
      <c r="AC1528" t="str">
        <f>IF(AND($V1003&gt;10,$V1528&gt;10), "YES", "NO")</f>
        <v>NO</v>
      </c>
      <c r="AD1528"/>
    </row>
    <row r="1529" spans="1:30" ht="15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>LEFT($A1529,FIND("_",$A1529)-1)</f>
        <v>TBar</v>
      </c>
      <c r="P1529" s="13" t="str">
        <f>IF($O1529="ACS", "True Search", IF($O1529="Arja", "Evolutionary Search", IF($O1529="AVATAR", "True Pattern", IF($O1529="CapGen", "Search Like Pattern", IF($O1529="Cardumen", "True Semantic", IF($O1529="DynaMoth", "True Semantic", IF($O1529="FixMiner", "True Pattern", IF($O1529="GenProg-A", "Evolutionary Search", IF($O1529="Hercules", "Learning Pattern", IF($O1529="Jaid", "True Semantic",
IF($O1529="Kali-A", "True Search", IF($O1529="kPAR", "True Pattern", IF($O1529="Nopol", "True Semantic", IF($O1529="RSRepair-A", "Evolutionary Search", IF($O1529="SequenceR", "Deep Learning", IF($O1529="SimFix", "Search Like Pattern", IF($O1529="SketchFix", "True Pattern", IF($O1529="SOFix", "True Pattern", IF($O1529="ssFix", "Search Like Pattern", IF($O1529="TBar", "True Pattern", ""))))))))))))))))))))</f>
        <v>True Pattern</v>
      </c>
      <c r="Q1529" s="13" t="str">
        <f>IF(NOT(ISERR(SEARCH("*_Buggy",$A1529))), "Buggy", IF(NOT(ISERR(SEARCH("*_Fixed",$A1529))), "Fixed", IF(NOT(ISERR(SEARCH("*_Repaired",$A1529))), "Repaired", "")))</f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v>1</v>
      </c>
      <c r="W1529" s="13" t="str">
        <f>MID(A1529, SEARCH("_", A1529) +1, SEARCH("_", A1529, SEARCH("_", A1529) +1) - SEARCH("_", A1529) -1)</f>
        <v>Closure-10</v>
      </c>
      <c r="Y1529" t="str">
        <f>IF(AND($S1004=1,$S1529=1,$V1004=1,$V1529=1), "YES", "NO")</f>
        <v>YES</v>
      </c>
      <c r="Z1529" t="str">
        <f>IF(AND($S1004=1,$S1529=1,$V1004&gt;1,$V1529&gt;1), "YES", "NO")</f>
        <v>NO</v>
      </c>
      <c r="AA1529" t="str">
        <f>IF(AND($S1004&gt;1,$S1529&gt;1,$S1004=$V1004,$S1529=$V1529), "YES", "NO")</f>
        <v>NO</v>
      </c>
      <c r="AB1529" t="str">
        <f>IF(AND($S1004&gt;1,$S1529&gt;1,$S1004&lt;$V1004,$S1529&lt;$V1529), "YES", "NO")</f>
        <v>NO</v>
      </c>
      <c r="AC1529" t="str">
        <f>IF(AND($V1004&gt;10,$V1529&gt;10), "YES", "NO")</f>
        <v>NO</v>
      </c>
      <c r="AD1529"/>
    </row>
    <row r="1530" spans="1:30" ht="15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>LEFT($A1530,FIND("_",$A1530)-1)</f>
        <v>TBar</v>
      </c>
      <c r="P1530" s="13" t="str">
        <f>IF($O1530="ACS", "True Search", IF($O1530="Arja", "Evolutionary Search", IF($O1530="AVATAR", "True Pattern", IF($O1530="CapGen", "Search Like Pattern", IF($O1530="Cardumen", "True Semantic", IF($O1530="DynaMoth", "True Semantic", IF($O1530="FixMiner", "True Pattern", IF($O1530="GenProg-A", "Evolutionary Search", IF($O1530="Hercules", "Learning Pattern", IF($O1530="Jaid", "True Semantic",
IF($O1530="Kali-A", "True Search", IF($O1530="kPAR", "True Pattern", IF($O1530="Nopol", "True Semantic", IF($O1530="RSRepair-A", "Evolutionary Search", IF($O1530="SequenceR", "Deep Learning", IF($O1530="SimFix", "Search Like Pattern", IF($O1530="SketchFix", "True Pattern", IF($O1530="SOFix", "True Pattern", IF($O1530="ssFix", "Search Like Pattern", IF($O1530="TBar", "True Pattern", ""))))))))))))))))))))</f>
        <v>True Pattern</v>
      </c>
      <c r="Q1530" s="13" t="str">
        <f>IF(NOT(ISERR(SEARCH("*_Buggy",$A1530))), "Buggy", IF(NOT(ISERR(SEARCH("*_Fixed",$A1530))), "Fixed", IF(NOT(ISERR(SEARCH("*_Repaired",$A1530))), "Repaired", "")))</f>
        <v>Repaired</v>
      </c>
      <c r="R1530" s="13" t="s">
        <v>1668</v>
      </c>
      <c r="S1530" s="25">
        <v>2</v>
      </c>
      <c r="T1530" s="25">
        <v>4</v>
      </c>
      <c r="U1530" s="25">
        <v>2</v>
      </c>
      <c r="V1530" s="13">
        <v>4</v>
      </c>
      <c r="W1530" s="13" t="str">
        <f>MID(A1530, SEARCH("_", A1530) +1, SEARCH("_", A1530, SEARCH("_", A1530) +1) - SEARCH("_", A1530) -1)</f>
        <v>Closure-102</v>
      </c>
      <c r="Y1530" t="str">
        <f>IF(AND($S1005=1,$S1530=1,$V1005=1,$V1530=1), "YES", "NO")</f>
        <v>NO</v>
      </c>
      <c r="Z1530" t="str">
        <f>IF(AND($S1005=1,$S1530=1,$V1005&gt;1,$V1530&gt;1), "YES", "NO")</f>
        <v>NO</v>
      </c>
      <c r="AA1530" t="str">
        <f>IF(AND($S1005&gt;1,$S1530&gt;1,$S1005=$V1005,$S1530=$V1530), "YES", "NO")</f>
        <v>NO</v>
      </c>
      <c r="AB1530" t="str">
        <f>IF(AND($S1005&gt;1,$S1530&gt;1,$S1005&lt;$V1005,$S1530&lt;$V1530), "YES", "NO")</f>
        <v>NO</v>
      </c>
      <c r="AC1530" t="str">
        <f>IF(AND($V1005&gt;10,$V1530&gt;10), "YES", "NO")</f>
        <v>NO</v>
      </c>
      <c r="AD1530"/>
    </row>
    <row r="1531" spans="1:30" ht="15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>LEFT($A1531,FIND("_",$A1531)-1)</f>
        <v>TBar</v>
      </c>
      <c r="P1531" s="13" t="str">
        <f>IF($O1531="ACS", "True Search", IF($O1531="Arja", "Evolutionary Search", IF($O1531="AVATAR", "True Pattern", IF($O1531="CapGen", "Search Like Pattern", IF($O1531="Cardumen", "True Semantic", IF($O1531="DynaMoth", "True Semantic", IF($O1531="FixMiner", "True Pattern", IF($O1531="GenProg-A", "Evolutionary Search", IF($O1531="Hercules", "Learning Pattern", IF($O1531="Jaid", "True Semantic",
IF($O1531="Kali-A", "True Search", IF($O1531="kPAR", "True Pattern", IF($O1531="Nopol", "True Semantic", IF($O1531="RSRepair-A", "Evolutionary Search", IF($O1531="SequenceR", "Deep Learning", IF($O1531="SimFix", "Search Like Pattern", IF($O1531="SketchFix", "True Pattern", IF($O1531="SOFix", "True Pattern", IF($O1531="ssFix", "Search Like Pattern", IF($O1531="TBar", "True Pattern", ""))))))))))))))))))))</f>
        <v>True Pattern</v>
      </c>
      <c r="Q1531" s="13" t="str">
        <f>IF(NOT(ISERR(SEARCH("*_Buggy",$A1531))), "Buggy", IF(NOT(ISERR(SEARCH("*_Fixed",$A1531))), "Fixed", IF(NOT(ISERR(SEARCH("*_Repaired",$A1531))), "Repaired", "")))</f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v>1</v>
      </c>
      <c r="W1531" s="13" t="str">
        <f>MID(A1531, SEARCH("_", A1531) +1, SEARCH("_", A1531, SEARCH("_", A1531) +1) - SEARCH("_", A1531) -1)</f>
        <v>Closure-11</v>
      </c>
      <c r="Y1531" t="str">
        <f>IF(AND($S1006=1,$S1531=1,$V1006=1,$V1531=1), "YES", "NO")</f>
        <v>NO</v>
      </c>
      <c r="Z1531" t="str">
        <f>IF(AND($S1006=1,$S1531=1,$V1006&gt;1,$V1531&gt;1), "YES", "NO")</f>
        <v>NO</v>
      </c>
      <c r="AA1531" t="str">
        <f>IF(AND($S1006&gt;1,$S1531&gt;1,$S1006=$V1006,$S1531=$V1531), "YES", "NO")</f>
        <v>NO</v>
      </c>
      <c r="AB1531" t="str">
        <f>IF(AND($S1006&gt;1,$S1531&gt;1,$S1006&lt;$V1006,$S1531&lt;$V1531), "YES", "NO")</f>
        <v>NO</v>
      </c>
      <c r="AC1531" t="str">
        <f>IF(AND($V1006&gt;10,$V1531&gt;10), "YES", "NO")</f>
        <v>NO</v>
      </c>
      <c r="AD1531"/>
    </row>
    <row r="1532" spans="1:30" ht="15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>LEFT($A1532,FIND("_",$A1532)-1)</f>
        <v>TBar</v>
      </c>
      <c r="P1532" s="13" t="str">
        <f>IF($O1532="ACS", "True Search", IF($O1532="Arja", "Evolutionary Search", IF($O1532="AVATAR", "True Pattern", IF($O1532="CapGen", "Search Like Pattern", IF($O1532="Cardumen", "True Semantic", IF($O1532="DynaMoth", "True Semantic", IF($O1532="FixMiner", "True Pattern", IF($O1532="GenProg-A", "Evolutionary Search", IF($O1532="Hercules", "Learning Pattern", IF($O1532="Jaid", "True Semantic",
IF($O1532="Kali-A", "True Search", IF($O1532="kPAR", "True Pattern", IF($O1532="Nopol", "True Semantic", IF($O1532="RSRepair-A", "Evolutionary Search", IF($O1532="SequenceR", "Deep Learning", IF($O1532="SimFix", "Search Like Pattern", IF($O1532="SketchFix", "True Pattern", IF($O1532="SOFix", "True Pattern", IF($O1532="ssFix", "Search Like Pattern", IF($O1532="TBar", "True Pattern", ""))))))))))))))))))))</f>
        <v>True Pattern</v>
      </c>
      <c r="Q1532" s="13" t="str">
        <f>IF(NOT(ISERR(SEARCH("*_Buggy",$A1532))), "Buggy", IF(NOT(ISERR(SEARCH("*_Fixed",$A1532))), "Fixed", IF(NOT(ISERR(SEARCH("*_Repaired",$A1532))), "Repaired", "")))</f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v>1</v>
      </c>
      <c r="W1532" s="13" t="str">
        <f>MID(A1532, SEARCH("_", A1532) +1, SEARCH("_", A1532, SEARCH("_", A1532) +1) - SEARCH("_", A1532) -1)</f>
        <v>Closure-115</v>
      </c>
      <c r="Y1532" t="str">
        <f>IF(AND($S1007=1,$S1532=1,$V1007=1,$V1532=1), "YES", "NO")</f>
        <v>NO</v>
      </c>
      <c r="Z1532" t="str">
        <f>IF(AND($S1007=1,$S1532=1,$V1007&gt;1,$V1532&gt;1), "YES", "NO")</f>
        <v>NO</v>
      </c>
      <c r="AA1532" t="str">
        <f>IF(AND($S1007&gt;1,$S1532&gt;1,$S1007=$V1007,$S1532=$V1532), "YES", "NO")</f>
        <v>NO</v>
      </c>
      <c r="AB1532" t="str">
        <f>IF(AND($S1007&gt;1,$S1532&gt;1,$S1007&lt;$V1007,$S1532&lt;$V1532), "YES", "NO")</f>
        <v>NO</v>
      </c>
      <c r="AC1532" t="str">
        <f>IF(AND($V1007&gt;10,$V1532&gt;10), "YES", "NO")</f>
        <v>NO</v>
      </c>
      <c r="AD1532"/>
    </row>
    <row r="1533" spans="1:30" ht="15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>LEFT($A1533,FIND("_",$A1533)-1)</f>
        <v>TBar</v>
      </c>
      <c r="P1533" s="13" t="str">
        <f>IF($O1533="ACS", "True Search", IF($O1533="Arja", "Evolutionary Search", IF($O1533="AVATAR", "True Pattern", IF($O1533="CapGen", "Search Like Pattern", IF($O1533="Cardumen", "True Semantic", IF($O1533="DynaMoth", "True Semantic", IF($O1533="FixMiner", "True Pattern", IF($O1533="GenProg-A", "Evolutionary Search", IF($O1533="Hercules", "Learning Pattern", IF($O1533="Jaid", "True Semantic",
IF($O1533="Kali-A", "True Search", IF($O1533="kPAR", "True Pattern", IF($O1533="Nopol", "True Semantic", IF($O1533="RSRepair-A", "Evolutionary Search", IF($O1533="SequenceR", "Deep Learning", IF($O1533="SimFix", "Search Like Pattern", IF($O1533="SketchFix", "True Pattern", IF($O1533="SOFix", "True Pattern", IF($O1533="ssFix", "Search Like Pattern", IF($O1533="TBar", "True Pattern", ""))))))))))))))))))))</f>
        <v>True Pattern</v>
      </c>
      <c r="Q1533" s="13" t="str">
        <f>IF(NOT(ISERR(SEARCH("*_Buggy",$A1533))), "Buggy", IF(NOT(ISERR(SEARCH("*_Fixed",$A1533))), "Fixed", IF(NOT(ISERR(SEARCH("*_Repaired",$A1533))), "Repaired", "")))</f>
        <v>Repaired</v>
      </c>
      <c r="R1533" s="13" t="s">
        <v>1668</v>
      </c>
      <c r="S1533" s="25">
        <v>2</v>
      </c>
      <c r="T1533" s="25">
        <v>15</v>
      </c>
      <c r="U1533" s="25">
        <v>13</v>
      </c>
      <c r="V1533" s="13">
        <v>27</v>
      </c>
      <c r="W1533" s="13" t="str">
        <f>MID(A1533, SEARCH("_", A1533) +1, SEARCH("_", A1533, SEARCH("_", A1533) +1) - SEARCH("_", A1533) -1)</f>
        <v>Closure-117</v>
      </c>
      <c r="Y1533" t="str">
        <f>IF(AND($S1008=1,$S1533=1,$V1008=1,$V1533=1), "YES", "NO")</f>
        <v>NO</v>
      </c>
      <c r="Z1533" t="str">
        <f>IF(AND($S1008=1,$S1533=1,$V1008&gt;1,$V1533&gt;1), "YES", "NO")</f>
        <v>NO</v>
      </c>
      <c r="AA1533" t="str">
        <f>IF(AND($S1008&gt;1,$S1533&gt;1,$S1008=$V1008,$S1533=$V1533), "YES", "NO")</f>
        <v>NO</v>
      </c>
      <c r="AB1533" t="str">
        <f>IF(AND($S1008&gt;1,$S1533&gt;1,$S1008&lt;$V1008,$S1533&lt;$V1533), "YES", "NO")</f>
        <v>YES</v>
      </c>
      <c r="AC1533" t="str">
        <f>IF(AND($V1008&gt;10,$V1533&gt;10), "YES", "NO")</f>
        <v>YES</v>
      </c>
      <c r="AD1533"/>
    </row>
    <row r="1534" spans="1:30" ht="15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>LEFT($A1534,FIND("_",$A1534)-1)</f>
        <v>TBar</v>
      </c>
      <c r="P1534" s="13" t="str">
        <f>IF($O1534="ACS", "True Search", IF($O1534="Arja", "Evolutionary Search", IF($O1534="AVATAR", "True Pattern", IF($O1534="CapGen", "Search Like Pattern", IF($O1534="Cardumen", "True Semantic", IF($O1534="DynaMoth", "True Semantic", IF($O1534="FixMiner", "True Pattern", IF($O1534="GenProg-A", "Evolutionary Search", IF($O1534="Hercules", "Learning Pattern", IF($O1534="Jaid", "True Semantic",
IF($O1534="Kali-A", "True Search", IF($O1534="kPAR", "True Pattern", IF($O1534="Nopol", "True Semantic", IF($O1534="RSRepair-A", "Evolutionary Search", IF($O1534="SequenceR", "Deep Learning", IF($O1534="SimFix", "Search Like Pattern", IF($O1534="SketchFix", "True Pattern", IF($O1534="SOFix", "True Pattern", IF($O1534="ssFix", "Search Like Pattern", IF($O1534="TBar", "True Pattern", ""))))))))))))))))))))</f>
        <v>True Pattern</v>
      </c>
      <c r="Q1534" s="13" t="str">
        <f>IF(NOT(ISERR(SEARCH("*_Buggy",$A1534))), "Buggy", IF(NOT(ISERR(SEARCH("*_Fixed",$A1534))), "Fixed", IF(NOT(ISERR(SEARCH("*_Repaired",$A1534))), "Repaired", "")))</f>
        <v>Repaired</v>
      </c>
      <c r="R1534" s="13" t="s">
        <v>1668</v>
      </c>
      <c r="S1534" s="25">
        <v>2</v>
      </c>
      <c r="T1534" s="25">
        <v>3</v>
      </c>
      <c r="U1534" s="25">
        <v>1</v>
      </c>
      <c r="V1534" s="13">
        <v>3</v>
      </c>
      <c r="W1534" s="13" t="str">
        <f>MID(A1534, SEARCH("_", A1534) +1, SEARCH("_", A1534, SEARCH("_", A1534) +1) - SEARCH("_", A1534) -1)</f>
        <v>Closure-13</v>
      </c>
      <c r="Y1534" t="str">
        <f>IF(AND($S1009=1,$S1534=1,$V1009=1,$V1534=1), "YES", "NO")</f>
        <v>NO</v>
      </c>
      <c r="Z1534" t="str">
        <f>IF(AND($S1009=1,$S1534=1,$V1009&gt;1,$V1534&gt;1), "YES", "NO")</f>
        <v>NO</v>
      </c>
      <c r="AA1534" t="str">
        <f>IF(AND($S1009&gt;1,$S1534&gt;1,$S1009=$V1009,$S1534=$V1534), "YES", "NO")</f>
        <v>NO</v>
      </c>
      <c r="AB1534" t="str">
        <f>IF(AND($S1009&gt;1,$S1534&gt;1,$S1009&lt;$V1009,$S1534&lt;$V1534), "YES", "NO")</f>
        <v>NO</v>
      </c>
      <c r="AC1534" t="str">
        <f>IF(AND($V1009&gt;10,$V1534&gt;10), "YES", "NO")</f>
        <v>NO</v>
      </c>
      <c r="AD1534"/>
    </row>
    <row r="1535" spans="1:30" ht="15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>LEFT($A1535,FIND("_",$A1535)-1)</f>
        <v>TBar</v>
      </c>
      <c r="P1535" s="13" t="str">
        <f>IF($O1535="ACS", "True Search", IF($O1535="Arja", "Evolutionary Search", IF($O1535="AVATAR", "True Pattern", IF($O1535="CapGen", "Search Like Pattern", IF($O1535="Cardumen", "True Semantic", IF($O1535="DynaMoth", "True Semantic", IF($O1535="FixMiner", "True Pattern", IF($O1535="GenProg-A", "Evolutionary Search", IF($O1535="Hercules", "Learning Pattern", IF($O1535="Jaid", "True Semantic",
IF($O1535="Kali-A", "True Search", IF($O1535="kPAR", "True Pattern", IF($O1535="Nopol", "True Semantic", IF($O1535="RSRepair-A", "Evolutionary Search", IF($O1535="SequenceR", "Deep Learning", IF($O1535="SimFix", "Search Like Pattern", IF($O1535="SketchFix", "True Pattern", IF($O1535="SOFix", "True Pattern", IF($O1535="ssFix", "Search Like Pattern", IF($O1535="TBar", "True Pattern", ""))))))))))))))))))))</f>
        <v>True Pattern</v>
      </c>
      <c r="Q1535" s="13" t="str">
        <f>IF(NOT(ISERR(SEARCH("*_Buggy",$A1535))), "Buggy", IF(NOT(ISERR(SEARCH("*_Fixed",$A1535))), "Fixed", IF(NOT(ISERR(SEARCH("*_Repaired",$A1535))), "Repaired", "")))</f>
        <v>Repaired</v>
      </c>
      <c r="R1535" s="13" t="s">
        <v>1669</v>
      </c>
      <c r="S1535" s="25">
        <v>1</v>
      </c>
      <c r="T1535" s="25">
        <v>1</v>
      </c>
      <c r="U1535" s="25">
        <v>2</v>
      </c>
      <c r="V1535" s="13">
        <v>2</v>
      </c>
      <c r="W1535" s="13" t="str">
        <f>MID(A1535, SEARCH("_", A1535) +1, SEARCH("_", A1535, SEARCH("_", A1535) +1) - SEARCH("_", A1535) -1)</f>
        <v>Closure-19</v>
      </c>
      <c r="Y1535" t="str">
        <f>IF(AND($S1010=1,$S1535=1,$V1010=1,$V1535=1), "YES", "NO")</f>
        <v>NO</v>
      </c>
      <c r="Z1535" t="str">
        <f>IF(AND($S1010=1,$S1535=1,$V1010&gt;1,$V1535&gt;1), "YES", "NO")</f>
        <v>NO</v>
      </c>
      <c r="AA1535" t="str">
        <f>IF(AND($S1010&gt;1,$S1535&gt;1,$S1010=$V1010,$S1535=$V1535), "YES", "NO")</f>
        <v>NO</v>
      </c>
      <c r="AB1535" t="str">
        <f>IF(AND($S1010&gt;1,$S1535&gt;1,$S1010&lt;$V1010,$S1535&lt;$V1535), "YES", "NO")</f>
        <v>NO</v>
      </c>
      <c r="AC1535" t="str">
        <f>IF(AND($V1010&gt;10,$V1535&gt;10), "YES", "NO")</f>
        <v>NO</v>
      </c>
      <c r="AD1535"/>
    </row>
    <row r="1536" spans="1:30" ht="15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>LEFT($A1536,FIND("_",$A1536)-1)</f>
        <v>TBar</v>
      </c>
      <c r="P1536" s="13" t="str">
        <f>IF($O1536="ACS", "True Search", IF($O1536="Arja", "Evolutionary Search", IF($O1536="AVATAR", "True Pattern", IF($O1536="CapGen", "Search Like Pattern", IF($O1536="Cardumen", "True Semantic", IF($O1536="DynaMoth", "True Semantic", IF($O1536="FixMiner", "True Pattern", IF($O1536="GenProg-A", "Evolutionary Search", IF($O1536="Hercules", "Learning Pattern", IF($O1536="Jaid", "True Semantic",
IF($O1536="Kali-A", "True Search", IF($O1536="kPAR", "True Pattern", IF($O1536="Nopol", "True Semantic", IF($O1536="RSRepair-A", "Evolutionary Search", IF($O1536="SequenceR", "Deep Learning", IF($O1536="SimFix", "Search Like Pattern", IF($O1536="SketchFix", "True Pattern", IF($O1536="SOFix", "True Pattern", IF($O1536="ssFix", "Search Like Pattern", IF($O1536="TBar", "True Pattern", ""))))))))))))))))))))</f>
        <v>True Pattern</v>
      </c>
      <c r="Q1536" s="13" t="str">
        <f>IF(NOT(ISERR(SEARCH("*_Buggy",$A1536))), "Buggy", IF(NOT(ISERR(SEARCH("*_Fixed",$A1536))), "Fixed", IF(NOT(ISERR(SEARCH("*_Repaired",$A1536))), "Repaired", "")))</f>
        <v>Repaired</v>
      </c>
      <c r="R1536" s="13" t="s">
        <v>1668</v>
      </c>
      <c r="S1536" s="25">
        <v>2</v>
      </c>
      <c r="T1536" s="25">
        <v>4</v>
      </c>
      <c r="U1536" s="25">
        <v>1</v>
      </c>
      <c r="V1536" s="13">
        <v>4</v>
      </c>
      <c r="W1536" s="13" t="str">
        <f>MID(A1536, SEARCH("_", A1536) +1, SEARCH("_", A1536, SEARCH("_", A1536) +1) - SEARCH("_", A1536) -1)</f>
        <v>Closure-2</v>
      </c>
      <c r="Y1536" t="str">
        <f>IF(AND($S1011=1,$S1536=1,$V1011=1,$V1536=1), "YES", "NO")</f>
        <v>NO</v>
      </c>
      <c r="Z1536" t="str">
        <f>IF(AND($S1011=1,$S1536=1,$V1011&gt;1,$V1536&gt;1), "YES", "NO")</f>
        <v>NO</v>
      </c>
      <c r="AA1536" t="str">
        <f>IF(AND($S1011&gt;1,$S1536&gt;1,$S1011=$V1011,$S1536=$V1536), "YES", "NO")</f>
        <v>NO</v>
      </c>
      <c r="AB1536" t="str">
        <f>IF(AND($S1011&gt;1,$S1536&gt;1,$S1011&lt;$V1011,$S1536&lt;$V1536), "YES", "NO")</f>
        <v>YES</v>
      </c>
      <c r="AC1536" t="str">
        <f>IF(AND($V1011&gt;10,$V1536&gt;10), "YES", "NO")</f>
        <v>NO</v>
      </c>
      <c r="AD1536"/>
    </row>
    <row r="1537" spans="1:30" ht="15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>LEFT($A1537,FIND("_",$A1537)-1)</f>
        <v>TBar</v>
      </c>
      <c r="P1537" s="13" t="str">
        <f>IF($O1537="ACS", "True Search", IF($O1537="Arja", "Evolutionary Search", IF($O1537="AVATAR", "True Pattern", IF($O1537="CapGen", "Search Like Pattern", IF($O1537="Cardumen", "True Semantic", IF($O1537="DynaMoth", "True Semantic", IF($O1537="FixMiner", "True Pattern", IF($O1537="GenProg-A", "Evolutionary Search", IF($O1537="Hercules", "Learning Pattern", IF($O1537="Jaid", "True Semantic",
IF($O1537="Kali-A", "True Search", IF($O1537="kPAR", "True Pattern", IF($O1537="Nopol", "True Semantic", IF($O1537="RSRepair-A", "Evolutionary Search", IF($O1537="SequenceR", "Deep Learning", IF($O1537="SimFix", "Search Like Pattern", IF($O1537="SketchFix", "True Pattern", IF($O1537="SOFix", "True Pattern", IF($O1537="ssFix", "Search Like Pattern", IF($O1537="TBar", "True Pattern", ""))))))))))))))))))))</f>
        <v>True Pattern</v>
      </c>
      <c r="Q1537" s="13" t="str">
        <f>IF(NOT(ISERR(SEARCH("*_Buggy",$A1537))), "Buggy", IF(NOT(ISERR(SEARCH("*_Fixed",$A1537))), "Fixed", IF(NOT(ISERR(SEARCH("*_Repaired",$A1537))), "Repaired", "")))</f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v>1</v>
      </c>
      <c r="W1537" s="13" t="str">
        <f>MID(A1537, SEARCH("_", A1537) +1, SEARCH("_", A1537, SEARCH("_", A1537) +1) - SEARCH("_", A1537) -1)</f>
        <v>Closure-21</v>
      </c>
      <c r="Y1537" t="str">
        <f>IF(AND($S1012=1,$S1537=1,$V1012=1,$V1537=1), "YES", "NO")</f>
        <v>NO</v>
      </c>
      <c r="Z1537" t="str">
        <f>IF(AND($S1012=1,$S1537=1,$V1012&gt;1,$V1537&gt;1), "YES", "NO")</f>
        <v>NO</v>
      </c>
      <c r="AA1537" t="str">
        <f>IF(AND($S1012&gt;1,$S1537&gt;1,$S1012=$V1012,$S1537=$V1537), "YES", "NO")</f>
        <v>NO</v>
      </c>
      <c r="AB1537" t="str">
        <f>IF(AND($S1012&gt;1,$S1537&gt;1,$S1012&lt;$V1012,$S1537&lt;$V1537), "YES", "NO")</f>
        <v>NO</v>
      </c>
      <c r="AC1537" t="str">
        <f>IF(AND($V1012&gt;10,$V1537&gt;10), "YES", "NO")</f>
        <v>NO</v>
      </c>
      <c r="AD1537"/>
    </row>
    <row r="1538" spans="1:30" ht="15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>LEFT($A1538,FIND("_",$A1538)-1)</f>
        <v>TBar</v>
      </c>
      <c r="P1538" s="13" t="str">
        <f>IF($O1538="ACS", "True Search", IF($O1538="Arja", "Evolutionary Search", IF($O1538="AVATAR", "True Pattern", IF($O1538="CapGen", "Search Like Pattern", IF($O1538="Cardumen", "True Semantic", IF($O1538="DynaMoth", "True Semantic", IF($O1538="FixMiner", "True Pattern", IF($O1538="GenProg-A", "Evolutionary Search", IF($O1538="Hercules", "Learning Pattern", IF($O1538="Jaid", "True Semantic",
IF($O1538="Kali-A", "True Search", IF($O1538="kPAR", "True Pattern", IF($O1538="Nopol", "True Semantic", IF($O1538="RSRepair-A", "Evolutionary Search", IF($O1538="SequenceR", "Deep Learning", IF($O1538="SimFix", "Search Like Pattern", IF($O1538="SketchFix", "True Pattern", IF($O1538="SOFix", "True Pattern", IF($O1538="ssFix", "Search Like Pattern", IF($O1538="TBar", "True Pattern", ""))))))))))))))))))))</f>
        <v>True Pattern</v>
      </c>
      <c r="Q1538" s="13" t="str">
        <f>IF(NOT(ISERR(SEARCH("*_Buggy",$A1538))), "Buggy", IF(NOT(ISERR(SEARCH("*_Fixed",$A1538))), "Fixed", IF(NOT(ISERR(SEARCH("*_Repaired",$A1538))), "Repaired", "")))</f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v>1</v>
      </c>
      <c r="W1538" s="13" t="str">
        <f>MID(A1538, SEARCH("_", A1538) +1, SEARCH("_", A1538, SEARCH("_", A1538) +1) - SEARCH("_", A1538) -1)</f>
        <v>Closure-22</v>
      </c>
      <c r="Y1538" t="str">
        <f>IF(AND($S1013=1,$S1538=1,$V1013=1,$V1538=1), "YES", "NO")</f>
        <v>NO</v>
      </c>
      <c r="Z1538" t="str">
        <f>IF(AND($S1013=1,$S1538=1,$V1013&gt;1,$V1538&gt;1), "YES", "NO")</f>
        <v>NO</v>
      </c>
      <c r="AA1538" t="str">
        <f>IF(AND($S1013&gt;1,$S1538&gt;1,$S1013=$V1013,$S1538=$V1538), "YES", "NO")</f>
        <v>NO</v>
      </c>
      <c r="AB1538" t="str">
        <f>IF(AND($S1013&gt;1,$S1538&gt;1,$S1013&lt;$V1013,$S1538&lt;$V1538), "YES", "NO")</f>
        <v>NO</v>
      </c>
      <c r="AC1538" t="str">
        <f>IF(AND($V1013&gt;10,$V1538&gt;10), "YES", "NO")</f>
        <v>NO</v>
      </c>
      <c r="AD1538"/>
    </row>
    <row r="1539" spans="1:30" ht="15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>LEFT($A1539,FIND("_",$A1539)-1)</f>
        <v>TBar</v>
      </c>
      <c r="P1539" s="13" t="str">
        <f>IF($O1539="ACS", "True Search", IF($O1539="Arja", "Evolutionary Search", IF($O1539="AVATAR", "True Pattern", IF($O1539="CapGen", "Search Like Pattern", IF($O1539="Cardumen", "True Semantic", IF($O1539="DynaMoth", "True Semantic", IF($O1539="FixMiner", "True Pattern", IF($O1539="GenProg-A", "Evolutionary Search", IF($O1539="Hercules", "Learning Pattern", IF($O1539="Jaid", "True Semantic",
IF($O1539="Kali-A", "True Search", IF($O1539="kPAR", "True Pattern", IF($O1539="Nopol", "True Semantic", IF($O1539="RSRepair-A", "Evolutionary Search", IF($O1539="SequenceR", "Deep Learning", IF($O1539="SimFix", "Search Like Pattern", IF($O1539="SketchFix", "True Pattern", IF($O1539="SOFix", "True Pattern", IF($O1539="ssFix", "Search Like Pattern", IF($O1539="TBar", "True Pattern", ""))))))))))))))))))))</f>
        <v>True Pattern</v>
      </c>
      <c r="Q1539" s="13" t="str">
        <f>IF(NOT(ISERR(SEARCH("*_Buggy",$A1539))), "Buggy", IF(NOT(ISERR(SEARCH("*_Fixed",$A1539))), "Fixed", IF(NOT(ISERR(SEARCH("*_Repaired",$A1539))), "Repaired", "")))</f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v>1</v>
      </c>
      <c r="W1539" s="13" t="str">
        <f>MID(A1539, SEARCH("_", A1539) +1, SEARCH("_", A1539, SEARCH("_", A1539) +1) - SEARCH("_", A1539) -1)</f>
        <v>Closure-35</v>
      </c>
      <c r="Y1539" t="str">
        <f>IF(AND($S1014=1,$S1539=1,$V1014=1,$V1539=1), "YES", "NO")</f>
        <v>NO</v>
      </c>
      <c r="Z1539" t="str">
        <f>IF(AND($S1014=1,$S1539=1,$V1014&gt;1,$V1539&gt;1), "YES", "NO")</f>
        <v>NO</v>
      </c>
      <c r="AA1539" t="str">
        <f>IF(AND($S1014&gt;1,$S1539&gt;1,$S1014=$V1014,$S1539=$V1539), "YES", "NO")</f>
        <v>NO</v>
      </c>
      <c r="AB1539" t="str">
        <f>IF(AND($S1014&gt;1,$S1539&gt;1,$S1014&lt;$V1014,$S1539&lt;$V1539), "YES", "NO")</f>
        <v>NO</v>
      </c>
      <c r="AC1539" t="str">
        <f>IF(AND($V1014&gt;10,$V1539&gt;10), "YES", "NO")</f>
        <v>NO</v>
      </c>
      <c r="AD1539"/>
    </row>
    <row r="1540" spans="1:30" ht="15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>LEFT($A1540,FIND("_",$A1540)-1)</f>
        <v>TBar</v>
      </c>
      <c r="P1540" s="13" t="str">
        <f>IF($O1540="ACS", "True Search", IF($O1540="Arja", "Evolutionary Search", IF($O1540="AVATAR", "True Pattern", IF($O1540="CapGen", "Search Like Pattern", IF($O1540="Cardumen", "True Semantic", IF($O1540="DynaMoth", "True Semantic", IF($O1540="FixMiner", "True Pattern", IF($O1540="GenProg-A", "Evolutionary Search", IF($O1540="Hercules", "Learning Pattern", IF($O1540="Jaid", "True Semantic",
IF($O1540="Kali-A", "True Search", IF($O1540="kPAR", "True Pattern", IF($O1540="Nopol", "True Semantic", IF($O1540="RSRepair-A", "Evolutionary Search", IF($O1540="SequenceR", "Deep Learning", IF($O1540="SimFix", "Search Like Pattern", IF($O1540="SketchFix", "True Pattern", IF($O1540="SOFix", "True Pattern", IF($O1540="ssFix", "Search Like Pattern", IF($O1540="TBar", "True Pattern", ""))))))))))))))))))))</f>
        <v>True Pattern</v>
      </c>
      <c r="Q1540" s="13" t="str">
        <f>IF(NOT(ISERR(SEARCH("*_Buggy",$A1540))), "Buggy", IF(NOT(ISERR(SEARCH("*_Fixed",$A1540))), "Fixed", IF(NOT(ISERR(SEARCH("*_Repaired",$A1540))), "Repaired", "")))</f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v>1</v>
      </c>
      <c r="W1540" s="13" t="str">
        <f>MID(A1540, SEARCH("_", A1540) +1, SEARCH("_", A1540, SEARCH("_", A1540) +1) - SEARCH("_", A1540) -1)</f>
        <v>Closure-38</v>
      </c>
      <c r="Y1540" t="str">
        <f>IF(AND($S1015=1,$S1540=1,$V1015=1,$V1540=1), "YES", "NO")</f>
        <v>YES</v>
      </c>
      <c r="Z1540" t="str">
        <f>IF(AND($S1015=1,$S1540=1,$V1015&gt;1,$V1540&gt;1), "YES", "NO")</f>
        <v>NO</v>
      </c>
      <c r="AA1540" t="str">
        <f>IF(AND($S1015&gt;1,$S1540&gt;1,$S1015=$V1015,$S1540=$V1540), "YES", "NO")</f>
        <v>NO</v>
      </c>
      <c r="AB1540" t="str">
        <f>IF(AND($S1015&gt;1,$S1540&gt;1,$S1015&lt;$V1015,$S1540&lt;$V1540), "YES", "NO")</f>
        <v>NO</v>
      </c>
      <c r="AC1540" t="str">
        <f>IF(AND($V1015&gt;10,$V1540&gt;10), "YES", "NO")</f>
        <v>NO</v>
      </c>
      <c r="AD1540"/>
    </row>
    <row r="1541" spans="1:30" ht="15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>LEFT($A1541,FIND("_",$A1541)-1)</f>
        <v>TBar</v>
      </c>
      <c r="P1541" s="13" t="str">
        <f>IF($O1541="ACS", "True Search", IF($O1541="Arja", "Evolutionary Search", IF($O1541="AVATAR", "True Pattern", IF($O1541="CapGen", "Search Like Pattern", IF($O1541="Cardumen", "True Semantic", IF($O1541="DynaMoth", "True Semantic", IF($O1541="FixMiner", "True Pattern", IF($O1541="GenProg-A", "Evolutionary Search", IF($O1541="Hercules", "Learning Pattern", IF($O1541="Jaid", "True Semantic",
IF($O1541="Kali-A", "True Search", IF($O1541="kPAR", "True Pattern", IF($O1541="Nopol", "True Semantic", IF($O1541="RSRepair-A", "Evolutionary Search", IF($O1541="SequenceR", "Deep Learning", IF($O1541="SimFix", "Search Like Pattern", IF($O1541="SketchFix", "True Pattern", IF($O1541="SOFix", "True Pattern", IF($O1541="ssFix", "Search Like Pattern", IF($O1541="TBar", "True Pattern", ""))))))))))))))))))))</f>
        <v>True Pattern</v>
      </c>
      <c r="Q1541" s="13" t="str">
        <f>IF(NOT(ISERR(SEARCH("*_Buggy",$A1541))), "Buggy", IF(NOT(ISERR(SEARCH("*_Fixed",$A1541))), "Fixed", IF(NOT(ISERR(SEARCH("*_Repaired",$A1541))), "Repaired", "")))</f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v>1</v>
      </c>
      <c r="W1541" s="13" t="str">
        <f>MID(A1541, SEARCH("_", A1541) +1, SEARCH("_", A1541, SEARCH("_", A1541) +1) - SEARCH("_", A1541) -1)</f>
        <v>Closure-4</v>
      </c>
      <c r="Y1541" t="str">
        <f>IF(AND($S1016=1,$S1541=1,$V1016=1,$V1541=1), "YES", "NO")</f>
        <v>NO</v>
      </c>
      <c r="Z1541" t="str">
        <f>IF(AND($S1016=1,$S1541=1,$V1016&gt;1,$V1541&gt;1), "YES", "NO")</f>
        <v>NO</v>
      </c>
      <c r="AA1541" t="str">
        <f>IF(AND($S1016&gt;1,$S1541&gt;1,$S1016=$V1016,$S1541=$V1541), "YES", "NO")</f>
        <v>NO</v>
      </c>
      <c r="AB1541" t="str">
        <f>IF(AND($S1016&gt;1,$S1541&gt;1,$S1016&lt;$V1016,$S1541&lt;$V1541), "YES", "NO")</f>
        <v>NO</v>
      </c>
      <c r="AC1541" t="str">
        <f>IF(AND($V1016&gt;10,$V1541&gt;10), "YES", "NO")</f>
        <v>NO</v>
      </c>
      <c r="AD1541"/>
    </row>
    <row r="1542" spans="1:30" ht="15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>LEFT($A1542,FIND("_",$A1542)-1)</f>
        <v>TBar</v>
      </c>
      <c r="P1542" s="13" t="str">
        <f>IF($O1542="ACS", "True Search", IF($O1542="Arja", "Evolutionary Search", IF($O1542="AVATAR", "True Pattern", IF($O1542="CapGen", "Search Like Pattern", IF($O1542="Cardumen", "True Semantic", IF($O1542="DynaMoth", "True Semantic", IF($O1542="FixMiner", "True Pattern", IF($O1542="GenProg-A", "Evolutionary Search", IF($O1542="Hercules", "Learning Pattern", IF($O1542="Jaid", "True Semantic",
IF($O1542="Kali-A", "True Search", IF($O1542="kPAR", "True Pattern", IF($O1542="Nopol", "True Semantic", IF($O1542="RSRepair-A", "Evolutionary Search", IF($O1542="SequenceR", "Deep Learning", IF($O1542="SimFix", "Search Like Pattern", IF($O1542="SketchFix", "True Pattern", IF($O1542="SOFix", "True Pattern", IF($O1542="ssFix", "Search Like Pattern", IF($O1542="TBar", "True Pattern", ""))))))))))))))))))))</f>
        <v>True Pattern</v>
      </c>
      <c r="Q1542" s="13" t="str">
        <f>IF(NOT(ISERR(SEARCH("*_Buggy",$A1542))), "Buggy", IF(NOT(ISERR(SEARCH("*_Fixed",$A1542))), "Fixed", IF(NOT(ISERR(SEARCH("*_Repaired",$A1542))), "Repaired", "")))</f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v>1</v>
      </c>
      <c r="W1542" s="13" t="str">
        <f>MID(A1542, SEARCH("_", A1542) +1, SEARCH("_", A1542, SEARCH("_", A1542) +1) - SEARCH("_", A1542) -1)</f>
        <v>Closure-40</v>
      </c>
      <c r="Y1542" t="str">
        <f>IF(AND($S1017=1,$S1542=1,$V1017=1,$V1542=1), "YES", "NO")</f>
        <v>NO</v>
      </c>
      <c r="Z1542" t="str">
        <f>IF(AND($S1017=1,$S1542=1,$V1017&gt;1,$V1542&gt;1), "YES", "NO")</f>
        <v>NO</v>
      </c>
      <c r="AA1542" t="str">
        <f>IF(AND($S1017&gt;1,$S1542&gt;1,$S1017=$V1017,$S1542=$V1542), "YES", "NO")</f>
        <v>NO</v>
      </c>
      <c r="AB1542" t="str">
        <f>IF(AND($S1017&gt;1,$S1542&gt;1,$S1017&lt;$V1017,$S1542&lt;$V1542), "YES", "NO")</f>
        <v>NO</v>
      </c>
      <c r="AC1542" t="str">
        <f>IF(AND($V1017&gt;10,$V1542&gt;10), "YES", "NO")</f>
        <v>NO</v>
      </c>
      <c r="AD1542"/>
    </row>
    <row r="1543" spans="1:30" ht="15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>LEFT($A1543,FIND("_",$A1543)-1)</f>
        <v>TBar</v>
      </c>
      <c r="P1543" s="13" t="str">
        <f>IF($O1543="ACS", "True Search", IF($O1543="Arja", "Evolutionary Search", IF($O1543="AVATAR", "True Pattern", IF($O1543="CapGen", "Search Like Pattern", IF($O1543="Cardumen", "True Semantic", IF($O1543="DynaMoth", "True Semantic", IF($O1543="FixMiner", "True Pattern", IF($O1543="GenProg-A", "Evolutionary Search", IF($O1543="Hercules", "Learning Pattern", IF($O1543="Jaid", "True Semantic",
IF($O1543="Kali-A", "True Search", IF($O1543="kPAR", "True Pattern", IF($O1543="Nopol", "True Semantic", IF($O1543="RSRepair-A", "Evolutionary Search", IF($O1543="SequenceR", "Deep Learning", IF($O1543="SimFix", "Search Like Pattern", IF($O1543="SketchFix", "True Pattern", IF($O1543="SOFix", "True Pattern", IF($O1543="ssFix", "Search Like Pattern", IF($O1543="TBar", "True Pattern", ""))))))))))))))))))))</f>
        <v>True Pattern</v>
      </c>
      <c r="Q1543" s="13" t="str">
        <f>IF(NOT(ISERR(SEARCH("*_Buggy",$A1543))), "Buggy", IF(NOT(ISERR(SEARCH("*_Fixed",$A1543))), "Fixed", IF(NOT(ISERR(SEARCH("*_Repaired",$A1543))), "Repaired", "")))</f>
        <v>Repaired</v>
      </c>
      <c r="R1543" s="13" t="s">
        <v>1668</v>
      </c>
      <c r="S1543" s="25">
        <v>1</v>
      </c>
      <c r="T1543" s="25">
        <v>1</v>
      </c>
      <c r="U1543" s="25">
        <v>16</v>
      </c>
      <c r="V1543" s="13">
        <v>16</v>
      </c>
      <c r="W1543" s="13" t="str">
        <f>MID(A1543, SEARCH("_", A1543) +1, SEARCH("_", A1543, SEARCH("_", A1543) +1) - SEARCH("_", A1543) -1)</f>
        <v>Closure-46</v>
      </c>
      <c r="Y1543" t="str">
        <f>IF(AND($S1018=1,$S1543=1,$V1018=1,$V1543=1), "YES", "NO")</f>
        <v>NO</v>
      </c>
      <c r="Z1543" t="str">
        <f>IF(AND($S1018=1,$S1543=1,$V1018&gt;1,$V1543&gt;1), "YES", "NO")</f>
        <v>YES</v>
      </c>
      <c r="AA1543" t="str">
        <f>IF(AND($S1018&gt;1,$S1543&gt;1,$S1018=$V1018,$S1543=$V1543), "YES", "NO")</f>
        <v>NO</v>
      </c>
      <c r="AB1543" t="str">
        <f>IF(AND($S1018&gt;1,$S1543&gt;1,$S1018&lt;$V1018,$S1543&lt;$V1543), "YES", "NO")</f>
        <v>NO</v>
      </c>
      <c r="AC1543" t="str">
        <f>IF(AND($V1018&gt;10,$V1543&gt;10), "YES", "NO")</f>
        <v>YES</v>
      </c>
      <c r="AD1543"/>
    </row>
    <row r="1544" spans="1:30" ht="15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>LEFT($A1544,FIND("_",$A1544)-1)</f>
        <v>TBar</v>
      </c>
      <c r="P1544" s="13" t="str">
        <f>IF($O1544="ACS", "True Search", IF($O1544="Arja", "Evolutionary Search", IF($O1544="AVATAR", "True Pattern", IF($O1544="CapGen", "Search Like Pattern", IF($O1544="Cardumen", "True Semantic", IF($O1544="DynaMoth", "True Semantic", IF($O1544="FixMiner", "True Pattern", IF($O1544="GenProg-A", "Evolutionary Search", IF($O1544="Hercules", "Learning Pattern", IF($O1544="Jaid", "True Semantic",
IF($O1544="Kali-A", "True Search", IF($O1544="kPAR", "True Pattern", IF($O1544="Nopol", "True Semantic", IF($O1544="RSRepair-A", "Evolutionary Search", IF($O1544="SequenceR", "Deep Learning", IF($O1544="SimFix", "Search Like Pattern", IF($O1544="SketchFix", "True Pattern", IF($O1544="SOFix", "True Pattern", IF($O1544="ssFix", "Search Like Pattern", IF($O1544="TBar", "True Pattern", ""))))))))))))))))))))</f>
        <v>True Pattern</v>
      </c>
      <c r="Q1544" s="13" t="str">
        <f>IF(NOT(ISERR(SEARCH("*_Buggy",$A1544))), "Buggy", IF(NOT(ISERR(SEARCH("*_Fixed",$A1544))), "Fixed", IF(NOT(ISERR(SEARCH("*_Repaired",$A1544))), "Repaired", "")))</f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v>1</v>
      </c>
      <c r="W1544" s="13" t="str">
        <f>MID(A1544, SEARCH("_", A1544) +1, SEARCH("_", A1544, SEARCH("_", A1544) +1) - SEARCH("_", A1544) -1)</f>
        <v>Closure-62</v>
      </c>
      <c r="Y1544" t="str">
        <f>IF(AND($S1019=1,$S1544=1,$V1019=1,$V1544=1), "YES", "NO")</f>
        <v>YES</v>
      </c>
      <c r="Z1544" t="str">
        <f>IF(AND($S1019=1,$S1544=1,$V1019&gt;1,$V1544&gt;1), "YES", "NO")</f>
        <v>NO</v>
      </c>
      <c r="AA1544" t="str">
        <f>IF(AND($S1019&gt;1,$S1544&gt;1,$S1019=$V1019,$S1544=$V1544), "YES", "NO")</f>
        <v>NO</v>
      </c>
      <c r="AB1544" t="str">
        <f>IF(AND($S1019&gt;1,$S1544&gt;1,$S1019&lt;$V1019,$S1544&lt;$V1544), "YES", "NO")</f>
        <v>NO</v>
      </c>
      <c r="AC1544" t="str">
        <f>IF(AND($V1019&gt;10,$V1544&gt;10), "YES", "NO")</f>
        <v>NO</v>
      </c>
      <c r="AD1544"/>
    </row>
    <row r="1545" spans="1:30" ht="15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>LEFT($A1545,FIND("_",$A1545)-1)</f>
        <v>TBar</v>
      </c>
      <c r="P1545" s="13" t="str">
        <f>IF($O1545="ACS", "True Search", IF($O1545="Arja", "Evolutionary Search", IF($O1545="AVATAR", "True Pattern", IF($O1545="CapGen", "Search Like Pattern", IF($O1545="Cardumen", "True Semantic", IF($O1545="DynaMoth", "True Semantic", IF($O1545="FixMiner", "True Pattern", IF($O1545="GenProg-A", "Evolutionary Search", IF($O1545="Hercules", "Learning Pattern", IF($O1545="Jaid", "True Semantic",
IF($O1545="Kali-A", "True Search", IF($O1545="kPAR", "True Pattern", IF($O1545="Nopol", "True Semantic", IF($O1545="RSRepair-A", "Evolutionary Search", IF($O1545="SequenceR", "Deep Learning", IF($O1545="SimFix", "Search Like Pattern", IF($O1545="SketchFix", "True Pattern", IF($O1545="SOFix", "True Pattern", IF($O1545="ssFix", "Search Like Pattern", IF($O1545="TBar", "True Pattern", ""))))))))))))))))))))</f>
        <v>True Pattern</v>
      </c>
      <c r="Q1545" s="13" t="str">
        <f>IF(NOT(ISERR(SEARCH("*_Buggy",$A1545))), "Buggy", IF(NOT(ISERR(SEARCH("*_Fixed",$A1545))), "Fixed", IF(NOT(ISERR(SEARCH("*_Repaired",$A1545))), "Repaired", "")))</f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v>1</v>
      </c>
      <c r="W1545" s="13" t="str">
        <f>MID(A1545, SEARCH("_", A1545) +1, SEARCH("_", A1545, SEARCH("_", A1545) +1) - SEARCH("_", A1545) -1)</f>
        <v>Closure-66</v>
      </c>
      <c r="Y1545" t="str">
        <f>IF(AND($S1020=1,$S1545=1,$V1020=1,$V1545=1), "YES", "NO")</f>
        <v>NO</v>
      </c>
      <c r="Z1545" t="str">
        <f>IF(AND($S1020=1,$S1545=1,$V1020&gt;1,$V1545&gt;1), "YES", "NO")</f>
        <v>NO</v>
      </c>
      <c r="AA1545" t="str">
        <f>IF(AND($S1020&gt;1,$S1545&gt;1,$S1020=$V1020,$S1545=$V1545), "YES", "NO")</f>
        <v>NO</v>
      </c>
      <c r="AB1545" t="str">
        <f>IF(AND($S1020&gt;1,$S1545&gt;1,$S1020&lt;$V1020,$S1545&lt;$V1545), "YES", "NO")</f>
        <v>NO</v>
      </c>
      <c r="AC1545" t="str">
        <f>IF(AND($V1020&gt;10,$V1545&gt;10), "YES", "NO")</f>
        <v>NO</v>
      </c>
      <c r="AD1545"/>
    </row>
    <row r="1546" spans="1:30" ht="15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>LEFT($A1546,FIND("_",$A1546)-1)</f>
        <v>TBar</v>
      </c>
      <c r="P1546" s="13" t="str">
        <f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>IF(NOT(ISERR(SEARCH("*_Buggy",$A1546))), "Buggy", IF(NOT(ISERR(SEARCH("*_Fixed",$A1546))), "Fixed", IF(NOT(ISERR(SEARCH("*_Repaired",$A1546))), "Repaired", "")))</f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v>1</v>
      </c>
      <c r="W1546" s="13" t="str">
        <f>MID(A1546, SEARCH("_", A1546) +1, SEARCH("_", A1546, SEARCH("_", A1546) +1) - SEARCH("_", A1546) -1)</f>
        <v>Closure-70</v>
      </c>
      <c r="Y1546" t="str">
        <f>IF(AND($S1021=1,$S1546=1,$V1021=1,$V1546=1), "YES", "NO")</f>
        <v>YES</v>
      </c>
      <c r="Z1546" t="str">
        <f>IF(AND($S1021=1,$S1546=1,$V1021&gt;1,$V1546&gt;1), "YES", "NO")</f>
        <v>NO</v>
      </c>
      <c r="AA1546" t="str">
        <f>IF(AND($S1021&gt;1,$S1546&gt;1,$S1021=$V1021,$S1546=$V1546), "YES", "NO")</f>
        <v>NO</v>
      </c>
      <c r="AB1546" t="str">
        <f>IF(AND($S1021&gt;1,$S1546&gt;1,$S1021&lt;$V1021,$S1546&lt;$V1546), "YES", "NO")</f>
        <v>NO</v>
      </c>
      <c r="AC1546" t="str">
        <f>IF(AND($V1021&gt;10,$V1546&gt;10), "YES", "NO")</f>
        <v>NO</v>
      </c>
      <c r="AD1546"/>
    </row>
    <row r="1547" spans="1:30" ht="15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>LEFT($A1547,FIND("_",$A1547)-1)</f>
        <v>TBar</v>
      </c>
      <c r="P1547" s="13" t="str">
        <f>IF($O1547="ACS", "True Search", IF($O1547="Arja", "Evolutionary Search", IF($O1547="AVATAR", "True Pattern", IF($O1547="CapGen", "Search Like Pattern", IF($O1547="Cardumen", "True Semantic", IF($O1547="DynaMoth", "True Semantic", IF($O1547="FixMiner", "True Pattern", IF($O1547="GenProg-A", "Evolutionary Search", IF($O1547="Hercules", "Learning Pattern", IF($O1547="Jaid", "True Semantic",
IF($O1547="Kali-A", "True Search", IF($O1547="kPAR", "True Pattern", IF($O1547="Nopol", "True Semantic", IF($O1547="RSRepair-A", "Evolutionary Search", IF($O1547="SequenceR", "Deep Learning", IF($O1547="SimFix", "Search Like Pattern", IF($O1547="SketchFix", "True Pattern", IF($O1547="SOFix", "True Pattern", IF($O1547="ssFix", "Search Like Pattern", IF($O1547="TBar", "True Pattern", ""))))))))))))))))))))</f>
        <v>True Pattern</v>
      </c>
      <c r="Q1547" s="13" t="str">
        <f>IF(NOT(ISERR(SEARCH("*_Buggy",$A1547))), "Buggy", IF(NOT(ISERR(SEARCH("*_Fixed",$A1547))), "Fixed", IF(NOT(ISERR(SEARCH("*_Repaired",$A1547))), "Repaired", "")))</f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v>1</v>
      </c>
      <c r="W1547" s="13" t="str">
        <f>MID(A1547, SEARCH("_", A1547) +1, SEARCH("_", A1547, SEARCH("_", A1547) +1) - SEARCH("_", A1547) -1)</f>
        <v>Closure-73</v>
      </c>
      <c r="Y1547" t="str">
        <f>IF(AND($S1022=1,$S1547=1,$V1022=1,$V1547=1), "YES", "NO")</f>
        <v>YES</v>
      </c>
      <c r="Z1547" t="str">
        <f>IF(AND($S1022=1,$S1547=1,$V1022&gt;1,$V1547&gt;1), "YES", "NO")</f>
        <v>NO</v>
      </c>
      <c r="AA1547" t="str">
        <f>IF(AND($S1022&gt;1,$S1547&gt;1,$S1022=$V1022,$S1547=$V1547), "YES", "NO")</f>
        <v>NO</v>
      </c>
      <c r="AB1547" t="str">
        <f>IF(AND($S1022&gt;1,$S1547&gt;1,$S1022&lt;$V1022,$S1547&lt;$V1547), "YES", "NO")</f>
        <v>NO</v>
      </c>
      <c r="AC1547" t="str">
        <f>IF(AND($V1022&gt;10,$V1547&gt;10), "YES", "NO")</f>
        <v>NO</v>
      </c>
      <c r="AD1547"/>
    </row>
    <row r="1548" spans="1:30" ht="15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>LEFT($A1548,FIND("_",$A1548)-1)</f>
        <v>TBar</v>
      </c>
      <c r="P1548" s="13" t="str">
        <f>IF($O1548="ACS", "True Search", IF($O1548="Arja", "Evolutionary Search", IF($O1548="AVATAR", "True Pattern", IF($O1548="CapGen", "Search Like Pattern", IF($O1548="Cardumen", "True Semantic", IF($O1548="DynaMoth", "True Semantic", IF($O1548="FixMiner", "True Pattern", IF($O1548="GenProg-A", "Evolutionary Search", IF($O1548="Hercules", "Learning Pattern", IF($O1548="Jaid", "True Semantic",
IF($O1548="Kali-A", "True Search", IF($O1548="kPAR", "True Pattern", IF($O1548="Nopol", "True Semantic", IF($O1548="RSRepair-A", "Evolutionary Search", IF($O1548="SequenceR", "Deep Learning", IF($O1548="SimFix", "Search Like Pattern", IF($O1548="SketchFix", "True Pattern", IF($O1548="SOFix", "True Pattern", IF($O1548="ssFix", "Search Like Pattern", IF($O1548="TBar", "True Pattern", ""))))))))))))))))))))</f>
        <v>True Pattern</v>
      </c>
      <c r="Q1548" s="13" t="str">
        <f>IF(NOT(ISERR(SEARCH("*_Buggy",$A1548))), "Buggy", IF(NOT(ISERR(SEARCH("*_Fixed",$A1548))), "Fixed", IF(NOT(ISERR(SEARCH("*_Repaired",$A1548))), "Repaired", "")))</f>
        <v>Repaired</v>
      </c>
      <c r="R1548" s="13" t="s">
        <v>1668</v>
      </c>
      <c r="S1548" s="25">
        <v>1</v>
      </c>
      <c r="T1548" s="25">
        <v>1</v>
      </c>
      <c r="U1548" s="25">
        <v>7</v>
      </c>
      <c r="V1548" s="13">
        <v>7</v>
      </c>
      <c r="W1548" s="13" t="str">
        <f>MID(A1548, SEARCH("_", A1548) +1, SEARCH("_", A1548, SEARCH("_", A1548) +1) - SEARCH("_", A1548) -1)</f>
        <v>Lang-10</v>
      </c>
      <c r="Y1548" t="str">
        <f>IF(AND($S1023=1,$S1548=1,$V1023=1,$V1548=1), "YES", "NO")</f>
        <v>NO</v>
      </c>
      <c r="Z1548" t="str">
        <f>IF(AND($S1023=1,$S1548=1,$V1023&gt;1,$V1548&gt;1), "YES", "NO")</f>
        <v>NO</v>
      </c>
      <c r="AA1548" t="str">
        <f>IF(AND($S1023&gt;1,$S1548&gt;1,$S1023=$V1023,$S1548=$V1548), "YES", "NO")</f>
        <v>NO</v>
      </c>
      <c r="AB1548" t="str">
        <f>IF(AND($S1023&gt;1,$S1548&gt;1,$S1023&lt;$V1023,$S1548&lt;$V1548), "YES", "NO")</f>
        <v>NO</v>
      </c>
      <c r="AC1548" t="str">
        <f>IF(AND($V1023&gt;10,$V1548&gt;10), "YES", "NO")</f>
        <v>NO</v>
      </c>
      <c r="AD1548"/>
    </row>
    <row r="1549" spans="1:30" ht="15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>LEFT($A1549,FIND("_",$A1549)-1)</f>
        <v>TBar</v>
      </c>
      <c r="P1549" s="13" t="str">
        <f>IF($O1549="ACS", "True Search", IF($O1549="Arja", "Evolutionary Search", IF($O1549="AVATAR", "True Pattern", IF($O1549="CapGen", "Search Like Pattern", IF($O1549="Cardumen", "True Semantic", IF($O1549="DynaMoth", "True Semantic", IF($O1549="FixMiner", "True Pattern", IF($O1549="GenProg-A", "Evolutionary Search", IF($O1549="Hercules", "Learning Pattern", IF($O1549="Jaid", "True Semantic",
IF($O1549="Kali-A", "True Search", IF($O1549="kPAR", "True Pattern", IF($O1549="Nopol", "True Semantic", IF($O1549="RSRepair-A", "Evolutionary Search", IF($O1549="SequenceR", "Deep Learning", IF($O1549="SimFix", "Search Like Pattern", IF($O1549="SketchFix", "True Pattern", IF($O1549="SOFix", "True Pattern", IF($O1549="ssFix", "Search Like Pattern", IF($O1549="TBar", "True Pattern", ""))))))))))))))))))))</f>
        <v>True Pattern</v>
      </c>
      <c r="Q1549" s="13" t="str">
        <f>IF(NOT(ISERR(SEARCH("*_Buggy",$A1549))), "Buggy", IF(NOT(ISERR(SEARCH("*_Fixed",$A1549))), "Fixed", IF(NOT(ISERR(SEARCH("*_Repaired",$A1549))), "Repaired", "")))</f>
        <v>Repaired</v>
      </c>
      <c r="R1549" s="13" t="s">
        <v>1669</v>
      </c>
      <c r="S1549" s="25">
        <v>1</v>
      </c>
      <c r="T1549" s="25">
        <v>1</v>
      </c>
      <c r="U1549" s="25">
        <v>17</v>
      </c>
      <c r="V1549" s="13">
        <v>17</v>
      </c>
      <c r="W1549" s="13" t="str">
        <f>MID(A1549, SEARCH("_", A1549) +1, SEARCH("_", A1549, SEARCH("_", A1549) +1) - SEARCH("_", A1549) -1)</f>
        <v>Lang-13</v>
      </c>
      <c r="Y1549" t="str">
        <f>IF(AND($S1024=1,$S1549=1,$V1024=1,$V1549=1), "YES", "NO")</f>
        <v>NO</v>
      </c>
      <c r="Z1549" t="str">
        <f>IF(AND($S1024=1,$S1549=1,$V1024&gt;1,$V1549&gt;1), "YES", "NO")</f>
        <v>NO</v>
      </c>
      <c r="AA1549" t="str">
        <f>IF(AND($S1024&gt;1,$S1549&gt;1,$S1024=$V1024,$S1549=$V1549), "YES", "NO")</f>
        <v>NO</v>
      </c>
      <c r="AB1549" t="str">
        <f>IF(AND($S1024&gt;1,$S1549&gt;1,$S1024&lt;$V1024,$S1549&lt;$V1549), "YES", "NO")</f>
        <v>NO</v>
      </c>
      <c r="AC1549" t="str">
        <f>IF(AND($V1024&gt;10,$V1549&gt;10), "YES", "NO")</f>
        <v>YES</v>
      </c>
      <c r="AD1549"/>
    </row>
    <row r="1550" spans="1:30" ht="15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>LEFT($A1550,FIND("_",$A1550)-1)</f>
        <v>TBar</v>
      </c>
      <c r="P1550" s="13" t="str">
        <f>IF($O1550="ACS", "True Search", IF($O1550="Arja", "Evolutionary Search", IF($O1550="AVATAR", "True Pattern", IF($O1550="CapGen", "Search Like Pattern", IF($O1550="Cardumen", "True Semantic", IF($O1550="DynaMoth", "True Semantic", IF($O1550="FixMiner", "True Pattern", IF($O1550="GenProg-A", "Evolutionary Search", IF($O1550="Hercules", "Learning Pattern", IF($O1550="Jaid", "True Semantic",
IF($O1550="Kali-A", "True Search", IF($O1550="kPAR", "True Pattern", IF($O1550="Nopol", "True Semantic", IF($O1550="RSRepair-A", "Evolutionary Search", IF($O1550="SequenceR", "Deep Learning", IF($O1550="SimFix", "Search Like Pattern", IF($O1550="SketchFix", "True Pattern", IF($O1550="SOFix", "True Pattern", IF($O1550="ssFix", "Search Like Pattern", IF($O1550="TBar", "True Pattern", ""))))))))))))))))))))</f>
        <v>True Pattern</v>
      </c>
      <c r="Q1550" s="13" t="str">
        <f>IF(NOT(ISERR(SEARCH("*_Buggy",$A1550))), "Buggy", IF(NOT(ISERR(SEARCH("*_Fixed",$A1550))), "Fixed", IF(NOT(ISERR(SEARCH("*_Repaired",$A1550))), "Repaired", "")))</f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v>1</v>
      </c>
      <c r="W1550" s="13" t="str">
        <f>MID(A1550, SEARCH("_", A1550) +1, SEARCH("_", A1550, SEARCH("_", A1550) +1) - SEARCH("_", A1550) -1)</f>
        <v>Lang-18</v>
      </c>
      <c r="Y1550" t="str">
        <f>IF(AND($S1025=1,$S1550=1,$V1025=1,$V1550=1), "YES", "NO")</f>
        <v>NO</v>
      </c>
      <c r="Z1550" t="str">
        <f>IF(AND($S1025=1,$S1550=1,$V1025&gt;1,$V1550&gt;1), "YES", "NO")</f>
        <v>NO</v>
      </c>
      <c r="AA1550" t="str">
        <f>IF(AND($S1025&gt;1,$S1550&gt;1,$S1025=$V1025,$S1550=$V1550), "YES", "NO")</f>
        <v>NO</v>
      </c>
      <c r="AB1550" t="str">
        <f>IF(AND($S1025&gt;1,$S1550&gt;1,$S1025&lt;$V1025,$S1550&lt;$V1550), "YES", "NO")</f>
        <v>NO</v>
      </c>
      <c r="AC1550" t="str">
        <f>IF(AND($V1025&gt;10,$V1550&gt;10), "YES", "NO")</f>
        <v>NO</v>
      </c>
      <c r="AD1550"/>
    </row>
    <row r="1551" spans="1:30" ht="15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>LEFT($A1551,FIND("_",$A1551)-1)</f>
        <v>TBar</v>
      </c>
      <c r="P1551" s="13" t="str">
        <f>IF($O1551="ACS", "True Search", IF($O1551="Arja", "Evolutionary Search", IF($O1551="AVATAR", "True Pattern", IF($O1551="CapGen", "Search Like Pattern", IF($O1551="Cardumen", "True Semantic", IF($O1551="DynaMoth", "True Semantic", IF($O1551="FixMiner", "True Pattern", IF($O1551="GenProg-A", "Evolutionary Search", IF($O1551="Hercules", "Learning Pattern", IF($O1551="Jaid", "True Semantic",
IF($O1551="Kali-A", "True Search", IF($O1551="kPAR", "True Pattern", IF($O1551="Nopol", "True Semantic", IF($O1551="RSRepair-A", "Evolutionary Search", IF($O1551="SequenceR", "Deep Learning", IF($O1551="SimFix", "Search Like Pattern", IF($O1551="SketchFix", "True Pattern", IF($O1551="SOFix", "True Pattern", IF($O1551="ssFix", "Search Like Pattern", IF($O1551="TBar", "True Pattern", ""))))))))))))))))))))</f>
        <v>True Pattern</v>
      </c>
      <c r="Q1551" s="13" t="str">
        <f>IF(NOT(ISERR(SEARCH("*_Buggy",$A1551))), "Buggy", IF(NOT(ISERR(SEARCH("*_Fixed",$A1551))), "Fixed", IF(NOT(ISERR(SEARCH("*_Repaired",$A1551))), "Repaired", "")))</f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v>1</v>
      </c>
      <c r="W1551" s="13" t="str">
        <f>MID(A1551, SEARCH("_", A1551) +1, SEARCH("_", A1551, SEARCH("_", A1551) +1) - SEARCH("_", A1551) -1)</f>
        <v>Lang-20</v>
      </c>
      <c r="Y1551" t="str">
        <f>IF(AND($S1026=1,$S1551=1,$V1026=1,$V1551=1), "YES", "NO")</f>
        <v>NO</v>
      </c>
      <c r="Z1551" t="str">
        <f>IF(AND($S1026=1,$S1551=1,$V1026&gt;1,$V1551&gt;1), "YES", "NO")</f>
        <v>NO</v>
      </c>
      <c r="AA1551" t="str">
        <f>IF(AND($S1026&gt;1,$S1551&gt;1,$S1026=$V1026,$S1551=$V1551), "YES", "NO")</f>
        <v>NO</v>
      </c>
      <c r="AB1551" t="str">
        <f>IF(AND($S1026&gt;1,$S1551&gt;1,$S1026&lt;$V1026,$S1551&lt;$V1551), "YES", "NO")</f>
        <v>NO</v>
      </c>
      <c r="AC1551" t="str">
        <f>IF(AND($V1026&gt;10,$V1551&gt;10), "YES", "NO")</f>
        <v>NO</v>
      </c>
      <c r="AD1551"/>
    </row>
    <row r="1552" spans="1:30" ht="15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>LEFT($A1552,FIND("_",$A1552)-1)</f>
        <v>TBar</v>
      </c>
      <c r="P1552" s="13" t="str">
        <f>IF($O1552="ACS", "True Search", IF($O1552="Arja", "Evolutionary Search", IF($O1552="AVATAR", "True Pattern", IF($O1552="CapGen", "Search Like Pattern", IF($O1552="Cardumen", "True Semantic", IF($O1552="DynaMoth", "True Semantic", IF($O1552="FixMiner", "True Pattern", IF($O1552="GenProg-A", "Evolutionary Search", IF($O1552="Hercules", "Learning Pattern", IF($O1552="Jaid", "True Semantic",
IF($O1552="Kali-A", "True Search", IF($O1552="kPAR", "True Pattern", IF($O1552="Nopol", "True Semantic", IF($O1552="RSRepair-A", "Evolutionary Search", IF($O1552="SequenceR", "Deep Learning", IF($O1552="SimFix", "Search Like Pattern", IF($O1552="SketchFix", "True Pattern", IF($O1552="SOFix", "True Pattern", IF($O1552="ssFix", "Search Like Pattern", IF($O1552="TBar", "True Pattern", ""))))))))))))))))))))</f>
        <v>True Pattern</v>
      </c>
      <c r="Q1552" s="13" t="str">
        <f>IF(NOT(ISERR(SEARCH("*_Buggy",$A1552))), "Buggy", IF(NOT(ISERR(SEARCH("*_Fixed",$A1552))), "Fixed", IF(NOT(ISERR(SEARCH("*_Repaired",$A1552))), "Repaired", "")))</f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v>1</v>
      </c>
      <c r="W1552" s="13" t="str">
        <f>MID(A1552, SEARCH("_", A1552) +1, SEARCH("_", A1552, SEARCH("_", A1552) +1) - SEARCH("_", A1552) -1)</f>
        <v>Lang-22</v>
      </c>
      <c r="Y1552" t="str">
        <f>IF(AND($S1027=1,$S1552=1,$V1027=1,$V1552=1), "YES", "NO")</f>
        <v>NO</v>
      </c>
      <c r="Z1552" t="str">
        <f>IF(AND($S1027=1,$S1552=1,$V1027&gt;1,$V1552&gt;1), "YES", "NO")</f>
        <v>NO</v>
      </c>
      <c r="AA1552" t="str">
        <f>IF(AND($S1027&gt;1,$S1552&gt;1,$S1027=$V1027,$S1552=$V1552), "YES", "NO")</f>
        <v>NO</v>
      </c>
      <c r="AB1552" t="str">
        <f>IF(AND($S1027&gt;1,$S1552&gt;1,$S1027&lt;$V1027,$S1552&lt;$V1552), "YES", "NO")</f>
        <v>NO</v>
      </c>
      <c r="AC1552" t="str">
        <f>IF(AND($V1027&gt;10,$V1552&gt;10), "YES", "NO")</f>
        <v>NO</v>
      </c>
      <c r="AD1552"/>
    </row>
    <row r="1553" spans="1:30" ht="15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>LEFT($A1553,FIND("_",$A1553)-1)</f>
        <v>TBar</v>
      </c>
      <c r="P1553" s="13" t="str">
        <f>IF($O1553="ACS", "True Search", IF($O1553="Arja", "Evolutionary Search", IF($O1553="AVATAR", "True Pattern", IF($O1553="CapGen", "Search Like Pattern", IF($O1553="Cardumen", "True Semantic", IF($O1553="DynaMoth", "True Semantic", IF($O1553="FixMiner", "True Pattern", IF($O1553="GenProg-A", "Evolutionary Search", IF($O1553="Hercules", "Learning Pattern", IF($O1553="Jaid", "True Semantic",
IF($O1553="Kali-A", "True Search", IF($O1553="kPAR", "True Pattern", IF($O1553="Nopol", "True Semantic", IF($O1553="RSRepair-A", "Evolutionary Search", IF($O1553="SequenceR", "Deep Learning", IF($O1553="SimFix", "Search Like Pattern", IF($O1553="SketchFix", "True Pattern", IF($O1553="SOFix", "True Pattern", IF($O1553="ssFix", "Search Like Pattern", IF($O1553="TBar", "True Pattern", ""))))))))))))))))))))</f>
        <v>True Pattern</v>
      </c>
      <c r="Q1553" s="13" t="str">
        <f>IF(NOT(ISERR(SEARCH("*_Buggy",$A1553))), "Buggy", IF(NOT(ISERR(SEARCH("*_Fixed",$A1553))), "Fixed", IF(NOT(ISERR(SEARCH("*_Repaired",$A1553))), "Repaired", "")))</f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v>1</v>
      </c>
      <c r="W1553" s="13" t="str">
        <f>MID(A1553, SEARCH("_", A1553) +1, SEARCH("_", A1553, SEARCH("_", A1553) +1) - SEARCH("_", A1553) -1)</f>
        <v>Lang-24</v>
      </c>
      <c r="Y1553" t="str">
        <f>IF(AND($S1028=1,$S1553=1,$V1028=1,$V1553=1), "YES", "NO")</f>
        <v>YES</v>
      </c>
      <c r="Z1553" t="str">
        <f>IF(AND($S1028=1,$S1553=1,$V1028&gt;1,$V1553&gt;1), "YES", "NO")</f>
        <v>NO</v>
      </c>
      <c r="AA1553" t="str">
        <f>IF(AND($S1028&gt;1,$S1553&gt;1,$S1028=$V1028,$S1553=$V1553), "YES", "NO")</f>
        <v>NO</v>
      </c>
      <c r="AB1553" t="str">
        <f>IF(AND($S1028&gt;1,$S1553&gt;1,$S1028&lt;$V1028,$S1553&lt;$V1553), "YES", "NO")</f>
        <v>NO</v>
      </c>
      <c r="AC1553" t="str">
        <f>IF(AND($V1028&gt;10,$V1553&gt;10), "YES", "NO")</f>
        <v>NO</v>
      </c>
      <c r="AD1553"/>
    </row>
    <row r="1554" spans="1:30" ht="15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>LEFT($A1554,FIND("_",$A1554)-1)</f>
        <v>TBar</v>
      </c>
      <c r="P1554" s="13" t="str">
        <f>IF($O1554="ACS", "True Search", IF($O1554="Arja", "Evolutionary Search", IF($O1554="AVATAR", "True Pattern", IF($O1554="CapGen", "Search Like Pattern", IF($O1554="Cardumen", "True Semantic", IF($O1554="DynaMoth", "True Semantic", IF($O1554="FixMiner", "True Pattern", IF($O1554="GenProg-A", "Evolutionary Search", IF($O1554="Hercules", "Learning Pattern", IF($O1554="Jaid", "True Semantic",
IF($O1554="Kali-A", "True Search", IF($O1554="kPAR", "True Pattern", IF($O1554="Nopol", "True Semantic", IF($O1554="RSRepair-A", "Evolutionary Search", IF($O1554="SequenceR", "Deep Learning", IF($O1554="SimFix", "Search Like Pattern", IF($O1554="SketchFix", "True Pattern", IF($O1554="SOFix", "True Pattern", IF($O1554="ssFix", "Search Like Pattern", IF($O1554="TBar", "True Pattern", ""))))))))))))))))))))</f>
        <v>True Pattern</v>
      </c>
      <c r="Q1554" s="13" t="str">
        <f>IF(NOT(ISERR(SEARCH("*_Buggy",$A1554))), "Buggy", IF(NOT(ISERR(SEARCH("*_Fixed",$A1554))), "Fixed", IF(NOT(ISERR(SEARCH("*_Repaired",$A1554))), "Repaired", "")))</f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v>1</v>
      </c>
      <c r="W1554" s="13" t="str">
        <f>MID(A1554, SEARCH("_", A1554) +1, SEARCH("_", A1554, SEARCH("_", A1554) +1) - SEARCH("_", A1554) -1)</f>
        <v>Lang-26</v>
      </c>
      <c r="Y1554" t="str">
        <f>IF(AND($S1029=1,$S1554=1,$V1029=1,$V1554=1), "YES", "NO")</f>
        <v>YES</v>
      </c>
      <c r="Z1554" t="str">
        <f>IF(AND($S1029=1,$S1554=1,$V1029&gt;1,$V1554&gt;1), "YES", "NO")</f>
        <v>NO</v>
      </c>
      <c r="AA1554" t="str">
        <f>IF(AND($S1029&gt;1,$S1554&gt;1,$S1029=$V1029,$S1554=$V1554), "YES", "NO")</f>
        <v>NO</v>
      </c>
      <c r="AB1554" t="str">
        <f>IF(AND($S1029&gt;1,$S1554&gt;1,$S1029&lt;$V1029,$S1554&lt;$V1554), "YES", "NO")</f>
        <v>NO</v>
      </c>
      <c r="AC1554" t="str">
        <f>IF(AND($V1029&gt;10,$V1554&gt;10), "YES", "NO")</f>
        <v>NO</v>
      </c>
      <c r="AD1554"/>
    </row>
    <row r="1555" spans="1:30" ht="15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>LEFT($A1555,FIND("_",$A1555)-1)</f>
        <v>TBar</v>
      </c>
      <c r="P1555" s="13" t="str">
        <f>IF($O1555="ACS", "True Search", IF($O1555="Arja", "Evolutionary Search", IF($O1555="AVATAR", "True Pattern", IF($O1555="CapGen", "Search Like Pattern", IF($O1555="Cardumen", "True Semantic", IF($O1555="DynaMoth", "True Semantic", IF($O1555="FixMiner", "True Pattern", IF($O1555="GenProg-A", "Evolutionary Search", IF($O1555="Hercules", "Learning Pattern", IF($O1555="Jaid", "True Semantic",
IF($O1555="Kali-A", "True Search", IF($O1555="kPAR", "True Pattern", IF($O1555="Nopol", "True Semantic", IF($O1555="RSRepair-A", "Evolutionary Search", IF($O1555="SequenceR", "Deep Learning", IF($O1555="SimFix", "Search Like Pattern", IF($O1555="SketchFix", "True Pattern", IF($O1555="SOFix", "True Pattern", IF($O1555="ssFix", "Search Like Pattern", IF($O1555="TBar", "True Pattern", ""))))))))))))))))))))</f>
        <v>True Pattern</v>
      </c>
      <c r="Q1555" s="13" t="str">
        <f>IF(NOT(ISERR(SEARCH("*_Buggy",$A1555))), "Buggy", IF(NOT(ISERR(SEARCH("*_Fixed",$A1555))), "Fixed", IF(NOT(ISERR(SEARCH("*_Repaired",$A1555))), "Repaired", "")))</f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v>1</v>
      </c>
      <c r="W1555" s="13" t="str">
        <f>MID(A1555, SEARCH("_", A1555) +1, SEARCH("_", A1555, SEARCH("_", A1555) +1) - SEARCH("_", A1555) -1)</f>
        <v>Lang-27</v>
      </c>
      <c r="Y1555" t="str">
        <f>IF(AND($S1030=1,$S1555=1,$V1030=1,$V1555=1), "YES", "NO")</f>
        <v>NO</v>
      </c>
      <c r="Z1555" t="str">
        <f>IF(AND($S1030=1,$S1555=1,$V1030&gt;1,$V1555&gt;1), "YES", "NO")</f>
        <v>NO</v>
      </c>
      <c r="AA1555" t="str">
        <f>IF(AND($S1030&gt;1,$S1555&gt;1,$S1030=$V1030,$S1555=$V1555), "YES", "NO")</f>
        <v>NO</v>
      </c>
      <c r="AB1555" t="str">
        <f>IF(AND($S1030&gt;1,$S1555&gt;1,$S1030&lt;$V1030,$S1555&lt;$V1555), "YES", "NO")</f>
        <v>NO</v>
      </c>
      <c r="AC1555" t="str">
        <f>IF(AND($V1030&gt;10,$V1555&gt;10), "YES", "NO")</f>
        <v>NO</v>
      </c>
      <c r="AD1555"/>
    </row>
    <row r="1556" spans="1:30" ht="15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>LEFT($A1556,FIND("_",$A1556)-1)</f>
        <v>TBar</v>
      </c>
      <c r="P1556" s="13" t="str">
        <f>IF($O1556="ACS", "True Search", IF($O1556="Arja", "Evolutionary Search", IF($O1556="AVATAR", "True Pattern", IF($O1556="CapGen", "Search Like Pattern", IF($O1556="Cardumen", "True Semantic", IF($O1556="DynaMoth", "True Semantic", IF($O1556="FixMiner", "True Pattern", IF($O1556="GenProg-A", "Evolutionary Search", IF($O1556="Hercules", "Learning Pattern", IF($O1556="Jaid", "True Semantic",
IF($O1556="Kali-A", "True Search", IF($O1556="kPAR", "True Pattern", IF($O1556="Nopol", "True Semantic", IF($O1556="RSRepair-A", "Evolutionary Search", IF($O1556="SequenceR", "Deep Learning", IF($O1556="SimFix", "Search Like Pattern", IF($O1556="SketchFix", "True Pattern", IF($O1556="SOFix", "True Pattern", IF($O1556="ssFix", "Search Like Pattern", IF($O1556="TBar", "True Pattern", ""))))))))))))))))))))</f>
        <v>True Pattern</v>
      </c>
      <c r="Q1556" s="13" t="str">
        <f>IF(NOT(ISERR(SEARCH("*_Buggy",$A1556))), "Buggy", IF(NOT(ISERR(SEARCH("*_Fixed",$A1556))), "Fixed", IF(NOT(ISERR(SEARCH("*_Repaired",$A1556))), "Repaired", "")))</f>
        <v>Repaired</v>
      </c>
      <c r="R1556" s="13" t="s">
        <v>1668</v>
      </c>
      <c r="S1556" s="25">
        <v>1</v>
      </c>
      <c r="T1556" s="25">
        <v>3</v>
      </c>
      <c r="U1556" s="25">
        <v>1</v>
      </c>
      <c r="V1556" s="13">
        <v>3</v>
      </c>
      <c r="W1556" s="13" t="str">
        <f>MID(A1556, SEARCH("_", A1556) +1, SEARCH("_", A1556, SEARCH("_", A1556) +1) - SEARCH("_", A1556) -1)</f>
        <v>Lang-33</v>
      </c>
      <c r="Y1556" t="str">
        <f>IF(AND($S1031=1,$S1556=1,$V1031=1,$V1556=1), "YES", "NO")</f>
        <v>NO</v>
      </c>
      <c r="Z1556" t="str">
        <f>IF(AND($S1031=1,$S1556=1,$V1031&gt;1,$V1556&gt;1), "YES", "NO")</f>
        <v>NO</v>
      </c>
      <c r="AA1556" t="str">
        <f>IF(AND($S1031&gt;1,$S1556&gt;1,$S1031=$V1031,$S1556=$V1556), "YES", "NO")</f>
        <v>NO</v>
      </c>
      <c r="AB1556" t="str">
        <f>IF(AND($S1031&gt;1,$S1556&gt;1,$S1031&lt;$V1031,$S1556&lt;$V1556), "YES", "NO")</f>
        <v>NO</v>
      </c>
      <c r="AC1556" t="str">
        <f>IF(AND($V1031&gt;10,$V1556&gt;10), "YES", "NO")</f>
        <v>NO</v>
      </c>
      <c r="AD1556"/>
    </row>
    <row r="1557" spans="1:30" ht="15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>LEFT($A1557,FIND("_",$A1557)-1)</f>
        <v>TBar</v>
      </c>
      <c r="P1557" s="13" t="str">
        <f>IF($O1557="ACS", "True Search", IF($O1557="Arja", "Evolutionary Search", IF($O1557="AVATAR", "True Pattern", IF($O1557="CapGen", "Search Like Pattern", IF($O1557="Cardumen", "True Semantic", IF($O1557="DynaMoth", "True Semantic", IF($O1557="FixMiner", "True Pattern", IF($O1557="GenProg-A", "Evolutionary Search", IF($O1557="Hercules", "Learning Pattern", IF($O1557="Jaid", "True Semantic",
IF($O1557="Kali-A", "True Search", IF($O1557="kPAR", "True Pattern", IF($O1557="Nopol", "True Semantic", IF($O1557="RSRepair-A", "Evolutionary Search", IF($O1557="SequenceR", "Deep Learning", IF($O1557="SimFix", "Search Like Pattern", IF($O1557="SketchFix", "True Pattern", IF($O1557="SOFix", "True Pattern", IF($O1557="ssFix", "Search Like Pattern", IF($O1557="TBar", "True Pattern", ""))))))))))))))))))))</f>
        <v>True Pattern</v>
      </c>
      <c r="Q1557" s="13" t="str">
        <f>IF(NOT(ISERR(SEARCH("*_Buggy",$A1557))), "Buggy", IF(NOT(ISERR(SEARCH("*_Fixed",$A1557))), "Fixed", IF(NOT(ISERR(SEARCH("*_Repaired",$A1557))), "Repaired", "")))</f>
        <v>Repaired</v>
      </c>
      <c r="R1557" s="13" t="s">
        <v>1668</v>
      </c>
      <c r="S1557" s="25">
        <v>1</v>
      </c>
      <c r="T1557" s="25">
        <v>3</v>
      </c>
      <c r="U1557" s="25">
        <v>1</v>
      </c>
      <c r="V1557" s="13">
        <v>3</v>
      </c>
      <c r="W1557" s="13" t="str">
        <f>MID(A1557, SEARCH("_", A1557) +1, SEARCH("_", A1557, SEARCH("_", A1557) +1) - SEARCH("_", A1557) -1)</f>
        <v>Lang-39</v>
      </c>
      <c r="Y1557" t="str">
        <f>IF(AND($S1032=1,$S1557=1,$V1032=1,$V1557=1), "YES", "NO")</f>
        <v>NO</v>
      </c>
      <c r="Z1557" t="str">
        <f>IF(AND($S1032=1,$S1557=1,$V1032&gt;1,$V1557&gt;1), "YES", "NO")</f>
        <v>YES</v>
      </c>
      <c r="AA1557" t="str">
        <f>IF(AND($S1032&gt;1,$S1557&gt;1,$S1032=$V1032,$S1557=$V1557), "YES", "NO")</f>
        <v>NO</v>
      </c>
      <c r="AB1557" t="str">
        <f>IF(AND($S1032&gt;1,$S1557&gt;1,$S1032&lt;$V1032,$S1557&lt;$V1557), "YES", "NO")</f>
        <v>NO</v>
      </c>
      <c r="AC1557" t="str">
        <f>IF(AND($V1032&gt;10,$V1557&gt;10), "YES", "NO")</f>
        <v>NO</v>
      </c>
      <c r="AD1557"/>
    </row>
    <row r="1558" spans="1:30" ht="15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>LEFT($A1558,FIND("_",$A1558)-1)</f>
        <v>TBar</v>
      </c>
      <c r="P1558" s="13" t="str">
        <f>IF($O1558="ACS", "True Search", IF($O1558="Arja", "Evolutionary Search", IF($O1558="AVATAR", "True Pattern", IF($O1558="CapGen", "Search Like Pattern", IF($O1558="Cardumen", "True Semantic", IF($O1558="DynaMoth", "True Semantic", IF($O1558="FixMiner", "True Pattern", IF($O1558="GenProg-A", "Evolutionary Search", IF($O1558="Hercules", "Learning Pattern", IF($O1558="Jaid", "True Semantic",
IF($O1558="Kali-A", "True Search", IF($O1558="kPAR", "True Pattern", IF($O1558="Nopol", "True Semantic", IF($O1558="RSRepair-A", "Evolutionary Search", IF($O1558="SequenceR", "Deep Learning", IF($O1558="SimFix", "Search Like Pattern", IF($O1558="SketchFix", "True Pattern", IF($O1558="SOFix", "True Pattern", IF($O1558="ssFix", "Search Like Pattern", IF($O1558="TBar", "True Pattern", ""))))))))))))))))))))</f>
        <v>True Pattern</v>
      </c>
      <c r="Q1558" s="13" t="str">
        <f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v>1</v>
      </c>
      <c r="W1558" s="13" t="str">
        <f>MID(A1558, SEARCH("_", A1558) +1, SEARCH("_", A1558, SEARCH("_", A1558) +1) - SEARCH("_", A1558) -1)</f>
        <v>Lang-41</v>
      </c>
      <c r="Y1558" t="str">
        <f>IF(AND($S1033=1,$S1558=1,$V1033=1,$V1558=1), "YES", "NO")</f>
        <v>NO</v>
      </c>
      <c r="Z1558" t="str">
        <f>IF(AND($S1033=1,$S1558=1,$V1033&gt;1,$V1558&gt;1), "YES", "NO")</f>
        <v>NO</v>
      </c>
      <c r="AA1558" t="str">
        <f>IF(AND($S1033&gt;1,$S1558&gt;1,$S1033=$V1033,$S1558=$V1558), "YES", "NO")</f>
        <v>NO</v>
      </c>
      <c r="AB1558" t="str">
        <f>IF(AND($S1033&gt;1,$S1558&gt;1,$S1033&lt;$V1033,$S1558&lt;$V1558), "YES", "NO")</f>
        <v>NO</v>
      </c>
      <c r="AC1558" t="str">
        <f>IF(AND($V1033&gt;10,$V1558&gt;10), "YES", "NO")</f>
        <v>NO</v>
      </c>
      <c r="AD1558"/>
    </row>
    <row r="1559" spans="1:30" ht="15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>LEFT($A1559,FIND("_",$A1559)-1)</f>
        <v>TBar</v>
      </c>
      <c r="P1559" s="13" t="str">
        <f>IF($O1559="ACS", "True Search", IF($O1559="Arja", "Evolutionary Search", IF($O1559="AVATAR", "True Pattern", IF($O1559="CapGen", "Search Like Pattern", IF($O1559="Cardumen", "True Semantic", IF($O1559="DynaMoth", "True Semantic", IF($O1559="FixMiner", "True Pattern", IF($O1559="GenProg-A", "Evolutionary Search", IF($O1559="Hercules", "Learning Pattern", IF($O1559="Jaid", "True Semantic",
IF($O1559="Kali-A", "True Search", IF($O1559="kPAR", "True Pattern", IF($O1559="Nopol", "True Semantic", IF($O1559="RSRepair-A", "Evolutionary Search", IF($O1559="SequenceR", "Deep Learning", IF($O1559="SimFix", "Search Like Pattern", IF($O1559="SketchFix", "True Pattern", IF($O1559="SOFix", "True Pattern", IF($O1559="ssFix", "Search Like Pattern", IF($O1559="TBar", "True Pattern", ""))))))))))))))))))))</f>
        <v>True Pattern</v>
      </c>
      <c r="Q1559" s="13" t="str">
        <f>IF(NOT(ISERR(SEARCH("*_Buggy",$A1559))), "Buggy", IF(NOT(ISERR(SEARCH("*_Fixed",$A1559))), "Fixed", IF(NOT(ISERR(SEARCH("*_Repaired",$A1559))), "Repaired", "")))</f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v>1</v>
      </c>
      <c r="W1559" s="13" t="str">
        <f>MID(A1559, SEARCH("_", A1559) +1, SEARCH("_", A1559, SEARCH("_", A1559) +1) - SEARCH("_", A1559) -1)</f>
        <v>Lang-43</v>
      </c>
      <c r="Y1559" t="str">
        <f>IF(AND($S1034=1,$S1559=1,$V1034=1,$V1559=1), "YES", "NO")</f>
        <v>YES</v>
      </c>
      <c r="Z1559" t="str">
        <f>IF(AND($S1034=1,$S1559=1,$V1034&gt;1,$V1559&gt;1), "YES", "NO")</f>
        <v>NO</v>
      </c>
      <c r="AA1559" t="str">
        <f>IF(AND($S1034&gt;1,$S1559&gt;1,$S1034=$V1034,$S1559=$V1559), "YES", "NO")</f>
        <v>NO</v>
      </c>
      <c r="AB1559" t="str">
        <f>IF(AND($S1034&gt;1,$S1559&gt;1,$S1034&lt;$V1034,$S1559&lt;$V1559), "YES", "NO")</f>
        <v>NO</v>
      </c>
      <c r="AC1559" t="str">
        <f>IF(AND($V1034&gt;10,$V1559&gt;10), "YES", "NO")</f>
        <v>NO</v>
      </c>
      <c r="AD1559"/>
    </row>
    <row r="1560" spans="1:30" ht="15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>LEFT($A1560,FIND("_",$A1560)-1)</f>
        <v>TBar</v>
      </c>
      <c r="P1560" s="13" t="str">
        <f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>IF(NOT(ISERR(SEARCH("*_Buggy",$A1560))), "Buggy", IF(NOT(ISERR(SEARCH("*_Fixed",$A1560))), "Fixed", IF(NOT(ISERR(SEARCH("*_Repaired",$A1560))), "Repaired", "")))</f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v>2</v>
      </c>
      <c r="W1560" s="13" t="str">
        <f>MID(A1560, SEARCH("_", A1560) +1, SEARCH("_", A1560, SEARCH("_", A1560) +1) - SEARCH("_", A1560) -1)</f>
        <v>Lang-44</v>
      </c>
      <c r="Y1560" t="str">
        <f>IF(AND($S1035=1,$S1560=1,$V1035=1,$V1560=1), "YES", "NO")</f>
        <v>NO</v>
      </c>
      <c r="Z1560" t="str">
        <f>IF(AND($S1035=1,$S1560=1,$V1035&gt;1,$V1560&gt;1), "YES", "NO")</f>
        <v>NO</v>
      </c>
      <c r="AA1560" t="str">
        <f>IF(AND($S1035&gt;1,$S1560&gt;1,$S1035=$V1035,$S1560=$V1560), "YES", "NO")</f>
        <v>NO</v>
      </c>
      <c r="AB1560" t="str">
        <f>IF(AND($S1035&gt;1,$S1560&gt;1,$S1035&lt;$V1035,$S1560&lt;$V1560), "YES", "NO")</f>
        <v>NO</v>
      </c>
      <c r="AC1560" t="str">
        <f>IF(AND($V1035&gt;10,$V1560&gt;10), "YES", "NO")</f>
        <v>NO</v>
      </c>
      <c r="AD1560"/>
    </row>
    <row r="1561" spans="1:30" ht="15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>LEFT($A1561,FIND("_",$A1561)-1)</f>
        <v>TBar</v>
      </c>
      <c r="P1561" s="13" t="str">
        <f>IF($O1561="ACS", "True Search", IF($O1561="Arja", "Evolutionary Search", IF($O1561="AVATAR", "True Pattern", IF($O1561="CapGen", "Search Like Pattern", IF($O1561="Cardumen", "True Semantic", IF($O1561="DynaMoth", "True Semantic", IF($O1561="FixMiner", "True Pattern", IF($O1561="GenProg-A", "Evolutionary Search", IF($O1561="Hercules", "Learning Pattern", IF($O1561="Jaid", "True Semantic",
IF($O1561="Kali-A", "True Search", IF($O1561="kPAR", "True Pattern", IF($O1561="Nopol", "True Semantic", IF($O1561="RSRepair-A", "Evolutionary Search", IF($O1561="SequenceR", "Deep Learning", IF($O1561="SimFix", "Search Like Pattern", IF($O1561="SketchFix", "True Pattern", IF($O1561="SOFix", "True Pattern", IF($O1561="ssFix", "Search Like Pattern", IF($O1561="TBar", "True Pattern", ""))))))))))))))))))))</f>
        <v>True Pattern</v>
      </c>
      <c r="Q1561" s="13" t="str">
        <f>IF(NOT(ISERR(SEARCH("*_Buggy",$A1561))), "Buggy", IF(NOT(ISERR(SEARCH("*_Fixed",$A1561))), "Fixed", IF(NOT(ISERR(SEARCH("*_Repaired",$A1561))), "Repaired", "")))</f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v>1</v>
      </c>
      <c r="W1561" s="13" t="str">
        <f>MID(A1561, SEARCH("_", A1561) +1, SEARCH("_", A1561, SEARCH("_", A1561) +1) - SEARCH("_", A1561) -1)</f>
        <v>Lang-45</v>
      </c>
      <c r="Y1561" t="str">
        <f>IF(AND($S1036=1,$S1561=1,$V1036=1,$V1561=1), "YES", "NO")</f>
        <v>NO</v>
      </c>
      <c r="Z1561" t="str">
        <f>IF(AND($S1036=1,$S1561=1,$V1036&gt;1,$V1561&gt;1), "YES", "NO")</f>
        <v>NO</v>
      </c>
      <c r="AA1561" t="str">
        <f>IF(AND($S1036&gt;1,$S1561&gt;1,$S1036=$V1036,$S1561=$V1561), "YES", "NO")</f>
        <v>NO</v>
      </c>
      <c r="AB1561" t="str">
        <f>IF(AND($S1036&gt;1,$S1561&gt;1,$S1036&lt;$V1036,$S1561&lt;$V1561), "YES", "NO")</f>
        <v>NO</v>
      </c>
      <c r="AC1561" t="str">
        <f>IF(AND($V1036&gt;10,$V1561&gt;10), "YES", "NO")</f>
        <v>NO</v>
      </c>
      <c r="AD1561"/>
    </row>
    <row r="1562" spans="1:30" ht="15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>LEFT($A1562,FIND("_",$A1562)-1)</f>
        <v>TBar</v>
      </c>
      <c r="P1562" s="13" t="str">
        <f>IF($O1562="ACS", "True Search", IF($O1562="Arja", "Evolutionary Search", IF($O1562="AVATAR", "True Pattern", IF($O1562="CapGen", "Search Like Pattern", IF($O1562="Cardumen", "True Semantic", IF($O1562="DynaMoth", "True Semantic", IF($O1562="FixMiner", "True Pattern", IF($O1562="GenProg-A", "Evolutionary Search", IF($O1562="Hercules", "Learning Pattern", IF($O1562="Jaid", "True Semantic",
IF($O1562="Kali-A", "True Search", IF($O1562="kPAR", "True Pattern", IF($O1562="Nopol", "True Semantic", IF($O1562="RSRepair-A", "Evolutionary Search", IF($O1562="SequenceR", "Deep Learning", IF($O1562="SimFix", "Search Like Pattern", IF($O1562="SketchFix", "True Pattern", IF($O1562="SOFix", "True Pattern", IF($O1562="ssFix", "Search Like Pattern", IF($O1562="TBar", "True Pattern", ""))))))))))))))))))))</f>
        <v>True Pattern</v>
      </c>
      <c r="Q1562" s="13" t="str">
        <f>IF(NOT(ISERR(SEARCH("*_Buggy",$A1562))), "Buggy", IF(NOT(ISERR(SEARCH("*_Fixed",$A1562))), "Fixed", IF(NOT(ISERR(SEARCH("*_Repaired",$A1562))), "Repaired", "")))</f>
        <v>Repaired</v>
      </c>
      <c r="R1562" s="13" t="s">
        <v>1668</v>
      </c>
      <c r="S1562" s="25">
        <v>1</v>
      </c>
      <c r="T1562" s="25">
        <v>2</v>
      </c>
      <c r="U1562" s="25">
        <v>1</v>
      </c>
      <c r="V1562" s="13">
        <v>2</v>
      </c>
      <c r="W1562" s="13" t="str">
        <f>MID(A1562, SEARCH("_", A1562) +1, SEARCH("_", A1562, SEARCH("_", A1562) +1) - SEARCH("_", A1562) -1)</f>
        <v>Lang-47</v>
      </c>
      <c r="Y1562" t="str">
        <f>IF(AND($S1037=1,$S1562=1,$V1037=1,$V1562=1), "YES", "NO")</f>
        <v>NO</v>
      </c>
      <c r="Z1562" t="str">
        <f>IF(AND($S1037=1,$S1562=1,$V1037&gt;1,$V1562&gt;1), "YES", "NO")</f>
        <v>NO</v>
      </c>
      <c r="AA1562" t="str">
        <f>IF(AND($S1037&gt;1,$S1562&gt;1,$S1037=$V1037,$S1562=$V1562), "YES", "NO")</f>
        <v>NO</v>
      </c>
      <c r="AB1562" t="str">
        <f>IF(AND($S1037&gt;1,$S1562&gt;1,$S1037&lt;$V1037,$S1562&lt;$V1562), "YES", "NO")</f>
        <v>NO</v>
      </c>
      <c r="AC1562" t="str">
        <f>IF(AND($V1037&gt;10,$V1562&gt;10), "YES", "NO")</f>
        <v>NO</v>
      </c>
      <c r="AD1562"/>
    </row>
    <row r="1563" spans="1:30" ht="15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>LEFT($A1563,FIND("_",$A1563)-1)</f>
        <v>TBar</v>
      </c>
      <c r="P1563" s="13" t="str">
        <f>IF($O1563="ACS", "True Search", IF($O1563="Arja", "Evolutionary Search", IF($O1563="AVATAR", "True Pattern", IF($O1563="CapGen", "Search Like Pattern", IF($O1563="Cardumen", "True Semantic", IF($O1563="DynaMoth", "True Semantic", IF($O1563="FixMiner", "True Pattern", IF($O1563="GenProg-A", "Evolutionary Search", IF($O1563="Hercules", "Learning Pattern", IF($O1563="Jaid", "True Semantic",
IF($O1563="Kali-A", "True Search", IF($O1563="kPAR", "True Pattern", IF($O1563="Nopol", "True Semantic", IF($O1563="RSRepair-A", "Evolutionary Search", IF($O1563="SequenceR", "Deep Learning", IF($O1563="SimFix", "Search Like Pattern", IF($O1563="SketchFix", "True Pattern", IF($O1563="SOFix", "True Pattern", IF($O1563="ssFix", "Search Like Pattern", IF($O1563="TBar", "True Pattern", ""))))))))))))))))))))</f>
        <v>True Pattern</v>
      </c>
      <c r="Q1563" s="13" t="str">
        <f>IF(NOT(ISERR(SEARCH("*_Buggy",$A1563))), "Buggy", IF(NOT(ISERR(SEARCH("*_Fixed",$A1563))), "Fixed", IF(NOT(ISERR(SEARCH("*_Repaired",$A1563))), "Repaired", "")))</f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v>1</v>
      </c>
      <c r="W1563" s="13" t="str">
        <f>MID(A1563, SEARCH("_", A1563) +1, SEARCH("_", A1563, SEARCH("_", A1563) +1) - SEARCH("_", A1563) -1)</f>
        <v>Lang-50</v>
      </c>
      <c r="Y1563" t="str">
        <f>IF(AND($S1038=1,$S1563=1,$V1038=1,$V1563=1), "YES", "NO")</f>
        <v>NO</v>
      </c>
      <c r="Z1563" t="str">
        <f>IF(AND($S1038=1,$S1563=1,$V1038&gt;1,$V1563&gt;1), "YES", "NO")</f>
        <v>NO</v>
      </c>
      <c r="AA1563" t="str">
        <f>IF(AND($S1038&gt;1,$S1563&gt;1,$S1038=$V1038,$S1563=$V1563), "YES", "NO")</f>
        <v>NO</v>
      </c>
      <c r="AB1563" t="str">
        <f>IF(AND($S1038&gt;1,$S1563&gt;1,$S1038&lt;$V1038,$S1563&lt;$V1563), "YES", "NO")</f>
        <v>NO</v>
      </c>
      <c r="AC1563" t="str">
        <f>IF(AND($V1038&gt;10,$V1563&gt;10), "YES", "NO")</f>
        <v>NO</v>
      </c>
      <c r="AD1563"/>
    </row>
    <row r="1564" spans="1:30" ht="15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>LEFT($A1564,FIND("_",$A1564)-1)</f>
        <v>TBar</v>
      </c>
      <c r="P1564" s="13" t="str">
        <f>IF($O1564="ACS", "True Search", IF($O1564="Arja", "Evolutionary Search", IF($O1564="AVATAR", "True Pattern", IF($O1564="CapGen", "Search Like Pattern", IF($O1564="Cardumen", "True Semantic", IF($O1564="DynaMoth", "True Semantic", IF($O1564="FixMiner", "True Pattern", IF($O1564="GenProg-A", "Evolutionary Search", IF($O1564="Hercules", "Learning Pattern", IF($O1564="Jaid", "True Semantic",
IF($O1564="Kali-A", "True Search", IF($O1564="kPAR", "True Pattern", IF($O1564="Nopol", "True Semantic", IF($O1564="RSRepair-A", "Evolutionary Search", IF($O1564="SequenceR", "Deep Learning", IF($O1564="SimFix", "Search Like Pattern", IF($O1564="SketchFix", "True Pattern", IF($O1564="SOFix", "True Pattern", IF($O1564="ssFix", "Search Like Pattern", IF($O1564="TBar", "True Pattern", ""))))))))))))))))))))</f>
        <v>True Pattern</v>
      </c>
      <c r="Q1564" s="13" t="str">
        <f>IF(NOT(ISERR(SEARCH("*_Buggy",$A1564))), "Buggy", IF(NOT(ISERR(SEARCH("*_Fixed",$A1564))), "Fixed", IF(NOT(ISERR(SEARCH("*_Repaired",$A1564))), "Repaired", "")))</f>
        <v>Repaired</v>
      </c>
      <c r="R1564" s="13" t="s">
        <v>1668</v>
      </c>
      <c r="S1564" s="25">
        <v>1</v>
      </c>
      <c r="T1564" s="13">
        <v>2</v>
      </c>
      <c r="U1564" s="25">
        <v>0</v>
      </c>
      <c r="V1564" s="13">
        <v>2</v>
      </c>
      <c r="W1564" s="13" t="str">
        <f>MID(A1564, SEARCH("_", A1564) +1, SEARCH("_", A1564, SEARCH("_", A1564) +1) - SEARCH("_", A1564) -1)</f>
        <v>Lang-51</v>
      </c>
      <c r="Y1564" t="str">
        <f>IF(AND($S1039=1,$S1564=1,$V1039=1,$V1564=1), "YES", "NO")</f>
        <v>NO</v>
      </c>
      <c r="Z1564" t="str">
        <f>IF(AND($S1039=1,$S1564=1,$V1039&gt;1,$V1564&gt;1), "YES", "NO")</f>
        <v>NO</v>
      </c>
      <c r="AA1564" t="str">
        <f>IF(AND($S1039&gt;1,$S1564&gt;1,$S1039=$V1039,$S1564=$V1564), "YES", "NO")</f>
        <v>NO</v>
      </c>
      <c r="AB1564" t="str">
        <f>IF(AND($S1039&gt;1,$S1564&gt;1,$S1039&lt;$V1039,$S1564&lt;$V1564), "YES", "NO")</f>
        <v>NO</v>
      </c>
      <c r="AC1564" t="str">
        <f>IF(AND($V1039&gt;10,$V1564&gt;10), "YES", "NO")</f>
        <v>NO</v>
      </c>
      <c r="AD1564"/>
    </row>
    <row r="1565" spans="1:30" ht="15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>LEFT($A1565,FIND("_",$A1565)-1)</f>
        <v>TBar</v>
      </c>
      <c r="P1565" s="13" t="str">
        <f>IF($O1565="ACS", "True Search", IF($O1565="Arja", "Evolutionary Search", IF($O1565="AVATAR", "True Pattern", IF($O1565="CapGen", "Search Like Pattern", IF($O1565="Cardumen", "True Semantic", IF($O1565="DynaMoth", "True Semantic", IF($O1565="FixMiner", "True Pattern", IF($O1565="GenProg-A", "Evolutionary Search", IF($O1565="Hercules", "Learning Pattern", IF($O1565="Jaid", "True Semantic",
IF($O1565="Kali-A", "True Search", IF($O1565="kPAR", "True Pattern", IF($O1565="Nopol", "True Semantic", IF($O1565="RSRepair-A", "Evolutionary Search", IF($O1565="SequenceR", "Deep Learning", IF($O1565="SimFix", "Search Like Pattern", IF($O1565="SketchFix", "True Pattern", IF($O1565="SOFix", "True Pattern", IF($O1565="ssFix", "Search Like Pattern", IF($O1565="TBar", "True Pattern", ""))))))))))))))))))))</f>
        <v>True Pattern</v>
      </c>
      <c r="Q1565" s="13" t="str">
        <f>IF(NOT(ISERR(SEARCH("*_Buggy",$A1565))), "Buggy", IF(NOT(ISERR(SEARCH("*_Fixed",$A1565))), "Fixed", IF(NOT(ISERR(SEARCH("*_Repaired",$A1565))), "Repaired", "")))</f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v>1</v>
      </c>
      <c r="W1565" s="13" t="str">
        <f>MID(A1565, SEARCH("_", A1565) +1, SEARCH("_", A1565, SEARCH("_", A1565) +1) - SEARCH("_", A1565) -1)</f>
        <v>Lang-57</v>
      </c>
      <c r="Y1565" t="str">
        <f>IF(AND($S1040=1,$S1565=1,$V1040=1,$V1565=1), "YES", "NO")</f>
        <v>YES</v>
      </c>
      <c r="Z1565" t="str">
        <f>IF(AND($S1040=1,$S1565=1,$V1040&gt;1,$V1565&gt;1), "YES", "NO")</f>
        <v>NO</v>
      </c>
      <c r="AA1565" t="str">
        <f>IF(AND($S1040&gt;1,$S1565&gt;1,$S1040=$V1040,$S1565=$V1565), "YES", "NO")</f>
        <v>NO</v>
      </c>
      <c r="AB1565" t="str">
        <f>IF(AND($S1040&gt;1,$S1565&gt;1,$S1040&lt;$V1040,$S1565&lt;$V1565), "YES", "NO")</f>
        <v>NO</v>
      </c>
      <c r="AC1565" t="str">
        <f>IF(AND($V1040&gt;10,$V1565&gt;10), "YES", "NO")</f>
        <v>NO</v>
      </c>
      <c r="AD1565"/>
    </row>
    <row r="1566" spans="1:30" ht="15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>LEFT($A1566,FIND("_",$A1566)-1)</f>
        <v>TBar</v>
      </c>
      <c r="P1566" s="13" t="str">
        <f>IF($O1566="ACS", "True Search", IF($O1566="Arja", "Evolutionary Search", IF($O1566="AVATAR", "True Pattern", IF($O1566="CapGen", "Search Like Pattern", IF($O1566="Cardumen", "True Semantic", IF($O1566="DynaMoth", "True Semantic", IF($O1566="FixMiner", "True Pattern", IF($O1566="GenProg-A", "Evolutionary Search", IF($O1566="Hercules", "Learning Pattern", IF($O1566="Jaid", "True Semantic",
IF($O1566="Kali-A", "True Search", IF($O1566="kPAR", "True Pattern", IF($O1566="Nopol", "True Semantic", IF($O1566="RSRepair-A", "Evolutionary Search", IF($O1566="SequenceR", "Deep Learning", IF($O1566="SimFix", "Search Like Pattern", IF($O1566="SketchFix", "True Pattern", IF($O1566="SOFix", "True Pattern", IF($O1566="ssFix", "Search Like Pattern", IF($O1566="TBar", "True Pattern", ""))))))))))))))))))))</f>
        <v>True Pattern</v>
      </c>
      <c r="Q1566" s="13" t="str">
        <f>IF(NOT(ISERR(SEARCH("*_Buggy",$A1566))), "Buggy", IF(NOT(ISERR(SEARCH("*_Fixed",$A1566))), "Fixed", IF(NOT(ISERR(SEARCH("*_Repaired",$A1566))), "Repaired", "")))</f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v>2</v>
      </c>
      <c r="W1566" s="13" t="str">
        <f>MID(A1566, SEARCH("_", A1566) +1, SEARCH("_", A1566, SEARCH("_", A1566) +1) - SEARCH("_", A1566) -1)</f>
        <v>Lang-58</v>
      </c>
      <c r="Y1566" t="str">
        <f>IF(AND($S1041=1,$S1566=1,$V1041=1,$V1566=1), "YES", "NO")</f>
        <v>NO</v>
      </c>
      <c r="Z1566" t="str">
        <f>IF(AND($S1041=1,$S1566=1,$V1041&gt;1,$V1566&gt;1), "YES", "NO")</f>
        <v>NO</v>
      </c>
      <c r="AA1566" t="str">
        <f>IF(AND($S1041&gt;1,$S1566&gt;1,$S1041=$V1041,$S1566=$V1566), "YES", "NO")</f>
        <v>NO</v>
      </c>
      <c r="AB1566" t="str">
        <f>IF(AND($S1041&gt;1,$S1566&gt;1,$S1041&lt;$V1041,$S1566&lt;$V1566), "YES", "NO")</f>
        <v>NO</v>
      </c>
      <c r="AC1566" t="str">
        <f>IF(AND($V1041&gt;10,$V1566&gt;10), "YES", "NO")</f>
        <v>NO</v>
      </c>
      <c r="AD1566"/>
    </row>
    <row r="1567" spans="1:30" ht="15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>LEFT($A1567,FIND("_",$A1567)-1)</f>
        <v>TBar</v>
      </c>
      <c r="P1567" s="13" t="str">
        <f>IF($O1567="ACS", "True Search", IF($O1567="Arja", "Evolutionary Search", IF($O1567="AVATAR", "True Pattern", IF($O1567="CapGen", "Search Like Pattern", IF($O1567="Cardumen", "True Semantic", IF($O1567="DynaMoth", "True Semantic", IF($O1567="FixMiner", "True Pattern", IF($O1567="GenProg-A", "Evolutionary Search", IF($O1567="Hercules", "Learning Pattern", IF($O1567="Jaid", "True Semantic",
IF($O1567="Kali-A", "True Search", IF($O1567="kPAR", "True Pattern", IF($O1567="Nopol", "True Semantic", IF($O1567="RSRepair-A", "Evolutionary Search", IF($O1567="SequenceR", "Deep Learning", IF($O1567="SimFix", "Search Like Pattern", IF($O1567="SketchFix", "True Pattern", IF($O1567="SOFix", "True Pattern", IF($O1567="ssFix", "Search Like Pattern", IF($O1567="TBar", "True Pattern", ""))))))))))))))))))))</f>
        <v>True Pattern</v>
      </c>
      <c r="Q1567" s="13" t="str">
        <f>IF(NOT(ISERR(SEARCH("*_Buggy",$A1567))), "Buggy", IF(NOT(ISERR(SEARCH("*_Fixed",$A1567))), "Fixed", IF(NOT(ISERR(SEARCH("*_Repaired",$A1567))), "Repaired", "")))</f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v>1</v>
      </c>
      <c r="W1567" s="13" t="str">
        <f>MID(A1567, SEARCH("_", A1567) +1, SEARCH("_", A1567, SEARCH("_", A1567) +1) - SEARCH("_", A1567) -1)</f>
        <v>Lang-59</v>
      </c>
      <c r="Y1567" t="str">
        <f>IF(AND($S1042=1,$S1567=1,$V1042=1,$V1567=1), "YES", "NO")</f>
        <v>YES</v>
      </c>
      <c r="Z1567" t="str">
        <f>IF(AND($S1042=1,$S1567=1,$V1042&gt;1,$V1567&gt;1), "YES", "NO")</f>
        <v>NO</v>
      </c>
      <c r="AA1567" t="str">
        <f>IF(AND($S1042&gt;1,$S1567&gt;1,$S1042=$V1042,$S1567=$V1567), "YES", "NO")</f>
        <v>NO</v>
      </c>
      <c r="AB1567" t="str">
        <f>IF(AND($S1042&gt;1,$S1567&gt;1,$S1042&lt;$V1042,$S1567&lt;$V1567), "YES", "NO")</f>
        <v>NO</v>
      </c>
      <c r="AC1567" t="str">
        <f>IF(AND($V1042&gt;10,$V1567&gt;10), "YES", "NO")</f>
        <v>NO</v>
      </c>
      <c r="AD1567"/>
    </row>
    <row r="1568" spans="1:30" ht="15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>LEFT($A1568,FIND("_",$A1568)-1)</f>
        <v>TBar</v>
      </c>
      <c r="P1568" s="13" t="str">
        <f>IF($O1568="ACS", "True Search", IF($O1568="Arja", "Evolutionary Search", IF($O1568="AVATAR", "True Pattern", IF($O1568="CapGen", "Search Like Pattern", IF($O1568="Cardumen", "True Semantic", IF($O1568="DynaMoth", "True Semantic", IF($O1568="FixMiner", "True Pattern", IF($O1568="GenProg-A", "Evolutionary Search", IF($O1568="Hercules", "Learning Pattern", IF($O1568="Jaid", "True Semantic",
IF($O1568="Kali-A", "True Search", IF($O1568="kPAR", "True Pattern", IF($O1568="Nopol", "True Semantic", IF($O1568="RSRepair-A", "Evolutionary Search", IF($O1568="SequenceR", "Deep Learning", IF($O1568="SimFix", "Search Like Pattern", IF($O1568="SketchFix", "True Pattern", IF($O1568="SOFix", "True Pattern", IF($O1568="ssFix", "Search Like Pattern", IF($O1568="TBar", "True Pattern", ""))))))))))))))))))))</f>
        <v>True Pattern</v>
      </c>
      <c r="Q1568" s="13" t="str">
        <f>IF(NOT(ISERR(SEARCH("*_Buggy",$A1568))), "Buggy", IF(NOT(ISERR(SEARCH("*_Fixed",$A1568))), "Fixed", IF(NOT(ISERR(SEARCH("*_Repaired",$A1568))), "Repaired", "")))</f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v>1</v>
      </c>
      <c r="W1568" s="13" t="str">
        <f>MID(A1568, SEARCH("_", A1568) +1, SEARCH("_", A1568, SEARCH("_", A1568) +1) - SEARCH("_", A1568) -1)</f>
        <v>Lang-6</v>
      </c>
      <c r="Y1568" t="str">
        <f>IF(AND($S1043=1,$S1568=1,$V1043=1,$V1568=1), "YES", "NO")</f>
        <v>YES</v>
      </c>
      <c r="Z1568" t="str">
        <f>IF(AND($S1043=1,$S1568=1,$V1043&gt;1,$V1568&gt;1), "YES", "NO")</f>
        <v>NO</v>
      </c>
      <c r="AA1568" t="str">
        <f>IF(AND($S1043&gt;1,$S1568&gt;1,$S1043=$V1043,$S1568=$V1568), "YES", "NO")</f>
        <v>NO</v>
      </c>
      <c r="AB1568" t="str">
        <f>IF(AND($S1043&gt;1,$S1568&gt;1,$S1043&lt;$V1043,$S1568&lt;$V1568), "YES", "NO")</f>
        <v>NO</v>
      </c>
      <c r="AC1568" t="str">
        <f>IF(AND($V1043&gt;10,$V1568&gt;10), "YES", "NO")</f>
        <v>NO</v>
      </c>
      <c r="AD1568"/>
    </row>
    <row r="1569" spans="1:30" ht="15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>LEFT($A1569,FIND("_",$A1569)-1)</f>
        <v>TBar</v>
      </c>
      <c r="P1569" s="13" t="str">
        <f>IF($O1569="ACS", "True Search", IF($O1569="Arja", "Evolutionary Search", IF($O1569="AVATAR", "True Pattern", IF($O1569="CapGen", "Search Like Pattern", IF($O1569="Cardumen", "True Semantic", IF($O1569="DynaMoth", "True Semantic", IF($O1569="FixMiner", "True Pattern", IF($O1569="GenProg-A", "Evolutionary Search", IF($O1569="Hercules", "Learning Pattern", IF($O1569="Jaid", "True Semantic",
IF($O1569="Kali-A", "True Search", IF($O1569="kPAR", "True Pattern", IF($O1569="Nopol", "True Semantic", IF($O1569="RSRepair-A", "Evolutionary Search", IF($O1569="SequenceR", "Deep Learning", IF($O1569="SimFix", "Search Like Pattern", IF($O1569="SketchFix", "True Pattern", IF($O1569="SOFix", "True Pattern", IF($O1569="ssFix", "Search Like Pattern", IF($O1569="TBar", "True Pattern", ""))))))))))))))))))))</f>
        <v>True Pattern</v>
      </c>
      <c r="Q1569" s="13" t="str">
        <f>IF(NOT(ISERR(SEARCH("*_Buggy",$A1569))), "Buggy", IF(NOT(ISERR(SEARCH("*_Fixed",$A1569))), "Fixed", IF(NOT(ISERR(SEARCH("*_Repaired",$A1569))), "Repaired", "")))</f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v>1</v>
      </c>
      <c r="W1569" s="13" t="str">
        <f>MID(A1569, SEARCH("_", A1569) +1, SEARCH("_", A1569, SEARCH("_", A1569) +1) - SEARCH("_", A1569) -1)</f>
        <v>Lang-60</v>
      </c>
      <c r="Y1569" t="str">
        <f>IF(AND($S1044=1,$S1569=1,$V1044=1,$V1569=1), "YES", "NO")</f>
        <v>NO</v>
      </c>
      <c r="Z1569" t="str">
        <f>IF(AND($S1044=1,$S1569=1,$V1044&gt;1,$V1569&gt;1), "YES", "NO")</f>
        <v>NO</v>
      </c>
      <c r="AA1569" t="str">
        <f>IF(AND($S1044&gt;1,$S1569&gt;1,$S1044=$V1044,$S1569=$V1569), "YES", "NO")</f>
        <v>NO</v>
      </c>
      <c r="AB1569" t="str">
        <f>IF(AND($S1044&gt;1,$S1569&gt;1,$S1044&lt;$V1044,$S1569&lt;$V1569), "YES", "NO")</f>
        <v>NO</v>
      </c>
      <c r="AC1569" t="str">
        <f>IF(AND($V1044&gt;10,$V1569&gt;10), "YES", "NO")</f>
        <v>NO</v>
      </c>
      <c r="AD1569"/>
    </row>
    <row r="1570" spans="1:30" ht="15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>LEFT($A1570,FIND("_",$A1570)-1)</f>
        <v>TBar</v>
      </c>
      <c r="P1570" s="13" t="str">
        <f>IF($O1570="ACS", "True Search", IF($O1570="Arja", "Evolutionary Search", IF($O1570="AVATAR", "True Pattern", IF($O1570="CapGen", "Search Like Pattern", IF($O1570="Cardumen", "True Semantic", IF($O1570="DynaMoth", "True Semantic", IF($O1570="FixMiner", "True Pattern", IF($O1570="GenProg-A", "Evolutionary Search", IF($O1570="Hercules", "Learning Pattern", IF($O1570="Jaid", "True Semantic",
IF($O1570="Kali-A", "True Search", IF($O1570="kPAR", "True Pattern", IF($O1570="Nopol", "True Semantic", IF($O1570="RSRepair-A", "Evolutionary Search", IF($O1570="SequenceR", "Deep Learning", IF($O1570="SimFix", "Search Like Pattern", IF($O1570="SketchFix", "True Pattern", IF($O1570="SOFix", "True Pattern", IF($O1570="ssFix", "Search Like Pattern", IF($O1570="TBar", "True Pattern", ""))))))))))))))))))))</f>
        <v>True Pattern</v>
      </c>
      <c r="Q1570" s="13" t="str">
        <f>IF(NOT(ISERR(SEARCH("*_Buggy",$A1570))), "Buggy", IF(NOT(ISERR(SEARCH("*_Fixed",$A1570))), "Fixed", IF(NOT(ISERR(SEARCH("*_Repaired",$A1570))), "Repaired", "")))</f>
        <v>Repaired</v>
      </c>
      <c r="R1570" s="13" t="s">
        <v>1669</v>
      </c>
      <c r="S1570" s="25">
        <v>2</v>
      </c>
      <c r="T1570" s="25">
        <v>3</v>
      </c>
      <c r="U1570" s="25">
        <v>2</v>
      </c>
      <c r="V1570" s="13">
        <v>3</v>
      </c>
      <c r="W1570" s="13" t="str">
        <f>MID(A1570, SEARCH("_", A1570) +1, SEARCH("_", A1570, SEARCH("_", A1570) +1) - SEARCH("_", A1570) -1)</f>
        <v>Lang-63</v>
      </c>
      <c r="Y1570" t="str">
        <f>IF(AND($S1045=1,$S1570=1,$V1045=1,$V1570=1), "YES", "NO")</f>
        <v>NO</v>
      </c>
      <c r="Z1570" t="str">
        <f>IF(AND($S1045=1,$S1570=1,$V1045&gt;1,$V1570&gt;1), "YES", "NO")</f>
        <v>NO</v>
      </c>
      <c r="AA1570" t="str">
        <f>IF(AND($S1045&gt;1,$S1570&gt;1,$S1045=$V1045,$S1570=$V1570), "YES", "NO")</f>
        <v>NO</v>
      </c>
      <c r="AB1570" t="str">
        <f>IF(AND($S1045&gt;1,$S1570&gt;1,$S1045&lt;$V1045,$S1570&lt;$V1570), "YES", "NO")</f>
        <v>YES</v>
      </c>
      <c r="AC1570" t="str">
        <f>IF(AND($V1045&gt;10,$V1570&gt;10), "YES", "NO")</f>
        <v>NO</v>
      </c>
      <c r="AD1570"/>
    </row>
    <row r="1571" spans="1:30" ht="15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>LEFT($A1571,FIND("_",$A1571)-1)</f>
        <v>TBar</v>
      </c>
      <c r="P1571" s="13" t="str">
        <f>IF($O1571="ACS", "True Search", IF($O1571="Arja", "Evolutionary Search", IF($O1571="AVATAR", "True Pattern", IF($O1571="CapGen", "Search Like Pattern", IF($O1571="Cardumen", "True Semantic", IF($O1571="DynaMoth", "True Semantic", IF($O1571="FixMiner", "True Pattern", IF($O1571="GenProg-A", "Evolutionary Search", IF($O1571="Hercules", "Learning Pattern", IF($O1571="Jaid", "True Semantic",
IF($O1571="Kali-A", "True Search", IF($O1571="kPAR", "True Pattern", IF($O1571="Nopol", "True Semantic", IF($O1571="RSRepair-A", "Evolutionary Search", IF($O1571="SequenceR", "Deep Learning", IF($O1571="SimFix", "Search Like Pattern", IF($O1571="SketchFix", "True Pattern", IF($O1571="SOFix", "True Pattern", IF($O1571="ssFix", "Search Like Pattern", IF($O1571="TBar", "True Pattern", ""))))))))))))))))))))</f>
        <v>True Pattern</v>
      </c>
      <c r="Q1571" s="13" t="str">
        <f>IF(NOT(ISERR(SEARCH("*_Buggy",$A1571))), "Buggy", IF(NOT(ISERR(SEARCH("*_Fixed",$A1571))), "Fixed", IF(NOT(ISERR(SEARCH("*_Repaired",$A1571))), "Repaired", "")))</f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v>1</v>
      </c>
      <c r="W1571" s="13" t="str">
        <f>MID(A1571, SEARCH("_", A1571) +1, SEARCH("_", A1571, SEARCH("_", A1571) +1) - SEARCH("_", A1571) -1)</f>
        <v>Lang-7</v>
      </c>
      <c r="Y1571" t="str">
        <f>IF(AND($S1046=1,$S1571=1,$V1046=1,$V1571=1), "YES", "NO")</f>
        <v>NO</v>
      </c>
      <c r="Z1571" t="str">
        <f>IF(AND($S1046=1,$S1571=1,$V1046&gt;1,$V1571&gt;1), "YES", "NO")</f>
        <v>NO</v>
      </c>
      <c r="AA1571" t="str">
        <f>IF(AND($S1046&gt;1,$S1571&gt;1,$S1046=$V1046,$S1571=$V1571), "YES", "NO")</f>
        <v>NO</v>
      </c>
      <c r="AB1571" t="str">
        <f>IF(AND($S1046&gt;1,$S1571&gt;1,$S1046&lt;$V1046,$S1571&lt;$V1571), "YES", "NO")</f>
        <v>NO</v>
      </c>
      <c r="AC1571" t="str">
        <f>IF(AND($V1046&gt;10,$V1571&gt;10), "YES", "NO")</f>
        <v>NO</v>
      </c>
      <c r="AD1571"/>
    </row>
    <row r="1572" spans="1:30" ht="15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>LEFT($A1572,FIND("_",$A1572)-1)</f>
        <v>TBar</v>
      </c>
      <c r="P1572" s="13" t="str">
        <f>IF($O1572="ACS", "True Search", IF($O1572="Arja", "Evolutionary Search", IF($O1572="AVATAR", "True Pattern", IF($O1572="CapGen", "Search Like Pattern", IF($O1572="Cardumen", "True Semantic", IF($O1572="DynaMoth", "True Semantic", IF($O1572="FixMiner", "True Pattern", IF($O1572="GenProg-A", "Evolutionary Search", IF($O1572="Hercules", "Learning Pattern", IF($O1572="Jaid", "True Semantic",
IF($O1572="Kali-A", "True Search", IF($O1572="kPAR", "True Pattern", IF($O1572="Nopol", "True Semantic", IF($O1572="RSRepair-A", "Evolutionary Search", IF($O1572="SequenceR", "Deep Learning", IF($O1572="SimFix", "Search Like Pattern", IF($O1572="SketchFix", "True Pattern", IF($O1572="SOFix", "True Pattern", IF($O1572="ssFix", "Search Like Pattern", IF($O1572="TBar", "True Pattern", ""))))))))))))))))))))</f>
        <v>True Pattern</v>
      </c>
      <c r="Q1572" s="13" t="str">
        <f>IF(NOT(ISERR(SEARCH("*_Buggy",$A1572))), "Buggy", IF(NOT(ISERR(SEARCH("*_Fixed",$A1572))), "Fixed", IF(NOT(ISERR(SEARCH("*_Repaired",$A1572))), "Repaired", "")))</f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v>1</v>
      </c>
      <c r="W1572" s="13" t="str">
        <f>MID(A1572, SEARCH("_", A1572) +1, SEARCH("_", A1572, SEARCH("_", A1572) +1) - SEARCH("_", A1572) -1)</f>
        <v>Math-11</v>
      </c>
      <c r="Y1572" t="str">
        <f>IF(AND($S1047=1,$S1572=1,$V1047=1,$V1572=1), "YES", "NO")</f>
        <v>YES</v>
      </c>
      <c r="Z1572" t="str">
        <f>IF(AND($S1047=1,$S1572=1,$V1047&gt;1,$V1572&gt;1), "YES", "NO")</f>
        <v>NO</v>
      </c>
      <c r="AA1572" t="str">
        <f>IF(AND($S1047&gt;1,$S1572&gt;1,$S1047=$V1047,$S1572=$V1572), "YES", "NO")</f>
        <v>NO</v>
      </c>
      <c r="AB1572" t="str">
        <f>IF(AND($S1047&gt;1,$S1572&gt;1,$S1047&lt;$V1047,$S1572&lt;$V1572), "YES", "NO")</f>
        <v>NO</v>
      </c>
      <c r="AC1572" t="str">
        <f>IF(AND($V1047&gt;10,$V1572&gt;10), "YES", "NO")</f>
        <v>NO</v>
      </c>
      <c r="AD1572"/>
    </row>
    <row r="1573" spans="1:30" ht="15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>LEFT($A1573,FIND("_",$A1573)-1)</f>
        <v>TBar</v>
      </c>
      <c r="P1573" s="13" t="str">
        <f>IF($O1573="ACS", "True Search", IF($O1573="Arja", "Evolutionary Search", IF($O1573="AVATAR", "True Pattern", IF($O1573="CapGen", "Search Like Pattern", IF($O1573="Cardumen", "True Semantic", IF($O1573="DynaMoth", "True Semantic", IF($O1573="FixMiner", "True Pattern", IF($O1573="GenProg-A", "Evolutionary Search", IF($O1573="Hercules", "Learning Pattern", IF($O1573="Jaid", "True Semantic",
IF($O1573="Kali-A", "True Search", IF($O1573="kPAR", "True Pattern", IF($O1573="Nopol", "True Semantic", IF($O1573="RSRepair-A", "Evolutionary Search", IF($O1573="SequenceR", "Deep Learning", IF($O1573="SimFix", "Search Like Pattern", IF($O1573="SketchFix", "True Pattern", IF($O1573="SOFix", "True Pattern", IF($O1573="ssFix", "Search Like Pattern", IF($O1573="TBar", "True Pattern", ""))))))))))))))))))))</f>
        <v>True Pattern</v>
      </c>
      <c r="Q1573" s="13" t="str">
        <f>IF(NOT(ISERR(SEARCH("*_Buggy",$A1573))), "Buggy", IF(NOT(ISERR(SEARCH("*_Fixed",$A1573))), "Fixed", IF(NOT(ISERR(SEARCH("*_Repaired",$A1573))), "Repaired", "")))</f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v>1</v>
      </c>
      <c r="W1573" s="13" t="str">
        <f>MID(A1573, SEARCH("_", A1573) +1, SEARCH("_", A1573, SEARCH("_", A1573) +1) - SEARCH("_", A1573) -1)</f>
        <v>Math-15</v>
      </c>
      <c r="Y1573" t="str">
        <f>IF(AND($S1048=1,$S1573=1,$V1048=1,$V1573=1), "YES", "NO")</f>
        <v>NO</v>
      </c>
      <c r="Z1573" t="str">
        <f>IF(AND($S1048=1,$S1573=1,$V1048&gt;1,$V1573&gt;1), "YES", "NO")</f>
        <v>NO</v>
      </c>
      <c r="AA1573" t="str">
        <f>IF(AND($S1048&gt;1,$S1573&gt;1,$S1048=$V1048,$S1573=$V1573), "YES", "NO")</f>
        <v>NO</v>
      </c>
      <c r="AB1573" t="str">
        <f>IF(AND($S1048&gt;1,$S1573&gt;1,$S1048&lt;$V1048,$S1573&lt;$V1573), "YES", "NO")</f>
        <v>NO</v>
      </c>
      <c r="AC1573" t="str">
        <f>IF(AND($V1048&gt;10,$V1573&gt;10), "YES", "NO")</f>
        <v>NO</v>
      </c>
      <c r="AD1573"/>
    </row>
    <row r="1574" spans="1:30" ht="15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>LEFT($A1574,FIND("_",$A1574)-1)</f>
        <v>TBar</v>
      </c>
      <c r="P1574" s="13" t="str">
        <f>IF($O1574="ACS", "True Search", IF($O1574="Arja", "Evolutionary Search", IF($O1574="AVATAR", "True Pattern", IF($O1574="CapGen", "Search Like Pattern", IF($O1574="Cardumen", "True Semantic", IF($O1574="DynaMoth", "True Semantic", IF($O1574="FixMiner", "True Pattern", IF($O1574="GenProg-A", "Evolutionary Search", IF($O1574="Hercules", "Learning Pattern", IF($O1574="Jaid", "True Semantic",
IF($O1574="Kali-A", "True Search", IF($O1574="kPAR", "True Pattern", IF($O1574="Nopol", "True Semantic", IF($O1574="RSRepair-A", "Evolutionary Search", IF($O1574="SequenceR", "Deep Learning", IF($O1574="SimFix", "Search Like Pattern", IF($O1574="SketchFix", "True Pattern", IF($O1574="SOFix", "True Pattern", IF($O1574="ssFix", "Search Like Pattern", IF($O1574="TBar", "True Pattern", ""))))))))))))))))))))</f>
        <v>True Pattern</v>
      </c>
      <c r="Q1574" s="13" t="str">
        <f>IF(NOT(ISERR(SEARCH("*_Buggy",$A1574))), "Buggy", IF(NOT(ISERR(SEARCH("*_Fixed",$A1574))), "Fixed", IF(NOT(ISERR(SEARCH("*_Repaired",$A1574))), "Repaired", "")))</f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v>2</v>
      </c>
      <c r="W1574" s="13" t="str">
        <f>MID(A1574, SEARCH("_", A1574) +1, SEARCH("_", A1574, SEARCH("_", A1574) +1) - SEARCH("_", A1574) -1)</f>
        <v>Math-2</v>
      </c>
      <c r="Y1574" t="str">
        <f>IF(AND($S1049=1,$S1574=1,$V1049=1,$V1574=1), "YES", "NO")</f>
        <v>NO</v>
      </c>
      <c r="Z1574" t="str">
        <f>IF(AND($S1049=1,$S1574=1,$V1049&gt;1,$V1574&gt;1), "YES", "NO")</f>
        <v>NO</v>
      </c>
      <c r="AA1574" t="str">
        <f>IF(AND($S1049&gt;1,$S1574&gt;1,$S1049=$V1049,$S1574=$V1574), "YES", "NO")</f>
        <v>NO</v>
      </c>
      <c r="AB1574" t="str">
        <f>IF(AND($S1049&gt;1,$S1574&gt;1,$S1049&lt;$V1049,$S1574&lt;$V1574), "YES", "NO")</f>
        <v>NO</v>
      </c>
      <c r="AC1574" t="str">
        <f>IF(AND($V1049&gt;10,$V1574&gt;10), "YES", "NO")</f>
        <v>NO</v>
      </c>
      <c r="AD1574"/>
    </row>
    <row r="1575" spans="1:30" ht="15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>LEFT($A1575,FIND("_",$A1575)-1)</f>
        <v>TBar</v>
      </c>
      <c r="P1575" s="13" t="str">
        <f>IF($O1575="ACS", "True Search", IF($O1575="Arja", "Evolutionary Search", IF($O1575="AVATAR", "True Pattern", IF($O1575="CapGen", "Search Like Pattern", IF($O1575="Cardumen", "True Semantic", IF($O1575="DynaMoth", "True Semantic", IF($O1575="FixMiner", "True Pattern", IF($O1575="GenProg-A", "Evolutionary Search", IF($O1575="Hercules", "Learning Pattern", IF($O1575="Jaid", "True Semantic",
IF($O1575="Kali-A", "True Search", IF($O1575="kPAR", "True Pattern", IF($O1575="Nopol", "True Semantic", IF($O1575="RSRepair-A", "Evolutionary Search", IF($O1575="SequenceR", "Deep Learning", IF($O1575="SimFix", "Search Like Pattern", IF($O1575="SketchFix", "True Pattern", IF($O1575="SOFix", "True Pattern", IF($O1575="ssFix", "Search Like Pattern", IF($O1575="TBar", "True Pattern", ""))))))))))))))))))))</f>
        <v>True Pattern</v>
      </c>
      <c r="Q1575" s="13" t="str">
        <f>IF(NOT(ISERR(SEARCH("*_Buggy",$A1575))), "Buggy", IF(NOT(ISERR(SEARCH("*_Fixed",$A1575))), "Fixed", IF(NOT(ISERR(SEARCH("*_Repaired",$A1575))), "Repaired", "")))</f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v>1</v>
      </c>
      <c r="W1575" s="13" t="str">
        <f>MID(A1575, SEARCH("_", A1575) +1, SEARCH("_", A1575, SEARCH("_", A1575) +1) - SEARCH("_", A1575) -1)</f>
        <v>Math-5</v>
      </c>
      <c r="Y1575" t="str">
        <f>IF(AND($S1050=1,$S1575=1,$V1050=1,$V1575=1), "YES", "NO")</f>
        <v>YES</v>
      </c>
      <c r="Z1575" t="str">
        <f>IF(AND($S1050=1,$S1575=1,$V1050&gt;1,$V1575&gt;1), "YES", "NO")</f>
        <v>NO</v>
      </c>
      <c r="AA1575" t="str">
        <f>IF(AND($S1050&gt;1,$S1575&gt;1,$S1050=$V1050,$S1575=$V1575), "YES", "NO")</f>
        <v>NO</v>
      </c>
      <c r="AB1575" t="str">
        <f>IF(AND($S1050&gt;1,$S1575&gt;1,$S1050&lt;$V1050,$S1575&lt;$V1575), "YES", "NO")</f>
        <v>NO</v>
      </c>
      <c r="AC1575" t="str">
        <f>IF(AND($V1050&gt;10,$V1575&gt;10), "YES", "NO")</f>
        <v>NO</v>
      </c>
      <c r="AD1575"/>
    </row>
    <row r="1576" spans="1:30" ht="15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>LEFT($A1576,FIND("_",$A1576)-1)</f>
        <v>TBar</v>
      </c>
      <c r="P1576" s="13" t="str">
        <f>IF($O1576="ACS", "True Search", IF($O1576="Arja", "Evolutionary Search", IF($O1576="AVATAR", "True Pattern", IF($O1576="CapGen", "Search Like Pattern", IF($O1576="Cardumen", "True Semantic", IF($O1576="DynaMoth", "True Semantic", IF($O1576="FixMiner", "True Pattern", IF($O1576="GenProg-A", "Evolutionary Search", IF($O1576="Hercules", "Learning Pattern", IF($O1576="Jaid", "True Semantic",
IF($O1576="Kali-A", "True Search", IF($O1576="kPAR", "True Pattern", IF($O1576="Nopol", "True Semantic", IF($O1576="RSRepair-A", "Evolutionary Search", IF($O1576="SequenceR", "Deep Learning", IF($O1576="SimFix", "Search Like Pattern", IF($O1576="SketchFix", "True Pattern", IF($O1576="SOFix", "True Pattern", IF($O1576="ssFix", "Search Like Pattern", IF($O1576="TBar", "True Pattern", ""))))))))))))))))))))</f>
        <v>True Pattern</v>
      </c>
      <c r="Q1576" s="13" t="str">
        <f>IF(NOT(ISERR(SEARCH("*_Buggy",$A1576))), "Buggy", IF(NOT(ISERR(SEARCH("*_Fixed",$A1576))), "Fixed", IF(NOT(ISERR(SEARCH("*_Repaired",$A1576))), "Repaired", "")))</f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v>1</v>
      </c>
      <c r="W1576" s="13" t="str">
        <f>MID(A1576, SEARCH("_", A1576) +1, SEARCH("_", A1576, SEARCH("_", A1576) +1) - SEARCH("_", A1576) -1)</f>
        <v>Math-50</v>
      </c>
      <c r="Y1576" t="str">
        <f>IF(AND($S1051=1,$S1576=1,$V1051=1,$V1576=1), "YES", "NO")</f>
        <v>NO</v>
      </c>
      <c r="Z1576" t="str">
        <f>IF(AND($S1051=1,$S1576=1,$V1051&gt;1,$V1576&gt;1), "YES", "NO")</f>
        <v>NO</v>
      </c>
      <c r="AA1576" t="str">
        <f>IF(AND($S1051&gt;1,$S1576&gt;1,$S1051=$V1051,$S1576=$V1576), "YES", "NO")</f>
        <v>NO</v>
      </c>
      <c r="AB1576" t="str">
        <f>IF(AND($S1051&gt;1,$S1576&gt;1,$S1051&lt;$V1051,$S1576&lt;$V1576), "YES", "NO")</f>
        <v>NO</v>
      </c>
      <c r="AC1576" t="str">
        <f>IF(AND($V1051&gt;10,$V1576&gt;10), "YES", "NO")</f>
        <v>NO</v>
      </c>
      <c r="AD1576"/>
    </row>
    <row r="1577" spans="1:30" ht="15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>LEFT($A1577,FIND("_",$A1577)-1)</f>
        <v>TBar</v>
      </c>
      <c r="P1577" s="13" t="str">
        <f>IF($O1577="ACS", "True Search", IF($O1577="Arja", "Evolutionary Search", IF($O1577="AVATAR", "True Pattern", IF($O1577="CapGen", "Search Like Pattern", IF($O1577="Cardumen", "True Semantic", IF($O1577="DynaMoth", "True Semantic", IF($O1577="FixMiner", "True Pattern", IF($O1577="GenProg-A", "Evolutionary Search", IF($O1577="Hercules", "Learning Pattern", IF($O1577="Jaid", "True Semantic",
IF($O1577="Kali-A", "True Search", IF($O1577="kPAR", "True Pattern", IF($O1577="Nopol", "True Semantic", IF($O1577="RSRepair-A", "Evolutionary Search", IF($O1577="SequenceR", "Deep Learning", IF($O1577="SimFix", "Search Like Pattern", IF($O1577="SketchFix", "True Pattern", IF($O1577="SOFix", "True Pattern", IF($O1577="ssFix", "Search Like Pattern", IF($O1577="TBar", "True Pattern", ""))))))))))))))))))))</f>
        <v>True Pattern</v>
      </c>
      <c r="Q1577" s="13" t="str">
        <f>IF(NOT(ISERR(SEARCH("*_Buggy",$A1577))), "Buggy", IF(NOT(ISERR(SEARCH("*_Fixed",$A1577))), "Fixed", IF(NOT(ISERR(SEARCH("*_Repaired",$A1577))), "Repaired", "")))</f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v>1</v>
      </c>
      <c r="W1577" s="13" t="str">
        <f>MID(A1577, SEARCH("_", A1577) +1, SEARCH("_", A1577, SEARCH("_", A1577) +1) - SEARCH("_", A1577) -1)</f>
        <v>Math-52</v>
      </c>
      <c r="Y1577" t="str">
        <f>IF(AND($S1052=1,$S1577=1,$V1052=1,$V1577=1), "YES", "NO")</f>
        <v>NO</v>
      </c>
      <c r="Z1577" t="str">
        <f>IF(AND($S1052=1,$S1577=1,$V1052&gt;1,$V1577&gt;1), "YES", "NO")</f>
        <v>NO</v>
      </c>
      <c r="AA1577" t="str">
        <f>IF(AND($S1052&gt;1,$S1577&gt;1,$S1052=$V1052,$S1577=$V1577), "YES", "NO")</f>
        <v>NO</v>
      </c>
      <c r="AB1577" t="str">
        <f>IF(AND($S1052&gt;1,$S1577&gt;1,$S1052&lt;$V1052,$S1577&lt;$V1577), "YES", "NO")</f>
        <v>NO</v>
      </c>
      <c r="AC1577" t="str">
        <f>IF(AND($V1052&gt;10,$V1577&gt;10), "YES", "NO")</f>
        <v>NO</v>
      </c>
      <c r="AD1577"/>
    </row>
    <row r="1578" spans="1:30" ht="15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>LEFT($A1578,FIND("_",$A1578)-1)</f>
        <v>TBar</v>
      </c>
      <c r="P1578" s="13" t="str">
        <f>IF($O1578="ACS", "True Search", IF($O1578="Arja", "Evolutionary Search", IF($O1578="AVATAR", "True Pattern", IF($O1578="CapGen", "Search Like Pattern", IF($O1578="Cardumen", "True Semantic", IF($O1578="DynaMoth", "True Semantic", IF($O1578="FixMiner", "True Pattern", IF($O1578="GenProg-A", "Evolutionary Search", IF($O1578="Hercules", "Learning Pattern", IF($O1578="Jaid", "True Semantic",
IF($O1578="Kali-A", "True Search", IF($O1578="kPAR", "True Pattern", IF($O1578="Nopol", "True Semantic", IF($O1578="RSRepair-A", "Evolutionary Search", IF($O1578="SequenceR", "Deep Learning", IF($O1578="SimFix", "Search Like Pattern", IF($O1578="SketchFix", "True Pattern", IF($O1578="SOFix", "True Pattern", IF($O1578="ssFix", "Search Like Pattern", IF($O1578="TBar", "True Pattern", ""))))))))))))))))))))</f>
        <v>True Pattern</v>
      </c>
      <c r="Q1578" s="13" t="str">
        <f>IF(NOT(ISERR(SEARCH("*_Buggy",$A1578))), "Buggy", IF(NOT(ISERR(SEARCH("*_Fixed",$A1578))), "Fixed", IF(NOT(ISERR(SEARCH("*_Repaired",$A1578))), "Repaired", "")))</f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v>1</v>
      </c>
      <c r="W1578" s="13" t="str">
        <f>MID(A1578, SEARCH("_", A1578) +1, SEARCH("_", A1578, SEARCH("_", A1578) +1) - SEARCH("_", A1578) -1)</f>
        <v>Math-57</v>
      </c>
      <c r="Y1578" t="str">
        <f>IF(AND($S1053=1,$S1578=1,$V1053=1,$V1578=1), "YES", "NO")</f>
        <v>YES</v>
      </c>
      <c r="Z1578" t="str">
        <f>IF(AND($S1053=1,$S1578=1,$V1053&gt;1,$V1578&gt;1), "YES", "NO")</f>
        <v>NO</v>
      </c>
      <c r="AA1578" t="str">
        <f>IF(AND($S1053&gt;1,$S1578&gt;1,$S1053=$V1053,$S1578=$V1578), "YES", "NO")</f>
        <v>NO</v>
      </c>
      <c r="AB1578" t="str">
        <f>IF(AND($S1053&gt;1,$S1578&gt;1,$S1053&lt;$V1053,$S1578&lt;$V1578), "YES", "NO")</f>
        <v>NO</v>
      </c>
      <c r="AC1578" t="str">
        <f>IF(AND($V1053&gt;10,$V1578&gt;10), "YES", "NO")</f>
        <v>NO</v>
      </c>
      <c r="AD1578"/>
    </row>
    <row r="1579" spans="1:30" ht="15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>LEFT($A1579,FIND("_",$A1579)-1)</f>
        <v>TBar</v>
      </c>
      <c r="P1579" s="13" t="str">
        <f>IF($O1579="ACS", "True Search", IF($O1579="Arja", "Evolutionary Search", IF($O1579="AVATAR", "True Pattern", IF($O1579="CapGen", "Search Like Pattern", IF($O1579="Cardumen", "True Semantic", IF($O1579="DynaMoth", "True Semantic", IF($O1579="FixMiner", "True Pattern", IF($O1579="GenProg-A", "Evolutionary Search", IF($O1579="Hercules", "Learning Pattern", IF($O1579="Jaid", "True Semantic",
IF($O1579="Kali-A", "True Search", IF($O1579="kPAR", "True Pattern", IF($O1579="Nopol", "True Semantic", IF($O1579="RSRepair-A", "Evolutionary Search", IF($O1579="SequenceR", "Deep Learning", IF($O1579="SimFix", "Search Like Pattern", IF($O1579="SketchFix", "True Pattern", IF($O1579="SOFix", "True Pattern", IF($O1579="ssFix", "Search Like Pattern", IF($O1579="TBar", "True Pattern", ""))))))))))))))))))))</f>
        <v>True Pattern</v>
      </c>
      <c r="Q1579" s="13" t="str">
        <f>IF(NOT(ISERR(SEARCH("*_Buggy",$A1579))), "Buggy", IF(NOT(ISERR(SEARCH("*_Fixed",$A1579))), "Fixed", IF(NOT(ISERR(SEARCH("*_Repaired",$A1579))), "Repaired", "")))</f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v>1</v>
      </c>
      <c r="W1579" s="13" t="str">
        <f>MID(A1579, SEARCH("_", A1579) +1, SEARCH("_", A1579, SEARCH("_", A1579) +1) - SEARCH("_", A1579) -1)</f>
        <v>Math-58</v>
      </c>
      <c r="Y1579" t="str">
        <f>IF(AND($S1054=1,$S1579=1,$V1054=1,$V1579=1), "YES", "NO")</f>
        <v>YES</v>
      </c>
      <c r="Z1579" t="str">
        <f>IF(AND($S1054=1,$S1579=1,$V1054&gt;1,$V1579&gt;1), "YES", "NO")</f>
        <v>NO</v>
      </c>
      <c r="AA1579" t="str">
        <f>IF(AND($S1054&gt;1,$S1579&gt;1,$S1054=$V1054,$S1579=$V1579), "YES", "NO")</f>
        <v>NO</v>
      </c>
      <c r="AB1579" t="str">
        <f>IF(AND($S1054&gt;1,$S1579&gt;1,$S1054&lt;$V1054,$S1579&lt;$V1579), "YES", "NO")</f>
        <v>NO</v>
      </c>
      <c r="AC1579" t="str">
        <f>IF(AND($V1054&gt;10,$V1579&gt;10), "YES", "NO")</f>
        <v>NO</v>
      </c>
      <c r="AD1579"/>
    </row>
    <row r="1580" spans="1:30" ht="15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>LEFT($A1580,FIND("_",$A1580)-1)</f>
        <v>TBar</v>
      </c>
      <c r="P1580" s="13" t="str">
        <f>IF($O1580="ACS", "True Search", IF($O1580="Arja", "Evolutionary Search", IF($O1580="AVATAR", "True Pattern", IF($O1580="CapGen", "Search Like Pattern", IF($O1580="Cardumen", "True Semantic", IF($O1580="DynaMoth", "True Semantic", IF($O1580="FixMiner", "True Pattern", IF($O1580="GenProg-A", "Evolutionary Search", IF($O1580="Hercules", "Learning Pattern", IF($O1580="Jaid", "True Semantic",
IF($O1580="Kali-A", "True Search", IF($O1580="kPAR", "True Pattern", IF($O1580="Nopol", "True Semantic", IF($O1580="RSRepair-A", "Evolutionary Search", IF($O1580="SequenceR", "Deep Learning", IF($O1580="SimFix", "Search Like Pattern", IF($O1580="SketchFix", "True Pattern", IF($O1580="SOFix", "True Pattern", IF($O1580="ssFix", "Search Like Pattern", IF($O1580="TBar", "True Pattern", ""))))))))))))))))))))</f>
        <v>True Pattern</v>
      </c>
      <c r="Q1580" s="13" t="str">
        <f>IF(NOT(ISERR(SEARCH("*_Buggy",$A1580))), "Buggy", IF(NOT(ISERR(SEARCH("*_Fixed",$A1580))), "Fixed", IF(NOT(ISERR(SEARCH("*_Repaired",$A1580))), "Repaired", "")))</f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v>1</v>
      </c>
      <c r="W1580" s="13" t="str">
        <f>MID(A1580, SEARCH("_", A1580) +1, SEARCH("_", A1580, SEARCH("_", A1580) +1) - SEARCH("_", A1580) -1)</f>
        <v>Math-62</v>
      </c>
      <c r="Y1580" t="str">
        <f>IF(AND($S1055=1,$S1580=1,$V1055=1,$V1580=1), "YES", "NO")</f>
        <v>NO</v>
      </c>
      <c r="Z1580" t="str">
        <f>IF(AND($S1055=1,$S1580=1,$V1055&gt;1,$V1580&gt;1), "YES", "NO")</f>
        <v>NO</v>
      </c>
      <c r="AA1580" t="str">
        <f>IF(AND($S1055&gt;1,$S1580&gt;1,$S1055=$V1055,$S1580=$V1580), "YES", "NO")</f>
        <v>NO</v>
      </c>
      <c r="AB1580" t="str">
        <f>IF(AND($S1055&gt;1,$S1580&gt;1,$S1055&lt;$V1055,$S1580&lt;$V1580), "YES", "NO")</f>
        <v>NO</v>
      </c>
      <c r="AC1580" t="str">
        <f>IF(AND($V1055&gt;10,$V1580&gt;10), "YES", "NO")</f>
        <v>NO</v>
      </c>
      <c r="AD1580"/>
    </row>
    <row r="1581" spans="1:30" ht="15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>LEFT($A1581,FIND("_",$A1581)-1)</f>
        <v>TBar</v>
      </c>
      <c r="P1581" s="13" t="str">
        <f>IF($O1581="ACS", "True Search", IF($O1581="Arja", "Evolutionary Search", IF($O1581="AVATAR", "True Pattern", IF($O1581="CapGen", "Search Like Pattern", IF($O1581="Cardumen", "True Semantic", IF($O1581="DynaMoth", "True Semantic", IF($O1581="FixMiner", "True Pattern", IF($O1581="GenProg-A", "Evolutionary Search", IF($O1581="Hercules", "Learning Pattern", IF($O1581="Jaid", "True Semantic",
IF($O1581="Kali-A", "True Search", IF($O1581="kPAR", "True Pattern", IF($O1581="Nopol", "True Semantic", IF($O1581="RSRepair-A", "Evolutionary Search", IF($O1581="SequenceR", "Deep Learning", IF($O1581="SimFix", "Search Like Pattern", IF($O1581="SketchFix", "True Pattern", IF($O1581="SOFix", "True Pattern", IF($O1581="ssFix", "Search Like Pattern", IF($O1581="TBar", "True Pattern", ""))))))))))))))))))))</f>
        <v>True Pattern</v>
      </c>
      <c r="Q1581" s="13" t="str">
        <f>IF(NOT(ISERR(SEARCH("*_Buggy",$A1581))), "Buggy", IF(NOT(ISERR(SEARCH("*_Fixed",$A1581))), "Fixed", IF(NOT(ISERR(SEARCH("*_Repaired",$A1581))), "Repaired", "")))</f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v>1</v>
      </c>
      <c r="W1581" s="13" t="str">
        <f>MID(A1581, SEARCH("_", A1581) +1, SEARCH("_", A1581, SEARCH("_", A1581) +1) - SEARCH("_", A1581) -1)</f>
        <v>Math-63</v>
      </c>
      <c r="Y1581" t="str">
        <f>IF(AND($S1056=1,$S1581=1,$V1056=1,$V1581=1), "YES", "NO")</f>
        <v>YES</v>
      </c>
      <c r="Z1581" t="str">
        <f>IF(AND($S1056=1,$S1581=1,$V1056&gt;1,$V1581&gt;1), "YES", "NO")</f>
        <v>NO</v>
      </c>
      <c r="AA1581" t="str">
        <f>IF(AND($S1056&gt;1,$S1581&gt;1,$S1056=$V1056,$S1581=$V1581), "YES", "NO")</f>
        <v>NO</v>
      </c>
      <c r="AB1581" t="str">
        <f>IF(AND($S1056&gt;1,$S1581&gt;1,$S1056&lt;$V1056,$S1581&lt;$V1581), "YES", "NO")</f>
        <v>NO</v>
      </c>
      <c r="AC1581" t="str">
        <f>IF(AND($V1056&gt;10,$V1581&gt;10), "YES", "NO")</f>
        <v>NO</v>
      </c>
      <c r="AD1581"/>
    </row>
    <row r="1582" spans="1:30" ht="15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>LEFT($A1582,FIND("_",$A1582)-1)</f>
        <v>TBar</v>
      </c>
      <c r="P1582" s="13" t="str">
        <f>IF($O1582="ACS", "True Search", IF($O1582="Arja", "Evolutionary Search", IF($O1582="AVATAR", "True Pattern", IF($O1582="CapGen", "Search Like Pattern", IF($O1582="Cardumen", "True Semantic", IF($O1582="DynaMoth", "True Semantic", IF($O1582="FixMiner", "True Pattern", IF($O1582="GenProg-A", "Evolutionary Search", IF($O1582="Hercules", "Learning Pattern", IF($O1582="Jaid", "True Semantic",
IF($O1582="Kali-A", "True Search", IF($O1582="kPAR", "True Pattern", IF($O1582="Nopol", "True Semantic", IF($O1582="RSRepair-A", "Evolutionary Search", IF($O1582="SequenceR", "Deep Learning", IF($O1582="SimFix", "Search Like Pattern", IF($O1582="SketchFix", "True Pattern", IF($O1582="SOFix", "True Pattern", IF($O1582="ssFix", "Search Like Pattern", IF($O1582="TBar", "True Pattern", ""))))))))))))))))))))</f>
        <v>True Pattern</v>
      </c>
      <c r="Q1582" s="13" t="str">
        <f>IF(NOT(ISERR(SEARCH("*_Buggy",$A1582))), "Buggy", IF(NOT(ISERR(SEARCH("*_Fixed",$A1582))), "Fixed", IF(NOT(ISERR(SEARCH("*_Repaired",$A1582))), "Repaired", "")))</f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v>1</v>
      </c>
      <c r="W1582" s="13" t="str">
        <f>MID(A1582, SEARCH("_", A1582) +1, SEARCH("_", A1582, SEARCH("_", A1582) +1) - SEARCH("_", A1582) -1)</f>
        <v>Math-65</v>
      </c>
      <c r="Y1582" t="str">
        <f>IF(AND($S1057=1,$S1582=1,$V1057=1,$V1582=1), "YES", "NO")</f>
        <v>NO</v>
      </c>
      <c r="Z1582" t="str">
        <f>IF(AND($S1057=1,$S1582=1,$V1057&gt;1,$V1582&gt;1), "YES", "NO")</f>
        <v>NO</v>
      </c>
      <c r="AA1582" t="str">
        <f>IF(AND($S1057&gt;1,$S1582&gt;1,$S1057=$V1057,$S1582=$V1582), "YES", "NO")</f>
        <v>NO</v>
      </c>
      <c r="AB1582" t="str">
        <f>IF(AND($S1057&gt;1,$S1582&gt;1,$S1057&lt;$V1057,$S1582&lt;$V1582), "YES", "NO")</f>
        <v>NO</v>
      </c>
      <c r="AC1582" t="str">
        <f>IF(AND($V1057&gt;10,$V1582&gt;10), "YES", "NO")</f>
        <v>NO</v>
      </c>
      <c r="AD1582"/>
    </row>
    <row r="1583" spans="1:30" ht="15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>LEFT($A1583,FIND("_",$A1583)-1)</f>
        <v>TBar</v>
      </c>
      <c r="P1583" s="13" t="str">
        <f>IF($O1583="ACS", "True Search", IF($O1583="Arja", "Evolutionary Search", IF($O1583="AVATAR", "True Pattern", IF($O1583="CapGen", "Search Like Pattern", IF($O1583="Cardumen", "True Semantic", IF($O1583="DynaMoth", "True Semantic", IF($O1583="FixMiner", "True Pattern", IF($O1583="GenProg-A", "Evolutionary Search", IF($O1583="Hercules", "Learning Pattern", IF($O1583="Jaid", "True Semantic",
IF($O1583="Kali-A", "True Search", IF($O1583="kPAR", "True Pattern", IF($O1583="Nopol", "True Semantic", IF($O1583="RSRepair-A", "Evolutionary Search", IF($O1583="SequenceR", "Deep Learning", IF($O1583="SimFix", "Search Like Pattern", IF($O1583="SketchFix", "True Pattern", IF($O1583="SOFix", "True Pattern", IF($O1583="ssFix", "Search Like Pattern", IF($O1583="TBar", "True Pattern", ""))))))))))))))))))))</f>
        <v>True Pattern</v>
      </c>
      <c r="Q1583" s="13" t="str">
        <f>IF(NOT(ISERR(SEARCH("*_Buggy",$A1583))), "Buggy", IF(NOT(ISERR(SEARCH("*_Fixed",$A1583))), "Fixed", IF(NOT(ISERR(SEARCH("*_Repaired",$A1583))), "Repaired", "")))</f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v>1</v>
      </c>
      <c r="W1583" s="13" t="str">
        <f>MID(A1583, SEARCH("_", A1583) +1, SEARCH("_", A1583, SEARCH("_", A1583) +1) - SEARCH("_", A1583) -1)</f>
        <v>Math-70</v>
      </c>
      <c r="Y1583" t="str">
        <f>IF(AND($S1058=1,$S1583=1,$V1058=1,$V1583=1), "YES", "NO")</f>
        <v>YES</v>
      </c>
      <c r="Z1583" t="str">
        <f>IF(AND($S1058=1,$S1583=1,$V1058&gt;1,$V1583&gt;1), "YES", "NO")</f>
        <v>NO</v>
      </c>
      <c r="AA1583" t="str">
        <f>IF(AND($S1058&gt;1,$S1583&gt;1,$S1058=$V1058,$S1583=$V1583), "YES", "NO")</f>
        <v>NO</v>
      </c>
      <c r="AB1583" t="str">
        <f>IF(AND($S1058&gt;1,$S1583&gt;1,$S1058&lt;$V1058,$S1583&lt;$V1583), "YES", "NO")</f>
        <v>NO</v>
      </c>
      <c r="AC1583" t="str">
        <f>IF(AND($V1058&gt;10,$V1583&gt;10), "YES", "NO")</f>
        <v>NO</v>
      </c>
      <c r="AD1583"/>
    </row>
    <row r="1584" spans="1:30" ht="15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>LEFT($A1584,FIND("_",$A1584)-1)</f>
        <v>TBar</v>
      </c>
      <c r="P1584" s="13" t="str">
        <f>IF($O1584="ACS", "True Search", IF($O1584="Arja", "Evolutionary Search", IF($O1584="AVATAR", "True Pattern", IF($O1584="CapGen", "Search Like Pattern", IF($O1584="Cardumen", "True Semantic", IF($O1584="DynaMoth", "True Semantic", IF($O1584="FixMiner", "True Pattern", IF($O1584="GenProg-A", "Evolutionary Search", IF($O1584="Hercules", "Learning Pattern", IF($O1584="Jaid", "True Semantic",
IF($O1584="Kali-A", "True Search", IF($O1584="kPAR", "True Pattern", IF($O1584="Nopol", "True Semantic", IF($O1584="RSRepair-A", "Evolutionary Search", IF($O1584="SequenceR", "Deep Learning", IF($O1584="SimFix", "Search Like Pattern", IF($O1584="SketchFix", "True Pattern", IF($O1584="SOFix", "True Pattern", IF($O1584="ssFix", "Search Like Pattern", IF($O1584="TBar", "True Pattern", ""))))))))))))))))))))</f>
        <v>True Pattern</v>
      </c>
      <c r="Q1584" s="13" t="str">
        <f>IF(NOT(ISERR(SEARCH("*_Buggy",$A1584))), "Buggy", IF(NOT(ISERR(SEARCH("*_Fixed",$A1584))), "Fixed", IF(NOT(ISERR(SEARCH("*_Repaired",$A1584))), "Repaired", "")))</f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v>1</v>
      </c>
      <c r="W1584" s="13" t="str">
        <f>MID(A1584, SEARCH("_", A1584) +1, SEARCH("_", A1584, SEARCH("_", A1584) +1) - SEARCH("_", A1584) -1)</f>
        <v>Math-75</v>
      </c>
      <c r="Y1584" t="str">
        <f>IF(AND($S1059=1,$S1584=1,$V1059=1,$V1584=1), "YES", "NO")</f>
        <v>YES</v>
      </c>
      <c r="Z1584" t="str">
        <f>IF(AND($S1059=1,$S1584=1,$V1059&gt;1,$V1584&gt;1), "YES", "NO")</f>
        <v>NO</v>
      </c>
      <c r="AA1584" t="str">
        <f>IF(AND($S1059&gt;1,$S1584&gt;1,$S1059=$V1059,$S1584=$V1584), "YES", "NO")</f>
        <v>NO</v>
      </c>
      <c r="AB1584" t="str">
        <f>IF(AND($S1059&gt;1,$S1584&gt;1,$S1059&lt;$V1059,$S1584&lt;$V1584), "YES", "NO")</f>
        <v>NO</v>
      </c>
      <c r="AC1584" t="str">
        <f>IF(AND($V1059&gt;10,$V1584&gt;10), "YES", "NO")</f>
        <v>NO</v>
      </c>
      <c r="AD1584"/>
    </row>
    <row r="1585" spans="1:30" ht="15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>LEFT($A1585,FIND("_",$A1585)-1)</f>
        <v>TBar</v>
      </c>
      <c r="P1585" s="13" t="str">
        <f>IF($O1585="ACS", "True Search", IF($O1585="Arja", "Evolutionary Search", IF($O1585="AVATAR", "True Pattern", IF($O1585="CapGen", "Search Like Pattern", IF($O1585="Cardumen", "True Semantic", IF($O1585="DynaMoth", "True Semantic", IF($O1585="FixMiner", "True Pattern", IF($O1585="GenProg-A", "Evolutionary Search", IF($O1585="Hercules", "Learning Pattern", IF($O1585="Jaid", "True Semantic",
IF($O1585="Kali-A", "True Search", IF($O1585="kPAR", "True Pattern", IF($O1585="Nopol", "True Semantic", IF($O1585="RSRepair-A", "Evolutionary Search", IF($O1585="SequenceR", "Deep Learning", IF($O1585="SimFix", "Search Like Pattern", IF($O1585="SketchFix", "True Pattern", IF($O1585="SOFix", "True Pattern", IF($O1585="ssFix", "Search Like Pattern", IF($O1585="TBar", "True Pattern", ""))))))))))))))))))))</f>
        <v>True Pattern</v>
      </c>
      <c r="Q1585" s="13" t="str">
        <f>IF(NOT(ISERR(SEARCH("*_Buggy",$A1585))), "Buggy", IF(NOT(ISERR(SEARCH("*_Fixed",$A1585))), "Fixed", IF(NOT(ISERR(SEARCH("*_Repaired",$A1585))), "Repaired", "")))</f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v>2</v>
      </c>
      <c r="W1585" s="13" t="str">
        <f>MID(A1585, SEARCH("_", A1585) +1, SEARCH("_", A1585, SEARCH("_", A1585) +1) - SEARCH("_", A1585) -1)</f>
        <v>Math-79</v>
      </c>
      <c r="Y1585" t="str">
        <f>IF(AND($S1060=1,$S1585=1,$V1060=1,$V1585=1), "YES", "NO")</f>
        <v>NO</v>
      </c>
      <c r="Z1585" t="str">
        <f>IF(AND($S1060=1,$S1585=1,$V1060&gt;1,$V1585&gt;1), "YES", "NO")</f>
        <v>NO</v>
      </c>
      <c r="AA1585" t="str">
        <f>IF(AND($S1060&gt;1,$S1585&gt;1,$S1060=$V1060,$S1585=$V1585), "YES", "NO")</f>
        <v>YES</v>
      </c>
      <c r="AB1585" t="str">
        <f>IF(AND($S1060&gt;1,$S1585&gt;1,$S1060&lt;$V1060,$S1585&lt;$V1585), "YES", "NO")</f>
        <v>NO</v>
      </c>
      <c r="AC1585" t="str">
        <f>IF(AND($V1060&gt;10,$V1585&gt;10), "YES", "NO")</f>
        <v>NO</v>
      </c>
      <c r="AD1585"/>
    </row>
    <row r="1586" spans="1:30" ht="15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>LEFT($A1586,FIND("_",$A1586)-1)</f>
        <v>TBar</v>
      </c>
      <c r="P1586" s="13" t="str">
        <f>IF($O1586="ACS", "True Search", IF($O1586="Arja", "Evolutionary Search", IF($O1586="AVATAR", "True Pattern", IF($O1586="CapGen", "Search Like Pattern", IF($O1586="Cardumen", "True Semantic", IF($O1586="DynaMoth", "True Semantic", IF($O1586="FixMiner", "True Pattern", IF($O1586="GenProg-A", "Evolutionary Search", IF($O1586="Hercules", "Learning Pattern", IF($O1586="Jaid", "True Semantic",
IF($O1586="Kali-A", "True Search", IF($O1586="kPAR", "True Pattern", IF($O1586="Nopol", "True Semantic", IF($O1586="RSRepair-A", "Evolutionary Search", IF($O1586="SequenceR", "Deep Learning", IF($O1586="SimFix", "Search Like Pattern", IF($O1586="SketchFix", "True Pattern", IF($O1586="SOFix", "True Pattern", IF($O1586="ssFix", "Search Like Pattern", IF($O1586="TBar", "True Pattern", ""))))))))))))))))))))</f>
        <v>True Pattern</v>
      </c>
      <c r="Q1586" s="13" t="str">
        <f>IF(NOT(ISERR(SEARCH("*_Buggy",$A1586))), "Buggy", IF(NOT(ISERR(SEARCH("*_Fixed",$A1586))), "Fixed", IF(NOT(ISERR(SEARCH("*_Repaired",$A1586))), "Repaired", "")))</f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v>1</v>
      </c>
      <c r="W1586" s="13" t="str">
        <f>MID(A1586, SEARCH("_", A1586) +1, SEARCH("_", A1586, SEARCH("_", A1586) +1) - SEARCH("_", A1586) -1)</f>
        <v>Math-8</v>
      </c>
      <c r="Y1586" t="str">
        <f>IF(AND($S1061=1,$S1586=1,$V1061=1,$V1586=1), "YES", "NO")</f>
        <v>NO</v>
      </c>
      <c r="Z1586" t="str">
        <f>IF(AND($S1061=1,$S1586=1,$V1061&gt;1,$V1586&gt;1), "YES", "NO")</f>
        <v>NO</v>
      </c>
      <c r="AA1586" t="str">
        <f>IF(AND($S1061&gt;1,$S1586&gt;1,$S1061=$V1061,$S1586=$V1586), "YES", "NO")</f>
        <v>NO</v>
      </c>
      <c r="AB1586" t="str">
        <f>IF(AND($S1061&gt;1,$S1586&gt;1,$S1061&lt;$V1061,$S1586&lt;$V1586), "YES", "NO")</f>
        <v>NO</v>
      </c>
      <c r="AC1586" t="str">
        <f>IF(AND($V1061&gt;10,$V1586&gt;10), "YES", "NO")</f>
        <v>NO</v>
      </c>
      <c r="AD1586"/>
    </row>
    <row r="1587" spans="1:30" ht="15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>LEFT($A1587,FIND("_",$A1587)-1)</f>
        <v>TBar</v>
      </c>
      <c r="P1587" s="13" t="str">
        <f>IF($O1587="ACS", "True Search", IF($O1587="Arja", "Evolutionary Search", IF($O1587="AVATAR", "True Pattern", IF($O1587="CapGen", "Search Like Pattern", IF($O1587="Cardumen", "True Semantic", IF($O1587="DynaMoth", "True Semantic", IF($O1587="FixMiner", "True Pattern", IF($O1587="GenProg-A", "Evolutionary Search", IF($O1587="Hercules", "Learning Pattern", IF($O1587="Jaid", "True Semantic",
IF($O1587="Kali-A", "True Search", IF($O1587="kPAR", "True Pattern", IF($O1587="Nopol", "True Semantic", IF($O1587="RSRepair-A", "Evolutionary Search", IF($O1587="SequenceR", "Deep Learning", IF($O1587="SimFix", "Search Like Pattern", IF($O1587="SketchFix", "True Pattern", IF($O1587="SOFix", "True Pattern", IF($O1587="ssFix", "Search Like Pattern", IF($O1587="TBar", "True Pattern", ""))))))))))))))))))))</f>
        <v>True Pattern</v>
      </c>
      <c r="Q1587" s="13" t="str">
        <f>IF(NOT(ISERR(SEARCH("*_Buggy",$A1587))), "Buggy", IF(NOT(ISERR(SEARCH("*_Fixed",$A1587))), "Fixed", IF(NOT(ISERR(SEARCH("*_Repaired",$A1587))), "Repaired", "")))</f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v>1</v>
      </c>
      <c r="W1587" s="13" t="str">
        <f>MID(A1587, SEARCH("_", A1587) +1, SEARCH("_", A1587, SEARCH("_", A1587) +1) - SEARCH("_", A1587) -1)</f>
        <v>Math-80</v>
      </c>
      <c r="Y1587" t="str">
        <f>IF(AND($S1062=1,$S1587=1,$V1062=1,$V1587=1), "YES", "NO")</f>
        <v>YES</v>
      </c>
      <c r="Z1587" t="str">
        <f>IF(AND($S1062=1,$S1587=1,$V1062&gt;1,$V1587&gt;1), "YES", "NO")</f>
        <v>NO</v>
      </c>
      <c r="AA1587" t="str">
        <f>IF(AND($S1062&gt;1,$S1587&gt;1,$S1062=$V1062,$S1587=$V1587), "YES", "NO")</f>
        <v>NO</v>
      </c>
      <c r="AB1587" t="str">
        <f>IF(AND($S1062&gt;1,$S1587&gt;1,$S1062&lt;$V1062,$S1587&lt;$V1587), "YES", "NO")</f>
        <v>NO</v>
      </c>
      <c r="AC1587" t="str">
        <f>IF(AND($V1062&gt;10,$V1587&gt;10), "YES", "NO")</f>
        <v>NO</v>
      </c>
      <c r="AD1587"/>
    </row>
    <row r="1588" spans="1:30" ht="15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>LEFT($A1588,FIND("_",$A1588)-1)</f>
        <v>TBar</v>
      </c>
      <c r="P1588" s="13" t="str">
        <f>IF($O1588="ACS", "True Search", IF($O1588="Arja", "Evolutionary Search", IF($O1588="AVATAR", "True Pattern", IF($O1588="CapGen", "Search Like Pattern", IF($O1588="Cardumen", "True Semantic", IF($O1588="DynaMoth", "True Semantic", IF($O1588="FixMiner", "True Pattern", IF($O1588="GenProg-A", "Evolutionary Search", IF($O1588="Hercules", "Learning Pattern", IF($O1588="Jaid", "True Semantic",
IF($O1588="Kali-A", "True Search", IF($O1588="kPAR", "True Pattern", IF($O1588="Nopol", "True Semantic", IF($O1588="RSRepair-A", "Evolutionary Search", IF($O1588="SequenceR", "Deep Learning", IF($O1588="SimFix", "Search Like Pattern", IF($O1588="SketchFix", "True Pattern", IF($O1588="SOFix", "True Pattern", IF($O1588="ssFix", "Search Like Pattern", IF($O1588="TBar", "True Pattern", ""))))))))))))))))))))</f>
        <v>True Pattern</v>
      </c>
      <c r="Q1588" s="13" t="str">
        <f>IF(NOT(ISERR(SEARCH("*_Buggy",$A1588))), "Buggy", IF(NOT(ISERR(SEARCH("*_Fixed",$A1588))), "Fixed", IF(NOT(ISERR(SEARCH("*_Repaired",$A1588))), "Repaired", "")))</f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v>1</v>
      </c>
      <c r="W1588" s="13" t="str">
        <f>MID(A1588, SEARCH("_", A1588) +1, SEARCH("_", A1588, SEARCH("_", A1588) +1) - SEARCH("_", A1588) -1)</f>
        <v>Math-81</v>
      </c>
      <c r="Y1588" t="str">
        <f>IF(AND($S1063=1,$S1588=1,$V1063=1,$V1588=1), "YES", "NO")</f>
        <v>NO</v>
      </c>
      <c r="Z1588" t="str">
        <f>IF(AND($S1063=1,$S1588=1,$V1063&gt;1,$V1588&gt;1), "YES", "NO")</f>
        <v>NO</v>
      </c>
      <c r="AA1588" t="str">
        <f>IF(AND($S1063&gt;1,$S1588&gt;1,$S1063=$V1063,$S1588=$V1588), "YES", "NO")</f>
        <v>NO</v>
      </c>
      <c r="AB1588" t="str">
        <f>IF(AND($S1063&gt;1,$S1588&gt;1,$S1063&lt;$V1063,$S1588&lt;$V1588), "YES", "NO")</f>
        <v>NO</v>
      </c>
      <c r="AC1588" t="str">
        <f>IF(AND($V1063&gt;10,$V1588&gt;10), "YES", "NO")</f>
        <v>NO</v>
      </c>
      <c r="AD1588"/>
    </row>
    <row r="1589" spans="1:30" ht="15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>LEFT($A1589,FIND("_",$A1589)-1)</f>
        <v>TBar</v>
      </c>
      <c r="P1589" s="13" t="str">
        <f>IF($O1589="ACS", "True Search", IF($O1589="Arja", "Evolutionary Search", IF($O1589="AVATAR", "True Pattern", IF($O1589="CapGen", "Search Like Pattern", IF($O1589="Cardumen", "True Semantic", IF($O1589="DynaMoth", "True Semantic", IF($O1589="FixMiner", "True Pattern", IF($O1589="GenProg-A", "Evolutionary Search", IF($O1589="Hercules", "Learning Pattern", IF($O1589="Jaid", "True Semantic",
IF($O1589="Kali-A", "True Search", IF($O1589="kPAR", "True Pattern", IF($O1589="Nopol", "True Semantic", IF($O1589="RSRepair-A", "Evolutionary Search", IF($O1589="SequenceR", "Deep Learning", IF($O1589="SimFix", "Search Like Pattern", IF($O1589="SketchFix", "True Pattern", IF($O1589="SOFix", "True Pattern", IF($O1589="ssFix", "Search Like Pattern", IF($O1589="TBar", "True Pattern", ""))))))))))))))))))))</f>
        <v>True Pattern</v>
      </c>
      <c r="Q1589" s="13" t="str">
        <f>IF(NOT(ISERR(SEARCH("*_Buggy",$A1589))), "Buggy", IF(NOT(ISERR(SEARCH("*_Fixed",$A1589))), "Fixed", IF(NOT(ISERR(SEARCH("*_Repaired",$A1589))), "Repaired", "")))</f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v>1</v>
      </c>
      <c r="W1589" s="13" t="str">
        <f>MID(A1589, SEARCH("_", A1589) +1, SEARCH("_", A1589, SEARCH("_", A1589) +1) - SEARCH("_", A1589) -1)</f>
        <v>Math-82</v>
      </c>
      <c r="Y1589" t="str">
        <f>IF(AND($S1064=1,$S1589=1,$V1064=1,$V1589=1), "YES", "NO")</f>
        <v>YES</v>
      </c>
      <c r="Z1589" t="str">
        <f>IF(AND($S1064=1,$S1589=1,$V1064&gt;1,$V1589&gt;1), "YES", "NO")</f>
        <v>NO</v>
      </c>
      <c r="AA1589" t="str">
        <f>IF(AND($S1064&gt;1,$S1589&gt;1,$S1064=$V1064,$S1589=$V1589), "YES", "NO")</f>
        <v>NO</v>
      </c>
      <c r="AB1589" t="str">
        <f>IF(AND($S1064&gt;1,$S1589&gt;1,$S1064&lt;$V1064,$S1589&lt;$V1589), "YES", "NO")</f>
        <v>NO</v>
      </c>
      <c r="AC1589" t="str">
        <f>IF(AND($V1064&gt;10,$V1589&gt;10), "YES", "NO")</f>
        <v>NO</v>
      </c>
      <c r="AD1589"/>
    </row>
    <row r="1590" spans="1:30" ht="15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>LEFT($A1590,FIND("_",$A1590)-1)</f>
        <v>TBar</v>
      </c>
      <c r="P1590" s="13" t="str">
        <f>IF($O1590="ACS", "True Search", IF($O1590="Arja", "Evolutionary Search", IF($O1590="AVATAR", "True Pattern", IF($O1590="CapGen", "Search Like Pattern", IF($O1590="Cardumen", "True Semantic", IF($O1590="DynaMoth", "True Semantic", IF($O1590="FixMiner", "True Pattern", IF($O1590="GenProg-A", "Evolutionary Search", IF($O1590="Hercules", "Learning Pattern", IF($O1590="Jaid", "True Semantic",
IF($O1590="Kali-A", "True Search", IF($O1590="kPAR", "True Pattern", IF($O1590="Nopol", "True Semantic", IF($O1590="RSRepair-A", "Evolutionary Search", IF($O1590="SequenceR", "Deep Learning", IF($O1590="SimFix", "Search Like Pattern", IF($O1590="SketchFix", "True Pattern", IF($O1590="SOFix", "True Pattern", IF($O1590="ssFix", "Search Like Pattern", IF($O1590="TBar", "True Pattern", ""))))))))))))))))))))</f>
        <v>True Pattern</v>
      </c>
      <c r="Q1590" s="13" t="str">
        <f>IF(NOT(ISERR(SEARCH("*_Buggy",$A1590))), "Buggy", IF(NOT(ISERR(SEARCH("*_Fixed",$A1590))), "Fixed", IF(NOT(ISERR(SEARCH("*_Repaired",$A1590))), "Repaired", "")))</f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v>1</v>
      </c>
      <c r="W1590" s="13" t="str">
        <f>MID(A1590, SEARCH("_", A1590) +1, SEARCH("_", A1590, SEARCH("_", A1590) +1) - SEARCH("_", A1590) -1)</f>
        <v>Math-84</v>
      </c>
      <c r="Y1590" t="str">
        <f>IF(AND($S1065=1,$S1590=1,$V1065=1,$V1590=1), "YES", "NO")</f>
        <v>NO</v>
      </c>
      <c r="Z1590" t="str">
        <f>IF(AND($S1065=1,$S1590=1,$V1065&gt;1,$V1590&gt;1), "YES", "NO")</f>
        <v>NO</v>
      </c>
      <c r="AA1590" t="str">
        <f>IF(AND($S1065&gt;1,$S1590&gt;1,$S1065=$V1065,$S1590=$V1590), "YES", "NO")</f>
        <v>NO</v>
      </c>
      <c r="AB1590" t="str">
        <f>IF(AND($S1065&gt;1,$S1590&gt;1,$S1065&lt;$V1065,$S1590&lt;$V1590), "YES", "NO")</f>
        <v>NO</v>
      </c>
      <c r="AC1590" t="str">
        <f>IF(AND($V1065&gt;10,$V1590&gt;10), "YES", "NO")</f>
        <v>NO</v>
      </c>
      <c r="AD1590"/>
    </row>
    <row r="1591" spans="1:30" ht="15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>LEFT($A1591,FIND("_",$A1591)-1)</f>
        <v>TBar</v>
      </c>
      <c r="P1591" s="13" t="str">
        <f>IF($O1591="ACS", "True Search", IF($O1591="Arja", "Evolutionary Search", IF($O1591="AVATAR", "True Pattern", IF($O1591="CapGen", "Search Like Pattern", IF($O1591="Cardumen", "True Semantic", IF($O1591="DynaMoth", "True Semantic", IF($O1591="FixMiner", "True Pattern", IF($O1591="GenProg-A", "Evolutionary Search", IF($O1591="Hercules", "Learning Pattern", IF($O1591="Jaid", "True Semantic",
IF($O1591="Kali-A", "True Search", IF($O1591="kPAR", "True Pattern", IF($O1591="Nopol", "True Semantic", IF($O1591="RSRepair-A", "Evolutionary Search", IF($O1591="SequenceR", "Deep Learning", IF($O1591="SimFix", "Search Like Pattern", IF($O1591="SketchFix", "True Pattern", IF($O1591="SOFix", "True Pattern", IF($O1591="ssFix", "Search Like Pattern", IF($O1591="TBar", "True Pattern", ""))))))))))))))))))))</f>
        <v>True Pattern</v>
      </c>
      <c r="Q1591" s="13" t="str">
        <f>IF(NOT(ISERR(SEARCH("*_Buggy",$A1591))), "Buggy", IF(NOT(ISERR(SEARCH("*_Fixed",$A1591))), "Fixed", IF(NOT(ISERR(SEARCH("*_Repaired",$A1591))), "Repaired", "")))</f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v>1</v>
      </c>
      <c r="W1591" s="13" t="str">
        <f>MID(A1591, SEARCH("_", A1591) +1, SEARCH("_", A1591, SEARCH("_", A1591) +1) - SEARCH("_", A1591) -1)</f>
        <v>Math-85</v>
      </c>
      <c r="Y1591" t="str">
        <f>IF(AND($S1066=1,$S1591=1,$V1066=1,$V1591=1), "YES", "NO")</f>
        <v>YES</v>
      </c>
      <c r="Z1591" t="str">
        <f>IF(AND($S1066=1,$S1591=1,$V1066&gt;1,$V1591&gt;1), "YES", "NO")</f>
        <v>NO</v>
      </c>
      <c r="AA1591" t="str">
        <f>IF(AND($S1066&gt;1,$S1591&gt;1,$S1066=$V1066,$S1591=$V1591), "YES", "NO")</f>
        <v>NO</v>
      </c>
      <c r="AB1591" t="str">
        <f>IF(AND($S1066&gt;1,$S1591&gt;1,$S1066&lt;$V1066,$S1591&lt;$V1591), "YES", "NO")</f>
        <v>NO</v>
      </c>
      <c r="AC1591" t="str">
        <f>IF(AND($V1066&gt;10,$V1591&gt;10), "YES", "NO")</f>
        <v>NO</v>
      </c>
      <c r="AD1591"/>
    </row>
    <row r="1592" spans="1:30" ht="15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>LEFT($A1592,FIND("_",$A1592)-1)</f>
        <v>TBar</v>
      </c>
      <c r="P1592" s="13" t="str">
        <f>IF($O1592="ACS", "True Search", IF($O1592="Arja", "Evolutionary Search", IF($O1592="AVATAR", "True Pattern", IF($O1592="CapGen", "Search Like Pattern", IF($O1592="Cardumen", "True Semantic", IF($O1592="DynaMoth", "True Semantic", IF($O1592="FixMiner", "True Pattern", IF($O1592="GenProg-A", "Evolutionary Search", IF($O1592="Hercules", "Learning Pattern", IF($O1592="Jaid", "True Semantic",
IF($O1592="Kali-A", "True Search", IF($O1592="kPAR", "True Pattern", IF($O1592="Nopol", "True Semantic", IF($O1592="RSRepair-A", "Evolutionary Search", IF($O1592="SequenceR", "Deep Learning", IF($O1592="SimFix", "Search Like Pattern", IF($O1592="SketchFix", "True Pattern", IF($O1592="SOFix", "True Pattern", IF($O1592="ssFix", "Search Like Pattern", IF($O1592="TBar", "True Pattern", ""))))))))))))))))))))</f>
        <v>True Pattern</v>
      </c>
      <c r="Q1592" s="13" t="str">
        <f>IF(NOT(ISERR(SEARCH("*_Buggy",$A1592))), "Buggy", IF(NOT(ISERR(SEARCH("*_Fixed",$A1592))), "Fixed", IF(NOT(ISERR(SEARCH("*_Repaired",$A1592))), "Repaired", "")))</f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v>1</v>
      </c>
      <c r="W1592" s="13" t="str">
        <f>MID(A1592, SEARCH("_", A1592) +1, SEARCH("_", A1592, SEARCH("_", A1592) +1) - SEARCH("_", A1592) -1)</f>
        <v>Math-88</v>
      </c>
      <c r="Y1592" t="str">
        <f>IF(AND($S1067=1,$S1592=1,$V1067=1,$V1592=1), "YES", "NO")</f>
        <v>NO</v>
      </c>
      <c r="Z1592" t="str">
        <f>IF(AND($S1067=1,$S1592=1,$V1067&gt;1,$V1592&gt;1), "YES", "NO")</f>
        <v>NO</v>
      </c>
      <c r="AA1592" t="str">
        <f>IF(AND($S1067&gt;1,$S1592&gt;1,$S1067=$V1067,$S1592=$V1592), "YES", "NO")</f>
        <v>NO</v>
      </c>
      <c r="AB1592" t="str">
        <f>IF(AND($S1067&gt;1,$S1592&gt;1,$S1067&lt;$V1067,$S1592&lt;$V1592), "YES", "NO")</f>
        <v>NO</v>
      </c>
      <c r="AC1592" t="str">
        <f>IF(AND($V1067&gt;10,$V1592&gt;10), "YES", "NO")</f>
        <v>NO</v>
      </c>
      <c r="AD1592"/>
    </row>
    <row r="1593" spans="1:30" ht="15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>LEFT($A1593,FIND("_",$A1593)-1)</f>
        <v>TBar</v>
      </c>
      <c r="P1593" s="13" t="str">
        <f>IF($O1593="ACS", "True Search", IF($O1593="Arja", "Evolutionary Search", IF($O1593="AVATAR", "True Pattern", IF($O1593="CapGen", "Search Like Pattern", IF($O1593="Cardumen", "True Semantic", IF($O1593="DynaMoth", "True Semantic", IF($O1593="FixMiner", "True Pattern", IF($O1593="GenProg-A", "Evolutionary Search", IF($O1593="Hercules", "Learning Pattern", IF($O1593="Jaid", "True Semantic",
IF($O1593="Kali-A", "True Search", IF($O1593="kPAR", "True Pattern", IF($O1593="Nopol", "True Semantic", IF($O1593="RSRepair-A", "Evolutionary Search", IF($O1593="SequenceR", "Deep Learning", IF($O1593="SimFix", "Search Like Pattern", IF($O1593="SketchFix", "True Pattern", IF($O1593="SOFix", "True Pattern", IF($O1593="ssFix", "Search Like Pattern", IF($O1593="TBar", "True Pattern", ""))))))))))))))))))))</f>
        <v>True Pattern</v>
      </c>
      <c r="Q1593" s="13" t="str">
        <f>IF(NOT(ISERR(SEARCH("*_Buggy",$A1593))), "Buggy", IF(NOT(ISERR(SEARCH("*_Fixed",$A1593))), "Fixed", IF(NOT(ISERR(SEARCH("*_Repaired",$A1593))), "Repaired", "")))</f>
        <v>Repaired</v>
      </c>
      <c r="R1593" s="13" t="s">
        <v>1668</v>
      </c>
      <c r="S1593" s="25">
        <v>1</v>
      </c>
      <c r="T1593" s="25">
        <v>6</v>
      </c>
      <c r="U1593" s="25">
        <v>1</v>
      </c>
      <c r="V1593" s="13">
        <v>6</v>
      </c>
      <c r="W1593" s="13" t="str">
        <f>MID(A1593, SEARCH("_", A1593) +1, SEARCH("_", A1593, SEARCH("_", A1593) +1) - SEARCH("_", A1593) -1)</f>
        <v>Math-89</v>
      </c>
      <c r="Y1593" t="str">
        <f>IF(AND($S1068=1,$S1593=1,$V1068=1,$V1593=1), "YES", "NO")</f>
        <v>NO</v>
      </c>
      <c r="Z1593" t="str">
        <f>IF(AND($S1068=1,$S1593=1,$V1068&gt;1,$V1593&gt;1), "YES", "NO")</f>
        <v>NO</v>
      </c>
      <c r="AA1593" t="str">
        <f>IF(AND($S1068&gt;1,$S1593&gt;1,$S1068=$V1068,$S1593=$V1593), "YES", "NO")</f>
        <v>NO</v>
      </c>
      <c r="AB1593" t="str">
        <f>IF(AND($S1068&gt;1,$S1593&gt;1,$S1068&lt;$V1068,$S1593&lt;$V1593), "YES", "NO")</f>
        <v>NO</v>
      </c>
      <c r="AC1593" t="str">
        <f>IF(AND($V1068&gt;10,$V1593&gt;10), "YES", "NO")</f>
        <v>NO</v>
      </c>
      <c r="AD1593"/>
    </row>
    <row r="1594" spans="1:30" ht="15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>LEFT($A1594,FIND("_",$A1594)-1)</f>
        <v>TBar</v>
      </c>
      <c r="P1594" s="13" t="str">
        <f>IF($O1594="ACS", "True Search", IF($O1594="Arja", "Evolutionary Search", IF($O1594="AVATAR", "True Pattern", IF($O1594="CapGen", "Search Like Pattern", IF($O1594="Cardumen", "True Semantic", IF($O1594="DynaMoth", "True Semantic", IF($O1594="FixMiner", "True Pattern", IF($O1594="GenProg-A", "Evolutionary Search", IF($O1594="Hercules", "Learning Pattern", IF($O1594="Jaid", "True Semantic",
IF($O1594="Kali-A", "True Search", IF($O1594="kPAR", "True Pattern", IF($O1594="Nopol", "True Semantic", IF($O1594="RSRepair-A", "Evolutionary Search", IF($O1594="SequenceR", "Deep Learning", IF($O1594="SimFix", "Search Like Pattern", IF($O1594="SketchFix", "True Pattern", IF($O1594="SOFix", "True Pattern", IF($O1594="ssFix", "Search Like Pattern", IF($O1594="TBar", "True Pattern", ""))))))))))))))))))))</f>
        <v>True Pattern</v>
      </c>
      <c r="Q1594" s="13" t="str">
        <f>IF(NOT(ISERR(SEARCH("*_Buggy",$A1594))), "Buggy", IF(NOT(ISERR(SEARCH("*_Fixed",$A1594))), "Fixed", IF(NOT(ISERR(SEARCH("*_Repaired",$A1594))), "Repaired", "")))</f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v>1</v>
      </c>
      <c r="W1594" s="13" t="str">
        <f>MID(A1594, SEARCH("_", A1594) +1, SEARCH("_", A1594, SEARCH("_", A1594) +1) - SEARCH("_", A1594) -1)</f>
        <v>Math-95</v>
      </c>
      <c r="Y1594" t="str">
        <f>IF(AND($S1069=1,$S1594=1,$V1069=1,$V1594=1), "YES", "NO")</f>
        <v>NO</v>
      </c>
      <c r="Z1594" t="str">
        <f>IF(AND($S1069=1,$S1594=1,$V1069&gt;1,$V1594&gt;1), "YES", "NO")</f>
        <v>NO</v>
      </c>
      <c r="AA1594" t="str">
        <f>IF(AND($S1069&gt;1,$S1594&gt;1,$S1069=$V1069,$S1594=$V1594), "YES", "NO")</f>
        <v>NO</v>
      </c>
      <c r="AB1594" t="str">
        <f>IF(AND($S1069&gt;1,$S1594&gt;1,$S1069&lt;$V1069,$S1594&lt;$V1594), "YES", "NO")</f>
        <v>NO</v>
      </c>
      <c r="AC1594" t="str">
        <f>IF(AND($V1069&gt;10,$V1594&gt;10), "YES", "NO")</f>
        <v>NO</v>
      </c>
      <c r="AD1594"/>
    </row>
    <row r="1595" spans="1:30" ht="15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>LEFT($A1595,FIND("_",$A1595)-1)</f>
        <v>TBar</v>
      </c>
      <c r="P1595" s="13" t="str">
        <f>IF($O1595="ACS", "True Search", IF($O1595="Arja", "Evolutionary Search", IF($O1595="AVATAR", "True Pattern", IF($O1595="CapGen", "Search Like Pattern", IF($O1595="Cardumen", "True Semantic", IF($O1595="DynaMoth", "True Semantic", IF($O1595="FixMiner", "True Pattern", IF($O1595="GenProg-A", "Evolutionary Search", IF($O1595="Hercules", "Learning Pattern", IF($O1595="Jaid", "True Semantic",
IF($O1595="Kali-A", "True Search", IF($O1595="kPAR", "True Pattern", IF($O1595="Nopol", "True Semantic", IF($O1595="RSRepair-A", "Evolutionary Search", IF($O1595="SequenceR", "Deep Learning", IF($O1595="SimFix", "Search Like Pattern", IF($O1595="SketchFix", "True Pattern", IF($O1595="SOFix", "True Pattern", IF($O1595="ssFix", "Search Like Pattern", IF($O1595="TBar", "True Pattern", ""))))))))))))))))))))</f>
        <v>True Pattern</v>
      </c>
      <c r="Q1595" s="13" t="str">
        <f>IF(NOT(ISERR(SEARCH("*_Buggy",$A1595))), "Buggy", IF(NOT(ISERR(SEARCH("*_Fixed",$A1595))), "Fixed", IF(NOT(ISERR(SEARCH("*_Repaired",$A1595))), "Repaired", "")))</f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v>1</v>
      </c>
      <c r="W1595" s="13" t="str">
        <f>MID(A1595, SEARCH("_", A1595) +1, SEARCH("_", A1595, SEARCH("_", A1595) +1) - SEARCH("_", A1595) -1)</f>
        <v>Math-96</v>
      </c>
      <c r="Y1595" t="str">
        <f>IF(AND($S1070=1,$S1595=1,$V1070=1,$V1595=1), "YES", "NO")</f>
        <v>YES</v>
      </c>
      <c r="Z1595" t="str">
        <f>IF(AND($S1070=1,$S1595=1,$V1070&gt;1,$V1595&gt;1), "YES", "NO")</f>
        <v>NO</v>
      </c>
      <c r="AA1595" t="str">
        <f>IF(AND($S1070&gt;1,$S1595&gt;1,$S1070=$V1070,$S1595=$V1595), "YES", "NO")</f>
        <v>NO</v>
      </c>
      <c r="AB1595" t="str">
        <f>IF(AND($S1070&gt;1,$S1595&gt;1,$S1070&lt;$V1070,$S1595&lt;$V1595), "YES", "NO")</f>
        <v>NO</v>
      </c>
      <c r="AC1595" t="str">
        <f>IF(AND($V1070&gt;10,$V1595&gt;10), "YES", "NO")</f>
        <v>NO</v>
      </c>
      <c r="AD1595"/>
    </row>
    <row r="1596" spans="1:30" ht="15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>LEFT($A1596,FIND("_",$A1596)-1)</f>
        <v>TBar</v>
      </c>
      <c r="P1596" s="13" t="str">
        <f>IF($O1596="ACS", "True Search", IF($O1596="Arja", "Evolutionary Search", IF($O1596="AVATAR", "True Pattern", IF($O1596="CapGen", "Search Like Pattern", IF($O1596="Cardumen", "True Semantic", IF($O1596="DynaMoth", "True Semantic", IF($O1596="FixMiner", "True Pattern", IF($O1596="GenProg-A", "Evolutionary Search", IF($O1596="Hercules", "Learning Pattern", IF($O1596="Jaid", "True Semantic",
IF($O1596="Kali-A", "True Search", IF($O1596="kPAR", "True Pattern", IF($O1596="Nopol", "True Semantic", IF($O1596="RSRepair-A", "Evolutionary Search", IF($O1596="SequenceR", "Deep Learning", IF($O1596="SimFix", "Search Like Pattern", IF($O1596="SketchFix", "True Pattern", IF($O1596="SOFix", "True Pattern", IF($O1596="ssFix", "Search Like Pattern", IF($O1596="TBar", "True Pattern", ""))))))))))))))))))))</f>
        <v>True Pattern</v>
      </c>
      <c r="Q1596" s="13" t="str">
        <f>IF(NOT(ISERR(SEARCH("*_Buggy",$A1596))), "Buggy", IF(NOT(ISERR(SEARCH("*_Fixed",$A1596))), "Fixed", IF(NOT(ISERR(SEARCH("*_Repaired",$A1596))), "Repaired", "")))</f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v>1</v>
      </c>
      <c r="W1596" s="13" t="str">
        <f>MID(A1596, SEARCH("_", A1596) +1, SEARCH("_", A1596, SEARCH("_", A1596) +1) - SEARCH("_", A1596) -1)</f>
        <v>Mockito-26</v>
      </c>
      <c r="Y1596" t="str">
        <f>IF(AND($S1071=1,$S1596=1,$V1071=1,$V1596=1), "YES", "NO")</f>
        <v>YES</v>
      </c>
      <c r="Z1596" t="str">
        <f>IF(AND($S1071=1,$S1596=1,$V1071&gt;1,$V1596&gt;1), "YES", "NO")</f>
        <v>NO</v>
      </c>
      <c r="AA1596" t="str">
        <f>IF(AND($S1071&gt;1,$S1596&gt;1,$S1071=$V1071,$S1596=$V1596), "YES", "NO")</f>
        <v>NO</v>
      </c>
      <c r="AB1596" t="str">
        <f>IF(AND($S1071&gt;1,$S1596&gt;1,$S1071&lt;$V1071,$S1596&lt;$V1596), "YES", "NO")</f>
        <v>NO</v>
      </c>
      <c r="AC1596" t="str">
        <f>IF(AND($V1071&gt;10,$V1596&gt;10), "YES", "NO")</f>
        <v>NO</v>
      </c>
      <c r="AD1596"/>
    </row>
    <row r="1597" spans="1:30" ht="15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>LEFT($A1597,FIND("_",$A1597)-1)</f>
        <v>TBar</v>
      </c>
      <c r="P1597" s="13" t="str">
        <f>IF($O1597="ACS", "True Search", IF($O1597="Arja", "Evolutionary Search", IF($O1597="AVATAR", "True Pattern", IF($O1597="CapGen", "Search Like Pattern", IF($O1597="Cardumen", "True Semantic", IF($O1597="DynaMoth", "True Semantic", IF($O1597="FixMiner", "True Pattern", IF($O1597="GenProg-A", "Evolutionary Search", IF($O1597="Hercules", "Learning Pattern", IF($O1597="Jaid", "True Semantic",
IF($O1597="Kali-A", "True Search", IF($O1597="kPAR", "True Pattern", IF($O1597="Nopol", "True Semantic", IF($O1597="RSRepair-A", "Evolutionary Search", IF($O1597="SequenceR", "Deep Learning", IF($O1597="SimFix", "Search Like Pattern", IF($O1597="SketchFix", "True Pattern", IF($O1597="SOFix", "True Pattern", IF($O1597="ssFix", "Search Like Pattern", IF($O1597="TBar", "True Pattern", ""))))))))))))))))))))</f>
        <v>True Pattern</v>
      </c>
      <c r="Q1597" s="13" t="str">
        <f>IF(NOT(ISERR(SEARCH("*_Buggy",$A1597))), "Buggy", IF(NOT(ISERR(SEARCH("*_Fixed",$A1597))), "Fixed", IF(NOT(ISERR(SEARCH("*_Repaired",$A1597))), "Repaired", "")))</f>
        <v>Repaired</v>
      </c>
      <c r="R1597" s="13" t="s">
        <v>1668</v>
      </c>
      <c r="S1597" s="25">
        <v>1</v>
      </c>
      <c r="T1597" s="25">
        <v>4</v>
      </c>
      <c r="U1597" s="25">
        <v>1</v>
      </c>
      <c r="V1597" s="13">
        <v>4</v>
      </c>
      <c r="W1597" s="13" t="str">
        <f>MID(A1597, SEARCH("_", A1597) +1, SEARCH("_", A1597, SEARCH("_", A1597) +1) - SEARCH("_", A1597) -1)</f>
        <v>Mockito-29</v>
      </c>
      <c r="Y1597" t="str">
        <f>IF(AND($S1072=1,$S1597=1,$V1072=1,$V1597=1), "YES", "NO")</f>
        <v>NO</v>
      </c>
      <c r="Z1597" t="str">
        <f>IF(AND($S1072=1,$S1597=1,$V1072&gt;1,$V1597&gt;1), "YES", "NO")</f>
        <v>NO</v>
      </c>
      <c r="AA1597" t="str">
        <f>IF(AND($S1072&gt;1,$S1597&gt;1,$S1072=$V1072,$S1597=$V1597), "YES", "NO")</f>
        <v>NO</v>
      </c>
      <c r="AB1597" t="str">
        <f>IF(AND($S1072&gt;1,$S1597&gt;1,$S1072&lt;$V1072,$S1597&lt;$V1597), "YES", "NO")</f>
        <v>NO</v>
      </c>
      <c r="AC1597" t="str">
        <f>IF(AND($V1072&gt;10,$V1597&gt;10), "YES", "NO")</f>
        <v>NO</v>
      </c>
      <c r="AD1597"/>
    </row>
    <row r="1598" spans="1:30" ht="15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>LEFT($A1598,FIND("_",$A1598)-1)</f>
        <v>TBar</v>
      </c>
      <c r="P1598" s="13" t="str">
        <f>IF($O1598="ACS", "True Search", IF($O1598="Arja", "Evolutionary Search", IF($O1598="AVATAR", "True Pattern", IF($O1598="CapGen", "Search Like Pattern", IF($O1598="Cardumen", "True Semantic", IF($O1598="DynaMoth", "True Semantic", IF($O1598="FixMiner", "True Pattern", IF($O1598="GenProg-A", "Evolutionary Search", IF($O1598="Hercules", "Learning Pattern", IF($O1598="Jaid", "True Semantic",
IF($O1598="Kali-A", "True Search", IF($O1598="kPAR", "True Pattern", IF($O1598="Nopol", "True Semantic", IF($O1598="RSRepair-A", "Evolutionary Search", IF($O1598="SequenceR", "Deep Learning", IF($O1598="SimFix", "Search Like Pattern", IF($O1598="SketchFix", "True Pattern", IF($O1598="SOFix", "True Pattern", IF($O1598="ssFix", "Search Like Pattern", IF($O1598="TBar", "True Pattern", ""))))))))))))))))))))</f>
        <v>True Pattern</v>
      </c>
      <c r="Q1598" s="13" t="str">
        <f>IF(NOT(ISERR(SEARCH("*_Buggy",$A1598))), "Buggy", IF(NOT(ISERR(SEARCH("*_Fixed",$A1598))), "Fixed", IF(NOT(ISERR(SEARCH("*_Repaired",$A1598))), "Repaired", "")))</f>
        <v>Repaired</v>
      </c>
      <c r="R1598" s="13" t="s">
        <v>1668</v>
      </c>
      <c r="S1598" s="25">
        <v>1</v>
      </c>
      <c r="T1598" s="25">
        <v>4</v>
      </c>
      <c r="U1598" s="25">
        <v>1</v>
      </c>
      <c r="V1598" s="13">
        <v>4</v>
      </c>
      <c r="W1598" s="13" t="str">
        <f>MID(A1598, SEARCH("_", A1598) +1, SEARCH("_", A1598, SEARCH("_", A1598) +1) - SEARCH("_", A1598) -1)</f>
        <v>Mockito-38</v>
      </c>
      <c r="Y1598" s="52" t="str">
        <f>IF(AND($S1073=1,$S1598=1,$V1073=1,$V1598=1), "YES", "NO")</f>
        <v>NO</v>
      </c>
      <c r="Z1598" s="52" t="str">
        <f>IF(AND($S1073=1,$S1598=1,$V1073&gt;1,$V1598&gt;1), "YES", "NO")</f>
        <v>NO</v>
      </c>
      <c r="AA1598" s="52" t="str">
        <f>IF(AND($S1073&gt;1,$S1598&gt;1,$S1073=$V1073,$S1598=$V1598), "YES", "NO")</f>
        <v>NO</v>
      </c>
      <c r="AB1598" s="52" t="str">
        <f>IF(AND($S1073&gt;1,$S1598&gt;1,$S1073&lt;$V1073,$S1598&lt;$V1598), "YES", "NO")</f>
        <v>NO</v>
      </c>
      <c r="AC1598" s="52" t="str">
        <f>IF(AND($V1073&gt;10,$V1598&gt;10), "YES", "NO")</f>
        <v>NO</v>
      </c>
      <c r="AD1598"/>
    </row>
    <row r="1599" spans="1:30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1692</v>
      </c>
      <c r="S1599" s="12" t="s">
        <v>1292</v>
      </c>
      <c r="T1599" s="12" t="s">
        <v>1293</v>
      </c>
      <c r="U1599" s="12" t="s">
        <v>1294</v>
      </c>
      <c r="V1599" s="12" t="s">
        <v>1702</v>
      </c>
      <c r="W1599" s="12" t="s">
        <v>1701</v>
      </c>
      <c r="Y1599" s="12" t="s">
        <v>1718</v>
      </c>
      <c r="Z1599" s="12" t="s">
        <v>1719</v>
      </c>
      <c r="AA1599" s="12" t="s">
        <v>1716</v>
      </c>
      <c r="AB1599" s="12" t="s">
        <v>1717</v>
      </c>
      <c r="AC1599" s="12" t="s">
        <v>1739</v>
      </c>
      <c r="AD1599"/>
    </row>
    <row r="1600" spans="1:30" x14ac:dyDescent="0.35">
      <c r="A1600" s="9" t="s">
        <v>1286</v>
      </c>
      <c r="B1600" s="35">
        <f>SUM(B24:B1598)</f>
        <v>6110.0599999999995</v>
      </c>
      <c r="C1600" s="35">
        <f>SUM(C24:C1598)</f>
        <v>122620.01000000024</v>
      </c>
      <c r="D1600" s="35">
        <f>SUM(D24:D1598)</f>
        <v>29050.499999999978</v>
      </c>
      <c r="E1600" s="35">
        <f>SUM(E24:E1598)</f>
        <v>10386.690000000042</v>
      </c>
      <c r="F1600" s="35">
        <f>SUM(F24:F1598)</f>
        <v>22011.879999999965</v>
      </c>
      <c r="G1600" s="35">
        <f>SUM(G24:G1598)</f>
        <v>6394.6399999999876</v>
      </c>
      <c r="H1600" s="35">
        <f>SUM(H24:H1598)</f>
        <v>16781.850000000028</v>
      </c>
      <c r="I1600" s="35">
        <f>SUM(I24:I1598)</f>
        <v>51062.079999999944</v>
      </c>
      <c r="J1600" s="35">
        <f>SUM(J24:J1598)</f>
        <v>88217.189999999915</v>
      </c>
      <c r="K1600" s="35">
        <f>SUM(K24:K1598)</f>
        <v>608.8660000000001</v>
      </c>
      <c r="L1600" s="35">
        <f>SUM(L24:L1598)</f>
        <v>85.660599999999988</v>
      </c>
      <c r="M1600" s="35">
        <f>SUM(M24:M1598)</f>
        <v>89101.632000000085</v>
      </c>
      <c r="N1600" s="35">
        <f>SUM(N24:N1598)</f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</row>
    <row r="1601" spans="1:18" x14ac:dyDescent="0.35">
      <c r="A1601" s="11" t="s">
        <v>1287</v>
      </c>
      <c r="B1601" s="36">
        <f>AVERAGE(B24:B1598)</f>
        <v>3.8794031746031741</v>
      </c>
      <c r="C1601" s="36">
        <f>AVERAGE(C24:C1598)</f>
        <v>77.853974603174763</v>
      </c>
      <c r="D1601" s="36">
        <f>AVERAGE(D24:D1598)</f>
        <v>18.44476190476189</v>
      </c>
      <c r="E1601" s="36">
        <f>AVERAGE(E24:E1598)</f>
        <v>6.5947238095238365</v>
      </c>
      <c r="F1601" s="36">
        <f>AVERAGE(F24:F1598)</f>
        <v>13.975796825396802</v>
      </c>
      <c r="G1601" s="36">
        <f>AVERAGE(G24:G1598)</f>
        <v>4.0600888888888811</v>
      </c>
      <c r="H1601" s="36">
        <f>AVERAGE(H24:H1598)</f>
        <v>10.655142857142875</v>
      </c>
      <c r="I1601" s="36">
        <f>AVERAGE(I24:I1598)</f>
        <v>32.420368253968221</v>
      </c>
      <c r="J1601" s="36">
        <f>AVERAGE(J24:J1598)</f>
        <v>56.010914285714229</v>
      </c>
      <c r="K1601" s="36">
        <f>AVERAGE(K24:K1598)</f>
        <v>0.38658158730158737</v>
      </c>
      <c r="L1601" s="36">
        <f>AVERAGE(L24:L1598)</f>
        <v>5.4387682539682534E-2</v>
      </c>
      <c r="M1601" s="36">
        <f>AVERAGE(M24:M1598)</f>
        <v>56.572464761904818</v>
      </c>
      <c r="N1601" s="36">
        <f>AVERAGE(N24:N1598)</f>
        <v>3.1428831746031691</v>
      </c>
      <c r="O1601" s="10"/>
      <c r="P1601" s="38"/>
      <c r="Q1601" s="38"/>
      <c r="R1601" s="38"/>
    </row>
    <row r="1602" spans="1:18" x14ac:dyDescent="0.35">
      <c r="A1602" s="9" t="s">
        <v>1288</v>
      </c>
      <c r="B1602" s="35">
        <f>MIN(B24:B1598)</f>
        <v>1.25</v>
      </c>
      <c r="C1602" s="35">
        <f>MIN(C24:C1598)</f>
        <v>48</v>
      </c>
      <c r="D1602" s="35">
        <f>MIN(D24:D1598)</f>
        <v>1.92</v>
      </c>
      <c r="E1602" s="35">
        <f>MIN(E24:E1598)</f>
        <v>2.25</v>
      </c>
      <c r="F1602" s="35">
        <f>MIN(F24:F1598)</f>
        <v>1.5</v>
      </c>
      <c r="G1602" s="35">
        <f>MIN(G24:G1598)</f>
        <v>1.25</v>
      </c>
      <c r="H1602" s="35">
        <f>MIN(H24:H1598)</f>
        <v>3.5</v>
      </c>
      <c r="I1602" s="35">
        <f>MIN(I24:I1598)</f>
        <v>5</v>
      </c>
      <c r="J1602" s="35">
        <f>MIN(J24:J1598)</f>
        <v>8.25</v>
      </c>
      <c r="K1602" s="35">
        <f>MIN(K24:K1598)</f>
        <v>0</v>
      </c>
      <c r="L1602" s="35">
        <f>MIN(L24:L1598)</f>
        <v>0</v>
      </c>
      <c r="M1602" s="35">
        <f>MIN(M24:M1598)</f>
        <v>0</v>
      </c>
      <c r="N1602" s="35">
        <f>MIN(N24:N1598)</f>
        <v>0</v>
      </c>
      <c r="O1602" s="10"/>
      <c r="P1602" s="38"/>
      <c r="Q1602" s="38"/>
      <c r="R1602" s="38"/>
    </row>
    <row r="1603" spans="1:18" x14ac:dyDescent="0.35">
      <c r="A1603" s="11" t="s">
        <v>1289</v>
      </c>
      <c r="B1603" s="36">
        <f>MAX(B24:B1598)</f>
        <v>20</v>
      </c>
      <c r="C1603" s="36">
        <f>MAX(C24:C1598)</f>
        <v>92.05</v>
      </c>
      <c r="D1603" s="36">
        <f>MAX(D24:D1598)</f>
        <v>96.6</v>
      </c>
      <c r="E1603" s="36">
        <f>MAX(E24:E1598)</f>
        <v>34</v>
      </c>
      <c r="F1603" s="36">
        <f>MAX(F24:F1598)</f>
        <v>75</v>
      </c>
      <c r="G1603" s="36">
        <f>MAX(G24:G1598)</f>
        <v>17</v>
      </c>
      <c r="H1603" s="36">
        <f>MAX(H24:H1598)</f>
        <v>51</v>
      </c>
      <c r="I1603" s="36">
        <f>MAX(I24:I1598)</f>
        <v>160</v>
      </c>
      <c r="J1603" s="36">
        <f>MAX(J24:J1598)</f>
        <v>373.42</v>
      </c>
      <c r="K1603" s="36">
        <f>MAX(K24:K1598)</f>
        <v>6.92</v>
      </c>
      <c r="L1603" s="36">
        <f>MAX(L24:L1598)</f>
        <v>0.5</v>
      </c>
      <c r="M1603" s="36">
        <f>MAX(M24:M1598)</f>
        <v>4301</v>
      </c>
      <c r="N1603" s="36">
        <f>MAX(N24:N1598)</f>
        <v>238.96</v>
      </c>
      <c r="O1603" s="10"/>
      <c r="P1603" s="38"/>
      <c r="Q1603" s="38"/>
      <c r="R1603" s="38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>_xlfn.STDEV.S(C24:C1598)</f>
        <v>6.6830758825718544</v>
      </c>
      <c r="D1604" s="35">
        <f>_xlfn.STDEV.S(D24:D1598)</f>
        <v>14.092272997999244</v>
      </c>
      <c r="E1604" s="35">
        <f>_xlfn.STDEV.S(E24:E1598)</f>
        <v>2.8664947508819871</v>
      </c>
      <c r="F1604" s="35">
        <f>_xlfn.STDEV.S(F24:F1598)</f>
        <v>10.382056109294227</v>
      </c>
      <c r="G1604" s="35">
        <f>_xlfn.STDEV.S(G24:G1598)</f>
        <v>1.6761721206716083</v>
      </c>
      <c r="H1604" s="35">
        <f>_xlfn.STDEV.S(H24:H1598)</f>
        <v>4.337648586768827</v>
      </c>
      <c r="I1604" s="35">
        <f>_xlfn.STDEV.S(I24:I1598)</f>
        <v>24.070666938264704</v>
      </c>
      <c r="J1604" s="35">
        <f>_xlfn.STDEV.S(J24:J1598)</f>
        <v>33.651333135272665</v>
      </c>
      <c r="K1604" s="35">
        <f>_xlfn.STDEV.S(K24:K1598)</f>
        <v>0.69212855269812046</v>
      </c>
      <c r="L1604" s="35">
        <f>_xlfn.STDEV.S(L24:L1598)</f>
        <v>8.2222352023029951E-2</v>
      </c>
      <c r="M1604" s="35">
        <f>_xlfn.STDEV.S(M24:M1598)</f>
        <v>289.43446882895324</v>
      </c>
      <c r="N1604" s="35">
        <f>_xlfn.STDEV.S(N24:N1598)</f>
        <v>16.080127988902351</v>
      </c>
      <c r="O1604" s="10"/>
      <c r="P1604" s="38"/>
      <c r="Q1604" s="38"/>
      <c r="R1604" s="38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>_xlfn.VAR.S(C24:C1598)</f>
        <v>44.663503252213573</v>
      </c>
      <c r="D1605" s="36">
        <f>_xlfn.VAR.S(D24:D1598)</f>
        <v>198.5921582501386</v>
      </c>
      <c r="E1605" s="36">
        <f>_xlfn.VAR.S(E24:E1598)</f>
        <v>8.2167921568339857</v>
      </c>
      <c r="F1605" s="36">
        <f>_xlfn.VAR.S(F24:F1598)</f>
        <v>107.7870890565336</v>
      </c>
      <c r="G1605" s="36">
        <f>_xlfn.VAR.S(G24:G1598)</f>
        <v>2.8095529781167565</v>
      </c>
      <c r="H1605" s="36">
        <f>_xlfn.VAR.S(H24:H1598)</f>
        <v>18.8151952622976</v>
      </c>
      <c r="I1605" s="36">
        <f>_xlfn.VAR.S(I24:I1598)</f>
        <v>579.39700685286959</v>
      </c>
      <c r="J1605" s="36">
        <f>_xlfn.VAR.S(J24:J1598)</f>
        <v>1132.4122217811</v>
      </c>
      <c r="K1605" s="36">
        <f>_xlfn.VAR.S(K24:K1598)</f>
        <v>0.47904193345999491</v>
      </c>
      <c r="L1605" s="36">
        <f>_xlfn.VAR.S(L24:L1598)</f>
        <v>6.760515172199057E-3</v>
      </c>
      <c r="M1605" s="36">
        <f>_xlfn.VAR.S(M24:M1598)</f>
        <v>83772.311746298292</v>
      </c>
      <c r="N1605" s="36">
        <f>_xlfn.VAR.S(N24:N1598)</f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B1610" s="14" t="s">
        <v>1335</v>
      </c>
      <c r="C1610" s="14" t="s">
        <v>1296</v>
      </c>
      <c r="D1610" s="14" t="s">
        <v>1297</v>
      </c>
      <c r="E1610" s="14" t="s">
        <v>1298</v>
      </c>
      <c r="F1610" s="14" t="s">
        <v>21</v>
      </c>
      <c r="G1610" s="14" t="s">
        <v>1299</v>
      </c>
      <c r="H1610" s="14" t="s">
        <v>22</v>
      </c>
      <c r="I1610" s="14" t="s">
        <v>1300</v>
      </c>
      <c r="J1610" s="14" t="s">
        <v>1301</v>
      </c>
      <c r="K1610" s="14" t="s">
        <v>1302</v>
      </c>
      <c r="L1610" s="14" t="s">
        <v>1303</v>
      </c>
      <c r="M1610" s="14" t="s">
        <v>1304</v>
      </c>
      <c r="N1610" s="14" t="s">
        <v>1305</v>
      </c>
      <c r="O1610" s="14" t="s">
        <v>1306</v>
      </c>
      <c r="P1610"/>
      <c r="Q1610"/>
      <c r="R1610"/>
    </row>
    <row r="1611" spans="1:18" ht="15" x14ac:dyDescent="0.35">
      <c r="A1611" s="1">
        <f>COUNTIF($A$24:$A$1598, "*Buggy")</f>
        <v>525</v>
      </c>
      <c r="B1611" s="1" t="s">
        <v>1307</v>
      </c>
      <c r="C1611" s="27">
        <f>AVERAGEIF($A$24:$A$1598, "*Buggy", B$24:B$1598)</f>
        <v>3.8787428571428553</v>
      </c>
      <c r="D1611" s="27">
        <f>AVERAGEIF($A$24:$A$1598, "*Buggy", C$24:C$1598)</f>
        <v>77.878285714285767</v>
      </c>
      <c r="E1611" s="27">
        <f>AVERAGEIF($A$24:$A$1598, "*Buggy", D$24:D$1598)</f>
        <v>18.437790476190468</v>
      </c>
      <c r="F1611" s="27">
        <f>AVERAGEIF($A$24:$A$1598, "*Buggy", E$24:E$1598)</f>
        <v>6.5805142857142886</v>
      </c>
      <c r="G1611" s="27">
        <f>AVERAGEIF($A$24:$A$1598, "*Buggy", F$24:F$1598)</f>
        <v>13.997790476190461</v>
      </c>
      <c r="H1611" s="27">
        <f>AVERAGEIF($A$24:$A$1598, "*Buggy", G$24:G$1598)</f>
        <v>4.0440380952380925</v>
      </c>
      <c r="I1611" s="27">
        <f>AVERAGEIF($A$24:$A$1598, "*Buggy", H$24:H$1598)</f>
        <v>10.624971428571437</v>
      </c>
      <c r="J1611" s="27">
        <f>AVERAGEIF($A$24:$A$1598, "*Buggy", I$24:I$1598)</f>
        <v>32.435047619047609</v>
      </c>
      <c r="K1611" s="27">
        <f>AVERAGEIF($A$24:$A$1598, "*Buggy", J$24:J$1598)</f>
        <v>55.840723809523787</v>
      </c>
      <c r="L1611" s="27">
        <f>AVERAGEIF($A$24:$A$1598, "*Buggy", K$24:K$1598)</f>
        <v>0.38132571428571366</v>
      </c>
      <c r="M1611" s="27">
        <f>AVERAGEIF($A$24:$A$1598, "*Buggy", L$24:L$1598)</f>
        <v>5.3943238095238107E-2</v>
      </c>
      <c r="N1611" s="27">
        <f>AVERAGEIF($A$24:$A$1598, "*Buggy", M$24:M$1598)</f>
        <v>56.324617142857178</v>
      </c>
      <c r="O1611" s="27">
        <f>AVERAGEIF($A$24:$A$1598, "*Buggy", N$24:N$1598)</f>
        <v>3.1290799999999992</v>
      </c>
      <c r="P1611"/>
      <c r="Q1611"/>
      <c r="R1611"/>
    </row>
    <row r="1612" spans="1:18" x14ac:dyDescent="0.35">
      <c r="A1612" s="1">
        <f>COUNTIF($A$24:$A$1598, "*Fixed")</f>
        <v>525</v>
      </c>
      <c r="B1612" s="1" t="s">
        <v>1308</v>
      </c>
      <c r="C1612" s="27">
        <f>AVERAGEIF($A$24:$A$1598, "*Fixed", B$24:B$1598)</f>
        <v>3.880876190476187</v>
      </c>
      <c r="D1612" s="27">
        <f>AVERAGEIF($A$24:$A$1598, "*Fixed", C$24:C$1598)</f>
        <v>77.839695238095359</v>
      </c>
      <c r="E1612" s="27">
        <f>AVERAGEIF($A$24:$A$1598, "*Fixed", D$24:D$1598)</f>
        <v>18.525257142857154</v>
      </c>
      <c r="F1612" s="27">
        <f>AVERAGEIF($A$24:$A$1598, "*Fixed", E$24:E$1598)</f>
        <v>6.6144571428571393</v>
      </c>
      <c r="G1612" s="27">
        <f>AVERAGEIF($A$24:$A$1598, "*Fixed", F$24:F$1598)</f>
        <v>13.975923809523787</v>
      </c>
      <c r="H1612" s="27">
        <f>AVERAGEIF($A$24:$A$1598, "*Fixed", G$24:G$1598)</f>
        <v>4.0725333333333307</v>
      </c>
      <c r="I1612" s="27">
        <f>AVERAGEIF($A$24:$A$1598, "*Fixed", H$24:H$1598)</f>
        <v>10.68740952380953</v>
      </c>
      <c r="J1612" s="27">
        <f>AVERAGEIF($A$24:$A$1598, "*Fixed", I$24:I$1598)</f>
        <v>32.501238095238058</v>
      </c>
      <c r="K1612" s="27">
        <f>AVERAGEIF($A$24:$A$1598, "*Fixed", J$24:J$1598)</f>
        <v>56.267561904761862</v>
      </c>
      <c r="L1612" s="27">
        <f>AVERAGEIF($A$24:$A$1598, "*Fixed", K$24:K$1598)</f>
        <v>0.3880228571428565</v>
      </c>
      <c r="M1612" s="27">
        <f>AVERAGEIF($A$24:$A$1598, "*Fixed", L$24:L$1598)</f>
        <v>5.4305142857142864E-2</v>
      </c>
      <c r="N1612" s="27">
        <f>AVERAGEIF($A$24:$A$1598, "*Fixed", M$24:M$1598)</f>
        <v>56.688045714285728</v>
      </c>
      <c r="O1612" s="27">
        <f>AVERAGEIF($A$24:$A$1598, "*Fixed", N$24:N$1598)</f>
        <v>3.1493733333333331</v>
      </c>
    </row>
    <row r="1613" spans="1:18" x14ac:dyDescent="0.35">
      <c r="A1613" s="1">
        <f>COUNTIF($A$24:$A$1598, "*Repaired")</f>
        <v>525</v>
      </c>
      <c r="B1613" s="1" t="s">
        <v>1309</v>
      </c>
      <c r="C1613" s="27">
        <f>AVERAGEIF($A$24:$A$1598, "*Repaired", B$24:B$1598)</f>
        <v>3.8785904761904719</v>
      </c>
      <c r="D1613" s="27">
        <f>AVERAGEIF($A$24:$A$1598, "*Repaired", C$24:C$1598)</f>
        <v>77.843942857142892</v>
      </c>
      <c r="E1613" s="27">
        <f>AVERAGEIF($A$24:$A$1598, "*Repaired", D$24:D$1598)</f>
        <v>18.371238095238098</v>
      </c>
      <c r="F1613" s="27">
        <f>AVERAGEIF($A$24:$A$1598, "*Repaired", E$24:E$1598)</f>
        <v>6.5891999999999982</v>
      </c>
      <c r="G1613" s="27">
        <f>AVERAGEIF($A$24:$A$1598, "*Repaired", F$24:F$1598)</f>
        <v>13.953676190476186</v>
      </c>
      <c r="H1613" s="27">
        <f>AVERAGEIF($A$24:$A$1598, "*Repaired", G$24:G$1598)</f>
        <v>4.0636952380952369</v>
      </c>
      <c r="I1613" s="27">
        <f>AVERAGEIF($A$24:$A$1598, "*Repaired", H$24:H$1598)</f>
        <v>10.653047619047621</v>
      </c>
      <c r="J1613" s="27">
        <f>AVERAGEIF($A$24:$A$1598, "*Repaired", I$24:I$1598)</f>
        <v>32.324819047619044</v>
      </c>
      <c r="K1613" s="27">
        <f>AVERAGEIF($A$24:$A$1598, "*Repaired", J$24:J$1598)</f>
        <v>55.924457142857101</v>
      </c>
      <c r="L1613" s="27">
        <f>AVERAGEIF($A$24:$A$1598, "*Repaired", K$24:K$1598)</f>
        <v>0.3903961904761899</v>
      </c>
      <c r="M1613" s="27">
        <f>AVERAGEIF($A$24:$A$1598, "*Repaired", L$24:L$1598)</f>
        <v>5.4914666666666667E-2</v>
      </c>
      <c r="N1613" s="27">
        <f>AVERAGEIF($A$24:$A$1598, "*Repaired", M$24:M$1598)</f>
        <v>56.704731428571435</v>
      </c>
      <c r="O1613" s="27">
        <f>AVERAGEIF($A$24:$A$1598, "*Repaired", N$24:N$1598)</f>
        <v>3.1501961904761897</v>
      </c>
    </row>
    <row r="1614" spans="1:18" x14ac:dyDescent="0.35">
      <c r="A1614" s="37" t="s">
        <v>1698</v>
      </c>
      <c r="E1614" s="37" t="s">
        <v>1693</v>
      </c>
      <c r="J1614" s="37" t="s">
        <v>1693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>AVERAGEIFS(C$24:C$1598, $Q$24:$Q$1598, "*Fixed", $R$24:$R$1598, "correct")</f>
        <v>79.375303030303044</v>
      </c>
      <c r="E1619" s="27">
        <f>AVERAGEIFS(D$24:D$1598, $Q$24:$Q$1598, "*Fixed", $R$24:$R$1598, "correct")</f>
        <v>14.623131313131307</v>
      </c>
      <c r="F1619" s="27">
        <f>AVERAGEIFS(E$24:E$1598, $Q$24:$Q$1598, "*Fixed", $R$24:$R$1598, "correct")</f>
        <v>5.9473232323232317</v>
      </c>
      <c r="G1619" s="27">
        <f>AVERAGEIFS(F$24:F$1598, $Q$24:$Q$1598, "*Fixed", $R$24:$R$1598, "correct")</f>
        <v>11.140101010101011</v>
      </c>
      <c r="H1619" s="27">
        <f>AVERAGEIFS(G$24:G$1598, $Q$24:$Q$1598, "*Fixed", $R$24:$R$1598, "correct")</f>
        <v>3.6630303030303057</v>
      </c>
      <c r="I1619" s="27">
        <f>AVERAGEIFS(H$24:H$1598, $Q$24:$Q$1598, "*Fixed", $R$24:$R$1598, "correct")</f>
        <v>9.6111111111111072</v>
      </c>
      <c r="J1619" s="27">
        <f>AVERAGEIFS(I$24:I$1598, $Q$24:$Q$1598, "*Fixed", $R$24:$R$1598, "correct")</f>
        <v>25.76373737373736</v>
      </c>
      <c r="K1619" s="27">
        <f>AVERAGEIFS(J$24:J$1598, $Q$24:$Q$1598, "*Fixed", $R$24:$R$1598, "correct")</f>
        <v>47.571060606060577</v>
      </c>
      <c r="L1619" s="27">
        <f>AVERAGEIFS(K$24:K$1598, $Q$24:$Q$1598, "*Fixed", $R$24:$R$1598, "correct")</f>
        <v>0.42216161616161618</v>
      </c>
      <c r="M1619" s="27">
        <f>AVERAGEIFS(L$24:L$1598, $Q$24:$Q$1598, "*Fixed", $R$24:$R$1598, "correct")</f>
        <v>5.0134343434343434E-2</v>
      </c>
      <c r="N1619" s="27">
        <f>AVERAGEIFS(M$24:M$1598, $Q$24:$Q$1598, "*Fixed", $R$24:$R$1598, "correct")</f>
        <v>53.700808080808088</v>
      </c>
      <c r="O1619" s="27">
        <f>AVERAGEIFS(N$24:N$1598, $Q$24:$Q$1598, "*Fixed", $R$24:$R$1598, "correct")</f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>AVERAGEIFS(C$24:C$1598, $Q$24:$Q$1598, "*Repaired", $R$24:$R$1598, "correct")</f>
        <v>79.217121212121228</v>
      </c>
      <c r="E1620" s="27">
        <f>AVERAGEIFS(D$24:D$1598, $Q$24:$Q$1598, "*Repaired", $R$24:$R$1598, "correct")</f>
        <v>14.705353535353527</v>
      </c>
      <c r="F1620" s="27">
        <f>AVERAGEIFS(E$24:E$1598, $Q$24:$Q$1598, "*Repaired", $R$24:$R$1598, "correct")</f>
        <v>5.9746464646464625</v>
      </c>
      <c r="G1620" s="27">
        <f>AVERAGEIFS(F$24:F$1598, $Q$24:$Q$1598, "*Repaired", $R$24:$R$1598, "correct")</f>
        <v>11.297373737373736</v>
      </c>
      <c r="H1620" s="27">
        <f>AVERAGEIFS(G$24:G$1598, $Q$24:$Q$1598, "*Repaired", $R$24:$R$1598, "correct")</f>
        <v>3.7004040404040435</v>
      </c>
      <c r="I1620" s="27">
        <f>AVERAGEIFS(H$24:H$1598, $Q$24:$Q$1598, "*Repaired", $R$24:$R$1598, "correct")</f>
        <v>9.6751515151515175</v>
      </c>
      <c r="J1620" s="27">
        <f>AVERAGEIFS(I$24:I$1598, $Q$24:$Q$1598, "*Repaired", $R$24:$R$1598, "correct")</f>
        <v>26.002323232323224</v>
      </c>
      <c r="K1620" s="27">
        <f>AVERAGEIFS(J$24:J$1598, $Q$24:$Q$1598, "*Repaired", $R$24:$R$1598, "correct")</f>
        <v>47.960303030302988</v>
      </c>
      <c r="L1620" s="27">
        <f>AVERAGEIFS(K$24:K$1598, $Q$24:$Q$1598, "*Repaired", $R$24:$R$1598, "correct")</f>
        <v>0.4374898989898991</v>
      </c>
      <c r="M1620" s="27">
        <f>AVERAGEIFS(L$24:L$1598, $Q$24:$Q$1598, "*Repaired", $R$24:$R$1598, "correct")</f>
        <v>5.1578787878787877E-2</v>
      </c>
      <c r="N1620" s="27">
        <f>AVERAGEIFS(M$24:M$1598, $Q$24:$Q$1598, "*Repaired", $R$24:$R$1598, "correct")</f>
        <v>54.37969696969698</v>
      </c>
      <c r="O1620" s="27">
        <f>AVERAGEIFS(N$24:N$1598, $Q$24:$Q$1598, "*Repaired", $R$24:$R$1598, "correct")</f>
        <v>3.0211313131313124</v>
      </c>
      <c r="P1620"/>
    </row>
    <row r="1621" spans="1:33" x14ac:dyDescent="0.35">
      <c r="A1621" s="37" t="s">
        <v>1698</v>
      </c>
      <c r="C1621" s="47" t="s">
        <v>1693</v>
      </c>
      <c r="D1621" s="47" t="s">
        <v>1693</v>
      </c>
      <c r="E1621" s="47" t="s">
        <v>1693</v>
      </c>
      <c r="F1621" s="47" t="s">
        <v>1693</v>
      </c>
      <c r="G1621" s="47" t="s">
        <v>1693</v>
      </c>
      <c r="H1621" s="47" t="s">
        <v>1693</v>
      </c>
      <c r="I1621" s="47" t="s">
        <v>1693</v>
      </c>
      <c r="J1621" s="47" t="s">
        <v>1693</v>
      </c>
      <c r="K1621" s="47" t="s">
        <v>1693</v>
      </c>
      <c r="L1621" s="47"/>
      <c r="M1621" s="47"/>
      <c r="N1621" s="47"/>
      <c r="O1621" s="47"/>
    </row>
    <row r="1622" spans="1:33" ht="28.8" x14ac:dyDescent="0.35">
      <c r="B1622" s="14" t="s">
        <v>1335</v>
      </c>
      <c r="C1622" s="46" t="s">
        <v>1296</v>
      </c>
      <c r="D1622" s="46" t="s">
        <v>1297</v>
      </c>
      <c r="E1622" s="46" t="s">
        <v>1298</v>
      </c>
      <c r="F1622" s="46" t="s">
        <v>21</v>
      </c>
      <c r="G1622" s="46" t="s">
        <v>1299</v>
      </c>
      <c r="H1622" s="46" t="s">
        <v>22</v>
      </c>
      <c r="I1622" s="46" t="s">
        <v>1300</v>
      </c>
      <c r="J1622" s="46" t="s">
        <v>1301</v>
      </c>
      <c r="K1622" s="46" t="s">
        <v>1302</v>
      </c>
      <c r="L1622" s="46" t="s">
        <v>1303</v>
      </c>
      <c r="M1622" s="46" t="s">
        <v>1304</v>
      </c>
      <c r="N1622" s="46" t="s">
        <v>1305</v>
      </c>
      <c r="O1622" s="46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>AVERAGEIFS(C$24:C$1598, $Q$24:$Q$1598, "*Fixed", $R$24:$R$1598, "plausible")</f>
        <v>76.909877675841074</v>
      </c>
      <c r="E1623" s="27">
        <f>AVERAGEIFS(D$24:D$1598, $Q$24:$Q$1598, "*Fixed", $R$24:$R$1598, "plausible")</f>
        <v>20.888012232415903</v>
      </c>
      <c r="F1623" s="27">
        <f>AVERAGEIFS(E$24:E$1598, $Q$24:$Q$1598, "*Fixed", $R$24:$R$1598, "plausible")</f>
        <v>7.0184097859327235</v>
      </c>
      <c r="G1623" s="27">
        <f>AVERAGEIFS(F$24:F$1598, $Q$24:$Q$1598, "*Fixed", $R$24:$R$1598, "plausible")</f>
        <v>15.693027522935763</v>
      </c>
      <c r="H1623" s="27">
        <f>AVERAGEIFS(G$24:G$1598, $Q$24:$Q$1598, "*Fixed", $R$24:$R$1598, "plausible")</f>
        <v>4.3204892966360831</v>
      </c>
      <c r="I1623" s="27">
        <f>AVERAGEIFS(H$24:H$1598, $Q$24:$Q$1598, "*Fixed", $R$24:$R$1598, "plausible")</f>
        <v>11.339113149847099</v>
      </c>
      <c r="J1623" s="27">
        <f>AVERAGEIFS(I$24:I$1598, $Q$24:$Q$1598, "*Fixed", $R$24:$R$1598, "plausible")</f>
        <v>36.580825688073354</v>
      </c>
      <c r="K1623" s="27">
        <f>AVERAGEIFS(J$24:J$1598, $Q$24:$Q$1598, "*Fixed", $R$24:$R$1598, "plausible")</f>
        <v>61.533333333333381</v>
      </c>
      <c r="L1623" s="27">
        <f>AVERAGEIFS(K$24:K$1598, $Q$24:$Q$1598, "*Fixed", $R$24:$R$1598, "plausible")</f>
        <v>0.36735168195718676</v>
      </c>
      <c r="M1623" s="27">
        <f>AVERAGEIFS(L$24:L$1598, $Q$24:$Q$1598, "*Fixed", $R$24:$R$1598, "plausible")</f>
        <v>5.6830581039755364E-2</v>
      </c>
      <c r="N1623" s="27">
        <f>AVERAGEIFS(M$24:M$1598, $Q$24:$Q$1598, "*Fixed", $R$24:$R$1598, "plausible")</f>
        <v>58.4968318042813</v>
      </c>
      <c r="O1623" s="27">
        <f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>AVERAGEIFS(D$24:D$1598, $Q$24:$Q$1598, "*Repaired", $R$24:$R$1598, "plausible")</f>
        <v>20.590948012232403</v>
      </c>
      <c r="F1624" s="27">
        <f>AVERAGEIFS(E$24:E$1598, $Q$24:$Q$1598, "*Repaired", $R$24:$R$1598, "plausible")</f>
        <v>6.9613149847094808</v>
      </c>
      <c r="G1624" s="27">
        <f>AVERAGEIFS(F$24:F$1598, $Q$24:$Q$1598, "*Repaired", $R$24:$R$1598, "plausible")</f>
        <v>15.562079510703374</v>
      </c>
      <c r="H1624" s="27">
        <f>AVERAGEIFS(G$24:G$1598, $Q$24:$Q$1598, "*Repaired", $R$24:$R$1598, "plausible")</f>
        <v>4.2836697247706406</v>
      </c>
      <c r="I1624" s="27">
        <f>AVERAGEIFS(H$24:H$1598, $Q$24:$Q$1598, "*Repaired", $R$24:$R$1598, "plausible")</f>
        <v>11.24516819571865</v>
      </c>
      <c r="J1624" s="27">
        <f>AVERAGEIFS(I$24:I$1598, $Q$24:$Q$1598, "*Repaired", $R$24:$R$1598, "plausible")</f>
        <v>36.153119266055043</v>
      </c>
      <c r="K1624" s="27">
        <f>AVERAGEIFS(J$24:J$1598, $Q$24:$Q$1598, "*Repaired", $R$24:$R$1598, "plausible")</f>
        <v>60.746788990825642</v>
      </c>
      <c r="L1624" s="27">
        <f>AVERAGEIFS(K$24:K$1598, $Q$24:$Q$1598, "*Repaired", $R$24:$R$1598, "plausible")</f>
        <v>0.36188073394495435</v>
      </c>
      <c r="M1624" s="27">
        <f>AVERAGEIFS(L$24:L$1598, $Q$24:$Q$1598, "*Repaired", $R$24:$R$1598, "plausible")</f>
        <v>5.6934556574923557E-2</v>
      </c>
      <c r="N1624" s="27">
        <f>AVERAGEIFS(M$24:M$1598, $Q$24:$Q$1598, "*Repaired", $R$24:$R$1598, "plausible")</f>
        <v>58.112550458715553</v>
      </c>
      <c r="O1624" s="27">
        <f>AVERAGEIFS(N$24:N$1598, $Q$24:$Q$1598, "*Repaired", $R$24:$R$1598, "plausible")</f>
        <v>3.2283455657492364</v>
      </c>
    </row>
    <row r="1625" spans="1:33" customFormat="1" ht="15" x14ac:dyDescent="0.35">
      <c r="A1625" s="37" t="s">
        <v>1698</v>
      </c>
      <c r="C1625" s="37" t="s">
        <v>1693</v>
      </c>
      <c r="D1625" s="37" t="s">
        <v>1693</v>
      </c>
      <c r="E1625" s="37" t="s">
        <v>1693</v>
      </c>
      <c r="F1625" s="37" t="s">
        <v>1693</v>
      </c>
      <c r="G1625" s="37" t="s">
        <v>1693</v>
      </c>
      <c r="H1625" s="37" t="s">
        <v>1693</v>
      </c>
      <c r="I1625" s="37" t="s">
        <v>1693</v>
      </c>
      <c r="J1625" s="37" t="s">
        <v>1693</v>
      </c>
      <c r="K1625" s="37" t="s">
        <v>1693</v>
      </c>
      <c r="L1625" s="37" t="s">
        <v>1693</v>
      </c>
      <c r="N1625" s="37" t="s">
        <v>1693</v>
      </c>
      <c r="O1625" s="37" t="s">
        <v>1693</v>
      </c>
    </row>
    <row r="1626" spans="1:33" ht="15" x14ac:dyDescent="0.35"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/>
    </row>
    <row r="1627" spans="1:33" ht="17.399999999999999" customHeight="1" x14ac:dyDescent="0.35">
      <c r="A1627" s="33" t="s">
        <v>1715</v>
      </c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S1627" s="44" t="s">
        <v>1699</v>
      </c>
      <c r="T1627" s="44"/>
      <c r="U1627" s="44"/>
      <c r="V1627" s="44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  <c r="AG1627"/>
    </row>
    <row r="1628" spans="1:33" ht="1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33" ht="31.2" customHeight="1" x14ac:dyDescent="0.35">
      <c r="B1629" s="14" t="s">
        <v>1335</v>
      </c>
      <c r="C1629" s="14" t="s">
        <v>1296</v>
      </c>
      <c r="D1629" s="14" t="s">
        <v>1297</v>
      </c>
      <c r="E1629" s="14" t="s">
        <v>1298</v>
      </c>
      <c r="F1629" s="14" t="s">
        <v>21</v>
      </c>
      <c r="G1629" s="14" t="s">
        <v>1299</v>
      </c>
      <c r="H1629" s="14" t="s">
        <v>22</v>
      </c>
      <c r="I1629" s="14" t="s">
        <v>1300</v>
      </c>
      <c r="J1629" s="14" t="s">
        <v>1301</v>
      </c>
      <c r="K1629" s="14" t="s">
        <v>1302</v>
      </c>
      <c r="L1629" s="14" t="s">
        <v>1303</v>
      </c>
      <c r="M1629" s="14" t="s">
        <v>1304</v>
      </c>
      <c r="N1629" s="14" t="s">
        <v>1305</v>
      </c>
      <c r="O1629" s="14" t="s">
        <v>1306</v>
      </c>
      <c r="S1629" s="14" t="s">
        <v>1335</v>
      </c>
      <c r="T1629" s="14" t="s">
        <v>1296</v>
      </c>
      <c r="U1629" s="14" t="s">
        <v>1297</v>
      </c>
      <c r="V1629" s="14" t="s">
        <v>1298</v>
      </c>
      <c r="W1629" s="14" t="s">
        <v>21</v>
      </c>
      <c r="X1629" s="14" t="s">
        <v>1299</v>
      </c>
      <c r="Y1629" s="14" t="s">
        <v>22</v>
      </c>
      <c r="Z1629" s="14" t="s">
        <v>1300</v>
      </c>
      <c r="AA1629" s="14" t="s">
        <v>1301</v>
      </c>
      <c r="AB1629" s="14" t="s">
        <v>1302</v>
      </c>
      <c r="AC1629" s="14" t="s">
        <v>1303</v>
      </c>
      <c r="AD1629" s="14" t="s">
        <v>1304</v>
      </c>
      <c r="AE1629" s="14" t="s">
        <v>1305</v>
      </c>
      <c r="AF1629" s="14" t="s">
        <v>1306</v>
      </c>
    </row>
    <row r="1630" spans="1:33" x14ac:dyDescent="0.35">
      <c r="A1630" s="1">
        <f>COUNTIFS($S$549:$S$1073, "=1", $S$1074:$S$1598, "=1")</f>
        <v>225</v>
      </c>
      <c r="B1630" s="1" t="s">
        <v>1703</v>
      </c>
      <c r="C1630" s="27">
        <f>AVERAGEIFS(B$549:B$1073, $S$549:$S$1073, "=1", $S$1074:$S$1598, "=1")</f>
        <v>3.781022222222223</v>
      </c>
      <c r="D1630" s="27">
        <f>AVERAGEIFS(C$549:C$1073, $S$549:$S$1073, "=1", $S$1074:$S$1598, "=1")</f>
        <v>78.341244444444555</v>
      </c>
      <c r="E1630" s="27">
        <f>AVERAGEIFS(D$549:D$1073, $S$549:$S$1073, "=1", $S$1074:$S$1598, "=1")</f>
        <v>17.151333333333341</v>
      </c>
      <c r="F1630" s="27">
        <f>AVERAGEIFS(E$549:E$1073, $S$549:$S$1073, "=1", $S$1074:$S$1598, "=1")</f>
        <v>6.3301333333333316</v>
      </c>
      <c r="G1630" s="27">
        <f>AVERAGEIFS(F$549:F$1073, $S$549:$S$1073, "=1", $S$1074:$S$1598, "=1")</f>
        <v>12.818711111111112</v>
      </c>
      <c r="H1630" s="27">
        <f>AVERAGEIFS(G$549:G$1073, $S$549:$S$1073, "=1", $S$1074:$S$1598, "=1")</f>
        <v>3.9085777777777779</v>
      </c>
      <c r="I1630" s="27">
        <f>AVERAGEIFS(H$549:H$1073, $S$549:$S$1073, "=1", $S$1074:$S$1598, "=1")</f>
        <v>10.238577777777765</v>
      </c>
      <c r="J1630" s="27">
        <f>AVERAGEIFS(I$549:I$1073, $S$549:$S$1073, "=1", $S$1074:$S$1598, "=1")</f>
        <v>29.96999999999997</v>
      </c>
      <c r="K1630" s="27">
        <f>AVERAGEIFS(J$549:J$1073, $S$549:$S$1073, "=1", $S$1074:$S$1598, "=1")</f>
        <v>52.366666666666667</v>
      </c>
      <c r="L1630" s="27">
        <f>AVERAGEIFS(K$549:K$1073, $S$549:$S$1073, "=1", $S$1074:$S$1598, "=1")</f>
        <v>0.42130666666666677</v>
      </c>
      <c r="M1630" s="27">
        <f>AVERAGEIFS(L$549:L$1073, $S$549:$S$1073, "=1", $S$1074:$S$1598, "=1")</f>
        <v>5.0608000000000014E-2</v>
      </c>
      <c r="N1630" s="27">
        <f>AVERAGEIFS(M$549:M$1073, $S$549:$S$1073, "=1", $S$1074:$S$1598, "=1")</f>
        <v>44.244133333333345</v>
      </c>
      <c r="O1630" s="27">
        <f>AVERAGEIFS(N$549:N$1073, $S$549:$S$1073, "=1", $S$1074:$S$1598, "=1")</f>
        <v>2.4579066666666662</v>
      </c>
      <c r="R1630" s="1">
        <f>COUNTIFS($Y$1074:$Y$1598, "YES")</f>
        <v>114</v>
      </c>
      <c r="S1630" s="1" t="s">
        <v>1704</v>
      </c>
      <c r="T1630" s="27">
        <f>AVERAGEIFS(B$549:B$1073, $Y$1074:$Y$1598, "YES")</f>
        <v>3.4281578947368412</v>
      </c>
      <c r="U1630" s="27">
        <f t="shared" ref="U1630:AF1630" si="0">AVERAGEIFS(C$549:C$1073, $Y$1074:$Y$1598, "YES")</f>
        <v>79.279649122806973</v>
      </c>
      <c r="V1630" s="27">
        <f t="shared" si="0"/>
        <v>16.597543859649122</v>
      </c>
      <c r="W1630" s="27">
        <f t="shared" si="0"/>
        <v>6.1499999999999995</v>
      </c>
      <c r="X1630" s="27">
        <f t="shared" si="0"/>
        <v>12.170000000000005</v>
      </c>
      <c r="Y1630" s="27">
        <f t="shared" si="0"/>
        <v>3.8307017543859656</v>
      </c>
      <c r="Z1630" s="27">
        <f t="shared" si="0"/>
        <v>9.9807894736842115</v>
      </c>
      <c r="AA1630" s="27">
        <f t="shared" si="0"/>
        <v>28.767368421052648</v>
      </c>
      <c r="AB1630" s="27">
        <f t="shared" si="0"/>
        <v>50.687280701754389</v>
      </c>
      <c r="AC1630" s="27">
        <f t="shared" si="0"/>
        <v>0.42929824561403501</v>
      </c>
      <c r="AD1630" s="27">
        <f t="shared" si="0"/>
        <v>3.9647368421052619E-2</v>
      </c>
      <c r="AE1630" s="27">
        <f t="shared" si="0"/>
        <v>33.905701754385966</v>
      </c>
      <c r="AF1630" s="27">
        <f t="shared" si="0"/>
        <v>1.8834912280701757</v>
      </c>
    </row>
    <row r="1631" spans="1:33" x14ac:dyDescent="0.35">
      <c r="A1631" s="1">
        <f>COUNTIFS($S$549:$S$1073, "=1", $S$1074:$S$1598, "=1")</f>
        <v>225</v>
      </c>
      <c r="B1631" s="1" t="s">
        <v>1705</v>
      </c>
      <c r="C1631" s="27">
        <f>AVERAGEIFS(B$1074:B$1598, $S$549:$S$1073, "=1", $S$1074:$S$1598, "=1")</f>
        <v>3.7904444444444447</v>
      </c>
      <c r="D1631" s="27">
        <f>AVERAGEIFS(C$1074:C$1598, $S$549:$S$1073, "=1", $S$1074:$S$1598, "=1")</f>
        <v>78.257600000000039</v>
      </c>
      <c r="E1631" s="27">
        <f>AVERAGEIFS(D$1074:D$1598, $S$549:$S$1073, "=1", $S$1074:$S$1598, "=1")</f>
        <v>17.166933333333333</v>
      </c>
      <c r="F1631" s="27">
        <f>AVERAGEIFS(E$1074:E$1598, $S$549:$S$1073, "=1", $S$1074:$S$1598, "=1")</f>
        <v>6.3368444444444414</v>
      </c>
      <c r="G1631" s="27">
        <f>AVERAGEIFS(F$1074:F$1598, $S$549:$S$1073, "=1", $S$1074:$S$1598, "=1")</f>
        <v>12.88355555555556</v>
      </c>
      <c r="H1631" s="27">
        <f>AVERAGEIFS(G$1074:G$1598, $S$549:$S$1073, "=1", $S$1074:$S$1598, "=1")</f>
        <v>3.9263111111111129</v>
      </c>
      <c r="I1631" s="27">
        <f>AVERAGEIFS(H$1074:H$1598, $S$549:$S$1073, "=1", $S$1074:$S$1598, "=1")</f>
        <v>10.263244444444437</v>
      </c>
      <c r="J1631" s="27">
        <f>AVERAGEIFS(I$1074:I$1598, $S$549:$S$1073, "=1", $S$1074:$S$1598, "=1")</f>
        <v>30.050711111111085</v>
      </c>
      <c r="K1631" s="27">
        <f>AVERAGEIFS(J$1074:J$1598, $S$549:$S$1073, "=1", $S$1074:$S$1598, "=1")</f>
        <v>52.476088888888846</v>
      </c>
      <c r="L1631" s="27">
        <f>AVERAGEIFS(K$1074:K$1598, $S$549:$S$1073, "=1", $S$1074:$S$1598, "=1")</f>
        <v>0.41940444444444458</v>
      </c>
      <c r="M1631" s="27">
        <f>AVERAGEIFS(L$1074:L$1598, $S$549:$S$1073, "=1", $S$1074:$S$1598, "=1")</f>
        <v>5.1430222222222252E-2</v>
      </c>
      <c r="N1631" s="27">
        <f>AVERAGEIFS(M$1074:M$1598, $S$549:$S$1073, "=1", $S$1074:$S$1598, "=1")</f>
        <v>44.282888888888913</v>
      </c>
      <c r="O1631" s="27">
        <f>AVERAGEIFS(N$1074:N$1598, $S$549:$S$1073, "=1", $S$1074:$S$1598, "=1")</f>
        <v>2.4600622222222217</v>
      </c>
      <c r="R1631" s="1">
        <f>COUNTIFS($Y$1074:$Y$1598, "YES")</f>
        <v>114</v>
      </c>
      <c r="S1631" s="1" t="s">
        <v>1706</v>
      </c>
      <c r="T1631" s="27">
        <f>AVERAGEIFS(B$1074:B$1598, $Y$1074:$Y$1598, "YES")</f>
        <v>3.4238596491228055</v>
      </c>
      <c r="U1631" s="27">
        <f t="shared" ref="U1631:AF1631" si="1">AVERAGEIFS(C$1074:C$1598, $Y$1074:$Y$1598, "YES")</f>
        <v>79.279736842105237</v>
      </c>
      <c r="V1631" s="27">
        <f t="shared" si="1"/>
        <v>16.577543859649118</v>
      </c>
      <c r="W1631" s="27">
        <f t="shared" si="1"/>
        <v>6.1522807017543837</v>
      </c>
      <c r="X1631" s="27">
        <f t="shared" si="1"/>
        <v>12.158070175438603</v>
      </c>
      <c r="Y1631" s="27">
        <f t="shared" si="1"/>
        <v>3.8316666666666679</v>
      </c>
      <c r="Z1631" s="27">
        <f t="shared" si="1"/>
        <v>9.9837719298245595</v>
      </c>
      <c r="AA1631" s="27">
        <f t="shared" si="1"/>
        <v>28.735526315789492</v>
      </c>
      <c r="AB1631" s="27">
        <f t="shared" si="1"/>
        <v>50.677192982456148</v>
      </c>
      <c r="AC1631" s="27">
        <f t="shared" si="1"/>
        <v>0.43476315789473674</v>
      </c>
      <c r="AD1631" s="27">
        <f t="shared" si="1"/>
        <v>3.9892982456140334E-2</v>
      </c>
      <c r="AE1631" s="27">
        <f t="shared" si="1"/>
        <v>34.169122807017544</v>
      </c>
      <c r="AF1631" s="27">
        <f t="shared" si="1"/>
        <v>1.8981578947368423</v>
      </c>
    </row>
    <row r="1632" spans="1:33" x14ac:dyDescent="0.35">
      <c r="A1632" s="37" t="s">
        <v>1698</v>
      </c>
      <c r="C1632" s="45"/>
      <c r="D1632" s="47" t="s">
        <v>1693</v>
      </c>
      <c r="E1632" s="45"/>
      <c r="F1632" s="47" t="s">
        <v>1693</v>
      </c>
      <c r="G1632" s="45"/>
      <c r="H1632" s="47" t="s">
        <v>1693</v>
      </c>
      <c r="I1632" s="47" t="s">
        <v>1693</v>
      </c>
      <c r="J1632" s="45"/>
      <c r="K1632" s="47" t="s">
        <v>1693</v>
      </c>
      <c r="L1632" s="45"/>
      <c r="M1632" s="45"/>
      <c r="N1632" s="45"/>
      <c r="O1632" s="45"/>
      <c r="R1632" s="37" t="s">
        <v>1698</v>
      </c>
      <c r="T1632" s="47" t="s">
        <v>1693</v>
      </c>
      <c r="U1632" s="45"/>
      <c r="V1632" s="47" t="s">
        <v>1693</v>
      </c>
      <c r="W1632" s="45"/>
      <c r="X1632" s="45"/>
      <c r="Y1632" s="45"/>
      <c r="Z1632" s="45"/>
      <c r="AA1632" s="47" t="s">
        <v>1693</v>
      </c>
      <c r="AB1632" s="45"/>
      <c r="AC1632" s="45"/>
      <c r="AD1632" s="45"/>
      <c r="AE1632" s="45"/>
      <c r="AF1632" s="45"/>
    </row>
    <row r="1633" spans="1:32" ht="31.2" customHeight="1" x14ac:dyDescent="0.35">
      <c r="B1633" s="14" t="s">
        <v>1335</v>
      </c>
      <c r="C1633" s="46" t="s">
        <v>1296</v>
      </c>
      <c r="D1633" s="46" t="s">
        <v>1297</v>
      </c>
      <c r="E1633" s="46" t="s">
        <v>1298</v>
      </c>
      <c r="F1633" s="46" t="s">
        <v>21</v>
      </c>
      <c r="G1633" s="46" t="s">
        <v>1299</v>
      </c>
      <c r="H1633" s="46" t="s">
        <v>22</v>
      </c>
      <c r="I1633" s="46" t="s">
        <v>1300</v>
      </c>
      <c r="J1633" s="46" t="s">
        <v>1301</v>
      </c>
      <c r="K1633" s="46" t="s">
        <v>1302</v>
      </c>
      <c r="L1633" s="46" t="s">
        <v>1303</v>
      </c>
      <c r="M1633" s="46" t="s">
        <v>1304</v>
      </c>
      <c r="N1633" s="46" t="s">
        <v>1305</v>
      </c>
      <c r="O1633" s="46" t="s">
        <v>1306</v>
      </c>
      <c r="S1633" s="14" t="s">
        <v>1335</v>
      </c>
      <c r="T1633" s="46" t="s">
        <v>1296</v>
      </c>
      <c r="U1633" s="46" t="s">
        <v>1297</v>
      </c>
      <c r="V1633" s="46" t="s">
        <v>1298</v>
      </c>
      <c r="W1633" s="46" t="s">
        <v>21</v>
      </c>
      <c r="X1633" s="46" t="s">
        <v>1299</v>
      </c>
      <c r="Y1633" s="46" t="s">
        <v>22</v>
      </c>
      <c r="Z1633" s="46" t="s">
        <v>1300</v>
      </c>
      <c r="AA1633" s="46" t="s">
        <v>1301</v>
      </c>
      <c r="AB1633" s="46" t="s">
        <v>1302</v>
      </c>
      <c r="AC1633" s="46" t="s">
        <v>1303</v>
      </c>
      <c r="AD1633" s="46" t="s">
        <v>1304</v>
      </c>
      <c r="AE1633" s="46" t="s">
        <v>1305</v>
      </c>
      <c r="AF1633" s="46" t="s">
        <v>1306</v>
      </c>
    </row>
    <row r="1634" spans="1:32" x14ac:dyDescent="0.35">
      <c r="A1634" s="1">
        <f>COUNTIFS($S$549:$S$1073, "&gt;1", $S$1074:$S$1598, "&gt;1")</f>
        <v>62</v>
      </c>
      <c r="B1634" s="1" t="s">
        <v>1707</v>
      </c>
      <c r="C1634" s="27">
        <f>AVERAGEIFS(B$549:B$1073, $S$549:$S$1073, "&gt;1", $S$1074:$S$1598, "&gt;1")</f>
        <v>4.0487096774193549</v>
      </c>
      <c r="D1634" s="27">
        <f>AVERAGEIFS(C$549:C$1073, $S$549:$S$1073, "&gt;1", $S$1074:$S$1598, "&gt;1")</f>
        <v>77.940967741935467</v>
      </c>
      <c r="E1634" s="27">
        <f>AVERAGEIFS(D$549:D$1073, $S$549:$S$1073, "&gt;1", $S$1074:$S$1598, "&gt;1")</f>
        <v>21.405483870967739</v>
      </c>
      <c r="F1634" s="27">
        <f>AVERAGEIFS(E$549:E$1073, $S$549:$S$1073, "&gt;1", $S$1074:$S$1598, "&gt;1")</f>
        <v>6.9729032258064532</v>
      </c>
      <c r="G1634" s="27">
        <f>AVERAGEIFS(F$549:F$1073, $S$549:$S$1073, "&gt;1", $S$1074:$S$1598, "&gt;1")</f>
        <v>15.855806451612908</v>
      </c>
      <c r="H1634" s="27">
        <f>AVERAGEIFS(G$549:G$1073, $S$549:$S$1073, "&gt;1", $S$1074:$S$1598, "&gt;1")</f>
        <v>4.2169354838709685</v>
      </c>
      <c r="I1634" s="27">
        <f>AVERAGEIFS(H$549:H$1073, $S$549:$S$1073, "&gt;1", $S$1074:$S$1598, "&gt;1")</f>
        <v>11.190806451612904</v>
      </c>
      <c r="J1634" s="27">
        <f>AVERAGEIFS(I$549:I$1073, $S$549:$S$1073, "&gt;1", $S$1074:$S$1598, "&gt;1")</f>
        <v>37.26064516129032</v>
      </c>
      <c r="K1634" s="27">
        <f>AVERAGEIFS(J$549:J$1073, $S$549:$S$1073, "&gt;1", $S$1074:$S$1598, "&gt;1")</f>
        <v>61.217903225806459</v>
      </c>
      <c r="L1634" s="27">
        <f>AVERAGEIFS(K$549:K$1073, $S$549:$S$1073, "&gt;1", $S$1074:$S$1598, "&gt;1")</f>
        <v>0.37467741935483867</v>
      </c>
      <c r="M1634" s="27">
        <f>AVERAGEIFS(L$549:L$1073, $S$549:$S$1073, "&gt;1", $S$1074:$S$1598, "&gt;1")</f>
        <v>5.2287096774193534E-2</v>
      </c>
      <c r="N1634" s="27">
        <f>AVERAGEIFS(M$549:M$1073, $S$549:$S$1073, "&gt;1", $S$1074:$S$1598, "&gt;1")</f>
        <v>55.909629032258081</v>
      </c>
      <c r="O1634" s="27">
        <f>AVERAGEIFS(N$549:N$1073, $S$549:$S$1073, "&gt;1", $S$1074:$S$1598, "&gt;1")</f>
        <v>3.1062548387096771</v>
      </c>
      <c r="R1634" s="1">
        <f>COUNTIFS($Z$1074:$Z$1598, "YES")</f>
        <v>24</v>
      </c>
      <c r="S1634" s="1" t="s">
        <v>1708</v>
      </c>
      <c r="T1634" s="27">
        <f>AVERAGEIFS(B$549:B$1073, $Z$1074:$Z$1598, "YES")</f>
        <v>4.0558333333333332</v>
      </c>
      <c r="U1634" s="27">
        <f t="shared" ref="U1634:AF1634" si="2">AVERAGEIFS(C$549:C$1073, $Z$1074:$Z$1598, "YES")</f>
        <v>77.809166666666655</v>
      </c>
      <c r="V1634" s="27">
        <f t="shared" si="2"/>
        <v>14.303333333333335</v>
      </c>
      <c r="W1634" s="27">
        <f t="shared" si="2"/>
        <v>5.6466666666666674</v>
      </c>
      <c r="X1634" s="27">
        <f t="shared" si="2"/>
        <v>11.672083333333333</v>
      </c>
      <c r="Y1634" s="27">
        <f t="shared" si="2"/>
        <v>3.9104166666666664</v>
      </c>
      <c r="Z1634" s="27">
        <f t="shared" si="2"/>
        <v>9.5583333333333318</v>
      </c>
      <c r="AA1634" s="27">
        <f t="shared" si="2"/>
        <v>25.977499999999996</v>
      </c>
      <c r="AB1634" s="27">
        <f t="shared" si="2"/>
        <v>47.072499999999998</v>
      </c>
      <c r="AC1634" s="27">
        <f t="shared" si="2"/>
        <v>0.27079166666666665</v>
      </c>
      <c r="AD1634" s="27">
        <f t="shared" si="2"/>
        <v>5.9041666666666666E-2</v>
      </c>
      <c r="AE1634" s="27">
        <f t="shared" si="2"/>
        <v>4.9662499999999996</v>
      </c>
      <c r="AF1634" s="27">
        <f t="shared" si="2"/>
        <v>0.27637499999999998</v>
      </c>
    </row>
    <row r="1635" spans="1:32" x14ac:dyDescent="0.35">
      <c r="A1635" s="1">
        <f>COUNTIFS($S$549:$S$1073, "&gt;1", $S$1074:$S$1598, "&gt;1")</f>
        <v>62</v>
      </c>
      <c r="B1635" s="1" t="s">
        <v>1709</v>
      </c>
      <c r="C1635" s="27">
        <f>AVERAGEIFS(B$1074:B$1598, $S$549:$S$1073, "&gt;1", $S$1074:$S$1598, "&gt;1")</f>
        <v>4.0730645161290333</v>
      </c>
      <c r="D1635" s="27">
        <f>AVERAGEIFS(C$1074:C$1598, $S$549:$S$1073, "&gt;1", $S$1074:$S$1598, "&gt;1")</f>
        <v>77.757580645161269</v>
      </c>
      <c r="E1635" s="27">
        <f>AVERAGEIFS(D$1074:D$1598, $S$549:$S$1073, "&gt;1", $S$1074:$S$1598, "&gt;1")</f>
        <v>21.26193548387096</v>
      </c>
      <c r="F1635" s="27">
        <f>AVERAGEIFS(E$1074:E$1598, $S$549:$S$1073, "&gt;1", $S$1074:$S$1598, "&gt;1")</f>
        <v>6.9777419354838726</v>
      </c>
      <c r="G1635" s="27">
        <f>AVERAGEIFS(F$1074:F$1598, $S$549:$S$1073, "&gt;1", $S$1074:$S$1598, "&gt;1")</f>
        <v>15.834193548387097</v>
      </c>
      <c r="H1635" s="27">
        <f>AVERAGEIFS(G$1074:G$1598, $S$549:$S$1073, "&gt;1", $S$1074:$S$1598, "&gt;1")</f>
        <v>4.2558064516129033</v>
      </c>
      <c r="I1635" s="27">
        <f>AVERAGEIFS(H$1074:H$1598, $S$549:$S$1073, "&gt;1", $S$1074:$S$1598, "&gt;1")</f>
        <v>11.234193548387095</v>
      </c>
      <c r="J1635" s="27">
        <f>AVERAGEIFS(I$1074:I$1598, $S$549:$S$1073, "&gt;1", $S$1074:$S$1598, "&gt;1")</f>
        <v>37.095322580645167</v>
      </c>
      <c r="K1635" s="27">
        <f>AVERAGEIFS(J$1074:J$1598, $S$549:$S$1073, "&gt;1", $S$1074:$S$1598, "&gt;1")</f>
        <v>61.194677419354832</v>
      </c>
      <c r="L1635" s="27">
        <f>AVERAGEIFS(K$1074:K$1598, $S$549:$S$1073, "&gt;1", $S$1074:$S$1598, "&gt;1")</f>
        <v>0.40354838709677415</v>
      </c>
      <c r="M1635" s="27">
        <f>AVERAGEIFS(L$1074:L$1598, $S$549:$S$1073, "&gt;1", $S$1074:$S$1598, "&gt;1")</f>
        <v>5.7916129032258054E-2</v>
      </c>
      <c r="N1635" s="27">
        <f>AVERAGEIFS(M$1074:M$1598, $S$549:$S$1073, "&gt;1", $S$1074:$S$1598, "&gt;1")</f>
        <v>56.821080645161302</v>
      </c>
      <c r="O1635" s="27">
        <f>AVERAGEIFS(N$1074:N$1598, $S$549:$S$1073, "&gt;1", $S$1074:$S$1598, "&gt;1")</f>
        <v>3.1567387096774184</v>
      </c>
      <c r="R1635" s="1">
        <f>COUNTIFS($Z$1074:$Z$1598, "YES")</f>
        <v>24</v>
      </c>
      <c r="S1635" s="1" t="s">
        <v>1710</v>
      </c>
      <c r="T1635" s="27">
        <f>AVERAGEIFS(B$1074:B$1598, $Z$1074:$Z$1598, "YES")</f>
        <v>4.0604166666666677</v>
      </c>
      <c r="U1635" s="27">
        <f t="shared" ref="U1635:AF1635" si="3">AVERAGEIFS(C$1074:C$1598, $Z$1074:$Z$1598, "YES")</f>
        <v>77.858333333333334</v>
      </c>
      <c r="V1635" s="27">
        <f t="shared" si="3"/>
        <v>14.424583333333336</v>
      </c>
      <c r="W1635" s="27">
        <f t="shared" si="3"/>
        <v>5.649166666666666</v>
      </c>
      <c r="X1635" s="27">
        <f t="shared" si="3"/>
        <v>11.755416666666664</v>
      </c>
      <c r="Y1635" s="27">
        <f t="shared" si="3"/>
        <v>3.8837499999999991</v>
      </c>
      <c r="Z1635" s="27">
        <f t="shared" si="3"/>
        <v>9.5337499999999977</v>
      </c>
      <c r="AA1635" s="27">
        <f t="shared" si="3"/>
        <v>26.182083333333335</v>
      </c>
      <c r="AB1635" s="27">
        <f t="shared" si="3"/>
        <v>47.035416666666663</v>
      </c>
      <c r="AC1635" s="27">
        <f t="shared" si="3"/>
        <v>0.26383333333333331</v>
      </c>
      <c r="AD1635" s="27">
        <f t="shared" si="3"/>
        <v>5.8958333333333335E-2</v>
      </c>
      <c r="AE1635" s="27">
        <f t="shared" si="3"/>
        <v>4.8299999999999992</v>
      </c>
      <c r="AF1635" s="27">
        <f t="shared" si="3"/>
        <v>0.26887499999999998</v>
      </c>
    </row>
    <row r="1636" spans="1:32" x14ac:dyDescent="0.35">
      <c r="A1636" s="37" t="s">
        <v>1698</v>
      </c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47" t="s">
        <v>1693</v>
      </c>
      <c r="N1636" s="27"/>
      <c r="O1636" s="27"/>
      <c r="R1636" s="37" t="s">
        <v>1698</v>
      </c>
      <c r="T1636" s="47"/>
      <c r="U1636" s="47"/>
      <c r="V1636" s="47"/>
      <c r="W1636" s="47"/>
      <c r="X1636" s="47"/>
      <c r="Y1636" s="47" t="s">
        <v>1693</v>
      </c>
      <c r="Z1636" s="47"/>
      <c r="AA1636" s="47"/>
      <c r="AB1636" s="47"/>
      <c r="AC1636" s="47"/>
      <c r="AD1636" s="47"/>
      <c r="AE1636" s="27"/>
      <c r="AF1636" s="27"/>
    </row>
    <row r="1637" spans="1:32" x14ac:dyDescent="0.35"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</row>
    <row r="1638" spans="1:32" ht="33.6" customHeight="1" x14ac:dyDescent="0.35">
      <c r="B1638" s="14" t="s">
        <v>1335</v>
      </c>
      <c r="C1638" s="46" t="s">
        <v>1296</v>
      </c>
      <c r="D1638" s="46" t="s">
        <v>1297</v>
      </c>
      <c r="E1638" s="46" t="s">
        <v>1298</v>
      </c>
      <c r="F1638" s="46" t="s">
        <v>21</v>
      </c>
      <c r="G1638" s="46" t="s">
        <v>1299</v>
      </c>
      <c r="H1638" s="46" t="s">
        <v>22</v>
      </c>
      <c r="I1638" s="46" t="s">
        <v>1300</v>
      </c>
      <c r="J1638" s="46" t="s">
        <v>1301</v>
      </c>
      <c r="K1638" s="46" t="s">
        <v>1302</v>
      </c>
      <c r="L1638" s="46" t="s">
        <v>1303</v>
      </c>
      <c r="M1638" s="46" t="s">
        <v>1304</v>
      </c>
      <c r="N1638" s="46" t="s">
        <v>1305</v>
      </c>
      <c r="O1638" s="46" t="s">
        <v>1306</v>
      </c>
      <c r="S1638" s="14" t="s">
        <v>1335</v>
      </c>
      <c r="T1638" s="46" t="s">
        <v>1296</v>
      </c>
      <c r="U1638" s="46" t="s">
        <v>1297</v>
      </c>
      <c r="V1638" s="46" t="s">
        <v>1298</v>
      </c>
      <c r="W1638" s="46" t="s">
        <v>21</v>
      </c>
      <c r="X1638" s="46" t="s">
        <v>1299</v>
      </c>
      <c r="Y1638" s="46" t="s">
        <v>22</v>
      </c>
      <c r="Z1638" s="46" t="s">
        <v>1300</v>
      </c>
      <c r="AA1638" s="46" t="s">
        <v>1301</v>
      </c>
      <c r="AB1638" s="46" t="s">
        <v>1302</v>
      </c>
      <c r="AC1638" s="46" t="s">
        <v>1303</v>
      </c>
      <c r="AD1638" s="46" t="s">
        <v>1304</v>
      </c>
      <c r="AE1638" s="46" t="s">
        <v>1305</v>
      </c>
      <c r="AF1638" s="46" t="s">
        <v>1306</v>
      </c>
    </row>
    <row r="1639" spans="1:32" x14ac:dyDescent="0.35">
      <c r="A1639" s="1">
        <f>COUNTIFS($V$549:$V$1073, "=1", $V$1074:$V$1598, "=1")</f>
        <v>114</v>
      </c>
      <c r="B1639" s="1" t="s">
        <v>1694</v>
      </c>
      <c r="C1639" s="27">
        <f>AVERAGEIFS(B$549:B$1073, $V$549:$V$1073, "=1", $V$1074:$V$1598, "=1")</f>
        <v>3.4281578947368412</v>
      </c>
      <c r="D1639" s="27">
        <f>AVERAGEIFS(C$549:C$1073, $V$549:$V$1073, "=1", $V$1074:$V$1598, "=1")</f>
        <v>79.279649122806973</v>
      </c>
      <c r="E1639" s="27">
        <f>AVERAGEIFS(D$549:D$1073, $V$549:$V$1073, "=1", $V$1074:$V$1598, "=1")</f>
        <v>16.597543859649122</v>
      </c>
      <c r="F1639" s="27">
        <f>AVERAGEIFS(E$549:E$1073, $V$549:$V$1073, "=1", $V$1074:$V$1598, "=1")</f>
        <v>6.1499999999999995</v>
      </c>
      <c r="G1639" s="27">
        <f>AVERAGEIFS(F$549:F$1073, $V$549:$V$1073, "=1", $V$1074:$V$1598, "=1")</f>
        <v>12.170000000000005</v>
      </c>
      <c r="H1639" s="27">
        <f>AVERAGEIFS(G$549:G$1073, $V$549:$V$1073, "=1", $V$1074:$V$1598, "=1")</f>
        <v>3.8307017543859656</v>
      </c>
      <c r="I1639" s="27">
        <f>AVERAGEIFS(H$549:H$1073, $V$549:$V$1073, "=1", $V$1074:$V$1598, "=1")</f>
        <v>9.9807894736842115</v>
      </c>
      <c r="J1639" s="27">
        <f>AVERAGEIFS(I$549:I$1073, $V$549:$V$1073, "=1", $V$1074:$V$1598, "=1")</f>
        <v>28.767368421052648</v>
      </c>
      <c r="K1639" s="27">
        <f>AVERAGEIFS(J$549:J$1073, $V$549:$V$1073, "=1", $V$1074:$V$1598, "=1")</f>
        <v>50.687280701754389</v>
      </c>
      <c r="L1639" s="27">
        <f>AVERAGEIFS(K$549:K$1073, $V$549:$V$1073, "=1", $V$1074:$V$1598, "=1")</f>
        <v>0.42929824561403501</v>
      </c>
      <c r="M1639" s="27">
        <f>AVERAGEIFS(L$549:L$1073, $V$549:$V$1073, "=1", $V$1074:$V$1598, "=1")</f>
        <v>3.9647368421052619E-2</v>
      </c>
      <c r="N1639" s="27">
        <f>AVERAGEIFS(M$549:M$1073, $V$549:$V$1073, "=1", $V$1074:$V$1598, "=1")</f>
        <v>33.905701754385966</v>
      </c>
      <c r="O1639" s="27">
        <f>AVERAGEIFS(N$549:N$1073, $V$549:$V$1073, "=1", $V$1074:$V$1598, "=1")</f>
        <v>1.8834912280701757</v>
      </c>
      <c r="R1639" s="1">
        <f>COUNTIFS($AA$1074:$AA$1598, "YES")</f>
        <v>4</v>
      </c>
      <c r="S1639" s="1" t="s">
        <v>1711</v>
      </c>
      <c r="T1639" s="27">
        <f>AVERAGEIFS(B$549:B$1073, $AA$1074:$AA$1598, "YES")</f>
        <v>3.7649999999999997</v>
      </c>
      <c r="U1639" s="27">
        <f t="shared" ref="U1639:AF1639" si="4">AVERAGEIFS(C$549:C$1073, $AA$1074:$AA$1598, "YES")</f>
        <v>75.642499999999998</v>
      </c>
      <c r="V1639" s="27">
        <f t="shared" si="4"/>
        <v>15.4975</v>
      </c>
      <c r="W1639" s="27">
        <f t="shared" si="4"/>
        <v>6.4725000000000001</v>
      </c>
      <c r="X1639" s="27">
        <f t="shared" si="4"/>
        <v>10.8475</v>
      </c>
      <c r="Y1639" s="27">
        <f t="shared" si="4"/>
        <v>5.4524999999999997</v>
      </c>
      <c r="Z1639" s="27">
        <f t="shared" si="4"/>
        <v>11.9275</v>
      </c>
      <c r="AA1639" s="27">
        <f t="shared" si="4"/>
        <v>26.342499999999998</v>
      </c>
      <c r="AB1639" s="27">
        <f t="shared" si="4"/>
        <v>57.139999999999993</v>
      </c>
      <c r="AC1639" s="27">
        <f t="shared" si="4"/>
        <v>0.7037500000000001</v>
      </c>
      <c r="AD1639" s="27">
        <f t="shared" si="4"/>
        <v>6.7750000000000005E-2</v>
      </c>
      <c r="AE1639" s="27">
        <f t="shared" si="4"/>
        <v>27.912500000000001</v>
      </c>
      <c r="AF1639" s="27">
        <f t="shared" si="4"/>
        <v>1.5505</v>
      </c>
    </row>
    <row r="1640" spans="1:32" x14ac:dyDescent="0.35">
      <c r="A1640" s="1">
        <f>COUNTIFS($V$549:$V$1073, "=1", $V$1074:$V$1598, "=1")</f>
        <v>114</v>
      </c>
      <c r="B1640" s="1" t="s">
        <v>1695</v>
      </c>
      <c r="C1640" s="27">
        <f>AVERAGEIFS(B$1074:B$1598, $V$549:$V$1073, "=1", $V$1074:$V$1598, "=1")</f>
        <v>3.4238596491228055</v>
      </c>
      <c r="D1640" s="27">
        <f>AVERAGEIFS(C$1074:C$1598, $V$549:$V$1073, "=1", $V$1074:$V$1598, "=1")</f>
        <v>79.279736842105237</v>
      </c>
      <c r="E1640" s="27">
        <f>AVERAGEIFS(D$1074:D$1598, $V$549:$V$1073, "=1", $V$1074:$V$1598, "=1")</f>
        <v>16.577543859649118</v>
      </c>
      <c r="F1640" s="27">
        <f>AVERAGEIFS(E$1074:E$1598, $V$549:$V$1073, "=1", $V$1074:$V$1598, "=1")</f>
        <v>6.1522807017543837</v>
      </c>
      <c r="G1640" s="27">
        <f>AVERAGEIFS(F$1074:F$1598, $V$549:$V$1073, "=1", $V$1074:$V$1598, "=1")</f>
        <v>12.158070175438603</v>
      </c>
      <c r="H1640" s="27">
        <f>AVERAGEIFS(G$1074:G$1598, $V$549:$V$1073, "=1", $V$1074:$V$1598, "=1")</f>
        <v>3.8316666666666679</v>
      </c>
      <c r="I1640" s="27">
        <f>AVERAGEIFS(H$1074:H$1598, $V$549:$V$1073, "=1", $V$1074:$V$1598, "=1")</f>
        <v>9.9837719298245595</v>
      </c>
      <c r="J1640" s="27">
        <f>AVERAGEIFS(I$1074:I$1598, $V$549:$V$1073, "=1", $V$1074:$V$1598, "=1")</f>
        <v>28.735526315789492</v>
      </c>
      <c r="K1640" s="27">
        <f>AVERAGEIFS(J$1074:J$1598, $V$549:$V$1073, "=1", $V$1074:$V$1598, "=1")</f>
        <v>50.677192982456148</v>
      </c>
      <c r="L1640" s="27">
        <f>AVERAGEIFS(K$1074:K$1598, $V$549:$V$1073, "=1", $V$1074:$V$1598, "=1")</f>
        <v>0.43476315789473674</v>
      </c>
      <c r="M1640" s="27">
        <f>AVERAGEIFS(L$1074:L$1598, $V$549:$V$1073, "=1", $V$1074:$V$1598, "=1")</f>
        <v>3.9892982456140334E-2</v>
      </c>
      <c r="N1640" s="27">
        <f>AVERAGEIFS(M$1074:M$1598, $V$549:$V$1073, "=1", $V$1074:$V$1598, "=1")</f>
        <v>34.169122807017544</v>
      </c>
      <c r="O1640" s="27">
        <f>AVERAGEIFS(N$1074:N$1598, $V$549:$V$1073, "=1", $V$1074:$V$1598, "=1")</f>
        <v>1.8981578947368423</v>
      </c>
      <c r="R1640" s="1">
        <f>COUNTIFS($AA$1074:$AA$1598, "YES")</f>
        <v>4</v>
      </c>
      <c r="S1640" s="1" t="s">
        <v>1712</v>
      </c>
      <c r="T1640" s="27">
        <f>AVERAGEIFS(B$1074:B$1598, $AA$1074:$AA$1598, "YES")</f>
        <v>3.7675000000000001</v>
      </c>
      <c r="U1640" s="27">
        <f t="shared" ref="U1640:AF1640" si="5">AVERAGEIFS(C$1074:C$1598, $AA$1074:$AA$1598, "YES")</f>
        <v>75.637500000000003</v>
      </c>
      <c r="V1640" s="27">
        <f t="shared" si="5"/>
        <v>15.502500000000001</v>
      </c>
      <c r="W1640" s="27">
        <f t="shared" si="5"/>
        <v>6.4700000000000006</v>
      </c>
      <c r="X1640" s="27">
        <f t="shared" si="5"/>
        <v>10.85</v>
      </c>
      <c r="Y1640" s="27">
        <f t="shared" si="5"/>
        <v>5.4524999999999997</v>
      </c>
      <c r="Z1640" s="27">
        <f t="shared" si="5"/>
        <v>11.925000000000001</v>
      </c>
      <c r="AA1640" s="27">
        <f t="shared" si="5"/>
        <v>26.355</v>
      </c>
      <c r="AB1640" s="27">
        <f t="shared" si="5"/>
        <v>57.129999999999995</v>
      </c>
      <c r="AC1640" s="27">
        <f t="shared" si="5"/>
        <v>0.7037500000000001</v>
      </c>
      <c r="AD1640" s="27">
        <f t="shared" si="5"/>
        <v>6.7750000000000005E-2</v>
      </c>
      <c r="AE1640" s="27">
        <f t="shared" si="5"/>
        <v>27.912500000000001</v>
      </c>
      <c r="AF1640" s="27">
        <f t="shared" si="5"/>
        <v>1.5505</v>
      </c>
    </row>
    <row r="1641" spans="1:32" x14ac:dyDescent="0.35">
      <c r="A1641" s="37"/>
      <c r="C1641" s="47" t="s">
        <v>1693</v>
      </c>
      <c r="D1641" s="27"/>
      <c r="E1641" s="47" t="s">
        <v>1693</v>
      </c>
      <c r="F1641" s="27"/>
      <c r="G1641" s="27"/>
      <c r="H1641" s="27"/>
      <c r="I1641" s="27"/>
      <c r="J1641" s="47" t="s">
        <v>1720</v>
      </c>
      <c r="K1641" s="27"/>
      <c r="L1641" s="27"/>
      <c r="M1641" s="27"/>
      <c r="N1641" s="27"/>
      <c r="O1641" s="27"/>
      <c r="R1641" s="37" t="s">
        <v>1698</v>
      </c>
      <c r="T1641" s="45"/>
      <c r="U1641" s="45"/>
      <c r="V1641" s="45"/>
      <c r="W1641" s="45"/>
      <c r="X1641" s="45"/>
      <c r="Y1641" s="45"/>
      <c r="Z1641" s="45"/>
      <c r="AA1641" s="45"/>
      <c r="AB1641" s="45"/>
      <c r="AC1641" s="45"/>
      <c r="AD1641" s="45"/>
      <c r="AE1641" s="45"/>
      <c r="AF1641" s="45"/>
    </row>
    <row r="1642" spans="1:32" ht="32.4" customHeight="1" x14ac:dyDescent="0.35">
      <c r="B1642" s="14" t="s">
        <v>1335</v>
      </c>
      <c r="C1642" s="46" t="s">
        <v>1296</v>
      </c>
      <c r="D1642" s="46" t="s">
        <v>1297</v>
      </c>
      <c r="E1642" s="46" t="s">
        <v>1298</v>
      </c>
      <c r="F1642" s="46" t="s">
        <v>21</v>
      </c>
      <c r="G1642" s="46" t="s">
        <v>1299</v>
      </c>
      <c r="H1642" s="46" t="s">
        <v>22</v>
      </c>
      <c r="I1642" s="46" t="s">
        <v>1300</v>
      </c>
      <c r="J1642" s="46" t="s">
        <v>1301</v>
      </c>
      <c r="K1642" s="46" t="s">
        <v>1302</v>
      </c>
      <c r="L1642" s="46" t="s">
        <v>1303</v>
      </c>
      <c r="M1642" s="46" t="s">
        <v>1304</v>
      </c>
      <c r="N1642" s="46" t="s">
        <v>1305</v>
      </c>
      <c r="O1642" s="46" t="s">
        <v>1306</v>
      </c>
      <c r="S1642" s="14" t="s">
        <v>1335</v>
      </c>
      <c r="T1642" s="46" t="s">
        <v>1296</v>
      </c>
      <c r="U1642" s="46" t="s">
        <v>1297</v>
      </c>
      <c r="V1642" s="46" t="s">
        <v>1298</v>
      </c>
      <c r="W1642" s="46" t="s">
        <v>21</v>
      </c>
      <c r="X1642" s="46" t="s">
        <v>1299</v>
      </c>
      <c r="Y1642" s="46" t="s">
        <v>22</v>
      </c>
      <c r="Z1642" s="46" t="s">
        <v>1300</v>
      </c>
      <c r="AA1642" s="46" t="s">
        <v>1301</v>
      </c>
      <c r="AB1642" s="46" t="s">
        <v>1302</v>
      </c>
      <c r="AC1642" s="46" t="s">
        <v>1303</v>
      </c>
      <c r="AD1642" s="46" t="s">
        <v>1304</v>
      </c>
      <c r="AE1642" s="46" t="s">
        <v>1305</v>
      </c>
      <c r="AF1642" s="46" t="s">
        <v>1306</v>
      </c>
    </row>
    <row r="1643" spans="1:32" x14ac:dyDescent="0.35">
      <c r="A1643" s="1">
        <f>COUNTIFS($V$549:$V$1073, "&gt;1", $V$1074:$V$1598, "&gt;1")</f>
        <v>188</v>
      </c>
      <c r="B1643" s="1" t="s">
        <v>1696</v>
      </c>
      <c r="C1643" s="27">
        <f>AVERAGEIFS(B$549:B$1073, $V$549:$V$1073, "&gt;1", $V$1074:$V$1598, "&gt;1")</f>
        <v>4.0160638297872397</v>
      </c>
      <c r="D1643" s="27">
        <f>AVERAGEIFS(C$549:C$1073, $V$549:$V$1073, "&gt;1", $V$1074:$V$1598, "&gt;1")</f>
        <v>77.624946808510643</v>
      </c>
      <c r="E1643" s="27">
        <f>AVERAGEIFS(D$549:D$1073, $V$549:$V$1073, "&gt;1", $V$1074:$V$1598, "&gt;1")</f>
        <v>18.887872340425531</v>
      </c>
      <c r="F1643" s="27">
        <f>AVERAGEIFS(E$549:E$1073, $V$549:$V$1073, "&gt;1", $V$1074:$V$1598, "&gt;1")</f>
        <v>6.5814361702127657</v>
      </c>
      <c r="G1643" s="27">
        <f>AVERAGEIFS(F$549:F$1073, $V$549:$V$1073, "&gt;1", $V$1074:$V$1598, "&gt;1")</f>
        <v>14.355265957446813</v>
      </c>
      <c r="H1643" s="27">
        <f>AVERAGEIFS(G$549:G$1073, $V$549:$V$1073, "&gt;1", $V$1074:$V$1598, "&gt;1")</f>
        <v>4.1009574468085104</v>
      </c>
      <c r="I1643" s="27">
        <f>AVERAGEIFS(H$549:H$1073, $V$549:$V$1073, "&gt;1", $V$1074:$V$1598, "&gt;1")</f>
        <v>10.683297872340422</v>
      </c>
      <c r="J1643" s="27">
        <f>AVERAGEIFS(I$549:I$1073, $V$549:$V$1073, "&gt;1", $V$1074:$V$1598, "&gt;1")</f>
        <v>33.243617021276606</v>
      </c>
      <c r="K1643" s="27">
        <f>AVERAGEIFS(J$549:J$1073, $V$549:$V$1073, "&gt;1", $V$1074:$V$1598, "&gt;1")</f>
        <v>56.690265957446833</v>
      </c>
      <c r="L1643" s="27">
        <f>AVERAGEIFS(K$549:K$1073, $V$549:$V$1073, "&gt;1", $V$1074:$V$1598, "&gt;1")</f>
        <v>0.37042553191489364</v>
      </c>
      <c r="M1643" s="27">
        <f>AVERAGEIFS(L$549:L$1073, $V$549:$V$1073, "&gt;1", $V$1074:$V$1598, "&gt;1")</f>
        <v>5.5196808510638282E-2</v>
      </c>
      <c r="N1643" s="27">
        <f>AVERAGEIFS(M$549:M$1073, $V$549:$V$1073, "&gt;1", $V$1074:$V$1598, "&gt;1")</f>
        <v>31.645750000000024</v>
      </c>
      <c r="O1643" s="27">
        <f>AVERAGEIFS(N$549:N$1073, $V$549:$V$1073, "&gt;1", $V$1074:$V$1598, "&gt;1")</f>
        <v>1.7583372340425536</v>
      </c>
      <c r="R1643" s="1">
        <f>COUNTIFS($AB$1074:$AB$1598, "YES")</f>
        <v>31</v>
      </c>
      <c r="S1643" s="1" t="s">
        <v>1713</v>
      </c>
      <c r="T1643" s="27">
        <f>AVERAGEIFS(B$549:B$1073, $AB$1074:$AB$1598, "YES")</f>
        <v>5.0645161290322571</v>
      </c>
      <c r="U1643" s="27">
        <f t="shared" ref="U1643:AF1643" si="6">AVERAGEIFS(C$549:C$1073, $AB$1074:$AB$1598, "YES")</f>
        <v>74.714193548387087</v>
      </c>
      <c r="V1643" s="27">
        <f t="shared" si="6"/>
        <v>29.640645161290326</v>
      </c>
      <c r="W1643" s="27">
        <f t="shared" si="6"/>
        <v>8.6841935483870962</v>
      </c>
      <c r="X1643" s="27">
        <f t="shared" si="6"/>
        <v>21.923548387096776</v>
      </c>
      <c r="Y1643" s="27">
        <f t="shared" si="6"/>
        <v>4.9380645161290335</v>
      </c>
      <c r="Z1643" s="27">
        <f t="shared" si="6"/>
        <v>13.623225806451616</v>
      </c>
      <c r="AA1643" s="27">
        <f t="shared" si="6"/>
        <v>51.563548387096766</v>
      </c>
      <c r="AB1643" s="27">
        <f t="shared" si="6"/>
        <v>81.138064516129035</v>
      </c>
      <c r="AC1643" s="27">
        <f t="shared" si="6"/>
        <v>0.3413225806451613</v>
      </c>
      <c r="AD1643" s="27">
        <f t="shared" si="6"/>
        <v>4.6703225806451615E-2</v>
      </c>
      <c r="AE1643" s="27">
        <f t="shared" si="6"/>
        <v>78.30612903225807</v>
      </c>
      <c r="AF1643" s="27">
        <f t="shared" si="6"/>
        <v>4.3503548387096771</v>
      </c>
    </row>
    <row r="1644" spans="1:32" x14ac:dyDescent="0.35">
      <c r="A1644" s="1">
        <f>COUNTIFS($V$549:$V$1073, "&gt;1", $V$1074:$V$1598, "&gt;1")</f>
        <v>188</v>
      </c>
      <c r="B1644" s="1" t="s">
        <v>1697</v>
      </c>
      <c r="C1644" s="27">
        <f>AVERAGEIFS(B$1074:B$1598, $V$549:$V$1073, "&gt;1", $V$1074:$V$1598, "&gt;1")</f>
        <v>4.0143085106383003</v>
      </c>
      <c r="D1644" s="27">
        <f>AVERAGEIFS(C$1074:C$1598, $V$549:$V$1073, "&gt;1", $V$1074:$V$1598, "&gt;1")</f>
        <v>77.656382978723386</v>
      </c>
      <c r="E1644" s="27">
        <f>AVERAGEIFS(D$1074:D$1598, $V$549:$V$1073, "&gt;1", $V$1074:$V$1598, "&gt;1")</f>
        <v>18.691329787234039</v>
      </c>
      <c r="F1644" s="27">
        <f>AVERAGEIFS(E$1074:E$1598, $V$549:$V$1073, "&gt;1", $V$1074:$V$1598, "&gt;1")</f>
        <v>6.5574468085106377</v>
      </c>
      <c r="G1644" s="27">
        <f>AVERAGEIFS(F$1074:F$1598, $V$549:$V$1073, "&gt;1", $V$1074:$V$1598, "&gt;1")</f>
        <v>14.314999999999989</v>
      </c>
      <c r="H1644" s="27">
        <f>AVERAGEIFS(G$1074:G$1598, $V$549:$V$1073, "&gt;1", $V$1074:$V$1598, "&gt;1")</f>
        <v>4.0928723404255338</v>
      </c>
      <c r="I1644" s="27">
        <f>AVERAGEIFS(H$1074:H$1598, $V$549:$V$1073, "&gt;1", $V$1074:$V$1598, "&gt;1")</f>
        <v>10.650638297872343</v>
      </c>
      <c r="J1644" s="27">
        <f>AVERAGEIFS(I$1074:I$1598, $V$549:$V$1073, "&gt;1", $V$1074:$V$1598, "&gt;1")</f>
        <v>33.006117021276587</v>
      </c>
      <c r="K1644" s="27">
        <f>AVERAGEIFS(J$1074:J$1598, $V$549:$V$1073, "&gt;1", $V$1074:$V$1598, "&gt;1")</f>
        <v>56.355159574468068</v>
      </c>
      <c r="L1644" s="27">
        <f>AVERAGEIFS(K$1074:K$1598, $V$549:$V$1073, "&gt;1", $V$1074:$V$1598, "&gt;1")</f>
        <v>0.38346276595744683</v>
      </c>
      <c r="M1644" s="27">
        <f>AVERAGEIFS(L$1074:L$1598, $V$549:$V$1073, "&gt;1", $V$1074:$V$1598, "&gt;1")</f>
        <v>5.7026595744680851E-2</v>
      </c>
      <c r="N1644" s="27">
        <f>AVERAGEIFS(M$1074:M$1598, $V$549:$V$1073, "&gt;1", $V$1074:$V$1598, "&gt;1")</f>
        <v>32.113409574468108</v>
      </c>
      <c r="O1644" s="27">
        <f>AVERAGEIFS(N$1074:N$1598, $V$549:$V$1073, "&gt;1", $V$1074:$V$1598, "&gt;1")</f>
        <v>1.7841882978723409</v>
      </c>
      <c r="R1644" s="1">
        <f>COUNTIFS($AB$1074:$AB$1598, "YES")</f>
        <v>31</v>
      </c>
      <c r="S1644" s="1" t="s">
        <v>1714</v>
      </c>
      <c r="T1644" s="27">
        <f>AVERAGEIFS(B$1074:B$1598, $AB$1074:$AB$1598, "YES")</f>
        <v>5.0383870967741942</v>
      </c>
      <c r="U1644" s="27">
        <f t="shared" ref="U1644:AF1644" si="7">AVERAGEIFS(C$1074:C$1598, $AB$1074:$AB$1598, "YES")</f>
        <v>74.877419354838693</v>
      </c>
      <c r="V1644" s="27">
        <f t="shared" si="7"/>
        <v>29.148387096774194</v>
      </c>
      <c r="W1644" s="27">
        <f t="shared" si="7"/>
        <v>8.6</v>
      </c>
      <c r="X1644" s="27">
        <f t="shared" si="7"/>
        <v>21.704516129032264</v>
      </c>
      <c r="Y1644" s="27">
        <f t="shared" si="7"/>
        <v>4.8561290322580639</v>
      </c>
      <c r="Z1644" s="27">
        <f t="shared" si="7"/>
        <v>13.456451612903226</v>
      </c>
      <c r="AA1644" s="27">
        <f t="shared" si="7"/>
        <v>50.851612903225799</v>
      </c>
      <c r="AB1644" s="27">
        <f t="shared" si="7"/>
        <v>79.779032258064518</v>
      </c>
      <c r="AC1644" s="27">
        <f t="shared" si="7"/>
        <v>0.3339032258064516</v>
      </c>
      <c r="AD1644" s="27">
        <f t="shared" si="7"/>
        <v>4.7251612903225805E-2</v>
      </c>
      <c r="AE1644" s="27">
        <f t="shared" si="7"/>
        <v>77.706774193548398</v>
      </c>
      <c r="AF1644" s="27">
        <f t="shared" si="7"/>
        <v>4.3171290322580633</v>
      </c>
    </row>
    <row r="1645" spans="1:32" x14ac:dyDescent="0.35">
      <c r="A1645" s="37" t="s">
        <v>1698</v>
      </c>
      <c r="C1645" s="37" t="s">
        <v>1693</v>
      </c>
      <c r="D1645" s="27"/>
      <c r="E1645" s="37" t="s">
        <v>1693</v>
      </c>
      <c r="F1645" s="27"/>
      <c r="G1645" s="37" t="s">
        <v>1693</v>
      </c>
      <c r="H1645" s="37" t="s">
        <v>1693</v>
      </c>
      <c r="I1645" s="37" t="s">
        <v>1693</v>
      </c>
      <c r="J1645" s="37" t="s">
        <v>1693</v>
      </c>
      <c r="K1645" s="37" t="s">
        <v>1693</v>
      </c>
      <c r="L1645" s="27"/>
      <c r="M1645" s="27"/>
      <c r="N1645" s="27"/>
      <c r="O1645" s="27"/>
      <c r="R1645" s="37" t="s">
        <v>1698</v>
      </c>
      <c r="T1645" s="43" t="s">
        <v>1693</v>
      </c>
      <c r="U1645" s="27"/>
      <c r="V1645" s="37"/>
      <c r="W1645" s="37"/>
      <c r="X1645" s="37"/>
      <c r="Y1645" s="37"/>
      <c r="Z1645" s="37"/>
      <c r="AA1645" s="37"/>
      <c r="AB1645" s="37"/>
      <c r="AC1645" s="27"/>
      <c r="AD1645" s="37" t="s">
        <v>1693</v>
      </c>
      <c r="AE1645" s="27"/>
      <c r="AF1645" s="27"/>
    </row>
    <row r="1646" spans="1:32" ht="33.6" customHeight="1" x14ac:dyDescent="0.35">
      <c r="O1646"/>
      <c r="S1646" s="14" t="s">
        <v>1335</v>
      </c>
      <c r="T1646" s="42" t="s">
        <v>1296</v>
      </c>
      <c r="U1646" s="42" t="s">
        <v>1297</v>
      </c>
      <c r="V1646" s="42" t="s">
        <v>1298</v>
      </c>
      <c r="W1646" s="42" t="s">
        <v>21</v>
      </c>
      <c r="X1646" s="42" t="s">
        <v>1299</v>
      </c>
      <c r="Y1646" s="42" t="s">
        <v>22</v>
      </c>
      <c r="Z1646" s="42" t="s">
        <v>1300</v>
      </c>
      <c r="AA1646" s="42" t="s">
        <v>1301</v>
      </c>
      <c r="AB1646" s="42" t="s">
        <v>1302</v>
      </c>
      <c r="AC1646" s="42" t="s">
        <v>1303</v>
      </c>
      <c r="AD1646" s="42" t="s">
        <v>1304</v>
      </c>
      <c r="AE1646" s="42" t="s">
        <v>1305</v>
      </c>
      <c r="AF1646" s="42" t="s">
        <v>1306</v>
      </c>
    </row>
    <row r="1647" spans="1:32" x14ac:dyDescent="0.35">
      <c r="A1647" s="33" t="s">
        <v>1337</v>
      </c>
      <c r="B1647" s="28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R1647" s="1">
        <f>COUNTIFS($AC$1074:$AC$1598, "YES")</f>
        <v>21</v>
      </c>
      <c r="S1647" s="1" t="s">
        <v>1740</v>
      </c>
      <c r="T1647" s="27">
        <f>AVERAGEIFS(B$549:B$1073, $AC$1074:$AC$1598, "YES")</f>
        <v>4.1852380952380956</v>
      </c>
      <c r="U1647" s="27">
        <f>AVERAGEIFS(C$549:C$1073, $AC$1074:$AC$1598, "YES")</f>
        <v>76.467619047619053</v>
      </c>
      <c r="V1647" s="27">
        <f>AVERAGEIFS(D$549:D$1073, $AC$1074:$AC$1598, "YES")</f>
        <v>21.115714285714287</v>
      </c>
      <c r="W1647" s="27">
        <f>AVERAGEIFS(E$549:E$1073, $AC$1074:$AC$1598, "YES")</f>
        <v>7.0623809523809511</v>
      </c>
      <c r="X1647" s="27">
        <f>AVERAGEIFS(F$549:F$1073, $AC$1074:$AC$1598, "YES")</f>
        <v>14.772380952380951</v>
      </c>
      <c r="Y1647" s="27">
        <f>AVERAGEIFS(G$549:G$1073, $AC$1074:$AC$1598, "YES")</f>
        <v>3.8576190476190471</v>
      </c>
      <c r="Z1647" s="27">
        <f>AVERAGEIFS(H$549:H$1073, $AC$1074:$AC$1598, "YES")</f>
        <v>10.919523809523806</v>
      </c>
      <c r="AA1647" s="27">
        <f>AVERAGEIFS(I$549:I$1073, $AC$1074:$AC$1598, "YES")</f>
        <v>35.889047619047616</v>
      </c>
      <c r="AB1647" s="27">
        <f>AVERAGEIFS(J$549:J$1073, $AC$1074:$AC$1598, "YES")</f>
        <v>59.830000000000005</v>
      </c>
      <c r="AC1647" s="27">
        <f>AVERAGEIFS(K$549:K$1073, $AC$1074:$AC$1598, "YES")</f>
        <v>0.19252380952380954</v>
      </c>
      <c r="AD1647" s="27">
        <f>AVERAGEIFS(L$549:L$1073, $AC$1074:$AC$1598, "YES")</f>
        <v>2.1600000000000001E-2</v>
      </c>
      <c r="AE1647" s="27">
        <f>AVERAGEIFS(M$549:M$1073, $AC$1074:$AC$1598, "YES")</f>
        <v>22.395714285714281</v>
      </c>
      <c r="AF1647" s="27">
        <f>AVERAGEIFS(N$549:N$1073, $AC$1074:$AC$1598, "YES")</f>
        <v>1.243857142857143</v>
      </c>
    </row>
    <row r="1648" spans="1:32" ht="15" x14ac:dyDescent="0.3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R1648" s="1">
        <f>COUNTIFS($AC$1074:$AC$1598, "YES")</f>
        <v>21</v>
      </c>
      <c r="S1648" s="1" t="s">
        <v>1741</v>
      </c>
      <c r="T1648" s="27">
        <f>AVERAGEIFS(B$1074:B$1598, $AC$1074:$AC$1598, "YES")</f>
        <v>4.119523809523808</v>
      </c>
      <c r="U1648" s="27">
        <f>AVERAGEIFS(C$1074:C$1598, $AC$1074:$AC$1598, "YES")</f>
        <v>76.9647619047619</v>
      </c>
      <c r="V1648" s="27">
        <f>AVERAGEIFS(D$1074:D$1598, $AC$1074:$AC$1598, "YES")</f>
        <v>20.705238095238098</v>
      </c>
      <c r="W1648" s="27">
        <f>AVERAGEIFS(E$1074:E$1598, $AC$1074:$AC$1598, "YES")</f>
        <v>6.8338095238095251</v>
      </c>
      <c r="X1648" s="27">
        <f>AVERAGEIFS(F$1074:F$1598, $AC$1074:$AC$1598, "YES")</f>
        <v>14.629523809523809</v>
      </c>
      <c r="Y1648" s="27">
        <f>AVERAGEIFS(G$1074:G$1598, $AC$1074:$AC$1598, "YES")</f>
        <v>3.8028571428571416</v>
      </c>
      <c r="Z1648" s="27">
        <f>AVERAGEIFS(H$1074:H$1598, $AC$1074:$AC$1598, "YES")</f>
        <v>10.637619047619049</v>
      </c>
      <c r="AA1648" s="27">
        <f>AVERAGEIFS(I$1074:I$1598, $AC$1074:$AC$1598, "YES")</f>
        <v>35.334761904761912</v>
      </c>
      <c r="AB1648" s="27">
        <f>AVERAGEIFS(J$1074:J$1598, $AC$1074:$AC$1598, "YES")</f>
        <v>58.124285714285712</v>
      </c>
      <c r="AC1648" s="27">
        <f>AVERAGEIFS(K$1074:K$1598, $AC$1074:$AC$1598, "YES")</f>
        <v>0.18861904761904763</v>
      </c>
      <c r="AD1648" s="27">
        <f>AVERAGEIFS(L$1074:L$1598, $AC$1074:$AC$1598, "YES")</f>
        <v>2.3266666666666672E-2</v>
      </c>
      <c r="AE1648" s="27">
        <f>AVERAGEIFS(M$1074:M$1598, $AC$1074:$AC$1598, "YES")</f>
        <v>21.987619047619042</v>
      </c>
      <c r="AF1648" s="27">
        <f>AVERAGEIFS(N$1074:N$1598, $AC$1074:$AC$1598, "YES")</f>
        <v>1.2210000000000003</v>
      </c>
    </row>
    <row r="1649" spans="1:33" customFormat="1" ht="28.8" x14ac:dyDescent="0.35">
      <c r="A1649" s="14" t="s">
        <v>1310</v>
      </c>
      <c r="B1649" s="14" t="s">
        <v>1335</v>
      </c>
      <c r="C1649" s="14" t="s">
        <v>1296</v>
      </c>
      <c r="D1649" s="14" t="s">
        <v>1297</v>
      </c>
      <c r="E1649" s="14" t="s">
        <v>1298</v>
      </c>
      <c r="F1649" s="14" t="s">
        <v>21</v>
      </c>
      <c r="G1649" s="14" t="s">
        <v>1299</v>
      </c>
      <c r="H1649" s="14" t="s">
        <v>22</v>
      </c>
      <c r="I1649" s="14" t="s">
        <v>1300</v>
      </c>
      <c r="J1649" s="14" t="s">
        <v>1301</v>
      </c>
      <c r="K1649" s="14" t="s">
        <v>1302</v>
      </c>
      <c r="L1649" s="14" t="s">
        <v>1303</v>
      </c>
      <c r="M1649" s="14" t="s">
        <v>1304</v>
      </c>
      <c r="N1649" s="14" t="s">
        <v>1305</v>
      </c>
      <c r="O1649" s="14" t="s">
        <v>1306</v>
      </c>
      <c r="R1649" s="37" t="s">
        <v>1698</v>
      </c>
      <c r="S1649" s="1"/>
      <c r="T1649" s="37"/>
      <c r="U1649" s="27"/>
      <c r="V1649" s="37"/>
      <c r="W1649" s="37"/>
      <c r="X1649" s="37"/>
      <c r="Y1649" s="37"/>
      <c r="Z1649" s="37"/>
      <c r="AA1649" s="37"/>
      <c r="AB1649" s="37"/>
      <c r="AC1649" s="27"/>
      <c r="AD1649" s="27"/>
      <c r="AE1649" s="27"/>
      <c r="AF1649" s="27"/>
      <c r="AG1649" s="1"/>
    </row>
    <row r="1650" spans="1:33" x14ac:dyDescent="0.35">
      <c r="A1650" s="1">
        <f>COUNTIF($A$24:$A$1598, "*Chart*Buggy")</f>
        <v>74</v>
      </c>
      <c r="B1650" s="1" t="s">
        <v>1670</v>
      </c>
      <c r="C1650" s="27">
        <f>AVERAGEIF($A$24:$A$1598, "*Chart-*_Buggy", B$24:B$1598)</f>
        <v>3.120000000000001</v>
      </c>
      <c r="D1650" s="27">
        <f>AVERAGEIF($A$24:$A$1598, "*Chart-*_Buggy", C$24:C$1598)</f>
        <v>79.330135135135123</v>
      </c>
      <c r="E1650" s="27">
        <f>AVERAGEIF($A$24:$A$1598, "*Chart-*_Buggy", D$24:D$1598)</f>
        <v>19.88027027027027</v>
      </c>
      <c r="F1650" s="27">
        <f>AVERAGEIF($A$24:$A$1598, "*Chart-*_Buggy", E$24:E$1598)</f>
        <v>6.1609459459459481</v>
      </c>
      <c r="G1650" s="27">
        <f>AVERAGEIF($A$24:$A$1598, "*Chart-*_Buggy", F$24:F$1598)</f>
        <v>11.595810810810818</v>
      </c>
      <c r="H1650" s="27">
        <f>AVERAGEIF($A$24:$A$1598, "*Chart-*_Buggy", G$24:G$1598)</f>
        <v>2.9586486486486487</v>
      </c>
      <c r="I1650" s="27">
        <f>AVERAGEIF($A$24:$A$1598, "*Chart-*_Buggy", H$24:H$1598)</f>
        <v>9.1193243243243263</v>
      </c>
      <c r="J1650" s="27">
        <f>AVERAGEIF($A$24:$A$1598, "*Chart-*_Buggy", I$24:I$1598)</f>
        <v>31.475540540540546</v>
      </c>
      <c r="K1650" s="27">
        <f>AVERAGEIF($A$24:$A$1598, "*Chart-*_Buggy", J$24:J$1598)</f>
        <v>47.962027027027041</v>
      </c>
      <c r="L1650" s="27">
        <f>AVERAGEIF($A$24:$A$1598, "*Chart-*_Buggy", K$24:K$1598)</f>
        <v>0.1100945945945946</v>
      </c>
      <c r="M1650" s="27">
        <f>AVERAGEIF($A$24:$A$1598, "*Chart-*_Buggy", L$24:L$1598)</f>
        <v>3.0783783783783773E-2</v>
      </c>
      <c r="N1650" s="27">
        <f>AVERAGEIF($A$24:$A$1598, "*Chart-*_Buggy", M$24:M$1598)</f>
        <v>2.8813513513513516</v>
      </c>
      <c r="O1650" s="27">
        <f>AVERAGEIF($A$24:$A$1598, "*Chart-*_Buggy", N$24:N$1598)</f>
        <v>0.15991891891891891</v>
      </c>
    </row>
    <row r="1651" spans="1:33" x14ac:dyDescent="0.35">
      <c r="A1651" s="1">
        <f>COUNTIF($A$24:$A$1598, "*Chart*Fixed")</f>
        <v>74</v>
      </c>
      <c r="B1651" s="1" t="s">
        <v>1671</v>
      </c>
      <c r="C1651" s="27">
        <f>AVERAGEIF($A$24:$A$1598, "*Chart-*_Fixed", B$24:B$1598)</f>
        <v>3.1512162162162167</v>
      </c>
      <c r="D1651" s="27">
        <f>AVERAGEIF($A$24:$A$1598, "*Chart-*_Fixed", C$24:C$1598)</f>
        <v>79.288783783783757</v>
      </c>
      <c r="E1651" s="27">
        <f>AVERAGEIF($A$24:$A$1598, "*Chart-*_Fixed", D$24:D$1598)</f>
        <v>20.012837837837846</v>
      </c>
      <c r="F1651" s="27">
        <f>AVERAGEIF($A$24:$A$1598, "*Chart-*_Fixed", E$24:E$1598)</f>
        <v>6.1772972972972982</v>
      </c>
      <c r="G1651" s="27">
        <f>AVERAGEIF($A$24:$A$1598, "*Chart-*_Fixed", F$24:F$1598)</f>
        <v>11.680540540540544</v>
      </c>
      <c r="H1651" s="27">
        <f>AVERAGEIF($A$24:$A$1598, "*Chart-*_Fixed", G$24:G$1598)</f>
        <v>2.9681081081081078</v>
      </c>
      <c r="I1651" s="27">
        <f>AVERAGEIF($A$24:$A$1598, "*Chart-*_Fixed", H$24:H$1598)</f>
        <v>9.1451351351351384</v>
      </c>
      <c r="J1651" s="27">
        <f>AVERAGEIF($A$24:$A$1598, "*Chart-*_Fixed", I$24:I$1598)</f>
        <v>31.693108108108103</v>
      </c>
      <c r="K1651" s="27">
        <f>AVERAGEIF($A$24:$A$1598, "*Chart-*_Fixed", J$24:J$1598)</f>
        <v>48.238243243243254</v>
      </c>
      <c r="L1651" s="27">
        <f>AVERAGEIF($A$24:$A$1598, "*Chart-*_Fixed", K$24:K$1598)</f>
        <v>0.12941891891891891</v>
      </c>
      <c r="M1651" s="27">
        <f>AVERAGEIF($A$24:$A$1598, "*Chart-*_Fixed", L$24:L$1598)</f>
        <v>3.2067567567567561E-2</v>
      </c>
      <c r="N1651" s="27">
        <f>AVERAGEIF($A$24:$A$1598, "*Chart-*_Fixed", M$24:M$1598)</f>
        <v>3.791891891891892</v>
      </c>
      <c r="O1651" s="27">
        <f>AVERAGEIF($A$24:$A$1598, "*Chart-*_Fixed", N$24:N$1598)</f>
        <v>0.21086486486486491</v>
      </c>
    </row>
    <row r="1652" spans="1:33" x14ac:dyDescent="0.35">
      <c r="A1652" s="1">
        <f>COUNTIF($A$24:$A$1598, "*Chart*Repaired")</f>
        <v>74</v>
      </c>
      <c r="B1652" s="1" t="s">
        <v>1672</v>
      </c>
      <c r="C1652" s="27">
        <f>AVERAGEIF($A$24:$A$1598, "*Chart-*_Repaired", B$24:B$1598)</f>
        <v>3.1294594594594596</v>
      </c>
      <c r="D1652" s="27">
        <f>AVERAGEIF($A$24:$A$1598, "*Chart-*_Repaired", C$24:C$1598)</f>
        <v>79.330540540540539</v>
      </c>
      <c r="E1652" s="27">
        <f>AVERAGEIF($A$24:$A$1598, "*Chart-*_Repaired", D$24:D$1598)</f>
        <v>19.889864864864869</v>
      </c>
      <c r="F1652" s="27">
        <f>AVERAGEIF($A$24:$A$1598, "*Chart-*_Repaired", E$24:E$1598)</f>
        <v>6.1589189189189204</v>
      </c>
      <c r="G1652" s="27">
        <f>AVERAGEIF($A$24:$A$1598, "*Chart-*_Repaired", F$24:F$1598)</f>
        <v>11.659729729729733</v>
      </c>
      <c r="H1652" s="27">
        <f>AVERAGEIF($A$24:$A$1598, "*Chart-*_Repaired", G$24:G$1598)</f>
        <v>2.9693243243243246</v>
      </c>
      <c r="I1652" s="27">
        <f>AVERAGEIF($A$24:$A$1598, "*Chart-*_Repaired", H$24:H$1598)</f>
        <v>9.1281081081081119</v>
      </c>
      <c r="J1652" s="27">
        <f>AVERAGEIF($A$24:$A$1598, "*Chart-*_Repaired", I$24:I$1598)</f>
        <v>31.549459459459452</v>
      </c>
      <c r="K1652" s="27">
        <f>AVERAGEIF($A$24:$A$1598, "*Chart-*_Repaired", J$24:J$1598)</f>
        <v>48.073513513513518</v>
      </c>
      <c r="L1652" s="27">
        <f>AVERAGEIF($A$24:$A$1598, "*Chart-*_Repaired", K$24:K$1598)</f>
        <v>0.11979729729729728</v>
      </c>
      <c r="M1652" s="27">
        <f>AVERAGEIF($A$24:$A$1598, "*Chart-*_Repaired", L$24:L$1598)</f>
        <v>3.1527027027027012E-2</v>
      </c>
      <c r="N1652" s="27">
        <f>AVERAGEIF($A$24:$A$1598, "*Chart-*_Repaired", M$24:M$1598)</f>
        <v>3.3404054054054058</v>
      </c>
      <c r="O1652" s="27">
        <f>AVERAGEIF($A$24:$A$1598, "*Chart-*_Repaired", N$24:N$1598)</f>
        <v>0.18545945945945946</v>
      </c>
    </row>
    <row r="1653" spans="1:33" ht="15" x14ac:dyDescent="0.35">
      <c r="A1653" s="37" t="s">
        <v>1698</v>
      </c>
      <c r="C1653" s="45"/>
      <c r="D1653" s="45"/>
      <c r="E1653" s="47" t="s">
        <v>1693</v>
      </c>
      <c r="F1653" s="47"/>
      <c r="G1653" s="45"/>
      <c r="H1653" s="45"/>
      <c r="I1653" s="45"/>
      <c r="J1653" s="45"/>
      <c r="K1653" s="45"/>
      <c r="L1653" s="47" t="s">
        <v>1693</v>
      </c>
      <c r="M1653" s="45"/>
      <c r="N1653" s="45"/>
      <c r="O1653" s="48"/>
    </row>
    <row r="1654" spans="1:33" ht="28.8" x14ac:dyDescent="0.35">
      <c r="B1654" s="14" t="s">
        <v>1335</v>
      </c>
      <c r="C1654" s="46" t="s">
        <v>1296</v>
      </c>
      <c r="D1654" s="46" t="s">
        <v>1297</v>
      </c>
      <c r="E1654" s="46" t="s">
        <v>1298</v>
      </c>
      <c r="F1654" s="46" t="s">
        <v>21</v>
      </c>
      <c r="G1654" s="46" t="s">
        <v>1299</v>
      </c>
      <c r="H1654" s="46" t="s">
        <v>22</v>
      </c>
      <c r="I1654" s="46" t="s">
        <v>1300</v>
      </c>
      <c r="J1654" s="46" t="s">
        <v>1301</v>
      </c>
      <c r="K1654" s="46" t="s">
        <v>1302</v>
      </c>
      <c r="L1654" s="46" t="s">
        <v>1303</v>
      </c>
      <c r="M1654" s="46" t="s">
        <v>1304</v>
      </c>
      <c r="N1654" s="46" t="s">
        <v>1305</v>
      </c>
      <c r="O1654" s="46" t="s">
        <v>1306</v>
      </c>
    </row>
    <row r="1655" spans="1:33" x14ac:dyDescent="0.35">
      <c r="A1655" s="1">
        <f>COUNTIF($A$24:$A$1598, "*Closure*Buggy")</f>
        <v>132</v>
      </c>
      <c r="B1655" s="1" t="s">
        <v>1673</v>
      </c>
      <c r="C1655" s="27">
        <f>AVERAGEIF($A$24:$A$1598, "*Closure-*_Buggy", B$24:B$1598)</f>
        <v>5.0234848484848476</v>
      </c>
      <c r="D1655" s="27">
        <f>AVERAGEIF($A$24:$A$1598, "*Closure-*_Buggy", C$24:C$1598)</f>
        <v>76.518863636363676</v>
      </c>
      <c r="E1655" s="27">
        <f>AVERAGEIF($A$24:$A$1598, "*Closure-*_Buggy", D$24:D$1598)</f>
        <v>17.456742424242428</v>
      </c>
      <c r="F1655" s="27">
        <f>AVERAGEIF($A$24:$A$1598, "*Closure-*_Buggy", E$24:E$1598)</f>
        <v>6.8529545454545469</v>
      </c>
      <c r="G1655" s="27">
        <f>AVERAGEIF($A$24:$A$1598, "*Closure-*_Buggy", F$24:F$1598)</f>
        <v>16.091060606060605</v>
      </c>
      <c r="H1655" s="27">
        <f>AVERAGEIF($A$24:$A$1598, "*Closure-*_Buggy", G$24:G$1598)</f>
        <v>3.9240909090909111</v>
      </c>
      <c r="I1655" s="27">
        <f>AVERAGEIF($A$24:$A$1598, "*Closure-*_Buggy", H$24:H$1598)</f>
        <v>10.777727272727274</v>
      </c>
      <c r="J1655" s="27">
        <f>AVERAGEIF($A$24:$A$1598, "*Closure-*_Buggy", I$24:I$1598)</f>
        <v>33.547045454545469</v>
      </c>
      <c r="K1655" s="27">
        <f>AVERAGEIF($A$24:$A$1598, "*Closure-*_Buggy", J$24:J$1598)</f>
        <v>57.254469696969721</v>
      </c>
      <c r="L1655" s="27">
        <f>AVERAGEIF($A$24:$A$1598, "*Closure-*_Buggy", K$24:K$1598)</f>
        <v>0.43204545454545429</v>
      </c>
      <c r="M1655" s="27">
        <f>AVERAGEIF($A$24:$A$1598, "*Closure-*_Buggy", L$24:L$1598)</f>
        <v>2.3789393939393937E-2</v>
      </c>
      <c r="N1655" s="27">
        <f>AVERAGEIF($A$24:$A$1598, "*Closure-*_Buggy", M$24:M$1598)</f>
        <v>115.55431818181819</v>
      </c>
      <c r="O1655" s="27">
        <f>AVERAGEIF($A$24:$A$1598, "*Closure-*_Buggy", N$24:N$1598)</f>
        <v>6.4195909090909122</v>
      </c>
    </row>
    <row r="1656" spans="1:33" x14ac:dyDescent="0.35">
      <c r="A1656" s="1">
        <f>COUNTIF($A$24:$A$1598, "*Closure*Fixed")</f>
        <v>132</v>
      </c>
      <c r="B1656" s="1" t="s">
        <v>1674</v>
      </c>
      <c r="C1656" s="27">
        <f>AVERAGEIF($A$24:$A$1598, "*Closure-*_Fixed", B$24:B$1598)</f>
        <v>4.8346212121212151</v>
      </c>
      <c r="D1656" s="27">
        <f>AVERAGEIF($A$24:$A$1598, "*Closure-*_Fixed", C$24:C$1598)</f>
        <v>76.655227272727288</v>
      </c>
      <c r="E1656" s="27">
        <f>AVERAGEIF($A$24:$A$1598, "*Closure-*_Fixed", D$24:D$1598)</f>
        <v>17.208106060606063</v>
      </c>
      <c r="F1656" s="27">
        <f>AVERAGEIF($A$24:$A$1598, "*Closure-*_Fixed", E$24:E$1598)</f>
        <v>6.80833333333333</v>
      </c>
      <c r="G1656" s="27">
        <f>AVERAGEIF($A$24:$A$1598, "*Closure-*_Fixed", F$24:F$1598)</f>
        <v>15.438106060606071</v>
      </c>
      <c r="H1656" s="27">
        <f>AVERAGEIF($A$24:$A$1598, "*Closure-*_Fixed", G$24:G$1598)</f>
        <v>3.9088636363636375</v>
      </c>
      <c r="I1656" s="27">
        <f>AVERAGEIF($A$24:$A$1598, "*Closure-*_Fixed", H$24:H$1598)</f>
        <v>10.718106060606054</v>
      </c>
      <c r="J1656" s="27">
        <f>AVERAGEIF($A$24:$A$1598, "*Closure-*_Fixed", I$24:I$1598)</f>
        <v>32.647499999999987</v>
      </c>
      <c r="K1656" s="27">
        <f>AVERAGEIF($A$24:$A$1598, "*Closure-*_Fixed", J$24:J$1598)</f>
        <v>56.562803030303066</v>
      </c>
      <c r="L1656" s="27">
        <f>AVERAGEIF($A$24:$A$1598, "*Closure-*_Fixed", K$24:K$1598)</f>
        <v>0.43143939393939368</v>
      </c>
      <c r="M1656" s="27">
        <f>AVERAGEIF($A$24:$A$1598, "*Closure-*_Fixed", L$24:L$1598)</f>
        <v>2.3569696969696963E-2</v>
      </c>
      <c r="N1656" s="27">
        <f>AVERAGEIF($A$24:$A$1598, "*Closure-*_Fixed", M$24:M$1598)</f>
        <v>115.47287878787877</v>
      </c>
      <c r="O1656" s="27">
        <f>AVERAGEIF($A$24:$A$1598, "*Closure-*_Fixed", N$24:N$1598)</f>
        <v>6.4151742424242455</v>
      </c>
    </row>
    <row r="1657" spans="1:33" x14ac:dyDescent="0.35">
      <c r="A1657" s="1">
        <f>COUNTIF($A$24:$A$1598, "*Closure*Repaired")</f>
        <v>132</v>
      </c>
      <c r="B1657" s="1" t="s">
        <v>1675</v>
      </c>
      <c r="C1657" s="27">
        <f>AVERAGEIF($A$24:$A$1598, "*Closure-*_Repaired", B$24:B$1598)</f>
        <v>4.9743939393939396</v>
      </c>
      <c r="D1657" s="27">
        <f>AVERAGEIF($A$24:$A$1598, "*Closure-*_Repaired", C$24:C$1598)</f>
        <v>76.662727272727295</v>
      </c>
      <c r="E1657" s="27">
        <f>AVERAGEIF($A$24:$A$1598, "*Closure-*_Repaired", D$24:D$1598)</f>
        <v>17.306742424242429</v>
      </c>
      <c r="F1657" s="27">
        <f>AVERAGEIF($A$24:$A$1598, "*Closure-*_Repaired", E$24:E$1598)</f>
        <v>6.8372727272727261</v>
      </c>
      <c r="G1657" s="27">
        <f>AVERAGEIF($A$24:$A$1598, "*Closure-*_Repaired", F$24:F$1598)</f>
        <v>15.866666666666667</v>
      </c>
      <c r="H1657" s="27">
        <f>AVERAGEIF($A$24:$A$1598, "*Closure-*_Repaired", G$24:G$1598)</f>
        <v>3.8911363636363663</v>
      </c>
      <c r="I1657" s="27">
        <f>AVERAGEIF($A$24:$A$1598, "*Closure-*_Repaired", H$24:H$1598)</f>
        <v>10.728560606060601</v>
      </c>
      <c r="J1657" s="27">
        <f>AVERAGEIF($A$24:$A$1598, "*Closure-*_Repaired", I$24:I$1598)</f>
        <v>33.173030303030302</v>
      </c>
      <c r="K1657" s="27">
        <f>AVERAGEIF($A$24:$A$1598, "*Closure-*_Repaired", J$24:J$1598)</f>
        <v>56.867196969696948</v>
      </c>
      <c r="L1657" s="27">
        <f>AVERAGEIF($A$24:$A$1598, "*Closure-*_Repaired", K$24:K$1598)</f>
        <v>0.43177272727272697</v>
      </c>
      <c r="M1657" s="27">
        <f>AVERAGEIF($A$24:$A$1598, "*Closure-*_Repaired", L$24:L$1598)</f>
        <v>2.3721212121212119E-2</v>
      </c>
      <c r="N1657" s="27">
        <f>AVERAGEIF($A$24:$A$1598, "*Closure-*_Repaired", M$24:M$1598)</f>
        <v>115.53924242424243</v>
      </c>
      <c r="O1657" s="27">
        <f>AVERAGEIF($A$24:$A$1598, "*Closure-*_Repaired", N$24:N$1598)</f>
        <v>6.4188030303030335</v>
      </c>
    </row>
    <row r="1658" spans="1:33" ht="15" x14ac:dyDescent="0.35">
      <c r="A1658" s="37" t="s">
        <v>1698</v>
      </c>
      <c r="C1658" s="45"/>
      <c r="D1658" s="45"/>
      <c r="E1658" s="47"/>
      <c r="F1658" s="47" t="s">
        <v>1693</v>
      </c>
      <c r="G1658" s="45"/>
      <c r="H1658" s="45"/>
      <c r="I1658" s="45"/>
      <c r="J1658" s="45"/>
      <c r="K1658" s="45"/>
      <c r="L1658" s="45"/>
      <c r="M1658" s="45"/>
      <c r="N1658" s="45"/>
      <c r="O1658" s="48"/>
    </row>
    <row r="1659" spans="1:33" ht="28.8" x14ac:dyDescent="0.35">
      <c r="B1659" s="14" t="s">
        <v>1335</v>
      </c>
      <c r="C1659" s="46" t="s">
        <v>1296</v>
      </c>
      <c r="D1659" s="46" t="s">
        <v>1297</v>
      </c>
      <c r="E1659" s="46" t="s">
        <v>1298</v>
      </c>
      <c r="F1659" s="46" t="s">
        <v>21</v>
      </c>
      <c r="G1659" s="46" t="s">
        <v>1299</v>
      </c>
      <c r="H1659" s="46" t="s">
        <v>22</v>
      </c>
      <c r="I1659" s="46" t="s">
        <v>1300</v>
      </c>
      <c r="J1659" s="46" t="s">
        <v>1301</v>
      </c>
      <c r="K1659" s="46" t="s">
        <v>1302</v>
      </c>
      <c r="L1659" s="46" t="s">
        <v>1303</v>
      </c>
      <c r="M1659" s="46" t="s">
        <v>1304</v>
      </c>
      <c r="N1659" s="46" t="s">
        <v>1305</v>
      </c>
      <c r="O1659" s="46" t="s">
        <v>1306</v>
      </c>
    </row>
    <row r="1660" spans="1:33" x14ac:dyDescent="0.35">
      <c r="A1660" s="1">
        <f>COUNTIF($A$24:$A$1598, "*Lang*Buggy")</f>
        <v>114</v>
      </c>
      <c r="B1660" s="1" t="s">
        <v>1676</v>
      </c>
      <c r="C1660" s="27">
        <f>AVERAGEIF($A$24:$A$1598, "*Lang-*_Buggy", B$24:B$1598)</f>
        <v>3.9562280701754391</v>
      </c>
      <c r="D1660" s="27">
        <f>AVERAGEIF($A$24:$A$1598, "*Lang-*_Buggy", C$24:C$1598)</f>
        <v>77.790438596491271</v>
      </c>
      <c r="E1660" s="27">
        <f>AVERAGEIF($A$24:$A$1598, "*Lang-*_Buggy", D$24:D$1598)</f>
        <v>16.160789473684208</v>
      </c>
      <c r="F1660" s="27">
        <f>AVERAGEIF($A$24:$A$1598, "*Lang-*_Buggy", E$24:E$1598)</f>
        <v>6.4299122807017532</v>
      </c>
      <c r="G1660" s="27">
        <f>AVERAGEIF($A$24:$A$1598, "*Lang-*_Buggy", F$24:F$1598)</f>
        <v>11.319035087719302</v>
      </c>
      <c r="H1660" s="27">
        <f>AVERAGEIF($A$24:$A$1598, "*Lang-*_Buggy", G$24:G$1598)</f>
        <v>4.1098245614035083</v>
      </c>
      <c r="I1660" s="27">
        <f>AVERAGEIF($A$24:$A$1598, "*Lang-*_Buggy", H$24:H$1598)</f>
        <v>10.540087719298246</v>
      </c>
      <c r="J1660" s="27">
        <f>AVERAGEIF($A$24:$A$1598, "*Lang-*_Buggy", I$24:I$1598)</f>
        <v>27.480263157894736</v>
      </c>
      <c r="K1660" s="27">
        <f>AVERAGEIF($A$24:$A$1598, "*Lang-*_Buggy", J$24:J$1598)</f>
        <v>53.123596491228078</v>
      </c>
      <c r="L1660" s="27">
        <f>AVERAGEIF($A$24:$A$1598, "*Lang-*_Buggy", K$24:K$1598)</f>
        <v>0.29295614035087725</v>
      </c>
      <c r="M1660" s="27">
        <f>AVERAGEIF($A$24:$A$1598, "*Lang-*_Buggy", L$24:L$1598)</f>
        <v>2.9236842105263137E-2</v>
      </c>
      <c r="N1660" s="27">
        <f>AVERAGEIF($A$24:$A$1598, "*Lang-*_Buggy", M$24:M$1598)</f>
        <v>14.325315789473686</v>
      </c>
      <c r="O1660" s="27">
        <f>AVERAGEIF($A$24:$A$1598, "*Lang-*_Buggy", N$24:N$1598)</f>
        <v>0.79530526315789463</v>
      </c>
    </row>
    <row r="1661" spans="1:33" x14ac:dyDescent="0.35">
      <c r="A1661" s="1">
        <f>COUNTIF($A$24:$A$1598, "*Lang*Fixed")</f>
        <v>114</v>
      </c>
      <c r="B1661" s="1" t="s">
        <v>1677</v>
      </c>
      <c r="C1661" s="27">
        <f>AVERAGEIF($A$24:$A$1598, "*Lang-*_Fixed", B$24:B$1598)</f>
        <v>4.075263157894736</v>
      </c>
      <c r="D1661" s="27">
        <f>AVERAGEIF($A$24:$A$1598, "*Lang-*_Fixed", C$24:C$1598)</f>
        <v>77.687105263157903</v>
      </c>
      <c r="E1661" s="27">
        <f>AVERAGEIF($A$24:$A$1598, "*Lang-*_Fixed", D$24:D$1598)</f>
        <v>16.403245614035082</v>
      </c>
      <c r="F1661" s="27">
        <f>AVERAGEIF($A$24:$A$1598, "*Lang-*_Fixed", E$24:E$1598)</f>
        <v>6.5173684210526295</v>
      </c>
      <c r="G1661" s="27">
        <f>AVERAGEIF($A$24:$A$1598, "*Lang-*_Fixed", F$24:F$1598)</f>
        <v>11.701578947368422</v>
      </c>
      <c r="H1661" s="27">
        <f>AVERAGEIF($A$24:$A$1598, "*Lang-*_Fixed", G$24:G$1598)</f>
        <v>4.1381578947368425</v>
      </c>
      <c r="I1661" s="27">
        <f>AVERAGEIF($A$24:$A$1598, "*Lang-*_Fixed", H$24:H$1598)</f>
        <v>10.655263157894739</v>
      </c>
      <c r="J1661" s="27">
        <f>AVERAGEIF($A$24:$A$1598, "*Lang-*_Fixed", I$24:I$1598)</f>
        <v>28.106140350877201</v>
      </c>
      <c r="K1661" s="27">
        <f>AVERAGEIF($A$24:$A$1598, "*Lang-*_Fixed", J$24:J$1598)</f>
        <v>54.17552631578949</v>
      </c>
      <c r="L1661" s="27">
        <f>AVERAGEIF($A$24:$A$1598, "*Lang-*_Fixed", K$24:K$1598)</f>
        <v>0.29593859649122811</v>
      </c>
      <c r="M1661" s="27">
        <f>AVERAGEIF($A$24:$A$1598, "*Lang-*_Fixed", L$24:L$1598)</f>
        <v>2.9236842105263137E-2</v>
      </c>
      <c r="N1661" s="27">
        <f>AVERAGEIF($A$24:$A$1598, "*Lang-*_Fixed", M$24:M$1598)</f>
        <v>14.483736842105264</v>
      </c>
      <c r="O1661" s="27">
        <f>AVERAGEIF($A$24:$A$1598, "*Lang-*_Fixed", N$24:N$1598)</f>
        <v>0.80407719298245606</v>
      </c>
    </row>
    <row r="1662" spans="1:33" x14ac:dyDescent="0.35">
      <c r="A1662" s="1">
        <f>COUNTIF($A$24:$A$1598, "*Lang*Repaired")</f>
        <v>114</v>
      </c>
      <c r="B1662" s="1" t="s">
        <v>1678</v>
      </c>
      <c r="C1662" s="27">
        <f>AVERAGEIF($A$24:$A$1598, "*Lang-*_Repaired", B$24:B$1598)</f>
        <v>3.9649999999999985</v>
      </c>
      <c r="D1662" s="27">
        <f>AVERAGEIF($A$24:$A$1598, "*Lang-*_Repaired", C$24:C$1598)</f>
        <v>77.765175438596529</v>
      </c>
      <c r="E1662" s="27">
        <f>AVERAGEIF($A$24:$A$1598, "*Lang-*_Repaired", D$24:D$1598)</f>
        <v>16.161403508771929</v>
      </c>
      <c r="F1662" s="27">
        <f>AVERAGEIF($A$24:$A$1598, "*Lang-*_Repaired", E$24:E$1598)</f>
        <v>6.4428947368421063</v>
      </c>
      <c r="G1662" s="27">
        <f>AVERAGEIF($A$24:$A$1598, "*Lang-*_Repaired", F$24:F$1598)</f>
        <v>11.335175438596487</v>
      </c>
      <c r="H1662" s="27">
        <f>AVERAGEIF($A$24:$A$1598, "*Lang-*_Repaired", G$24:G$1598)</f>
        <v>4.1216666666666661</v>
      </c>
      <c r="I1662" s="27">
        <f>AVERAGEIF($A$24:$A$1598, "*Lang-*_Repaired", H$24:H$1598)</f>
        <v>10.564298245614035</v>
      </c>
      <c r="J1662" s="27">
        <f>AVERAGEIF($A$24:$A$1598, "*Lang-*_Repaired", I$24:I$1598)</f>
        <v>27.496578947368427</v>
      </c>
      <c r="K1662" s="27">
        <f>AVERAGEIF($A$24:$A$1598, "*Lang-*_Repaired", J$24:J$1598)</f>
        <v>53.263596491228078</v>
      </c>
      <c r="L1662" s="27">
        <f>AVERAGEIF($A$24:$A$1598, "*Lang-*_Repaired", K$24:K$1598)</f>
        <v>0.30427192982456147</v>
      </c>
      <c r="M1662" s="27">
        <f>AVERAGEIF($A$24:$A$1598, "*Lang-*_Repaired", L$24:L$1598)</f>
        <v>3.0201754385964889E-2</v>
      </c>
      <c r="N1662" s="27">
        <f>AVERAGEIF($A$24:$A$1598, "*Lang-*_Repaired", M$24:M$1598)</f>
        <v>14.80487719298246</v>
      </c>
      <c r="O1662" s="27">
        <f>AVERAGEIF($A$24:$A$1598, "*Lang-*_Repaired", N$24:N$1598)</f>
        <v>0.82188421052631577</v>
      </c>
    </row>
    <row r="1663" spans="1:33" ht="15" x14ac:dyDescent="0.35">
      <c r="A1663" s="37" t="s">
        <v>1698</v>
      </c>
      <c r="C1663" s="47" t="s">
        <v>1693</v>
      </c>
      <c r="D1663" s="45"/>
      <c r="E1663" s="45"/>
      <c r="F1663" s="45"/>
      <c r="G1663" s="47" t="s">
        <v>1693</v>
      </c>
      <c r="H1663" s="45"/>
      <c r="I1663" s="45"/>
      <c r="J1663" s="45"/>
      <c r="K1663" s="45"/>
      <c r="L1663" s="45"/>
      <c r="M1663" s="45"/>
      <c r="N1663" s="45"/>
      <c r="O1663" s="48"/>
    </row>
    <row r="1664" spans="1:33" ht="28.8" x14ac:dyDescent="0.35">
      <c r="B1664" s="14" t="s">
        <v>1335</v>
      </c>
      <c r="C1664" s="46" t="s">
        <v>1296</v>
      </c>
      <c r="D1664" s="46" t="s">
        <v>1297</v>
      </c>
      <c r="E1664" s="46" t="s">
        <v>1298</v>
      </c>
      <c r="F1664" s="46" t="s">
        <v>21</v>
      </c>
      <c r="G1664" s="46" t="s">
        <v>1299</v>
      </c>
      <c r="H1664" s="46" t="s">
        <v>22</v>
      </c>
      <c r="I1664" s="46" t="s">
        <v>1300</v>
      </c>
      <c r="J1664" s="46" t="s">
        <v>1301</v>
      </c>
      <c r="K1664" s="46" t="s">
        <v>1302</v>
      </c>
      <c r="L1664" s="46" t="s">
        <v>1303</v>
      </c>
      <c r="M1664" s="46" t="s">
        <v>1304</v>
      </c>
      <c r="N1664" s="46" t="s">
        <v>1305</v>
      </c>
      <c r="O1664" s="46" t="s">
        <v>1306</v>
      </c>
    </row>
    <row r="1665" spans="1:15" x14ac:dyDescent="0.35">
      <c r="A1665" s="1">
        <f>COUNTIF($A$24:$A$1598, "*Math*Buggy")</f>
        <v>195</v>
      </c>
      <c r="B1665" s="1" t="s">
        <v>1679</v>
      </c>
      <c r="C1665" s="27">
        <f>AVERAGEIF($A$24:$A$1598, "*Math-*_Buggy", B$24:B$1598)</f>
        <v>3.4262051282051282</v>
      </c>
      <c r="D1665" s="27">
        <f>AVERAGEIF($A$24:$A$1598, "*Math-*_Buggy", C$24:C$1598)</f>
        <v>78.042256410256385</v>
      </c>
      <c r="E1665" s="27">
        <f>AVERAGEIF($A$24:$A$1598, "*Math-*_Buggy", D$24:D$1598)</f>
        <v>20.374461538461549</v>
      </c>
      <c r="F1665" s="27">
        <f>AVERAGEIF($A$24:$A$1598, "*Math-*_Buggy", E$24:E$1598)</f>
        <v>6.7673333333333341</v>
      </c>
      <c r="G1665" s="27">
        <f>AVERAGEIF($A$24:$A$1598, "*Math-*_Buggy", F$24:F$1598)</f>
        <v>15.485692307692306</v>
      </c>
      <c r="H1665" s="27">
        <f>AVERAGEIF($A$24:$A$1598, "*Math-*_Buggy", G$24:G$1598)</f>
        <v>4.5667692307692347</v>
      </c>
      <c r="I1665" s="27">
        <f>AVERAGEIF($A$24:$A$1598, "*Math-*_Buggy", H$24:H$1598)</f>
        <v>11.334666666666656</v>
      </c>
      <c r="J1665" s="27">
        <f>AVERAGEIF($A$24:$A$1598, "*Math-*_Buggy", I$24:I$1598)</f>
        <v>35.859230769230734</v>
      </c>
      <c r="K1665" s="27">
        <f>AVERAGEIF($A$24:$A$1598, "*Math-*_Buggy", J$24:J$1598)</f>
        <v>60.888256410256396</v>
      </c>
      <c r="L1665" s="27">
        <f>AVERAGEIF($A$24:$A$1598, "*Math-*_Buggy", K$24:K$1598)</f>
        <v>0.51323589743589793</v>
      </c>
      <c r="M1665" s="27">
        <f>AVERAGEIF($A$24:$A$1598, "*Math-*_Buggy", L$24:L$1598)</f>
        <v>9.8297435897435947E-2</v>
      </c>
      <c r="N1665" s="27">
        <f>AVERAGEIF($A$24:$A$1598, "*Math-*_Buggy", M$24:M$1598)</f>
        <v>63.813169230769233</v>
      </c>
      <c r="O1665" s="27">
        <f>AVERAGEIF($A$24:$A$1598, "*Math-*_Buggy", N$24:N$1598)</f>
        <v>3.5454420512820506</v>
      </c>
    </row>
    <row r="1666" spans="1:15" x14ac:dyDescent="0.35">
      <c r="A1666" s="1">
        <f>COUNTIF($A$24:$A$1598, "*Math*Fixed")</f>
        <v>195</v>
      </c>
      <c r="B1666" s="1" t="s">
        <v>1680</v>
      </c>
      <c r="C1666" s="27">
        <f>AVERAGEIF($A$24:$A$1598, "*Math-*_Fixed", B$24:B$1598)</f>
        <v>3.4678461538461565</v>
      </c>
      <c r="D1666" s="27">
        <f>AVERAGEIF($A$24:$A$1598, "*Math-*_Fixed", C$24:C$1598)</f>
        <v>77.937846153846166</v>
      </c>
      <c r="E1666" s="27">
        <f>AVERAGEIF($A$24:$A$1598, "*Math-*_Fixed", D$24:D$1598)</f>
        <v>20.564256410256419</v>
      </c>
      <c r="F1666" s="27">
        <f>AVERAGEIF($A$24:$A$1598, "*Math-*_Fixed", E$24:E$1598)</f>
        <v>6.8213333333333335</v>
      </c>
      <c r="G1666" s="27">
        <f>AVERAGEIF($A$24:$A$1598, "*Math-*_Fixed", F$24:F$1598)</f>
        <v>15.597435897435906</v>
      </c>
      <c r="H1666" s="27">
        <f>AVERAGEIF($A$24:$A$1598, "*Math-*_Fixed", G$24:G$1598)</f>
        <v>4.6223589743589759</v>
      </c>
      <c r="I1666" s="27">
        <f>AVERAGEIF($A$24:$A$1598, "*Math-*_Fixed", H$24:H$1598)</f>
        <v>11.44446153846153</v>
      </c>
      <c r="J1666" s="27">
        <f>AVERAGEIF($A$24:$A$1598, "*Math-*_Fixed", I$24:I$1598)</f>
        <v>36.160307692307647</v>
      </c>
      <c r="K1666" s="27">
        <f>AVERAGEIF($A$24:$A$1598, "*Math-*_Fixed", J$24:J$1598)</f>
        <v>61.678512820512829</v>
      </c>
      <c r="L1666" s="27">
        <f>AVERAGEIF($A$24:$A$1598, "*Math-*_Fixed", K$24:K$1598)</f>
        <v>0.52260000000000062</v>
      </c>
      <c r="M1666" s="27">
        <f>AVERAGEIF($A$24:$A$1598, "*Math-*_Fixed", L$24:L$1598)</f>
        <v>9.8933333333333373E-2</v>
      </c>
      <c r="N1666" s="27">
        <f>AVERAGEIF($A$24:$A$1598, "*Math-*_Fixed", M$24:M$1598)</f>
        <v>64.408605128205139</v>
      </c>
      <c r="O1666" s="27">
        <f>AVERAGEIF($A$24:$A$1598, "*Math-*_Fixed", N$24:N$1598)</f>
        <v>3.5786061538461529</v>
      </c>
    </row>
    <row r="1667" spans="1:15" x14ac:dyDescent="0.35">
      <c r="A1667" s="1">
        <f>COUNTIF($A$24:$A$1598, "*Math*Repaired")</f>
        <v>195</v>
      </c>
      <c r="B1667" s="1" t="s">
        <v>1681</v>
      </c>
      <c r="C1667" s="27">
        <f>AVERAGEIF($A$24:$A$1598, "*Math-*_Repaired", B$24:B$1598)</f>
        <v>3.4405128205128221</v>
      </c>
      <c r="D1667" s="27">
        <f>AVERAGEIF($A$24:$A$1598, "*Math-*_Repaired", C$24:C$1598)</f>
        <v>77.949025641025585</v>
      </c>
      <c r="E1667" s="27">
        <f>AVERAGEIF($A$24:$A$1598, "*Math-*_Repaired", D$24:D$1598)</f>
        <v>20.28861538461539</v>
      </c>
      <c r="F1667" s="27">
        <f>AVERAGEIF($A$24:$A$1598, "*Math-*_Repaired", E$24:E$1598)</f>
        <v>6.7808205128205126</v>
      </c>
      <c r="G1667" s="27">
        <f>AVERAGEIF($A$24:$A$1598, "*Math-*_Repaired", F$24:F$1598)</f>
        <v>15.46466666666667</v>
      </c>
      <c r="H1667" s="27">
        <f>AVERAGEIF($A$24:$A$1598, "*Math-*_Repaired", G$24:G$1598)</f>
        <v>4.6106666666666696</v>
      </c>
      <c r="I1667" s="27">
        <f>AVERAGEIF($A$24:$A$1598, "*Math-*_Repaired", H$24:H$1598)</f>
        <v>11.391948717948715</v>
      </c>
      <c r="J1667" s="27">
        <f>AVERAGEIF($A$24:$A$1598, "*Math-*_Repaired", I$24:I$1598)</f>
        <v>35.753333333333316</v>
      </c>
      <c r="K1667" s="27">
        <f>AVERAGEIF($A$24:$A$1598, "*Math-*_Repaired", J$24:J$1598)</f>
        <v>61.108769230769205</v>
      </c>
      <c r="L1667" s="27">
        <f>AVERAGEIF($A$24:$A$1598, "*Math-*_Repaired", K$24:K$1598)</f>
        <v>0.5275435897435905</v>
      </c>
      <c r="M1667" s="27">
        <f>AVERAGEIF($A$24:$A$1598, "*Math-*_Repaired", L$24:L$1598)</f>
        <v>0.10011282051282054</v>
      </c>
      <c r="N1667" s="27">
        <f>AVERAGEIF($A$24:$A$1598, "*Math-*_Repaired", M$24:M$1598)</f>
        <v>64.392194871794871</v>
      </c>
      <c r="O1667" s="27">
        <f>AVERAGEIF($A$24:$A$1598, "*Math-*_Repaired", N$24:N$1598)</f>
        <v>3.5775958974358963</v>
      </c>
    </row>
    <row r="1668" spans="1:15" ht="15" x14ac:dyDescent="0.35">
      <c r="A1668" s="37" t="s">
        <v>1698</v>
      </c>
      <c r="C1668" s="45"/>
      <c r="D1668" s="45"/>
      <c r="E1668" s="47" t="s">
        <v>1693</v>
      </c>
      <c r="F1668" s="45"/>
      <c r="G1668" s="47"/>
      <c r="H1668" s="47" t="s">
        <v>1693</v>
      </c>
      <c r="I1668" s="47" t="s">
        <v>1693</v>
      </c>
      <c r="J1668" s="45"/>
      <c r="K1668" s="45"/>
      <c r="L1668" s="45"/>
      <c r="M1668" s="45"/>
      <c r="N1668" s="45"/>
      <c r="O1668" s="48"/>
    </row>
    <row r="1669" spans="1:15" ht="28.8" x14ac:dyDescent="0.35">
      <c r="B1669" s="14" t="s">
        <v>1335</v>
      </c>
      <c r="C1669" s="46" t="s">
        <v>1296</v>
      </c>
      <c r="D1669" s="46" t="s">
        <v>1297</v>
      </c>
      <c r="E1669" s="46" t="s">
        <v>1298</v>
      </c>
      <c r="F1669" s="46" t="s">
        <v>21</v>
      </c>
      <c r="G1669" s="46" t="s">
        <v>1299</v>
      </c>
      <c r="H1669" s="46" t="s">
        <v>22</v>
      </c>
      <c r="I1669" s="46" t="s">
        <v>1300</v>
      </c>
      <c r="J1669" s="46" t="s">
        <v>1301</v>
      </c>
      <c r="K1669" s="46" t="s">
        <v>1302</v>
      </c>
      <c r="L1669" s="46" t="s">
        <v>1303</v>
      </c>
      <c r="M1669" s="46" t="s">
        <v>1304</v>
      </c>
      <c r="N1669" s="46" t="s">
        <v>1305</v>
      </c>
      <c r="O1669" s="46" t="s">
        <v>1306</v>
      </c>
    </row>
    <row r="1670" spans="1:15" x14ac:dyDescent="0.35">
      <c r="A1670" s="1">
        <f>COUNTIF($A$24:$A$1598, "*Mockito*Buggy")</f>
        <v>7</v>
      </c>
      <c r="B1670" s="1" t="s">
        <v>1682</v>
      </c>
      <c r="C1670" s="27">
        <f>AVERAGEIF($A$24:$A$1598, "*Mockito-*_Buggy", B$24:B$1598)</f>
        <v>2.2485714285714287</v>
      </c>
      <c r="D1670" s="27">
        <f>AVERAGEIF($A$24:$A$1598, "*Mockito-*_Buggy", C$24:C$1598)</f>
        <v>83.429999999999993</v>
      </c>
      <c r="E1670" s="27">
        <f>AVERAGEIF($A$24:$A$1598, "*Mockito-*_Buggy", D$24:D$1598)</f>
        <v>7.0357142857142856</v>
      </c>
      <c r="F1670" s="27">
        <f>AVERAGEIF($A$24:$A$1598, "*Mockito-*_Buggy", E$24:E$1598)</f>
        <v>3.8228571428571425</v>
      </c>
      <c r="G1670" s="27">
        <f>AVERAGEIF($A$24:$A$1598, "*Mockito-*_Buggy", F$24:F$1598)</f>
        <v>4.6071428571428568</v>
      </c>
      <c r="H1670" s="27">
        <f>AVERAGEIF($A$24:$A$1598, "*Mockito-*_Buggy", G$24:G$1598)</f>
        <v>2.2485714285714287</v>
      </c>
      <c r="I1670" s="27">
        <f>AVERAGEIF($A$24:$A$1598, "*Mockito-*_Buggy", H$24:H$1598)</f>
        <v>6.0714285714285712</v>
      </c>
      <c r="J1670" s="27">
        <f>AVERAGEIF($A$24:$A$1598, "*Mockito-*_Buggy", I$24:I$1598)</f>
        <v>11.642857142857142</v>
      </c>
      <c r="K1670" s="27">
        <f>AVERAGEIF($A$24:$A$1598, "*Mockito-*_Buggy", J$24:J$1598)</f>
        <v>22.495714285714286</v>
      </c>
      <c r="L1670" s="27">
        <f>AVERAGEIF($A$24:$A$1598, "*Mockito-*_Buggy", K$24:K$1598)</f>
        <v>0.21428571428571427</v>
      </c>
      <c r="M1670" s="27">
        <f>AVERAGEIF($A$24:$A$1598, "*Mockito-*_Buggy", L$24:L$1598)</f>
        <v>5.1428571428571428E-2</v>
      </c>
      <c r="N1670" s="27">
        <f>AVERAGEIF($A$24:$A$1598, "*Mockito-*_Buggy", M$24:M$1598)</f>
        <v>3.8571428571428572</v>
      </c>
      <c r="O1670" s="27">
        <f>AVERAGEIF($A$24:$A$1598, "*Mockito-*_Buggy", N$24:N$1598)</f>
        <v>0.21428571428571427</v>
      </c>
    </row>
    <row r="1671" spans="1:15" x14ac:dyDescent="0.35">
      <c r="A1671" s="1">
        <f>COUNTIF($A$24:$A$1598, "*Mockito*Fixed")</f>
        <v>7</v>
      </c>
      <c r="B1671" s="1" t="s">
        <v>1683</v>
      </c>
      <c r="C1671" s="29">
        <f>AVERAGEIF($A$24:$A$1598, "*Mockito-*_Fixed", B$24:B$1598)</f>
        <v>2.5014285714285713</v>
      </c>
      <c r="D1671" s="29">
        <f>AVERAGEIF($A$24:$A$1598, "*Mockito-*_Fixed", C$24:C$1598)</f>
        <v>83.070000000000007</v>
      </c>
      <c r="E1671" s="29">
        <f>AVERAGEIF($A$24:$A$1598, "*Mockito-*_Fixed", D$24:D$1598)</f>
        <v>7.4300000000000006</v>
      </c>
      <c r="F1671" s="29">
        <f>AVERAGEIF($A$24:$A$1598, "*Mockito-*_Fixed", E$24:E$1598)</f>
        <v>4.0714285714285712</v>
      </c>
      <c r="G1671" s="29">
        <f>AVERAGEIF($A$24:$A$1598, "*Mockito-*_Fixed", F$24:F$1598)</f>
        <v>4.8557142857142859</v>
      </c>
      <c r="H1671" s="29">
        <f>AVERAGEIF($A$24:$A$1598, "*Mockito-*_Fixed", G$24:G$1598)</f>
        <v>2.5014285714285713</v>
      </c>
      <c r="I1671" s="29">
        <f>AVERAGEIF($A$24:$A$1598, "*Mockito-*_Fixed", H$24:H$1598)</f>
        <v>6.5728571428571438</v>
      </c>
      <c r="J1671" s="29">
        <f>AVERAGEIF($A$24:$A$1598, "*Mockito-*_Fixed", I$24:I$1598)</f>
        <v>12.285714285714286</v>
      </c>
      <c r="K1671" s="29">
        <f>AVERAGEIF($A$24:$A$1598, "*Mockito-*_Fixed", J$24:J$1598)</f>
        <v>24.69</v>
      </c>
      <c r="L1671" s="29">
        <f>AVERAGEIF($A$24:$A$1598, "*Mockito-*_Fixed", K$24:K$1598)</f>
        <v>0.21428571428571427</v>
      </c>
      <c r="M1671" s="29">
        <f>AVERAGEIF($A$24:$A$1598, "*Mockito-*_Fixed", L$24:L$1598)</f>
        <v>5.1428571428571428E-2</v>
      </c>
      <c r="N1671" s="29">
        <f>AVERAGEIF($A$24:$A$1598, "*Mockito-*_Fixed", M$24:M$1598)</f>
        <v>3.8571428571428572</v>
      </c>
      <c r="O1671" s="29">
        <f>AVERAGEIF($A$24:$A$1598, "*Mockito-*_Fixed", N$24:N$1598)</f>
        <v>0.21428571428571427</v>
      </c>
    </row>
    <row r="1672" spans="1:15" x14ac:dyDescent="0.35">
      <c r="A1672" s="1">
        <f>COUNTIF($A$24:$A$1598, "*Mockito*Repaired")</f>
        <v>7</v>
      </c>
      <c r="B1672" s="1" t="s">
        <v>1684</v>
      </c>
      <c r="C1672" s="29">
        <f>AVERAGEIF($A$24:$A$1598, "*Mockito-*_Repaired", B$24:B$1598)</f>
        <v>2.5014285714285713</v>
      </c>
      <c r="D1672" s="29">
        <f>AVERAGEIF($A$24:$A$1598, "*Mockito-*_Repaired", C$24:C$1598)</f>
        <v>81.141428571428577</v>
      </c>
      <c r="E1672" s="29">
        <f>AVERAGEIF($A$24:$A$1598, "*Mockito-*_Repaired", D$24:D$1598)</f>
        <v>7.1771428571428562</v>
      </c>
      <c r="F1672" s="29">
        <f>AVERAGEIF($A$24:$A$1598, "*Mockito-*_Repaired", E$24:E$1598)</f>
        <v>4.2128571428571435</v>
      </c>
      <c r="G1672" s="29">
        <f>AVERAGEIF($A$24:$A$1598, "*Mockito-*_Repaired", F$24:F$1598)</f>
        <v>5.1085714285714285</v>
      </c>
      <c r="H1672" s="29">
        <f>AVERAGEIF($A$24:$A$1598, "*Mockito-*_Repaired", G$24:G$1598)</f>
        <v>2.75</v>
      </c>
      <c r="I1672" s="29">
        <f>AVERAGEIF($A$24:$A$1598, "*Mockito-*_Repaired", H$24:H$1598)</f>
        <v>6.9628571428571417</v>
      </c>
      <c r="J1672" s="29">
        <f>AVERAGEIF($A$24:$A$1598, "*Mockito-*_Repaired", I$24:I$1598)</f>
        <v>12.285714285714286</v>
      </c>
      <c r="K1672" s="29">
        <f>AVERAGEIF($A$24:$A$1598, "*Mockito-*_Repaired", J$24:J$1598)</f>
        <v>26.099999999999998</v>
      </c>
      <c r="L1672" s="29">
        <f>AVERAGEIF($A$24:$A$1598, "*Mockito-*_Repaired", K$24:K$1598)</f>
        <v>0.21428571428571427</v>
      </c>
      <c r="M1672" s="29">
        <f>AVERAGEIF($A$24:$A$1598, "*Mockito-*_Repaired", L$24:L$1598)</f>
        <v>5.1428571428571428E-2</v>
      </c>
      <c r="N1672" s="29">
        <f>AVERAGEIF($A$24:$A$1598, "*Mockito-*_Repaired", M$24:M$1598)</f>
        <v>3.8571428571428572</v>
      </c>
      <c r="O1672" s="29">
        <f>AVERAGEIF($A$24:$A$1598, "*Mockito-*_Repaired", N$24:N$1598)</f>
        <v>0.21428571428571427</v>
      </c>
    </row>
    <row r="1673" spans="1:15" ht="15" x14ac:dyDescent="0.35">
      <c r="A1673" s="37"/>
      <c r="C1673" s="45"/>
      <c r="D1673" s="45"/>
      <c r="E1673" s="45"/>
      <c r="F1673" s="45"/>
      <c r="G1673" s="45"/>
      <c r="H1673" s="45"/>
      <c r="I1673" s="45"/>
      <c r="J1673" s="45"/>
      <c r="K1673" s="45"/>
      <c r="L1673" s="45"/>
      <c r="M1673" s="45"/>
      <c r="N1673" s="45"/>
      <c r="O1673" s="48"/>
    </row>
    <row r="1674" spans="1:15" ht="28.8" x14ac:dyDescent="0.35">
      <c r="B1674" s="14" t="s">
        <v>1335</v>
      </c>
      <c r="C1674" s="46" t="s">
        <v>1296</v>
      </c>
      <c r="D1674" s="46" t="s">
        <v>1297</v>
      </c>
      <c r="E1674" s="46" t="s">
        <v>1298</v>
      </c>
      <c r="F1674" s="46" t="s">
        <v>21</v>
      </c>
      <c r="G1674" s="46" t="s">
        <v>1299</v>
      </c>
      <c r="H1674" s="46" t="s">
        <v>22</v>
      </c>
      <c r="I1674" s="46" t="s">
        <v>1300</v>
      </c>
      <c r="J1674" s="46" t="s">
        <v>1301</v>
      </c>
      <c r="K1674" s="46" t="s">
        <v>1302</v>
      </c>
      <c r="L1674" s="46" t="s">
        <v>1303</v>
      </c>
      <c r="M1674" s="46" t="s">
        <v>1304</v>
      </c>
      <c r="N1674" s="46" t="s">
        <v>1305</v>
      </c>
      <c r="O1674" s="46" t="s">
        <v>1306</v>
      </c>
    </row>
    <row r="1675" spans="1:15" x14ac:dyDescent="0.35">
      <c r="A1675" s="1">
        <f>COUNTIF($A$24:$A$1598, "*Time*Buggy")</f>
        <v>3</v>
      </c>
      <c r="B1675" s="1" t="s">
        <v>1685</v>
      </c>
      <c r="C1675" s="27">
        <f>AVERAGEIF($A$24:$A$1598, "*Time-*_Buggy", B$24:B$1598)</f>
        <v>2.5</v>
      </c>
      <c r="D1675" s="27">
        <f>AVERAGEIF($A$24:$A$1598, "*Time-*_Buggy", C$24:C$1598)</f>
        <v>81.606666666666669</v>
      </c>
      <c r="E1675" s="27">
        <f>AVERAGEIF($A$24:$A$1598, "*Time-*_Buggy", D$24:D$1598)</f>
        <v>13.269999999999998</v>
      </c>
      <c r="F1675" s="27">
        <f>AVERAGEIF($A$24:$A$1598, "*Time-*_Buggy", E$24:E$1598)</f>
        <v>4.956666666666667</v>
      </c>
      <c r="G1675" s="27">
        <f>AVERAGEIF($A$24:$A$1598, "*Time-*_Buggy", F$24:F$1598)</f>
        <v>8.1333333333333329</v>
      </c>
      <c r="H1675" s="27">
        <f>AVERAGEIF($A$24:$A$1598, "*Time-*_Buggy", G$24:G$1598)</f>
        <v>3.8066666666666666</v>
      </c>
      <c r="I1675" s="27">
        <f>AVERAGEIF($A$24:$A$1598, "*Time-*_Buggy", H$24:H$1598)</f>
        <v>8.7633333333333336</v>
      </c>
      <c r="J1675" s="27">
        <f>AVERAGEIF($A$24:$A$1598, "*Time-*_Buggy", I$24:I$1598)</f>
        <v>21.400000000000002</v>
      </c>
      <c r="K1675" s="27">
        <f>AVERAGEIF($A$24:$A$1598, "*Time-*_Buggy", J$24:J$1598)</f>
        <v>40.943333333333335</v>
      </c>
      <c r="L1675" s="27">
        <f>AVERAGEIF($A$24:$A$1598, "*Time-*_Buggy", K$24:K$1598)</f>
        <v>1.3666666666666667E-2</v>
      </c>
      <c r="M1675" s="27">
        <f>AVERAGEIF($A$24:$A$1598, "*Time-*_Buggy", L$24:L$1598)</f>
        <v>1.3666666666666667E-2</v>
      </c>
      <c r="N1675" s="27">
        <f>AVERAGEIF($A$24:$A$1598, "*Time-*_Buggy", M$24:M$1598)</f>
        <v>0.12666666666666668</v>
      </c>
      <c r="O1675" s="27">
        <f>AVERAGEIF($A$24:$A$1598, "*Time-*_Buggy", N$24:N$1598)</f>
        <v>7.0000000000000001E-3</v>
      </c>
    </row>
    <row r="1676" spans="1:15" x14ac:dyDescent="0.35">
      <c r="A1676" s="1">
        <f>COUNTIF($A$24:$A$1598, "*Time*Fixed")</f>
        <v>3</v>
      </c>
      <c r="B1676" s="1" t="s">
        <v>1686</v>
      </c>
      <c r="C1676" s="29">
        <f>AVERAGEIF($A$24:$A$1598, "*Time-*_Fixed", B$24:B$1598)</f>
        <v>2.5933333333333337</v>
      </c>
      <c r="D1676" s="29">
        <f>AVERAGEIF($A$24:$A$1598, "*Time-*_Fixed", C$24:C$1598)</f>
        <v>81.426666666666662</v>
      </c>
      <c r="E1676" s="29">
        <f>AVERAGEIF($A$24:$A$1598, "*Time-*_Fixed", D$24:D$1598)</f>
        <v>13.776666666666666</v>
      </c>
      <c r="F1676" s="29">
        <f>AVERAGEIF($A$24:$A$1598, "*Time-*_Fixed", E$24:E$1598)</f>
        <v>5.043333333333333</v>
      </c>
      <c r="G1676" s="29">
        <f>AVERAGEIF($A$24:$A$1598, "*Time-*_Fixed", F$24:F$1598)</f>
        <v>8.5666666666666664</v>
      </c>
      <c r="H1676" s="29">
        <f>AVERAGEIF($A$24:$A$1598, "*Time-*_Fixed", G$24:G$1598)</f>
        <v>3.9499999999999997</v>
      </c>
      <c r="I1676" s="29">
        <f>AVERAGEIF($A$24:$A$1598, "*Time-*_Fixed", H$24:H$1598)</f>
        <v>8.9933333333333323</v>
      </c>
      <c r="J1676" s="29">
        <f>AVERAGEIF($A$24:$A$1598, "*Time-*_Fixed", I$24:I$1598)</f>
        <v>22.343333333333334</v>
      </c>
      <c r="K1676" s="29">
        <f>AVERAGEIF($A$24:$A$1598, "*Time-*_Fixed", J$24:J$1598)</f>
        <v>42.800000000000004</v>
      </c>
      <c r="L1676" s="29">
        <f>AVERAGEIF($A$24:$A$1598, "*Time-*_Fixed", K$24:K$1598)</f>
        <v>1.3666666666666667E-2</v>
      </c>
      <c r="M1676" s="29">
        <f>AVERAGEIF($A$24:$A$1598, "*Time-*_Fixed", L$24:L$1598)</f>
        <v>1.3666666666666667E-2</v>
      </c>
      <c r="N1676" s="29">
        <f>AVERAGEIF($A$24:$A$1598, "*Time-*_Fixed", M$24:M$1598)</f>
        <v>0.12666666666666668</v>
      </c>
      <c r="O1676" s="29">
        <f>AVERAGEIF($A$24:$A$1598, "*Time-*_Fixed", N$24:N$1598)</f>
        <v>7.0000000000000001E-3</v>
      </c>
    </row>
    <row r="1677" spans="1:15" x14ac:dyDescent="0.35">
      <c r="A1677" s="1">
        <f>COUNTIF($A$24:$A$1598, "*Time*Repaired")</f>
        <v>3</v>
      </c>
      <c r="B1677" s="1" t="s">
        <v>1687</v>
      </c>
      <c r="C1677" s="29">
        <f>AVERAGEIF($A$24:$A$1598, "*Time-*_Repaired", B$24:B$1598)</f>
        <v>2.5466666666666669</v>
      </c>
      <c r="D1677" s="29">
        <f>AVERAGEIF($A$24:$A$1598, "*Time-*_Repaired", C$24:C$1598)</f>
        <v>81.61666666666666</v>
      </c>
      <c r="E1677" s="29">
        <f>AVERAGEIF($A$24:$A$1598, "*Time-*_Repaired", D$24:D$1598)</f>
        <v>13.213333333333333</v>
      </c>
      <c r="F1677" s="29">
        <f>AVERAGEIF($A$24:$A$1598, "*Time-*_Repaired", E$24:E$1598)</f>
        <v>4.9366666666666665</v>
      </c>
      <c r="G1677" s="29">
        <f>AVERAGEIF($A$24:$A$1598, "*Time-*_Repaired", F$24:F$1598)</f>
        <v>8.2933333333333348</v>
      </c>
      <c r="H1677" s="29">
        <f>AVERAGEIF($A$24:$A$1598, "*Time-*_Repaired", G$24:G$1598)</f>
        <v>3.9600000000000004</v>
      </c>
      <c r="I1677" s="29">
        <f>AVERAGEIF($A$24:$A$1598, "*Time-*_Repaired", H$24:H$1598)</f>
        <v>8.9</v>
      </c>
      <c r="J1677" s="29">
        <f>AVERAGEIF($A$24:$A$1598, "*Time-*_Repaired", I$24:I$1598)</f>
        <v>21.506666666666664</v>
      </c>
      <c r="K1677" s="29">
        <f>AVERAGEIF($A$24:$A$1598, "*Time-*_Repaired", J$24:J$1598)</f>
        <v>41.823333333333331</v>
      </c>
      <c r="L1677" s="29">
        <f>AVERAGEIF($A$24:$A$1598, "*Time-*_Repaired", K$24:K$1598)</f>
        <v>1.3666666666666667E-2</v>
      </c>
      <c r="M1677" s="29">
        <f>AVERAGEIF($A$24:$A$1598, "*Time-*_Repaired", L$24:L$1598)</f>
        <v>1.3666666666666667E-2</v>
      </c>
      <c r="N1677" s="29">
        <f>AVERAGEIF($A$24:$A$1598, "*Time-*_Repaired", M$24:M$1598)</f>
        <v>0.12666666666666668</v>
      </c>
      <c r="O1677" s="29">
        <f>AVERAGEIF($A$24:$A$1598, "*Time-*_Repaired", N$24:N$1598)</f>
        <v>7.0000000000000001E-3</v>
      </c>
    </row>
    <row r="1678" spans="1:15" ht="15" x14ac:dyDescent="0.35">
      <c r="A1678" s="37"/>
      <c r="O1678"/>
    </row>
    <row r="1679" spans="1:15" ht="15" x14ac:dyDescent="0.35">
      <c r="O1679"/>
    </row>
    <row r="1680" spans="1:15" x14ac:dyDescent="0.35">
      <c r="A1680" s="33" t="s">
        <v>1336</v>
      </c>
      <c r="B1680" s="28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28"/>
    </row>
    <row r="1681" spans="1:29" ht="15" x14ac:dyDescent="0.3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</row>
    <row r="1682" spans="1:29" ht="28.8" x14ac:dyDescent="0.35">
      <c r="A1682" s="14" t="s">
        <v>1310</v>
      </c>
      <c r="B1682" s="14" t="s">
        <v>1335</v>
      </c>
      <c r="C1682" s="14" t="s">
        <v>1296</v>
      </c>
      <c r="D1682" s="14" t="s">
        <v>1297</v>
      </c>
      <c r="E1682" s="14" t="s">
        <v>1298</v>
      </c>
      <c r="F1682" s="14" t="s">
        <v>21</v>
      </c>
      <c r="G1682" s="14" t="s">
        <v>1299</v>
      </c>
      <c r="H1682" s="14" t="s">
        <v>22</v>
      </c>
      <c r="I1682" s="14" t="s">
        <v>1300</v>
      </c>
      <c r="J1682" s="14" t="s">
        <v>1301</v>
      </c>
      <c r="K1682" s="14" t="s">
        <v>1302</v>
      </c>
      <c r="L1682" s="14" t="s">
        <v>1303</v>
      </c>
      <c r="M1682" s="14" t="s">
        <v>1304</v>
      </c>
      <c r="N1682" s="14" t="s">
        <v>1305</v>
      </c>
      <c r="O1682" s="14" t="s">
        <v>1306</v>
      </c>
      <c r="Q1682" s="12" t="s">
        <v>1292</v>
      </c>
      <c r="R1682" s="12" t="s">
        <v>1293</v>
      </c>
      <c r="S1682" s="12" t="s">
        <v>1294</v>
      </c>
      <c r="T1682" s="12" t="s">
        <v>1700</v>
      </c>
      <c r="V1682" s="12" t="s">
        <v>1721</v>
      </c>
      <c r="W1682" s="12" t="s">
        <v>1339</v>
      </c>
    </row>
    <row r="1683" spans="1:29" ht="15" x14ac:dyDescent="0.35">
      <c r="A1683" s="1">
        <f>COUNTIF($A$24:$A$1598, "ACS*Fixed")</f>
        <v>19</v>
      </c>
      <c r="B1683" s="1" t="s">
        <v>1311</v>
      </c>
      <c r="C1683" s="27">
        <f>AVERAGEIF($A$24:$A$1598, "ACS*Fixed", B$24:B$1598)</f>
        <v>3.6378947368421053</v>
      </c>
      <c r="D1683" s="27">
        <f>AVERAGEIF($A$24:$A$1598, "ACS*Fixed", C$24:C$1598)</f>
        <v>77.220000000000013</v>
      </c>
      <c r="E1683" s="27">
        <f>AVERAGEIF($A$24:$A$1598, "ACS*Fixed", D$24:D$1598)</f>
        <v>19.461052631578948</v>
      </c>
      <c r="F1683" s="27">
        <f>AVERAGEIF($A$24:$A$1598, "ACS*Fixed", E$24:E$1598)</f>
        <v>6.63578947368421</v>
      </c>
      <c r="G1683" s="27">
        <f>AVERAGEIF($A$24:$A$1598, "ACS*Fixed", F$24:F$1598)</f>
        <v>14.316315789473684</v>
      </c>
      <c r="H1683" s="27">
        <f>AVERAGEIF($A$24:$A$1598, "ACS*Fixed", G$24:G$1598)</f>
        <v>4.7099999999999991</v>
      </c>
      <c r="I1683" s="27">
        <f>AVERAGEIF($A$24:$A$1598, "ACS*Fixed", H$24:H$1598)</f>
        <v>11.346315789473683</v>
      </c>
      <c r="J1683" s="27">
        <f>AVERAGEIF($A$24:$A$1598, "ACS*Fixed", I$24:I$1598)</f>
        <v>33.776315789473678</v>
      </c>
      <c r="K1683" s="27">
        <f>AVERAGEIF($A$24:$A$1598, "ACS*Fixed", J$24:J$1598)</f>
        <v>59.617894736842103</v>
      </c>
      <c r="L1683" s="27">
        <f>AVERAGEIF($A$24:$A$1598, "ACS*Fixed", K$24:K$1598)</f>
        <v>0.38278947368421051</v>
      </c>
      <c r="M1683" s="27">
        <f>AVERAGEIF($A$24:$A$1598, "ACS*Fixed", L$24:L$1598)</f>
        <v>5.5473684210526321E-2</v>
      </c>
      <c r="N1683" s="27">
        <f>AVERAGEIF($A$24:$A$1598, "ACS*Fixed", M$24:M$1598)</f>
        <v>12.57842105263158</v>
      </c>
      <c r="O1683" s="27">
        <f>AVERAGEIF($A$24:$A$1598, "ACS*Fixed", N$24:N$1598)</f>
        <v>0.6986842105263158</v>
      </c>
      <c r="Q1683" s="27">
        <f>AVERAGEIF($A$24:$A$1598, "ACS*Fixed", S$24:S$1598)</f>
        <v>2.1052631578947367</v>
      </c>
      <c r="R1683" s="27">
        <f>AVERAGEIF($A$24:$A$1598, "ACS*Fixed", T$24:T$1598)</f>
        <v>4.1578947368421053</v>
      </c>
      <c r="S1683" s="27">
        <f>AVERAGEIF($A$24:$A$1598, "ACS*Fixed", U$24:U$1598)</f>
        <v>0.94736842105263153</v>
      </c>
      <c r="T1683" s="27">
        <f>AVERAGEIF($A$24:$A$1598, "ACS*Fixed", V$24:V$1598)</f>
        <v>4.3157894736842106</v>
      </c>
      <c r="V1683" s="1">
        <f>N1683+D1683+C1683-C1684-D1684-N1684</f>
        <v>2.0526315789467731E-2</v>
      </c>
      <c r="W1683" s="1" t="s">
        <v>1722</v>
      </c>
      <c r="X1683"/>
      <c r="Y1683"/>
      <c r="Z1683"/>
      <c r="AA1683"/>
      <c r="AB1683"/>
      <c r="AC1683"/>
    </row>
    <row r="1684" spans="1:29" ht="15" thickBot="1" x14ac:dyDescent="0.4">
      <c r="A1684" s="31">
        <f>COUNTIF($A$24:$A$1598, "ACS*Repaired")</f>
        <v>19</v>
      </c>
      <c r="B1684" s="31" t="s">
        <v>1312</v>
      </c>
      <c r="C1684" s="32">
        <f>AVERAGEIF($A$24:$A$1598, "ACS*Repaired", B$24:B$1598)</f>
        <v>3.6494736842105264</v>
      </c>
      <c r="D1684" s="32">
        <f>AVERAGEIF($A$24:$A$1598, "ACS*Repaired", C$24:C$1598)</f>
        <v>76.966842105263183</v>
      </c>
      <c r="E1684" s="32">
        <f>AVERAGEIF($A$24:$A$1598, "ACS*Repaired", D$24:D$1598)</f>
        <v>19.37157894736842</v>
      </c>
      <c r="F1684" s="32">
        <f>AVERAGEIF($A$24:$A$1598, "ACS*Repaired", E$24:E$1598)</f>
        <v>6.7163157894736845</v>
      </c>
      <c r="G1684" s="32">
        <f>AVERAGEIF($A$24:$A$1598, "ACS*Repaired", F$24:F$1598)</f>
        <v>14.276842105263157</v>
      </c>
      <c r="H1684" s="32">
        <f>AVERAGEIF($A$24:$A$1598, "ACS*Repaired", G$24:G$1598)</f>
        <v>4.8273684210526318</v>
      </c>
      <c r="I1684" s="32">
        <f>AVERAGEIF($A$24:$A$1598, "ACS*Repaired", H$24:H$1598)</f>
        <v>11.544210526315791</v>
      </c>
      <c r="J1684" s="32">
        <f>AVERAGEIF($A$24:$A$1598, "ACS*Repaired", I$24:I$1598)</f>
        <v>33.647368421052626</v>
      </c>
      <c r="K1684" s="32">
        <f>AVERAGEIF($A$24:$A$1598, "ACS*Repaired", J$24:J$1598)</f>
        <v>60.594736842105263</v>
      </c>
      <c r="L1684" s="32">
        <f>AVERAGEIF($A$24:$A$1598, "ACS*Repaired", K$24:K$1598)</f>
        <v>0.39657894736842103</v>
      </c>
      <c r="M1684" s="32">
        <f>AVERAGEIF($A$24:$A$1598, "ACS*Repaired", L$24:L$1598)</f>
        <v>6.0631578947368418E-2</v>
      </c>
      <c r="N1684" s="32">
        <f>AVERAGEIF($A$24:$A$1598, "ACS*Repaired", M$24:M$1598)</f>
        <v>12.799473684210525</v>
      </c>
      <c r="O1684" s="32">
        <f>AVERAGEIF($A$24:$A$1598, "ACS*Repaired", N$24:N$1598)</f>
        <v>0.71084210526315794</v>
      </c>
      <c r="Q1684" s="32">
        <f>AVERAGEIF($A$24:$A$1598, "ACS*Repaired", S$24:S$1598)</f>
        <v>1.263157894736842</v>
      </c>
      <c r="R1684" s="32">
        <f>AVERAGEIF($A$24:$A$1598, "ACS*Repaired", T$24:T$1598)</f>
        <v>1.6842105263157894</v>
      </c>
      <c r="S1684" s="32">
        <f>AVERAGEIF($A$24:$A$1598, "ACS*Repaired", U$24:U$1598)</f>
        <v>1.368421052631579</v>
      </c>
      <c r="T1684" s="32">
        <f>AVERAGEIF($A$24:$A$1598, "ACS*Repaired", V$24:V$1598)</f>
        <v>1.9473684210526316</v>
      </c>
      <c r="V1684" s="31">
        <f>N1684+D1684+C1684</f>
        <v>93.415789473684228</v>
      </c>
      <c r="W1684" s="31" t="s">
        <v>1722</v>
      </c>
    </row>
    <row r="1685" spans="1:29" x14ac:dyDescent="0.35">
      <c r="A1685" s="1">
        <f>COUNTIF($A$24:$A$1598, "Arja*Fixed")</f>
        <v>42</v>
      </c>
      <c r="B1685" s="1" t="s">
        <v>1313</v>
      </c>
      <c r="C1685" s="27">
        <f>AVERAGEIF($A$24:$A$1598, "Arja*Fixed", B$24:B$1598)</f>
        <v>3.8414285714285703</v>
      </c>
      <c r="D1685" s="27">
        <f>AVERAGEIF($A$24:$A$1598, "Arja*Fixed", C$24:C$1598)</f>
        <v>77.565476190476176</v>
      </c>
      <c r="E1685" s="27">
        <f>AVERAGEIF($A$24:$A$1598, "Arja*Fixed", D$24:D$1598)</f>
        <v>18.336428571428574</v>
      </c>
      <c r="F1685" s="27">
        <f>AVERAGEIF($A$24:$A$1598, "Arja*Fixed", E$24:E$1598)</f>
        <v>6.4509523809523825</v>
      </c>
      <c r="G1685" s="27">
        <f>AVERAGEIF($A$24:$A$1598, "Arja*Fixed", F$24:F$1598)</f>
        <v>13.723333333333336</v>
      </c>
      <c r="H1685" s="27">
        <f>AVERAGEIF($A$24:$A$1598, "Arja*Fixed", G$24:G$1598)</f>
        <v>4.0107142857142843</v>
      </c>
      <c r="I1685" s="27">
        <f>AVERAGEIF($A$24:$A$1598, "Arja*Fixed", H$24:H$1598)</f>
        <v>10.46166666666667</v>
      </c>
      <c r="J1685" s="27">
        <f>AVERAGEIF($A$24:$A$1598, "Arja*Fixed", I$24:I$1598)</f>
        <v>32.059761904761906</v>
      </c>
      <c r="K1685" s="27">
        <f>AVERAGEIF($A$24:$A$1598, "Arja*Fixed", J$24:J$1598)</f>
        <v>54.547380952380948</v>
      </c>
      <c r="L1685" s="27">
        <f>AVERAGEIF($A$24:$A$1598, "Arja*Fixed", K$24:K$1598)</f>
        <v>0.30504761904761896</v>
      </c>
      <c r="M1685" s="27">
        <f>AVERAGEIF($A$24:$A$1598, "Arja*Fixed", L$24:L$1598)</f>
        <v>5.448571428571429E-2</v>
      </c>
      <c r="N1685" s="27">
        <f>AVERAGEIF($A$24:$A$1598, "Arja*Fixed", M$24:M$1598)</f>
        <v>29.337785714285712</v>
      </c>
      <c r="O1685" s="27">
        <f>AVERAGEIF($A$24:$A$1598, "Arja*Fixed", N$24:N$1598)</f>
        <v>1.6297333333333335</v>
      </c>
      <c r="Q1685" s="27">
        <f>AVERAGEIF($A$24:$A$1598, "Arja*Fixed", S$24:S$1598)</f>
        <v>2.1666666666666665</v>
      </c>
      <c r="R1685" s="27">
        <f>AVERAGEIF($A$24:$A$1598, "Arja*Fixed", T$24:T$1598)</f>
        <v>3.2380952380952381</v>
      </c>
      <c r="S1685" s="27">
        <f>AVERAGEIF($A$24:$A$1598, "Arja*Fixed", U$24:U$1598)</f>
        <v>3.7380952380952381</v>
      </c>
      <c r="T1685" s="27">
        <f>AVERAGEIF($A$24:$A$1598, "Arja*Fixed", V$24:V$1598)</f>
        <v>5.7380952380952381</v>
      </c>
      <c r="V1685" s="1">
        <f>N1685+D1685+C1685-C1686-D1686-N1686</f>
        <v>-1.2371428571428496</v>
      </c>
      <c r="W1685" s="1" t="s">
        <v>1723</v>
      </c>
    </row>
    <row r="1686" spans="1:29" ht="15" thickBot="1" x14ac:dyDescent="0.4">
      <c r="A1686" s="31">
        <f>COUNTIF($A$24:$A$1598, "Arja*Repaired")</f>
        <v>42</v>
      </c>
      <c r="B1686" s="31" t="s">
        <v>1314</v>
      </c>
      <c r="C1686" s="32">
        <f>AVERAGEIF($A$24:$A$1598, "Arja*Repaired", B$24:B$1598)</f>
        <v>3.8221428571428557</v>
      </c>
      <c r="D1686" s="32">
        <f>AVERAGEIF($A$24:$A$1598, "Arja*Repaired", C$24:C$1598)</f>
        <v>77.557142857142836</v>
      </c>
      <c r="E1686" s="32">
        <f>AVERAGEIF($A$24:$A$1598, "Arja*Repaired", D$24:D$1598)</f>
        <v>18.03738095238095</v>
      </c>
      <c r="F1686" s="32">
        <f>AVERAGEIF($A$24:$A$1598, "Arja*Repaired", E$24:E$1598)</f>
        <v>6.418333333333333</v>
      </c>
      <c r="G1686" s="32">
        <f>AVERAGEIF($A$24:$A$1598, "Arja*Repaired", F$24:F$1598)</f>
        <v>13.544999999999996</v>
      </c>
      <c r="H1686" s="32">
        <f>AVERAGEIF($A$24:$A$1598, "Arja*Repaired", G$24:G$1598)</f>
        <v>4.0064285714285708</v>
      </c>
      <c r="I1686" s="32">
        <f>AVERAGEIF($A$24:$A$1598, "Arja*Repaired", H$24:H$1598)</f>
        <v>10.424523809523812</v>
      </c>
      <c r="J1686" s="32">
        <f>AVERAGEIF($A$24:$A$1598, "Arja*Repaired", I$24:I$1598)</f>
        <v>31.584285714285709</v>
      </c>
      <c r="K1686" s="32">
        <f>AVERAGEIF($A$24:$A$1598, "Arja*Repaired", J$24:J$1598)</f>
        <v>53.939523809523813</v>
      </c>
      <c r="L1686" s="32">
        <f>AVERAGEIF($A$24:$A$1598, "Arja*Repaired", K$24:K$1598)</f>
        <v>0.3307619047619047</v>
      </c>
      <c r="M1686" s="32">
        <f>AVERAGEIF($A$24:$A$1598, "Arja*Repaired", L$24:L$1598)</f>
        <v>5.8628571428571433E-2</v>
      </c>
      <c r="N1686" s="32">
        <f>AVERAGEIF($A$24:$A$1598, "Arja*Repaired", M$24:M$1598)</f>
        <v>30.60254761904762</v>
      </c>
      <c r="O1686" s="32">
        <f>AVERAGEIF($A$24:$A$1598, "Arja*Repaired", N$24:N$1598)</f>
        <v>1.699804761904762</v>
      </c>
      <c r="Q1686" s="32">
        <f>AVERAGEIF($A$24:$A$1598, "Arja*Repaired", S$24:S$1598)</f>
        <v>1.2857142857142858</v>
      </c>
      <c r="R1686" s="32">
        <f>AVERAGEIF($A$24:$A$1598, "Arja*Repaired", T$24:T$1598)</f>
        <v>1.6428571428571428</v>
      </c>
      <c r="S1686" s="32">
        <f>AVERAGEIF($A$24:$A$1598, "Arja*Repaired", U$24:U$1598)</f>
        <v>7.6904761904761907</v>
      </c>
      <c r="T1686" s="32">
        <f>AVERAGEIF($A$24:$A$1598, "Arja*Repaired", V$24:V$1598)</f>
        <v>8.3809523809523814</v>
      </c>
      <c r="V1686" s="31">
        <f>N1686+D1686+C1686</f>
        <v>111.98183333333331</v>
      </c>
      <c r="W1686" s="31" t="s">
        <v>1723</v>
      </c>
    </row>
    <row r="1687" spans="1:29" x14ac:dyDescent="0.35">
      <c r="A1687" s="1">
        <f>COUNTIF($A$24:$A$1598, "AVATAR*Fixed")</f>
        <v>52</v>
      </c>
      <c r="B1687" s="1" t="s">
        <v>1315</v>
      </c>
      <c r="C1687" s="27">
        <f>AVERAGEIF($A$24:$A$1598, "AVATAR*Fixed", B$24:B$1598)</f>
        <v>3.8761538461538461</v>
      </c>
      <c r="D1687" s="27">
        <f>AVERAGEIF($A$24:$A$1598, "AVATAR*Fixed", C$24:C$1598)</f>
        <v>77.812884615384618</v>
      </c>
      <c r="E1687" s="27">
        <f>AVERAGEIF($A$24:$A$1598, "AVATAR*Fixed", D$24:D$1598)</f>
        <v>17.430576923076927</v>
      </c>
      <c r="F1687" s="27">
        <f>AVERAGEIF($A$24:$A$1598, "AVATAR*Fixed", E$24:E$1598)</f>
        <v>6.6100000000000012</v>
      </c>
      <c r="G1687" s="27">
        <f>AVERAGEIF($A$24:$A$1598, "AVATAR*Fixed", F$24:F$1598)</f>
        <v>13.420961538461537</v>
      </c>
      <c r="H1687" s="27">
        <f>AVERAGEIF($A$24:$A$1598, "AVATAR*Fixed", G$24:G$1598)</f>
        <v>3.9580769230769226</v>
      </c>
      <c r="I1687" s="27">
        <f>AVERAGEIF($A$24:$A$1598, "AVATAR*Fixed", H$24:H$1598)</f>
        <v>10.568653846153849</v>
      </c>
      <c r="J1687" s="27">
        <f>AVERAGEIF($A$24:$A$1598, "AVATAR*Fixed", I$24:I$1598)</f>
        <v>30.85153846153846</v>
      </c>
      <c r="K1687" s="27">
        <f>AVERAGEIF($A$24:$A$1598, "AVATAR*Fixed", J$24:J$1598)</f>
        <v>54.975576923076929</v>
      </c>
      <c r="L1687" s="27">
        <f>AVERAGEIF($A$24:$A$1598, "AVATAR*Fixed", K$24:K$1598)</f>
        <v>0.30101923076923082</v>
      </c>
      <c r="M1687" s="27">
        <f>AVERAGEIF($A$24:$A$1598, "AVATAR*Fixed", L$24:L$1598)</f>
        <v>5.5125000000000007E-2</v>
      </c>
      <c r="N1687" s="27">
        <f>AVERAGEIF($A$24:$A$1598, "AVATAR*Fixed", M$24:M$1598)</f>
        <v>48.711346153846165</v>
      </c>
      <c r="O1687" s="27">
        <f>AVERAGEIF($A$24:$A$1598, "AVATAR*Fixed", N$24:N$1598)</f>
        <v>2.7063461538461544</v>
      </c>
      <c r="Q1687" s="27">
        <f>AVERAGEIF($A$24:$A$1598, "AVATAR*Fixed", S$24:S$1598)</f>
        <v>2.0192307692307692</v>
      </c>
      <c r="R1687" s="27">
        <f>AVERAGEIF($A$24:$A$1598, "AVATAR*Fixed", T$24:T$1598)</f>
        <v>3.1153846153846154</v>
      </c>
      <c r="S1687" s="27">
        <f>AVERAGEIF($A$24:$A$1598, "AVATAR*Fixed", U$24:U$1598)</f>
        <v>3.0576923076923075</v>
      </c>
      <c r="T1687" s="27">
        <f>AVERAGEIF($A$24:$A$1598, "AVATAR*Fixed", V$24:V$1598)</f>
        <v>5.2884615384615383</v>
      </c>
      <c r="V1687" s="1">
        <f>N1687+D1687+C1687-C1688-D1688-N1688</f>
        <v>0.13538461538462343</v>
      </c>
      <c r="W1687" s="1" t="s">
        <v>1724</v>
      </c>
    </row>
    <row r="1688" spans="1:29" ht="15" thickBot="1" x14ac:dyDescent="0.4">
      <c r="A1688" s="31">
        <f>COUNTIF($A$24:$A$1598, "AVATAR*Repaired")</f>
        <v>52</v>
      </c>
      <c r="B1688" s="31" t="s">
        <v>1316</v>
      </c>
      <c r="C1688" s="32">
        <f>AVERAGEIF($A$24:$A$1598, "AVATAR*Repaired", B$24:B$1598)</f>
        <v>3.893076923076924</v>
      </c>
      <c r="D1688" s="32">
        <f>AVERAGEIF($A$24:$A$1598, "AVATAR*Repaired", C$24:C$1598)</f>
        <v>77.850576923076929</v>
      </c>
      <c r="E1688" s="32">
        <f>AVERAGEIF($A$24:$A$1598, "AVATAR*Repaired", D$24:D$1598)</f>
        <v>17.34615384615385</v>
      </c>
      <c r="F1688" s="32">
        <f>AVERAGEIF($A$24:$A$1598, "AVATAR*Repaired", E$24:E$1598)</f>
        <v>6.5634615384615396</v>
      </c>
      <c r="G1688" s="32">
        <f>AVERAGEIF($A$24:$A$1598, "AVATAR*Repaired", F$24:F$1598)</f>
        <v>13.514615384615384</v>
      </c>
      <c r="H1688" s="32">
        <f>AVERAGEIF($A$24:$A$1598, "AVATAR*Repaired", G$24:G$1598)</f>
        <v>3.9400000000000004</v>
      </c>
      <c r="I1688" s="32">
        <f>AVERAGEIF($A$24:$A$1598, "AVATAR*Repaired", H$24:H$1598)</f>
        <v>10.503269230769234</v>
      </c>
      <c r="J1688" s="32">
        <f>AVERAGEIF($A$24:$A$1598, "AVATAR*Repaired", I$24:I$1598)</f>
        <v>30.860192307692309</v>
      </c>
      <c r="K1688" s="32">
        <f>AVERAGEIF($A$24:$A$1598, "AVATAR*Repaired", J$24:J$1598)</f>
        <v>54.600769230769203</v>
      </c>
      <c r="L1688" s="32">
        <f>AVERAGEIF($A$24:$A$1598, "AVATAR*Repaired", K$24:K$1598)</f>
        <v>0.29638461538461541</v>
      </c>
      <c r="M1688" s="32">
        <f>AVERAGEIF($A$24:$A$1598, "AVATAR*Repaired", L$24:L$1598)</f>
        <v>5.4298076923076935E-2</v>
      </c>
      <c r="N1688" s="32">
        <f>AVERAGEIF($A$24:$A$1598, "AVATAR*Repaired", M$24:M$1598)</f>
        <v>48.521346153846167</v>
      </c>
      <c r="O1688" s="32">
        <f>AVERAGEIF($A$24:$A$1598, "AVATAR*Repaired", N$24:N$1598)</f>
        <v>2.6955769230769233</v>
      </c>
      <c r="Q1688" s="32">
        <f>AVERAGEIF($A$24:$A$1598, "AVATAR*Repaired", S$24:S$1598)</f>
        <v>1.0769230769230769</v>
      </c>
      <c r="R1688" s="32">
        <f>AVERAGEIF($A$24:$A$1598, "AVATAR*Repaired", T$24:T$1598)</f>
        <v>1.4230769230769231</v>
      </c>
      <c r="S1688" s="32">
        <f>AVERAGEIF($A$24:$A$1598, "AVATAR*Repaired", U$24:U$1598)</f>
        <v>3.5576923076923075</v>
      </c>
      <c r="T1688" s="32">
        <f>AVERAGEIF($A$24:$A$1598, "AVATAR*Repaired", V$24:V$1598)</f>
        <v>4</v>
      </c>
      <c r="V1688" s="31">
        <f>N1688+D1688+C1688</f>
        <v>130.26500000000001</v>
      </c>
      <c r="W1688" s="31" t="s">
        <v>1724</v>
      </c>
    </row>
    <row r="1689" spans="1:29" x14ac:dyDescent="0.35">
      <c r="A1689" s="1">
        <f>COUNTIF($A$24:$A$1598, "DynaMoth*Fixed")</f>
        <v>24</v>
      </c>
      <c r="B1689" s="1" t="s">
        <v>1317</v>
      </c>
      <c r="C1689" s="27">
        <f>AVERAGEIF($A$24:$A$1598, "DynaMoth*Fixed", B$24:B$1598)</f>
        <v>3.7154166666666661</v>
      </c>
      <c r="D1689" s="27">
        <f>AVERAGEIF($A$24:$A$1598, "DynaMoth*Fixed", C$24:C$1598)</f>
        <v>77.138749999999987</v>
      </c>
      <c r="E1689" s="27">
        <f>AVERAGEIF($A$24:$A$1598, "DynaMoth*Fixed", D$24:D$1598)</f>
        <v>21.758750000000003</v>
      </c>
      <c r="F1689" s="27">
        <f>AVERAGEIF($A$24:$A$1598, "DynaMoth*Fixed", E$24:E$1598)</f>
        <v>7.003333333333333</v>
      </c>
      <c r="G1689" s="27">
        <f>AVERAGEIF($A$24:$A$1598, "DynaMoth*Fixed", F$24:F$1598)</f>
        <v>15.356666666666664</v>
      </c>
      <c r="H1689" s="27">
        <f>AVERAGEIF($A$24:$A$1598, "DynaMoth*Fixed", G$24:G$1598)</f>
        <v>4.2541666666666655</v>
      </c>
      <c r="I1689" s="27">
        <f>AVERAGEIF($A$24:$A$1598, "DynaMoth*Fixed", H$24:H$1598)</f>
        <v>11.258333333333335</v>
      </c>
      <c r="J1689" s="27">
        <f>AVERAGEIF($A$24:$A$1598, "DynaMoth*Fixed", I$24:I$1598)</f>
        <v>37.115000000000002</v>
      </c>
      <c r="K1689" s="27">
        <f>AVERAGEIF($A$24:$A$1598, "DynaMoth*Fixed", J$24:J$1598)</f>
        <v>61.103333333333332</v>
      </c>
      <c r="L1689" s="27">
        <f>AVERAGEIF($A$24:$A$1598, "DynaMoth*Fixed", K$24:K$1598)</f>
        <v>0.57354166666666651</v>
      </c>
      <c r="M1689" s="27">
        <f>AVERAGEIF($A$24:$A$1598, "DynaMoth*Fixed", L$24:L$1598)</f>
        <v>7.0624999999999993E-2</v>
      </c>
      <c r="N1689" s="27">
        <f>AVERAGEIF($A$24:$A$1598, "DynaMoth*Fixed", M$24:M$1598)</f>
        <v>14.689041666666666</v>
      </c>
      <c r="O1689" s="27">
        <f>AVERAGEIF($A$24:$A$1598, "DynaMoth*Fixed", N$24:N$1598)</f>
        <v>0.81632499999999997</v>
      </c>
      <c r="Q1689" s="27">
        <f>AVERAGEIF($A$24:$A$1598, "DynaMoth*Fixed", S$24:S$1598)</f>
        <v>2.4166666666666665</v>
      </c>
      <c r="R1689" s="27">
        <f>AVERAGEIF($A$24:$A$1598, "DynaMoth*Fixed", T$24:T$1598)</f>
        <v>3.4583333333333335</v>
      </c>
      <c r="S1689" s="27">
        <f>AVERAGEIF($A$24:$A$1598, "DynaMoth*Fixed", U$24:U$1598)</f>
        <v>2.625</v>
      </c>
      <c r="T1689" s="27">
        <f>AVERAGEIF($A$24:$A$1598, "DynaMoth*Fixed", V$24:V$1598)</f>
        <v>4.708333333333333</v>
      </c>
      <c r="V1689" s="1">
        <f>N1689+D1689+C1689-C1690-D1690-N1690</f>
        <v>-0.48583333333333911</v>
      </c>
      <c r="W1689" s="1" t="s">
        <v>1725</v>
      </c>
    </row>
    <row r="1690" spans="1:29" ht="15" thickBot="1" x14ac:dyDescent="0.4">
      <c r="A1690" s="31">
        <f>COUNTIF($A$24:$A$1598, "DynaMoth*Repaired")</f>
        <v>24</v>
      </c>
      <c r="B1690" s="31" t="s">
        <v>1318</v>
      </c>
      <c r="C1690" s="32">
        <f>AVERAGEIF($A$24:$A$1598, "DynaMoth*Repaired", B$24:B$1598)</f>
        <v>3.6891666666666665</v>
      </c>
      <c r="D1690" s="32">
        <f>AVERAGEIF($A$24:$A$1598, "DynaMoth*Repaired", C$24:C$1598)</f>
        <v>77.157083333333333</v>
      </c>
      <c r="E1690" s="32">
        <f>AVERAGEIF($A$24:$A$1598, "DynaMoth*Repaired", D$24:D$1598)</f>
        <v>21.617916666666662</v>
      </c>
      <c r="F1690" s="32">
        <f>AVERAGEIF($A$24:$A$1598, "DynaMoth*Repaired", E$24:E$1598)</f>
        <v>7.010416666666667</v>
      </c>
      <c r="G1690" s="32">
        <f>AVERAGEIF($A$24:$A$1598, "DynaMoth*Repaired", F$24:F$1598)</f>
        <v>15.21708333333333</v>
      </c>
      <c r="H1690" s="32">
        <f>AVERAGEIF($A$24:$A$1598, "DynaMoth*Repaired", G$24:G$1598)</f>
        <v>4.2145833333333327</v>
      </c>
      <c r="I1690" s="32">
        <f>AVERAGEIF($A$24:$A$1598, "DynaMoth*Repaired", H$24:H$1598)</f>
        <v>11.225833333333334</v>
      </c>
      <c r="J1690" s="32">
        <f>AVERAGEIF($A$24:$A$1598, "DynaMoth*Repaired", I$24:I$1598)</f>
        <v>36.837083333333332</v>
      </c>
      <c r="K1690" s="32">
        <f>AVERAGEIF($A$24:$A$1598, "DynaMoth*Repaired", J$24:J$1598)</f>
        <v>60.702916666666674</v>
      </c>
      <c r="L1690" s="32">
        <f>AVERAGEIF($A$24:$A$1598, "DynaMoth*Repaired", K$24:K$1598)</f>
        <v>0.57824999999999982</v>
      </c>
      <c r="M1690" s="32">
        <f>AVERAGEIF($A$24:$A$1598, "DynaMoth*Repaired", L$24:L$1598)</f>
        <v>7.1791666666666656E-2</v>
      </c>
      <c r="N1690" s="32">
        <f>AVERAGEIF($A$24:$A$1598, "DynaMoth*Repaired", M$24:M$1598)</f>
        <v>15.182791666666667</v>
      </c>
      <c r="O1690" s="32">
        <f>AVERAGEIF($A$24:$A$1598, "DynaMoth*Repaired", N$24:N$1598)</f>
        <v>0.84382499999999983</v>
      </c>
      <c r="Q1690" s="32">
        <f>AVERAGEIF($A$24:$A$1598, "DynaMoth*Repaired", S$24:S$1598)</f>
        <v>1.25</v>
      </c>
      <c r="R1690" s="32">
        <f>AVERAGEIF($A$24:$A$1598, "DynaMoth*Repaired", T$24:T$1598)</f>
        <v>4.833333333333333</v>
      </c>
      <c r="S1690" s="32">
        <f>AVERAGEIF($A$24:$A$1598, "DynaMoth*Repaired", U$24:U$1598)</f>
        <v>3.5</v>
      </c>
      <c r="T1690" s="32">
        <f>AVERAGEIF($A$24:$A$1598, "DynaMoth*Repaired", V$24:V$1598)</f>
        <v>5.458333333333333</v>
      </c>
      <c r="V1690" s="31">
        <f>N1690+D1690+C1690</f>
        <v>96.029041666666672</v>
      </c>
      <c r="W1690" s="31" t="s">
        <v>1725</v>
      </c>
    </row>
    <row r="1691" spans="1:29" x14ac:dyDescent="0.35">
      <c r="A1691" s="1">
        <f>COUNTIF($A$24:$A$1598, "FixMiner*Fixed")</f>
        <v>53</v>
      </c>
      <c r="B1691" s="1" t="s">
        <v>1319</v>
      </c>
      <c r="C1691" s="27">
        <f>AVERAGEIF($A$24:$A$1598, "FixMiner*Fixed", B$24:B$1598)</f>
        <v>4.1247169811320745</v>
      </c>
      <c r="D1691" s="27">
        <f>AVERAGEIF($A$24:$A$1598, "FixMiner*Fixed", C$24:C$1598)</f>
        <v>77.770377358490563</v>
      </c>
      <c r="E1691" s="27">
        <f>AVERAGEIF($A$24:$A$1598, "FixMiner*Fixed", D$24:D$1598)</f>
        <v>21.188301886792459</v>
      </c>
      <c r="F1691" s="27">
        <f>AVERAGEIF($A$24:$A$1598, "FixMiner*Fixed", E$24:E$1598)</f>
        <v>7.1550943396226421</v>
      </c>
      <c r="G1691" s="27">
        <f>AVERAGEIF($A$24:$A$1598, "FixMiner*Fixed", F$24:F$1598)</f>
        <v>15.372830188679249</v>
      </c>
      <c r="H1691" s="27">
        <f>AVERAGEIF($A$24:$A$1598, "FixMiner*Fixed", G$24:G$1598)</f>
        <v>4.2958490566037737</v>
      </c>
      <c r="I1691" s="27">
        <f>AVERAGEIF($A$24:$A$1598, "FixMiner*Fixed", H$24:H$1598)</f>
        <v>11.451132075471699</v>
      </c>
      <c r="J1691" s="27">
        <f>AVERAGEIF($A$24:$A$1598, "FixMiner*Fixed", I$24:I$1598)</f>
        <v>36.561509433962264</v>
      </c>
      <c r="K1691" s="27">
        <f>AVERAGEIF($A$24:$A$1598, "FixMiner*Fixed", J$24:J$1598)</f>
        <v>63.226226415094345</v>
      </c>
      <c r="L1691" s="27">
        <f>AVERAGEIF($A$24:$A$1598, "FixMiner*Fixed", K$24:K$1598)</f>
        <v>0.45133962264150951</v>
      </c>
      <c r="M1691" s="27">
        <f>AVERAGEIF($A$24:$A$1598, "FixMiner*Fixed", L$24:L$1598)</f>
        <v>5.9837735849056599E-2</v>
      </c>
      <c r="N1691" s="27">
        <f>AVERAGEIF($A$24:$A$1598, "FixMiner*Fixed", M$24:M$1598)</f>
        <v>33.480377358490578</v>
      </c>
      <c r="O1691" s="27">
        <f>AVERAGEIF($A$24:$A$1598, "FixMiner*Fixed", N$24:N$1598)</f>
        <v>1.8602452830188674</v>
      </c>
      <c r="Q1691" s="27">
        <f>AVERAGEIF($A$24:$A$1598, "FixMiner*Fixed", S$24:S$1598)</f>
        <v>2.1320754716981134</v>
      </c>
      <c r="R1691" s="27">
        <f>AVERAGEIF($A$24:$A$1598, "FixMiner*Fixed", T$24:T$1598)</f>
        <v>2.9433962264150941</v>
      </c>
      <c r="S1691" s="27">
        <f>AVERAGEIF($A$24:$A$1598, "FixMiner*Fixed", U$24:U$1598)</f>
        <v>2.358490566037736</v>
      </c>
      <c r="T1691" s="27">
        <f>AVERAGEIF($A$24:$A$1598, "FixMiner*Fixed", V$24:V$1598)</f>
        <v>4.3584905660377355</v>
      </c>
      <c r="V1691" s="1">
        <f>N1691+D1691+C1691-C1692-D1692-N1692</f>
        <v>0.4192452830188742</v>
      </c>
      <c r="W1691" s="1" t="s">
        <v>1726</v>
      </c>
    </row>
    <row r="1692" spans="1:29" ht="15" thickBot="1" x14ac:dyDescent="0.4">
      <c r="A1692" s="31">
        <f>COUNTIF($A$24:$A$1598, "FixMiner*Repaired")</f>
        <v>53</v>
      </c>
      <c r="B1692" s="31" t="s">
        <v>1320</v>
      </c>
      <c r="C1692" s="32">
        <f>AVERAGEIF($A$24:$A$1598, "FixMiner*Repaired", B$24:B$1598)</f>
        <v>3.9037735849056596</v>
      </c>
      <c r="D1692" s="32">
        <f>AVERAGEIF($A$24:$A$1598, "FixMiner*Repaired", C$24:C$1598)</f>
        <v>77.800566037735848</v>
      </c>
      <c r="E1692" s="32">
        <f>AVERAGEIF($A$24:$A$1598, "FixMiner*Repaired", D$24:D$1598)</f>
        <v>20.514339622641508</v>
      </c>
      <c r="F1692" s="32">
        <f>AVERAGEIF($A$24:$A$1598, "FixMiner*Repaired", E$24:E$1598)</f>
        <v>7.0328301886792461</v>
      </c>
      <c r="G1692" s="32">
        <f>AVERAGEIF($A$24:$A$1598, "FixMiner*Repaired", F$24:F$1598)</f>
        <v>14.666415094339623</v>
      </c>
      <c r="H1692" s="32">
        <f>AVERAGEIF($A$24:$A$1598, "FixMiner*Repaired", G$24:G$1598)</f>
        <v>4.2411320754716986</v>
      </c>
      <c r="I1692" s="32">
        <f>AVERAGEIF($A$24:$A$1598, "FixMiner*Repaired", H$24:H$1598)</f>
        <v>11.274150943396227</v>
      </c>
      <c r="J1692" s="32">
        <f>AVERAGEIF($A$24:$A$1598, "FixMiner*Repaired", I$24:I$1598)</f>
        <v>35.180188679245276</v>
      </c>
      <c r="K1692" s="32">
        <f>AVERAGEIF($A$24:$A$1598, "FixMiner*Repaired", J$24:J$1598)</f>
        <v>61.24</v>
      </c>
      <c r="L1692" s="32">
        <f>AVERAGEIF($A$24:$A$1598, "FixMiner*Repaired", K$24:K$1598)</f>
        <v>0.44667924528301878</v>
      </c>
      <c r="M1692" s="32">
        <f>AVERAGEIF($A$24:$A$1598, "FixMiner*Repaired", L$24:L$1598)</f>
        <v>6.0177358490566039E-2</v>
      </c>
      <c r="N1692" s="32">
        <f>AVERAGEIF($A$24:$A$1598, "FixMiner*Repaired", M$24:M$1598)</f>
        <v>33.251886792452829</v>
      </c>
      <c r="O1692" s="32">
        <f>AVERAGEIF($A$24:$A$1598, "FixMiner*Repaired", N$24:N$1598)</f>
        <v>1.8474150943396221</v>
      </c>
      <c r="Q1692" s="32">
        <f>AVERAGEIF($A$24:$A$1598, "FixMiner*Repaired", S$24:S$1598)</f>
        <v>1.1509433962264151</v>
      </c>
      <c r="R1692" s="32">
        <f>AVERAGEIF($A$24:$A$1598, "FixMiner*Repaired", T$24:T$1598)</f>
        <v>1.5660377358490567</v>
      </c>
      <c r="S1692" s="32">
        <f>AVERAGEIF($A$24:$A$1598, "FixMiner*Repaired", U$24:U$1598)</f>
        <v>1.7169811320754718</v>
      </c>
      <c r="T1692" s="32">
        <f>AVERAGEIF($A$24:$A$1598, "FixMiner*Repaired", V$24:V$1598)</f>
        <v>2.2452830188679247</v>
      </c>
      <c r="V1692" s="31">
        <f>N1692+D1692+C1692</f>
        <v>114.95622641509435</v>
      </c>
      <c r="W1692" s="31" t="s">
        <v>1726</v>
      </c>
    </row>
    <row r="1693" spans="1:29" x14ac:dyDescent="0.35">
      <c r="A1693" s="1">
        <f>COUNTIF($A$24:$A$1598, "GenProg*Fixed")</f>
        <v>28</v>
      </c>
      <c r="B1693" s="1" t="s">
        <v>1321</v>
      </c>
      <c r="C1693" s="27">
        <f>AVERAGEIF($A$24:$A$1598, "GenProg*Fixed", B$24:B$1598)</f>
        <v>4.2857142857142856</v>
      </c>
      <c r="D1693" s="27">
        <f>AVERAGEIF($A$24:$A$1598, "GenProg*Fixed", C$24:C$1598)</f>
        <v>76.343571428571408</v>
      </c>
      <c r="E1693" s="27">
        <f>AVERAGEIF($A$24:$A$1598, "GenProg*Fixed", D$24:D$1598)</f>
        <v>20.396071428571428</v>
      </c>
      <c r="F1693" s="27">
        <f>AVERAGEIF($A$24:$A$1598, "GenProg*Fixed", E$24:E$1598)</f>
        <v>7.0178571428571432</v>
      </c>
      <c r="G1693" s="27">
        <f>AVERAGEIF($A$24:$A$1598, "GenProg*Fixed", F$24:F$1598)</f>
        <v>15.615714285714281</v>
      </c>
      <c r="H1693" s="27">
        <f>AVERAGEIF($A$24:$A$1598, "GenProg*Fixed", G$24:G$1598)</f>
        <v>4.2074999999999987</v>
      </c>
      <c r="I1693" s="27">
        <f>AVERAGEIF($A$24:$A$1598, "GenProg*Fixed", H$24:H$1598)</f>
        <v>11.225357142857145</v>
      </c>
      <c r="J1693" s="27">
        <f>AVERAGEIF($A$24:$A$1598, "GenProg*Fixed", I$24:I$1598)</f>
        <v>36.012142857142855</v>
      </c>
      <c r="K1693" s="27">
        <f>AVERAGEIF($A$24:$A$1598, "GenProg*Fixed", J$24:J$1598)</f>
        <v>60.018214285714272</v>
      </c>
      <c r="L1693" s="27">
        <f>AVERAGEIF($A$24:$A$1598, "GenProg*Fixed", K$24:K$1598)</f>
        <v>0.30746428571428569</v>
      </c>
      <c r="M1693" s="27">
        <f>AVERAGEIF($A$24:$A$1598, "GenProg*Fixed", L$24:L$1598)</f>
        <v>4.1049999999999996E-2</v>
      </c>
      <c r="N1693" s="27">
        <f>AVERAGEIF($A$24:$A$1598, "GenProg*Fixed", M$24:M$1598)</f>
        <v>41.513571428571431</v>
      </c>
      <c r="O1693" s="27">
        <f>AVERAGEIF($A$24:$A$1598, "GenProg*Fixed", N$24:N$1598)</f>
        <v>2.3057857142857143</v>
      </c>
      <c r="Q1693" s="27">
        <f>AVERAGEIF($A$24:$A$1598, "GenProg*Fixed", S$24:S$1598)</f>
        <v>1.8571428571428572</v>
      </c>
      <c r="R1693" s="27">
        <f>AVERAGEIF($A$24:$A$1598, "GenProg*Fixed", T$24:T$1598)</f>
        <v>2.7142857142857144</v>
      </c>
      <c r="S1693" s="27">
        <f>AVERAGEIF($A$24:$A$1598, "GenProg*Fixed", U$24:U$1598)</f>
        <v>4.1071428571428568</v>
      </c>
      <c r="T1693" s="27">
        <f>AVERAGEIF($A$24:$A$1598, "GenProg*Fixed", V$24:V$1598)</f>
        <v>5.9285714285714288</v>
      </c>
      <c r="V1693" s="1">
        <f>N1693+D1693+C1693-C1694-D1694-N1694</f>
        <v>0.36499999999999488</v>
      </c>
      <c r="W1693" s="1" t="s">
        <v>1727</v>
      </c>
    </row>
    <row r="1694" spans="1:29" ht="15" thickBot="1" x14ac:dyDescent="0.4">
      <c r="A1694" s="31">
        <f>COUNTIF($A$24:$A$1598, "GenProg*Repaired")</f>
        <v>28</v>
      </c>
      <c r="B1694" s="31" t="s">
        <v>1322</v>
      </c>
      <c r="C1694" s="32">
        <f>AVERAGEIF($A$24:$A$1598, "GenProg*Repaired", B$24:B$1598)</f>
        <v>4.2999999999999989</v>
      </c>
      <c r="D1694" s="32">
        <f>AVERAGEIF($A$24:$A$1598, "GenProg*Repaired", C$24:C$1598)</f>
        <v>76.361785714285702</v>
      </c>
      <c r="E1694" s="32">
        <f>AVERAGEIF($A$24:$A$1598, "GenProg*Repaired", D$24:D$1598)</f>
        <v>20.203214285714292</v>
      </c>
      <c r="F1694" s="32">
        <f>AVERAGEIF($A$24:$A$1598, "GenProg*Repaired", E$24:E$1598)</f>
        <v>7.0371428571428583</v>
      </c>
      <c r="G1694" s="32">
        <f>AVERAGEIF($A$24:$A$1598, "GenProg*Repaired", F$24:F$1598)</f>
        <v>15.597499999999997</v>
      </c>
      <c r="H1694" s="32">
        <f>AVERAGEIF($A$24:$A$1598, "GenProg*Repaired", G$24:G$1598)</f>
        <v>4.1796428571428574</v>
      </c>
      <c r="I1694" s="32">
        <f>AVERAGEIF($A$24:$A$1598, "GenProg*Repaired", H$24:H$1598)</f>
        <v>11.216428571428574</v>
      </c>
      <c r="J1694" s="32">
        <f>AVERAGEIF($A$24:$A$1598, "GenProg*Repaired", I$24:I$1598)</f>
        <v>35.799999999999997</v>
      </c>
      <c r="K1694" s="32">
        <f>AVERAGEIF($A$24:$A$1598, "GenProg*Repaired", J$24:J$1598)</f>
        <v>59.910357142857144</v>
      </c>
      <c r="L1694" s="32">
        <f>AVERAGEIF($A$24:$A$1598, "GenProg*Repaired", K$24:K$1598)</f>
        <v>0.29924999999999996</v>
      </c>
      <c r="M1694" s="32">
        <f>AVERAGEIF($A$24:$A$1598, "GenProg*Repaired", L$24:L$1598)</f>
        <v>4.0692857142857142E-2</v>
      </c>
      <c r="N1694" s="32">
        <f>AVERAGEIF($A$24:$A$1598, "GenProg*Repaired", M$24:M$1598)</f>
        <v>41.116071428571431</v>
      </c>
      <c r="O1694" s="32">
        <f>AVERAGEIF($A$24:$A$1598, "GenProg*Repaired", N$24:N$1598)</f>
        <v>2.2836428571428571</v>
      </c>
      <c r="Q1694" s="32">
        <f>AVERAGEIF($A$24:$A$1598, "GenProg*Repaired", S$24:S$1598)</f>
        <v>1.1071428571428572</v>
      </c>
      <c r="R1694" s="32">
        <f>AVERAGEIF($A$24:$A$1598, "GenProg*Repaired", T$24:T$1598)</f>
        <v>1.7142857142857142</v>
      </c>
      <c r="S1694" s="32">
        <f>AVERAGEIF($A$24:$A$1598, "GenProg*Repaired", U$24:U$1598)</f>
        <v>7</v>
      </c>
      <c r="T1694" s="32">
        <f>AVERAGEIF($A$24:$A$1598, "GenProg*Repaired", V$24:V$1598)</f>
        <v>7.75</v>
      </c>
      <c r="V1694" s="31">
        <f>N1694+D1694+C1694</f>
        <v>121.77785714285713</v>
      </c>
      <c r="W1694" s="31" t="s">
        <v>1727</v>
      </c>
    </row>
    <row r="1695" spans="1:29" x14ac:dyDescent="0.35">
      <c r="A1695" s="1">
        <f>COUNTIF($A$24:$A$1598, "Kali*Fixed")</f>
        <v>35</v>
      </c>
      <c r="B1695" s="1" t="s">
        <v>1323</v>
      </c>
      <c r="C1695" s="27">
        <f>AVERAGEIF($A$24:$A$1598, "Kali*Fixed", B$24:B$1598)</f>
        <v>4.1511428571428572</v>
      </c>
      <c r="D1695" s="27">
        <f>AVERAGEIF($A$24:$A$1598, "Kali*Fixed", C$24:C$1598)</f>
        <v>77.75800000000001</v>
      </c>
      <c r="E1695" s="27">
        <f>AVERAGEIF($A$24:$A$1598, "Kali*Fixed", D$24:D$1598)</f>
        <v>17.137999999999998</v>
      </c>
      <c r="F1695" s="27">
        <f>AVERAGEIF($A$24:$A$1598, "Kali*Fixed", E$24:E$1598)</f>
        <v>6.4871428571428567</v>
      </c>
      <c r="G1695" s="27">
        <f>AVERAGEIF($A$24:$A$1598, "Kali*Fixed", F$24:F$1598)</f>
        <v>14.225428571428571</v>
      </c>
      <c r="H1695" s="27">
        <f>AVERAGEIF($A$24:$A$1598, "Kali*Fixed", G$24:G$1598)</f>
        <v>3.9245714285714288</v>
      </c>
      <c r="I1695" s="27">
        <f>AVERAGEIF($A$24:$A$1598, "Kali*Fixed", H$24:H$1598)</f>
        <v>10.41314285714286</v>
      </c>
      <c r="J1695" s="27">
        <f>AVERAGEIF($A$24:$A$1598, "Kali*Fixed", I$24:I$1598)</f>
        <v>31.363999999999994</v>
      </c>
      <c r="K1695" s="27">
        <f>AVERAGEIF($A$24:$A$1598, "Kali*Fixed", J$24:J$1598)</f>
        <v>54.313714285714283</v>
      </c>
      <c r="L1695" s="27">
        <f>AVERAGEIF($A$24:$A$1598, "Kali*Fixed", K$24:K$1598)</f>
        <v>0.49397142857142851</v>
      </c>
      <c r="M1695" s="27">
        <f>AVERAGEIF($A$24:$A$1598, "Kali*Fixed", L$24:L$1598)</f>
        <v>5.5628571428571423E-2</v>
      </c>
      <c r="N1695" s="27">
        <f>AVERAGEIF($A$24:$A$1598, "Kali*Fixed", M$24:M$1598)</f>
        <v>78.728485714285711</v>
      </c>
      <c r="O1695" s="27">
        <f>AVERAGEIF($A$24:$A$1598, "Kali*Fixed", N$24:N$1598)</f>
        <v>4.3740800000000002</v>
      </c>
      <c r="Q1695" s="27">
        <f>AVERAGEIF($A$24:$A$1598, "Kali*Fixed", S$24:S$1598)</f>
        <v>2.0285714285714285</v>
      </c>
      <c r="R1695" s="27">
        <f>AVERAGEIF($A$24:$A$1598, "Kali*Fixed", T$24:T$1598)</f>
        <v>3.0285714285714285</v>
      </c>
      <c r="S1695" s="27">
        <f>AVERAGEIF($A$24:$A$1598, "Kali*Fixed", U$24:U$1598)</f>
        <v>4.5428571428571427</v>
      </c>
      <c r="T1695" s="27">
        <f>AVERAGEIF($A$24:$A$1598, "Kali*Fixed", V$24:V$1598)</f>
        <v>6.2571428571428571</v>
      </c>
      <c r="V1695" s="1">
        <f>N1695+D1695+C1695-C1696-D1696-N1696</f>
        <v>-3.4000000000034447E-2</v>
      </c>
      <c r="W1695" s="1" t="s">
        <v>1728</v>
      </c>
    </row>
    <row r="1696" spans="1:29" ht="15" thickBot="1" x14ac:dyDescent="0.4">
      <c r="A1696" s="31">
        <f>COUNTIF($A$24:$A$1598, "Kali*Repaired")</f>
        <v>35</v>
      </c>
      <c r="B1696" s="31" t="s">
        <v>1324</v>
      </c>
      <c r="C1696" s="32">
        <f>AVERAGEIF($A$24:$A$1598, "Kali*Repaired", B$24:B$1598)</f>
        <v>4.2311428571428573</v>
      </c>
      <c r="D1696" s="32">
        <f>AVERAGEIF($A$24:$A$1598, "Kali*Repaired", C$24:C$1598)</f>
        <v>77.712000000000032</v>
      </c>
      <c r="E1696" s="32">
        <f>AVERAGEIF($A$24:$A$1598, "Kali*Repaired", D$24:D$1598)</f>
        <v>17.28857142857143</v>
      </c>
      <c r="F1696" s="32">
        <f>AVERAGEIF($A$24:$A$1598, "Kali*Repaired", E$24:E$1598)</f>
        <v>6.5288571428571434</v>
      </c>
      <c r="G1696" s="32">
        <f>AVERAGEIF($A$24:$A$1598, "Kali*Repaired", F$24:F$1598)</f>
        <v>14.539714285714288</v>
      </c>
      <c r="H1696" s="32">
        <f>AVERAGEIF($A$24:$A$1598, "Kali*Repaired", G$24:G$1598)</f>
        <v>3.9302857142857142</v>
      </c>
      <c r="I1696" s="32">
        <f>AVERAGEIF($A$24:$A$1598, "Kali*Repaired", H$24:H$1598)</f>
        <v>10.459714285714286</v>
      </c>
      <c r="J1696" s="32">
        <f>AVERAGEIF($A$24:$A$1598, "Kali*Repaired", I$24:I$1598)</f>
        <v>31.828285714285716</v>
      </c>
      <c r="K1696" s="32">
        <f>AVERAGEIF($A$24:$A$1598, "Kali*Repaired", J$24:J$1598)</f>
        <v>54.81485714285715</v>
      </c>
      <c r="L1696" s="32">
        <f>AVERAGEIF($A$24:$A$1598, "Kali*Repaired", K$24:K$1598)</f>
        <v>0.49397142857142851</v>
      </c>
      <c r="M1696" s="32">
        <f>AVERAGEIF($A$24:$A$1598, "Kali*Repaired", L$24:L$1598)</f>
        <v>5.5628571428571423E-2</v>
      </c>
      <c r="N1696" s="32">
        <f>AVERAGEIF($A$24:$A$1598, "Kali*Repaired", M$24:M$1598)</f>
        <v>78.728485714285711</v>
      </c>
      <c r="O1696" s="32">
        <f>AVERAGEIF($A$24:$A$1598, "Kali*Repaired", N$24:N$1598)</f>
        <v>4.3740800000000002</v>
      </c>
      <c r="Q1696" s="32">
        <f>AVERAGEIF($A$24:$A$1598, "Kali*Repaired", S$24:S$1598)</f>
        <v>1.0285714285714285</v>
      </c>
      <c r="R1696" s="32">
        <f>AVERAGEIF($A$24:$A$1598, "Kali*Repaired", T$24:T$1598)</f>
        <v>1.3714285714285714</v>
      </c>
      <c r="S1696" s="32">
        <f>AVERAGEIF($A$24:$A$1598, "Kali*Repaired", U$24:U$1598)</f>
        <v>1.3142857142857143</v>
      </c>
      <c r="T1696" s="32">
        <f>AVERAGEIF($A$24:$A$1598, "Kali*Repaired", V$24:V$1598)</f>
        <v>1.7428571428571429</v>
      </c>
      <c r="V1696" s="31">
        <f>N1696+D1696+C1696</f>
        <v>160.67162857142858</v>
      </c>
      <c r="W1696" s="31" t="s">
        <v>1728</v>
      </c>
    </row>
    <row r="1697" spans="1:24" x14ac:dyDescent="0.35">
      <c r="A1697" s="1">
        <f>COUNTIF($A$24:$A$1598, "kPAR*Fixed")</f>
        <v>65</v>
      </c>
      <c r="B1697" s="1" t="s">
        <v>1325</v>
      </c>
      <c r="C1697" s="27">
        <f>AVERAGEIF($A$24:$A$1598, "kPAR*Fixed", B$24:B$1598)</f>
        <v>3.9389230769230781</v>
      </c>
      <c r="D1697" s="27">
        <f>AVERAGEIF($A$24:$A$1598, "kPAR*Fixed", C$24:C$1598)</f>
        <v>78.203846153846129</v>
      </c>
      <c r="E1697" s="27">
        <f>AVERAGEIF($A$24:$A$1598, "kPAR*Fixed", D$24:D$1598)</f>
        <v>18.152615384615387</v>
      </c>
      <c r="F1697" s="27">
        <f>AVERAGEIF($A$24:$A$1598, "kPAR*Fixed", E$24:E$1598)</f>
        <v>6.6123076923076924</v>
      </c>
      <c r="G1697" s="27">
        <f>AVERAGEIF($A$24:$A$1598, "kPAR*Fixed", F$24:F$1598)</f>
        <v>13.688000000000004</v>
      </c>
      <c r="H1697" s="27">
        <f>AVERAGEIF($A$24:$A$1598, "kPAR*Fixed", G$24:G$1598)</f>
        <v>3.9859999999999998</v>
      </c>
      <c r="I1697" s="27">
        <f>AVERAGEIF($A$24:$A$1598, "kPAR*Fixed", H$24:H$1598)</f>
        <v>10.598923076923079</v>
      </c>
      <c r="J1697" s="27">
        <f>AVERAGEIF($A$24:$A$1598, "kPAR*Fixed", I$24:I$1598)</f>
        <v>31.840615384615397</v>
      </c>
      <c r="K1697" s="27">
        <f>AVERAGEIF($A$24:$A$1598, "kPAR*Fixed", J$24:J$1598)</f>
        <v>55.533076923076941</v>
      </c>
      <c r="L1697" s="27">
        <f>AVERAGEIF($A$24:$A$1598, "kPAR*Fixed", K$24:K$1598)</f>
        <v>0.3489692307692307</v>
      </c>
      <c r="M1697" s="27">
        <f>AVERAGEIF($A$24:$A$1598, "kPAR*Fixed", L$24:L$1598)</f>
        <v>4.3123076923076924E-2</v>
      </c>
      <c r="N1697" s="27">
        <f>AVERAGEIF($A$24:$A$1598, "kPAR*Fixed", M$24:M$1598)</f>
        <v>110.70112307692308</v>
      </c>
      <c r="O1697" s="27">
        <f>AVERAGEIF($A$24:$A$1598, "kPAR*Fixed", N$24:N$1598)</f>
        <v>6.1503907692307695</v>
      </c>
      <c r="Q1697" s="27">
        <f>AVERAGEIF($A$24:$A$1598, "kPAR*Fixed", S$24:S$1598)</f>
        <v>1.8153846153846154</v>
      </c>
      <c r="R1697" s="27">
        <f>AVERAGEIF($A$24:$A$1598, "kPAR*Fixed", T$24:T$1598)</f>
        <v>2.4923076923076923</v>
      </c>
      <c r="S1697" s="27">
        <f>AVERAGEIF($A$24:$A$1598, "kPAR*Fixed", U$24:U$1598)</f>
        <v>3.0923076923076924</v>
      </c>
      <c r="T1697" s="27">
        <f>AVERAGEIF($A$24:$A$1598, "kPAR*Fixed", V$24:V$1598)</f>
        <v>4.615384615384615</v>
      </c>
      <c r="V1697" s="1">
        <f>N1697+D1697+C1697-C1698-D1698-N1698</f>
        <v>0.50107692307692275</v>
      </c>
      <c r="W1697" s="1" t="s">
        <v>1729</v>
      </c>
    </row>
    <row r="1698" spans="1:24" ht="15" thickBot="1" x14ac:dyDescent="0.4">
      <c r="A1698" s="31">
        <f>COUNTIF($A$24:$A$1598, "kPAR*Repaired")</f>
        <v>65</v>
      </c>
      <c r="B1698" s="31" t="s">
        <v>1326</v>
      </c>
      <c r="C1698" s="32">
        <f>AVERAGEIF($A$24:$A$1598, "kPAR*Repaired", B$24:B$1598)</f>
        <v>3.9863076923076934</v>
      </c>
      <c r="D1698" s="32">
        <f>AVERAGEIF($A$24:$A$1598, "kPAR*Repaired", C$24:C$1598)</f>
        <v>78.157999999999973</v>
      </c>
      <c r="E1698" s="32">
        <f>AVERAGEIF($A$24:$A$1598, "kPAR*Repaired", D$24:D$1598)</f>
        <v>18.137384615384615</v>
      </c>
      <c r="F1698" s="32">
        <f>AVERAGEIF($A$24:$A$1598, "kPAR*Repaired", E$24:E$1598)</f>
        <v>6.6104615384615384</v>
      </c>
      <c r="G1698" s="32">
        <f>AVERAGEIF($A$24:$A$1598, "kPAR*Repaired", F$24:F$1598)</f>
        <v>13.844000000000001</v>
      </c>
      <c r="H1698" s="32">
        <f>AVERAGEIF($A$24:$A$1598, "kPAR*Repaired", G$24:G$1598)</f>
        <v>3.9818461538461536</v>
      </c>
      <c r="I1698" s="32">
        <f>AVERAGEIF($A$24:$A$1598, "kPAR*Repaired", H$24:H$1598)</f>
        <v>10.592615384615387</v>
      </c>
      <c r="J1698" s="32">
        <f>AVERAGEIF($A$24:$A$1598, "kPAR*Repaired", I$24:I$1598)</f>
        <v>31.98092307692308</v>
      </c>
      <c r="K1698" s="32">
        <f>AVERAGEIF($A$24:$A$1598, "kPAR*Repaired", J$24:J$1598)</f>
        <v>55.503230769230768</v>
      </c>
      <c r="L1698" s="32">
        <f>AVERAGEIF($A$24:$A$1598, "kPAR*Repaired", K$24:K$1598)</f>
        <v>0.34763076923076919</v>
      </c>
      <c r="M1698" s="32">
        <f>AVERAGEIF($A$24:$A$1598, "kPAR*Repaired", L$24:L$1598)</f>
        <v>4.4092307692307695E-2</v>
      </c>
      <c r="N1698" s="32">
        <f>AVERAGEIF($A$24:$A$1598, "kPAR*Repaired", M$24:M$1598)</f>
        <v>110.19850769230771</v>
      </c>
      <c r="O1698" s="32">
        <f>AVERAGEIF($A$24:$A$1598, "kPAR*Repaired", N$24:N$1598)</f>
        <v>6.1222676923076937</v>
      </c>
      <c r="Q1698" s="32">
        <f>AVERAGEIF($A$24:$A$1598, "kPAR*Repaired", S$24:S$1598)</f>
        <v>1.0461538461538462</v>
      </c>
      <c r="R1698" s="32">
        <f>AVERAGEIF($A$24:$A$1598, "kPAR*Repaired", T$24:T$1598)</f>
        <v>1.323076923076923</v>
      </c>
      <c r="S1698" s="32">
        <f>AVERAGEIF($A$24:$A$1598, "kPAR*Repaired", U$24:U$1598)</f>
        <v>1.0307692307692307</v>
      </c>
      <c r="T1698" s="32">
        <f>AVERAGEIF($A$24:$A$1598, "kPAR*Repaired", V$24:V$1598)</f>
        <v>1.3538461538461539</v>
      </c>
      <c r="V1698" s="31">
        <f>N1698+D1698+C1698</f>
        <v>192.34281538461536</v>
      </c>
      <c r="W1698" s="31" t="s">
        <v>1729</v>
      </c>
    </row>
    <row r="1699" spans="1:24" x14ac:dyDescent="0.35">
      <c r="A1699" s="1">
        <f>COUNTIF($A$24:$A$1598, "Nopol*Fixed")</f>
        <v>27</v>
      </c>
      <c r="B1699" s="1" t="s">
        <v>1327</v>
      </c>
      <c r="C1699" s="27">
        <f>AVERAGEIF($A$24:$A$1598, "Nopol*Fixed", B$24:B$1598)</f>
        <v>3.4374074074074068</v>
      </c>
      <c r="D1699" s="27">
        <f>AVERAGEIF($A$24:$A$1598, "Nopol*Fixed", C$24:C$1598)</f>
        <v>78.719999999999985</v>
      </c>
      <c r="E1699" s="27">
        <f>AVERAGEIF($A$24:$A$1598, "Nopol*Fixed", D$24:D$1598)</f>
        <v>18.486666666666668</v>
      </c>
      <c r="F1699" s="27">
        <f>AVERAGEIF($A$24:$A$1598, "Nopol*Fixed", E$24:E$1598)</f>
        <v>6.412592592592592</v>
      </c>
      <c r="G1699" s="27">
        <f>AVERAGEIF($A$24:$A$1598, "Nopol*Fixed", F$24:F$1598)</f>
        <v>13.472962962962965</v>
      </c>
      <c r="H1699" s="27">
        <f>AVERAGEIF($A$24:$A$1598, "Nopol*Fixed", G$24:G$1598)</f>
        <v>3.9962962962962951</v>
      </c>
      <c r="I1699" s="27">
        <f>AVERAGEIF($A$24:$A$1598, "Nopol*Fixed", H$24:H$1598)</f>
        <v>10.409629629629629</v>
      </c>
      <c r="J1699" s="27">
        <f>AVERAGEIF($A$24:$A$1598, "Nopol*Fixed", I$24:I$1598)</f>
        <v>31.958518518518524</v>
      </c>
      <c r="K1699" s="27">
        <f>AVERAGEIF($A$24:$A$1598, "Nopol*Fixed", J$24:J$1598)</f>
        <v>54.469259259259253</v>
      </c>
      <c r="L1699" s="27">
        <f>AVERAGEIF($A$24:$A$1598, "Nopol*Fixed", K$24:K$1598)</f>
        <v>0.52892592592592591</v>
      </c>
      <c r="M1699" s="27">
        <f>AVERAGEIF($A$24:$A$1598, "Nopol*Fixed", L$24:L$1598)</f>
        <v>7.7148148148148132E-2</v>
      </c>
      <c r="N1699" s="27">
        <f>AVERAGEIF($A$24:$A$1598, "Nopol*Fixed", M$24:M$1598)</f>
        <v>15.025444444444442</v>
      </c>
      <c r="O1699" s="27">
        <f>AVERAGEIF($A$24:$A$1598, "Nopol*Fixed", N$24:N$1598)</f>
        <v>0.83510370370370379</v>
      </c>
      <c r="Q1699" s="27">
        <f>AVERAGEIF($A$24:$A$1598, "Nopol*Fixed", S$24:S$1598)</f>
        <v>2.3703703703703702</v>
      </c>
      <c r="R1699" s="27">
        <f>AVERAGEIF($A$24:$A$1598, "Nopol*Fixed", T$24:T$1598)</f>
        <v>3.2222222222222223</v>
      </c>
      <c r="S1699" s="27">
        <f>AVERAGEIF($A$24:$A$1598, "Nopol*Fixed", U$24:U$1598)</f>
        <v>2.1851851851851851</v>
      </c>
      <c r="T1699" s="27">
        <f>AVERAGEIF($A$24:$A$1598, "Nopol*Fixed", V$24:V$1598)</f>
        <v>4</v>
      </c>
      <c r="V1699" s="1">
        <f>N1699+D1699+C1699-C1700-D1700-N1700</f>
        <v>-0.44111111111111612</v>
      </c>
      <c r="W1699" s="1" t="s">
        <v>1730</v>
      </c>
    </row>
    <row r="1700" spans="1:24" ht="15" thickBot="1" x14ac:dyDescent="0.4">
      <c r="A1700" s="31">
        <f>COUNTIF($A$24:$A$1598, "Nopol*Repaired")</f>
        <v>27</v>
      </c>
      <c r="B1700" s="31" t="s">
        <v>1328</v>
      </c>
      <c r="C1700" s="32">
        <f>AVERAGEIF($A$24:$A$1598, "Nopol*Repaired", B$24:B$1598)</f>
        <v>3.4555555555555553</v>
      </c>
      <c r="D1700" s="32">
        <f>AVERAGEIF($A$24:$A$1598, "Nopol*Repaired", C$24:C$1598)</f>
        <v>78.704074074074072</v>
      </c>
      <c r="E1700" s="32">
        <f>AVERAGEIF($A$24:$A$1598, "Nopol*Repaired", D$24:D$1598)</f>
        <v>18.46</v>
      </c>
      <c r="F1700" s="32">
        <f>AVERAGEIF($A$24:$A$1598, "Nopol*Repaired", E$24:E$1598)</f>
        <v>6.4196296296296289</v>
      </c>
      <c r="G1700" s="32">
        <f>AVERAGEIF($A$24:$A$1598, "Nopol*Repaired", F$24:F$1598)</f>
        <v>13.541481481481481</v>
      </c>
      <c r="H1700" s="32">
        <f>AVERAGEIF($A$24:$A$1598, "Nopol*Repaired", G$24:G$1598)</f>
        <v>4.0192592592592593</v>
      </c>
      <c r="I1700" s="32">
        <f>AVERAGEIF($A$24:$A$1598, "Nopol*Repaired", H$24:H$1598)</f>
        <v>10.440370370370371</v>
      </c>
      <c r="J1700" s="32">
        <f>AVERAGEIF($A$24:$A$1598, "Nopol*Repaired", I$24:I$1598)</f>
        <v>32.002592592592585</v>
      </c>
      <c r="K1700" s="32">
        <f>AVERAGEIF($A$24:$A$1598, "Nopol*Repaired", J$24:J$1598)</f>
        <v>54.651111111111113</v>
      </c>
      <c r="L1700" s="32">
        <f>AVERAGEIF($A$24:$A$1598, "Nopol*Repaired", K$24:K$1598)</f>
        <v>0.53311111111111109</v>
      </c>
      <c r="M1700" s="32">
        <f>AVERAGEIF($A$24:$A$1598, "Nopol*Repaired", L$24:L$1598)</f>
        <v>7.8185185185185177E-2</v>
      </c>
      <c r="N1700" s="32">
        <f>AVERAGEIF($A$24:$A$1598, "Nopol*Repaired", M$24:M$1598)</f>
        <v>15.464333333333332</v>
      </c>
      <c r="O1700" s="32">
        <f>AVERAGEIF($A$24:$A$1598, "Nopol*Repaired", N$24:N$1598)</f>
        <v>0.85954814814814828</v>
      </c>
      <c r="Q1700" s="32">
        <f>AVERAGEIF($A$24:$A$1598, "Nopol*Repaired", S$24:S$1598)</f>
        <v>1.2592592592592593</v>
      </c>
      <c r="R1700" s="32">
        <f>AVERAGEIF($A$24:$A$1598, "Nopol*Repaired", T$24:T$1598)</f>
        <v>4.3703703703703702</v>
      </c>
      <c r="S1700" s="32">
        <f>AVERAGEIF($A$24:$A$1598, "Nopol*Repaired", U$24:U$1598)</f>
        <v>2.8518518518518516</v>
      </c>
      <c r="T1700" s="32">
        <f>AVERAGEIF($A$24:$A$1598, "Nopol*Repaired", V$24:V$1598)</f>
        <v>4.5925925925925926</v>
      </c>
      <c r="V1700" s="31">
        <f>N1700+D1700+C1700</f>
        <v>97.623962962962949</v>
      </c>
      <c r="W1700" s="31" t="s">
        <v>1730</v>
      </c>
    </row>
    <row r="1701" spans="1:24" x14ac:dyDescent="0.35">
      <c r="A1701" s="1">
        <f>COUNTIF($A$24:$A$1598, "RSRepair*Fixed")</f>
        <v>41</v>
      </c>
      <c r="B1701" s="1" t="s">
        <v>1329</v>
      </c>
      <c r="C1701" s="27">
        <f>AVERAGEIF($A$24:$A$1598, "RSRepair*Fixed", B$24:B$1598)</f>
        <v>3.9663414634146337</v>
      </c>
      <c r="D1701" s="27">
        <f>AVERAGEIF($A$24:$A$1598, "RSRepair*Fixed", C$24:C$1598)</f>
        <v>77.469024390243902</v>
      </c>
      <c r="E1701" s="27">
        <f>AVERAGEIF($A$24:$A$1598, "RSRepair*Fixed", D$24:D$1598)</f>
        <v>17.033170731707319</v>
      </c>
      <c r="F1701" s="27">
        <f>AVERAGEIF($A$24:$A$1598, "RSRepair*Fixed", E$24:E$1598)</f>
        <v>6.3695121951219509</v>
      </c>
      <c r="G1701" s="27">
        <f>AVERAGEIF($A$24:$A$1598, "RSRepair*Fixed", F$24:F$1598)</f>
        <v>13.589756097560977</v>
      </c>
      <c r="H1701" s="27">
        <f>AVERAGEIF($A$24:$A$1598, "RSRepair*Fixed", G$24:G$1598)</f>
        <v>4.0695121951219502</v>
      </c>
      <c r="I1701" s="27">
        <f>AVERAGEIF($A$24:$A$1598, "RSRepair*Fixed", H$24:H$1598)</f>
        <v>10.439024390243905</v>
      </c>
      <c r="J1701" s="27">
        <f>AVERAGEIF($A$24:$A$1598, "RSRepair*Fixed", I$24:I$1598)</f>
        <v>30.623658536585364</v>
      </c>
      <c r="K1701" s="27">
        <f>AVERAGEIF($A$24:$A$1598, "RSRepair*Fixed", J$24:J$1598)</f>
        <v>53.672439024390236</v>
      </c>
      <c r="L1701" s="27">
        <f>AVERAGEIF($A$24:$A$1598, "RSRepair*Fixed", K$24:K$1598)</f>
        <v>0.46290243902439032</v>
      </c>
      <c r="M1701" s="27">
        <f>AVERAGEIF($A$24:$A$1598, "RSRepair*Fixed", L$24:L$1598)</f>
        <v>6.0936585365853661E-2</v>
      </c>
      <c r="N1701" s="27">
        <f>AVERAGEIF($A$24:$A$1598, "RSRepair*Fixed", M$24:M$1598)</f>
        <v>50.412195121951221</v>
      </c>
      <c r="O1701" s="27">
        <f>AVERAGEIF($A$24:$A$1598, "RSRepair*Fixed", N$24:N$1598)</f>
        <v>2.8000731707317068</v>
      </c>
      <c r="Q1701" s="27">
        <f>AVERAGEIF($A$24:$A$1598, "RSRepair*Fixed", S$24:S$1598)</f>
        <v>2.0975609756097562</v>
      </c>
      <c r="R1701" s="27">
        <f>AVERAGEIF($A$24:$A$1598, "RSRepair*Fixed", T$24:T$1598)</f>
        <v>3.5853658536585367</v>
      </c>
      <c r="S1701" s="27">
        <f>AVERAGEIF($A$24:$A$1598, "RSRepair*Fixed", U$24:U$1598)</f>
        <v>3.3414634146341462</v>
      </c>
      <c r="T1701" s="27">
        <f>AVERAGEIF($A$24:$A$1598, "RSRepair*Fixed", V$24:V$1598)</f>
        <v>5.9268292682926829</v>
      </c>
      <c r="V1701" s="1">
        <f>N1701+D1701+C1701-C1702-D1702-N1702</f>
        <v>4.4146341463431327E-2</v>
      </c>
      <c r="W1701" s="1" t="s">
        <v>1731</v>
      </c>
    </row>
    <row r="1702" spans="1:24" ht="15" thickBot="1" x14ac:dyDescent="0.4">
      <c r="A1702" s="31">
        <f>COUNTIF($A$24:$A$1598, "RSRepair*Repaired")</f>
        <v>41</v>
      </c>
      <c r="B1702" s="31" t="s">
        <v>1330</v>
      </c>
      <c r="C1702" s="32">
        <f>AVERAGEIF($A$24:$A$1598, "RSRepair*Repaired", B$24:B$1598)</f>
        <v>3.9436585365853656</v>
      </c>
      <c r="D1702" s="32">
        <f>AVERAGEIF($A$24:$A$1598, "RSRepair*Repaired", C$24:C$1598)</f>
        <v>77.717560975609729</v>
      </c>
      <c r="E1702" s="32">
        <f>AVERAGEIF($A$24:$A$1598, "RSRepair*Repaired", D$24:D$1598)</f>
        <v>16.619024390243901</v>
      </c>
      <c r="F1702" s="32">
        <f>AVERAGEIF($A$24:$A$1598, "RSRepair*Repaired", E$24:E$1598)</f>
        <v>6.2756097560975617</v>
      </c>
      <c r="G1702" s="32">
        <f>AVERAGEIF($A$24:$A$1598, "RSRepair*Repaired", F$24:F$1598)</f>
        <v>13.389024390243899</v>
      </c>
      <c r="H1702" s="32">
        <f>AVERAGEIF($A$24:$A$1598, "RSRepair*Repaired", G$24:G$1598)</f>
        <v>4.0000000000000009</v>
      </c>
      <c r="I1702" s="32">
        <f>AVERAGEIF($A$24:$A$1598, "RSRepair*Repaired", H$24:H$1598)</f>
        <v>10.275365853658538</v>
      </c>
      <c r="J1702" s="32">
        <f>AVERAGEIF($A$24:$A$1598, "RSRepair*Repaired", I$24:I$1598)</f>
        <v>30.008048780487798</v>
      </c>
      <c r="K1702" s="32">
        <f>AVERAGEIF($A$24:$A$1598, "RSRepair*Repaired", J$24:J$1598)</f>
        <v>52.502439024390256</v>
      </c>
      <c r="L1702" s="32">
        <f>AVERAGEIF($A$24:$A$1598, "RSRepair*Repaired", K$24:K$1598)</f>
        <v>0.45714634146341471</v>
      </c>
      <c r="M1702" s="32">
        <f>AVERAGEIF($A$24:$A$1598, "RSRepair*Repaired", L$24:L$1598)</f>
        <v>6.0692682926829278E-2</v>
      </c>
      <c r="N1702" s="32">
        <f>AVERAGEIF($A$24:$A$1598, "RSRepair*Repaired", M$24:M$1598)</f>
        <v>50.142195121951232</v>
      </c>
      <c r="O1702" s="32">
        <f>AVERAGEIF($A$24:$A$1598, "RSRepair*Repaired", N$24:N$1598)</f>
        <v>2.7850975609756095</v>
      </c>
      <c r="Q1702" s="32">
        <f>AVERAGEIF($A$24:$A$1598, "RSRepair*Repaired", S$24:S$1598)</f>
        <v>1.024390243902439</v>
      </c>
      <c r="R1702" s="32">
        <f>AVERAGEIF($A$24:$A$1598, "RSRepair*Repaired", T$24:T$1598)</f>
        <v>1.0975609756097562</v>
      </c>
      <c r="S1702" s="32">
        <f>AVERAGEIF($A$24:$A$1598, "RSRepair*Repaired", U$24:U$1598)</f>
        <v>4.7560975609756095</v>
      </c>
      <c r="T1702" s="32">
        <f>AVERAGEIF($A$24:$A$1598, "RSRepair*Repaired", V$24:V$1598)</f>
        <v>5.1951219512195124</v>
      </c>
      <c r="V1702" s="31">
        <f>N1702+D1702+C1702</f>
        <v>131.80341463414632</v>
      </c>
      <c r="W1702" s="31" t="s">
        <v>1731</v>
      </c>
    </row>
    <row r="1703" spans="1:24" x14ac:dyDescent="0.35">
      <c r="A1703" s="1">
        <f>COUNTIF($A$24:$A$1598, "SimFix*Fixed")</f>
        <v>54</v>
      </c>
      <c r="B1703" s="1" t="s">
        <v>1331</v>
      </c>
      <c r="C1703" s="27">
        <f>AVERAGEIF($A$24:$A$1598, "SimFix*Fixed", B$24:B$1598)</f>
        <v>3.9398148148148144</v>
      </c>
      <c r="D1703" s="27">
        <f>AVERAGEIF($A$24:$A$1598, "SimFix*Fixed", C$24:C$1598)</f>
        <v>77.628888888888852</v>
      </c>
      <c r="E1703" s="27">
        <f>AVERAGEIF($A$24:$A$1598, "SimFix*Fixed", D$24:D$1598)</f>
        <v>19.485185185185188</v>
      </c>
      <c r="F1703" s="27">
        <f>AVERAGEIF($A$24:$A$1598, "SimFix*Fixed", E$24:E$1598)</f>
        <v>6.8544444444444457</v>
      </c>
      <c r="G1703" s="27">
        <f>AVERAGEIF($A$24:$A$1598, "SimFix*Fixed", F$24:F$1598)</f>
        <v>14.755740740740739</v>
      </c>
      <c r="H1703" s="27">
        <f>AVERAGEIF($A$24:$A$1598, "SimFix*Fixed", G$24:G$1598)</f>
        <v>4.2961111111111103</v>
      </c>
      <c r="I1703" s="27">
        <f>AVERAGEIF($A$24:$A$1598, "SimFix*Fixed", H$24:H$1598)</f>
        <v>11.150555555555556</v>
      </c>
      <c r="J1703" s="27">
        <f>AVERAGEIF($A$24:$A$1598, "SimFix*Fixed", I$24:I$1598)</f>
        <v>34.241296296296298</v>
      </c>
      <c r="K1703" s="27">
        <f>AVERAGEIF($A$24:$A$1598, "SimFix*Fixed", J$24:J$1598)</f>
        <v>59.68666666666666</v>
      </c>
      <c r="L1703" s="27">
        <f>AVERAGEIF($A$24:$A$1598, "SimFix*Fixed", K$24:K$1598)</f>
        <v>0.36953703703703716</v>
      </c>
      <c r="M1703" s="27">
        <f>AVERAGEIF($A$24:$A$1598, "SimFix*Fixed", L$24:L$1598)</f>
        <v>5.4648148148148147E-2</v>
      </c>
      <c r="N1703" s="27">
        <f>AVERAGEIF($A$24:$A$1598, "SimFix*Fixed", M$24:M$1598)</f>
        <v>50.662037037037038</v>
      </c>
      <c r="O1703" s="27">
        <f>AVERAGEIF($A$24:$A$1598, "SimFix*Fixed", N$24:N$1598)</f>
        <v>2.8143333333333334</v>
      </c>
      <c r="Q1703" s="27">
        <f>AVERAGEIF($A$24:$A$1598, "SimFix*Fixed", S$24:S$1598)</f>
        <v>1.962962962962963</v>
      </c>
      <c r="R1703" s="27">
        <f>AVERAGEIF($A$24:$A$1598, "SimFix*Fixed", T$24:T$1598)</f>
        <v>3.1666666666666665</v>
      </c>
      <c r="S1703" s="27">
        <f>AVERAGEIF($A$24:$A$1598, "SimFix*Fixed", U$24:U$1598)</f>
        <v>3.0925925925925926</v>
      </c>
      <c r="T1703" s="27">
        <f>AVERAGEIF($A$24:$A$1598, "SimFix*Fixed", V$24:V$1598)</f>
        <v>5.1851851851851851</v>
      </c>
      <c r="V1703" s="1">
        <f>N1703+D1703+C1703-C1704-D1704-N1704</f>
        <v>-0.1212962962963573</v>
      </c>
      <c r="W1703" s="1" t="s">
        <v>1732</v>
      </c>
    </row>
    <row r="1704" spans="1:24" ht="15" thickBot="1" x14ac:dyDescent="0.4">
      <c r="A1704" s="31">
        <f>COUNTIF($A$24:$A$1598, "SimFix*Repaired")</f>
        <v>54</v>
      </c>
      <c r="B1704" s="31" t="s">
        <v>1332</v>
      </c>
      <c r="C1704" s="32">
        <f>AVERAGEIF($A$24:$A$1598, "SimFix*Repaired", B$24:B$1598)</f>
        <v>3.9848148148148144</v>
      </c>
      <c r="D1704" s="32">
        <f>AVERAGEIF($A$24:$A$1598, "SimFix*Repaired", C$24:C$1598)</f>
        <v>77.523888888888877</v>
      </c>
      <c r="E1704" s="32">
        <f>AVERAGEIF($A$24:$A$1598, "SimFix*Repaired", D$24:D$1598)</f>
        <v>19.458333333333339</v>
      </c>
      <c r="F1704" s="32">
        <f>AVERAGEIF($A$24:$A$1598, "SimFix*Repaired", E$24:E$1598)</f>
        <v>6.8507407407407417</v>
      </c>
      <c r="G1704" s="32">
        <f>AVERAGEIF($A$24:$A$1598, "SimFix*Repaired", F$24:F$1598)</f>
        <v>14.928518518518516</v>
      </c>
      <c r="H1704" s="32">
        <f>AVERAGEIF($A$24:$A$1598, "SimFix*Repaired", G$24:G$1598)</f>
        <v>4.3237037037037043</v>
      </c>
      <c r="I1704" s="32">
        <f>AVERAGEIF($A$24:$A$1598, "SimFix*Repaired", H$24:H$1598)</f>
        <v>11.174444444444443</v>
      </c>
      <c r="J1704" s="32">
        <f>AVERAGEIF($A$24:$A$1598, "SimFix*Repaired", I$24:I$1598)</f>
        <v>34.38611111111112</v>
      </c>
      <c r="K1704" s="32">
        <f>AVERAGEIF($A$24:$A$1598, "SimFix*Repaired", J$24:J$1598)</f>
        <v>59.765925925925927</v>
      </c>
      <c r="L1704" s="32">
        <f>AVERAGEIF($A$24:$A$1598, "SimFix*Repaired", K$24:K$1598)</f>
        <v>0.37638888888888894</v>
      </c>
      <c r="M1704" s="32">
        <f>AVERAGEIF($A$24:$A$1598, "SimFix*Repaired", L$24:L$1598)</f>
        <v>5.5629629629629633E-2</v>
      </c>
      <c r="N1704" s="32">
        <f>AVERAGEIF($A$24:$A$1598, "SimFix*Repaired", M$24:M$1598)</f>
        <v>50.843333333333341</v>
      </c>
      <c r="O1704" s="32">
        <f>AVERAGEIF($A$24:$A$1598, "SimFix*Repaired", N$24:N$1598)</f>
        <v>2.8243333333333336</v>
      </c>
      <c r="Q1704" s="32">
        <f>AVERAGEIF($A$24:$A$1598, "SimFix*Repaired", S$24:S$1598)</f>
        <v>2.2777777777777777</v>
      </c>
      <c r="R1704" s="32">
        <f>AVERAGEIF($A$24:$A$1598, "SimFix*Repaired", T$24:T$1598)</f>
        <v>10.407407407407407</v>
      </c>
      <c r="S1704" s="32">
        <f>AVERAGEIF($A$24:$A$1598, "SimFix*Repaired", U$24:U$1598)</f>
        <v>1.8518518518518517E-2</v>
      </c>
      <c r="T1704" s="32">
        <f>AVERAGEIF($A$24:$A$1598, "SimFix*Repaired", V$24:V$1598)</f>
        <v>10.407407407407407</v>
      </c>
      <c r="V1704" s="31">
        <f>N1704+D1704+C1704</f>
        <v>132.35203703703704</v>
      </c>
      <c r="W1704" s="31" t="s">
        <v>1732</v>
      </c>
    </row>
    <row r="1705" spans="1:24" x14ac:dyDescent="0.35">
      <c r="A1705" s="1">
        <f>COUNTIF($A$24:$A$1598, "TBar*Fixed")</f>
        <v>85</v>
      </c>
      <c r="B1705" s="1" t="s">
        <v>1333</v>
      </c>
      <c r="C1705" s="27">
        <f>AVERAGEIF($A$24:$A$1598, "TBar*Fixed", B$24:B$1598)</f>
        <v>3.6254117647058819</v>
      </c>
      <c r="D1705" s="27">
        <f>AVERAGEIF($A$24:$A$1598, "TBar*Fixed", C$24:C$1598)</f>
        <v>78.65235294117646</v>
      </c>
      <c r="E1705" s="27">
        <f>AVERAGEIF($A$24:$A$1598, "TBar*Fixed", D$24:D$1598)</f>
        <v>16.867647058823529</v>
      </c>
      <c r="F1705" s="27">
        <f>AVERAGEIF($A$24:$A$1598, "TBar*Fixed", E$24:E$1598)</f>
        <v>6.1972941176470595</v>
      </c>
      <c r="G1705" s="27">
        <f>AVERAGEIF($A$24:$A$1598, "TBar*Fixed", F$24:F$1598)</f>
        <v>12.531176470588237</v>
      </c>
      <c r="H1705" s="27">
        <f>AVERAGEIF($A$24:$A$1598, "TBar*Fixed", G$24:G$1598)</f>
        <v>3.8063529411764709</v>
      </c>
      <c r="I1705" s="27">
        <f>AVERAGEIF($A$24:$A$1598, "TBar*Fixed", H$24:H$1598)</f>
        <v>10.004117647058827</v>
      </c>
      <c r="J1705" s="27">
        <f>AVERAGEIF($A$24:$A$1598, "TBar*Fixed", I$24:I$1598)</f>
        <v>29.398705882352949</v>
      </c>
      <c r="K1705" s="27">
        <f>AVERAGEIF($A$24:$A$1598, "TBar*Fixed", J$24:J$1598)</f>
        <v>51.236235294117655</v>
      </c>
      <c r="L1705" s="27">
        <f>AVERAGEIF($A$24:$A$1598, "TBar*Fixed", K$24:K$1598)</f>
        <v>0.33519999999999994</v>
      </c>
      <c r="M1705" s="27">
        <f>AVERAGEIF($A$24:$A$1598, "TBar*Fixed", L$24:L$1598)</f>
        <v>4.7095294117647069E-2</v>
      </c>
      <c r="N1705" s="27">
        <f>AVERAGEIF($A$24:$A$1598, "TBar*Fixed", M$24:M$1598)</f>
        <v>85.979682352941182</v>
      </c>
      <c r="O1705" s="27">
        <f>AVERAGEIF($A$24:$A$1598, "TBar*Fixed", N$24:N$1598)</f>
        <v>4.7767929411764705</v>
      </c>
      <c r="Q1705" s="27">
        <f>AVERAGEIF($A$24:$A$1598, "TBar*Fixed", S$24:S$1598)</f>
        <v>1.8235294117647058</v>
      </c>
      <c r="R1705" s="27">
        <f>AVERAGEIF($A$24:$A$1598, "TBar*Fixed", T$24:T$1598)</f>
        <v>2.6588235294117646</v>
      </c>
      <c r="S1705" s="27">
        <f>AVERAGEIF($A$24:$A$1598, "TBar*Fixed", U$24:U$1598)</f>
        <v>2.7647058823529411</v>
      </c>
      <c r="T1705" s="27">
        <f>AVERAGEIF($A$24:$A$1598, "TBar*Fixed", V$24:V$1598)</f>
        <v>4.4823529411764707</v>
      </c>
      <c r="V1705" s="1">
        <f>N1705+D1705+C1705-C1706-D1706-N1706</f>
        <v>-9.0588235293864727E-3</v>
      </c>
      <c r="W1705" s="1" t="s">
        <v>1733</v>
      </c>
    </row>
    <row r="1706" spans="1:24" ht="15" thickBot="1" x14ac:dyDescent="0.4">
      <c r="A1706" s="31">
        <f>COUNTIF($A$24:$A$1598, "TBar*Repaired")</f>
        <v>85</v>
      </c>
      <c r="B1706" s="31" t="s">
        <v>1334</v>
      </c>
      <c r="C1706" s="32">
        <f>AVERAGEIF($A$24:$A$1598, "TBar*Repaired", B$24:B$1598)</f>
        <v>3.6557647058823526</v>
      </c>
      <c r="D1706" s="32">
        <f>AVERAGEIF($A$24:$A$1598, "TBar*Repaired", C$24:C$1598)</f>
        <v>78.692117647058808</v>
      </c>
      <c r="E1706" s="32">
        <f>AVERAGEIF($A$24:$A$1598, "TBar*Repaired", D$24:D$1598)</f>
        <v>16.83423529411764</v>
      </c>
      <c r="F1706" s="32">
        <f>AVERAGEIF($A$24:$A$1598, "TBar*Repaired", E$24:E$1598)</f>
        <v>6.1654117647058841</v>
      </c>
      <c r="G1706" s="32">
        <f>AVERAGEIF($A$24:$A$1598, "TBar*Repaired", F$24:F$1598)</f>
        <v>12.635882352941175</v>
      </c>
      <c r="H1706" s="32">
        <f>AVERAGEIF($A$24:$A$1598, "TBar*Repaired", G$24:G$1598)</f>
        <v>3.8027058823529423</v>
      </c>
      <c r="I1706" s="32">
        <f>AVERAGEIF($A$24:$A$1598, "TBar*Repaired", H$24:H$1598)</f>
        <v>9.9681176470588273</v>
      </c>
      <c r="J1706" s="32">
        <f>AVERAGEIF($A$24:$A$1598, "TBar*Repaired", I$24:I$1598)</f>
        <v>29.469647058823536</v>
      </c>
      <c r="K1706" s="32">
        <f>AVERAGEIF($A$24:$A$1598, "TBar*Repaired", J$24:J$1598)</f>
        <v>51.088117647058823</v>
      </c>
      <c r="L1706" s="32">
        <f>AVERAGEIF($A$24:$A$1598, "TBar*Repaired", K$24:K$1598)</f>
        <v>0.33930588235294112</v>
      </c>
      <c r="M1706" s="32">
        <f>AVERAGEIF($A$24:$A$1598, "TBar*Repaired", L$24:L$1598)</f>
        <v>4.6165882352941182E-2</v>
      </c>
      <c r="N1706" s="32">
        <f>AVERAGEIF($A$24:$A$1598, "TBar*Repaired", M$24:M$1598)</f>
        <v>85.918623529411775</v>
      </c>
      <c r="O1706" s="32">
        <f>AVERAGEIF($A$24:$A$1598, "TBar*Repaired", N$24:N$1598)</f>
        <v>4.7732635294117651</v>
      </c>
      <c r="Q1706" s="32">
        <f>AVERAGEIF($A$24:$A$1598, "TBar*Repaired", S$24:S$1598)</f>
        <v>1.1176470588235294</v>
      </c>
      <c r="R1706" s="32">
        <f>AVERAGEIF($A$24:$A$1598, "TBar*Repaired", T$24:T$1598)</f>
        <v>1.6470588235294117</v>
      </c>
      <c r="S1706" s="32">
        <f>AVERAGEIF($A$24:$A$1598, "TBar*Repaired", U$24:U$1598)</f>
        <v>2.1411764705882352</v>
      </c>
      <c r="T1706" s="32">
        <f>AVERAGEIF($A$24:$A$1598, "TBar*Repaired", V$24:V$1598)</f>
        <v>2.7294117647058824</v>
      </c>
      <c r="V1706" s="31">
        <f>N1706+D1706+C1706</f>
        <v>168.26650588235293</v>
      </c>
      <c r="W1706" s="31" t="s">
        <v>1733</v>
      </c>
    </row>
    <row r="1707" spans="1:24" ht="15" x14ac:dyDescent="0.3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</row>
    <row r="1708" spans="1:24" ht="15" x14ac:dyDescent="0.3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</row>
    <row r="1709" spans="1:24" ht="28.8" x14ac:dyDescent="0.35">
      <c r="A1709" s="14" t="s">
        <v>1310</v>
      </c>
      <c r="B1709" s="14" t="s">
        <v>1652</v>
      </c>
      <c r="C1709" s="14" t="s">
        <v>1296</v>
      </c>
      <c r="D1709" s="14" t="s">
        <v>1297</v>
      </c>
      <c r="E1709" s="14" t="s">
        <v>1298</v>
      </c>
      <c r="F1709" s="14" t="s">
        <v>21</v>
      </c>
      <c r="G1709" s="14" t="s">
        <v>1299</v>
      </c>
      <c r="H1709" s="14" t="s">
        <v>22</v>
      </c>
      <c r="I1709" s="14" t="s">
        <v>1300</v>
      </c>
      <c r="J1709" s="14" t="s">
        <v>1301</v>
      </c>
      <c r="K1709" s="14" t="s">
        <v>1302</v>
      </c>
      <c r="L1709" s="14" t="s">
        <v>1303</v>
      </c>
      <c r="M1709" s="14" t="s">
        <v>1304</v>
      </c>
      <c r="N1709" s="14" t="s">
        <v>1305</v>
      </c>
      <c r="O1709" s="14" t="s">
        <v>1306</v>
      </c>
      <c r="Q1709" s="12" t="s">
        <v>1292</v>
      </c>
      <c r="R1709" s="12" t="s">
        <v>1293</v>
      </c>
      <c r="S1709" s="12" t="s">
        <v>1294</v>
      </c>
      <c r="T1709" s="12" t="s">
        <v>1700</v>
      </c>
      <c r="V1709" s="12" t="s">
        <v>1721</v>
      </c>
      <c r="W1709" s="12" t="s">
        <v>1339</v>
      </c>
    </row>
    <row r="1710" spans="1:24" ht="15" x14ac:dyDescent="0.35">
      <c r="A1710" s="1">
        <f>COUNTIFS($P$24:$P$1598, "True Search", $Q$24:$Q$1598, "Fixed")</f>
        <v>54</v>
      </c>
      <c r="B1710" s="1" t="s">
        <v>1653</v>
      </c>
      <c r="C1710" s="27">
        <f>AVERAGEIFS(B$24:B$1598, $P$24:$P$1598, "True Search", $Q$24:$Q$1598, "Fixed")</f>
        <v>3.9705555555555545</v>
      </c>
      <c r="D1710" s="27">
        <f>AVERAGEIFS(C$24:C$1598, $P$24:$P$1598, "True Search", $Q$24:$Q$1598, "Fixed")</f>
        <v>77.56870370370369</v>
      </c>
      <c r="E1710" s="27">
        <f>AVERAGEIFS(D$24:D$1598, $P$24:$P$1598, "True Search", $Q$24:$Q$1598, "Fixed")</f>
        <v>17.955370370370375</v>
      </c>
      <c r="F1710" s="27">
        <f>AVERAGEIFS(E$24:E$1598, $P$24:$P$1598, "True Search", $Q$24:$Q$1598, "Fixed")</f>
        <v>6.5394444444444479</v>
      </c>
      <c r="G1710" s="27">
        <f>AVERAGEIFS(F$24:F$1598, $P$24:$P$1598, "True Search", $Q$24:$Q$1598, "Fixed")</f>
        <v>14.257407407407406</v>
      </c>
      <c r="H1710" s="27">
        <f>AVERAGEIFS(G$24:G$1598, $P$24:$P$1598, "True Search", $Q$24:$Q$1598, "Fixed")</f>
        <v>4.2009259259259251</v>
      </c>
      <c r="I1710" s="27">
        <f>AVERAGEIFS(H$24:H$1598, $P$24:$P$1598, "True Search", $Q$24:$Q$1598, "Fixed")</f>
        <v>10.741481481481483</v>
      </c>
      <c r="J1710" s="27">
        <f>AVERAGEIFS(I$24:I$1598, $P$24:$P$1598, "True Search", $Q$24:$Q$1598, "Fixed")</f>
        <v>32.212777777777767</v>
      </c>
      <c r="K1710" s="27">
        <f>AVERAGEIFS(J$24:J$1598, $P$24:$P$1598, "True Search", $Q$24:$Q$1598, "Fixed")</f>
        <v>56.180000000000007</v>
      </c>
      <c r="L1710" s="27">
        <f>AVERAGEIFS(K$24:K$1598, $P$24:$P$1598, "True Search", $Q$24:$Q$1598, "Fixed")</f>
        <v>0.45485185185185179</v>
      </c>
      <c r="M1710" s="27">
        <f>AVERAGEIFS(L$24:L$1598, $P$24:$P$1598, "True Search", $Q$24:$Q$1598, "Fixed")</f>
        <v>5.557407407407406E-2</v>
      </c>
      <c r="N1710" s="27">
        <f>AVERAGEIFS(M$24:M$1598, $P$24:$P$1598, "True Search", $Q$24:$Q$1598, "Fixed")</f>
        <v>55.453462962962966</v>
      </c>
      <c r="O1710" s="27">
        <f>AVERAGEIFS(N$24:N$1598, $P$24:$P$1598, "True Search", $Q$24:$Q$1598, "Fixed")</f>
        <v>3.0808851851851862</v>
      </c>
      <c r="Q1710" s="27">
        <f>AVERAGEIFS(S$24:S$1598, $P$24:$P$1598, "True Search", $Q$24:$Q$1598, "Fixed")</f>
        <v>2.0555555555555554</v>
      </c>
      <c r="R1710" s="27">
        <f>AVERAGEIFS(T$24:T$1598, $P$24:$P$1598, "True Search", $Q$24:$Q$1598, "Fixed")</f>
        <v>3.425925925925926</v>
      </c>
      <c r="S1710" s="27">
        <f>AVERAGEIFS(U$24:U$1598, $P$24:$P$1598, "True Search", $Q$24:$Q$1598, "Fixed")</f>
        <v>3.2777777777777777</v>
      </c>
      <c r="T1710" s="27">
        <f>AVERAGEIFS(V$24:V$1598, $P$24:$P$1598, "True Search", $Q$24:$Q$1598, "Fixed")</f>
        <v>5.5740740740740744</v>
      </c>
      <c r="V1710" s="1">
        <f>N1710+D1710+C1710-C1711-D1711-N1711</f>
        <v>-1.4814814814805288E-2</v>
      </c>
      <c r="W1710" s="1" t="s">
        <v>1734</v>
      </c>
      <c r="X1710"/>
    </row>
    <row r="1711" spans="1:24" ht="15" x14ac:dyDescent="0.35">
      <c r="A1711" s="38">
        <f>COUNTIFS($P$24:$P$1598, "True Search", $Q$24:$Q$1598, "Repaired")</f>
        <v>54</v>
      </c>
      <c r="B1711" s="38" t="s">
        <v>1654</v>
      </c>
      <c r="C1711" s="39">
        <f>AVERAGEIFS(B$24:B$1598, $P$24:$P$1598, "True Search", $Q$24:$Q$1598, "Repaired")</f>
        <v>4.02648148148148</v>
      </c>
      <c r="D1711" s="39">
        <f>AVERAGEIFS(C$24:C$1598, $P$24:$P$1598, "True Search", $Q$24:$Q$1598, "Repaired")</f>
        <v>77.4498148148148</v>
      </c>
      <c r="E1711" s="39">
        <f>AVERAGEIFS(D$24:D$1598, $P$24:$P$1598, "True Search", $Q$24:$Q$1598, "Repaired")</f>
        <v>18.02148148148148</v>
      </c>
      <c r="F1711" s="39">
        <f>AVERAGEIFS(E$24:E$1598, $P$24:$P$1598, "True Search", $Q$24:$Q$1598, "Repaired")</f>
        <v>6.5948148148148142</v>
      </c>
      <c r="G1711" s="39">
        <f>AVERAGEIFS(F$24:F$1598, $P$24:$P$1598, "True Search", $Q$24:$Q$1598, "Repaired")</f>
        <v>14.447222222222225</v>
      </c>
      <c r="H1711" s="39">
        <f>AVERAGEIFS(G$24:G$1598, $P$24:$P$1598, "True Search", $Q$24:$Q$1598, "Repaired")</f>
        <v>4.245925925925925</v>
      </c>
      <c r="I1711" s="39">
        <f>AVERAGEIFS(H$24:H$1598, $P$24:$P$1598, "True Search", $Q$24:$Q$1598, "Repaired")</f>
        <v>10.841296296296299</v>
      </c>
      <c r="J1711" s="39">
        <f>AVERAGEIFS(I$24:I$1598, $P$24:$P$1598, "True Search", $Q$24:$Q$1598, "Repaired")</f>
        <v>32.468333333333327</v>
      </c>
      <c r="K1711" s="39">
        <f>AVERAGEIFS(J$24:J$1598, $P$24:$P$1598, "True Search", $Q$24:$Q$1598, "Repaired")</f>
        <v>56.84851851851851</v>
      </c>
      <c r="L1711" s="39">
        <f>AVERAGEIFS(K$24:K$1598, $P$24:$P$1598, "True Search", $Q$24:$Q$1598, "Repaired")</f>
        <v>0.45970370370370367</v>
      </c>
      <c r="M1711" s="39">
        <f>AVERAGEIFS(L$24:L$1598, $P$24:$P$1598, "True Search", $Q$24:$Q$1598, "Repaired")</f>
        <v>5.7388888888888878E-2</v>
      </c>
      <c r="N1711" s="39">
        <f>AVERAGEIFS(M$24:M$1598, $P$24:$P$1598, "True Search", $Q$24:$Q$1598, "Repaired")</f>
        <v>55.531240740740749</v>
      </c>
      <c r="O1711" s="39">
        <f>AVERAGEIFS(N$24:N$1598, $P$24:$P$1598, "True Search", $Q$24:$Q$1598, "Repaired")</f>
        <v>3.0851629629629636</v>
      </c>
      <c r="Q1711" s="39">
        <f>AVERAGEIFS(S$24:S$1598, $P$24:$P$1598, "True Search", $Q$24:$Q$1598, "Repaired")</f>
        <v>1.1111111111111112</v>
      </c>
      <c r="R1711" s="39">
        <f>AVERAGEIFS(T$24:T$1598, $P$24:$P$1598, "True Search", $Q$24:$Q$1598, "Repaired")</f>
        <v>1.4814814814814814</v>
      </c>
      <c r="S1711" s="39">
        <f>AVERAGEIFS(U$24:U$1598, $P$24:$P$1598, "True Search", $Q$24:$Q$1598, "Repaired")</f>
        <v>1.3333333333333333</v>
      </c>
      <c r="T1711" s="39">
        <f>AVERAGEIFS(V$24:V$1598, $P$24:$P$1598, "True Search", $Q$24:$Q$1598, "Repaired")</f>
        <v>1.8148148148148149</v>
      </c>
      <c r="V1711" s="38">
        <f>N1711+D1711+C1711</f>
        <v>137.00753703703703</v>
      </c>
      <c r="W1711" s="1" t="s">
        <v>1734</v>
      </c>
      <c r="X1711"/>
    </row>
    <row r="1712" spans="1:24" ht="15.6" thickBot="1" x14ac:dyDescent="0.4">
      <c r="A1712" s="40" t="s">
        <v>1698</v>
      </c>
      <c r="B1712" s="31"/>
      <c r="C1712" s="49"/>
      <c r="D1712" s="49"/>
      <c r="E1712" s="49"/>
      <c r="F1712" s="50" t="s">
        <v>1693</v>
      </c>
      <c r="G1712" s="49"/>
      <c r="H1712" s="49"/>
      <c r="I1712" s="49"/>
      <c r="J1712" s="49"/>
      <c r="K1712" s="49"/>
      <c r="L1712" s="49"/>
      <c r="M1712" s="49"/>
      <c r="N1712" s="49"/>
      <c r="O1712" s="49"/>
      <c r="Q1712" s="41"/>
      <c r="R1712" s="41"/>
      <c r="S1712" s="41"/>
      <c r="T1712" s="41"/>
      <c r="V1712" s="31"/>
      <c r="W1712" s="31"/>
      <c r="X1712"/>
    </row>
    <row r="1713" spans="1:24" ht="15" x14ac:dyDescent="0.35">
      <c r="A1713" s="1">
        <f>COUNTIFS($P$24:$P$1598, "Evolutionary Search", $Q$24:$Q$1598, "Fixed")</f>
        <v>111</v>
      </c>
      <c r="B1713" s="1" t="s">
        <v>1655</v>
      </c>
      <c r="C1713" s="27">
        <f>AVERAGEIFS(B$24:B$1598, $P$24:$P$1598, "Evolutionary Search", $Q$24:$Q$1598, "Fixed")</f>
        <v>3.9996396396396401</v>
      </c>
      <c r="D1713" s="27">
        <f>AVERAGEIFS(C$24:C$1598, $P$24:$P$1598, "Evolutionary Search", $Q$24:$Q$1598, "Fixed")</f>
        <v>77.221621621621594</v>
      </c>
      <c r="E1713" s="27">
        <f>AVERAGEIFS(D$24:D$1598, $P$24:$P$1598, "Evolutionary Search", $Q$24:$Q$1598, "Fixed")</f>
        <v>18.374594594594587</v>
      </c>
      <c r="F1713" s="27">
        <f>AVERAGEIFS(E$24:E$1598, $P$24:$P$1598, "Evolutionary Search", $Q$24:$Q$1598, "Fixed")</f>
        <v>6.5638738738738729</v>
      </c>
      <c r="G1713" s="27">
        <f>AVERAGEIFS(F$24:F$1598, $P$24:$P$1598, "Evolutionary Search", $Q$24:$Q$1598, "Fixed")</f>
        <v>14.15135135135136</v>
      </c>
      <c r="H1713" s="27">
        <f>AVERAGEIFS(G$24:G$1598, $P$24:$P$1598, "Evolutionary Search", $Q$24:$Q$1598, "Fixed")</f>
        <v>4.082072072072072</v>
      </c>
      <c r="I1713" s="27">
        <f>AVERAGEIFS(H$24:H$1598, $P$24:$P$1598, "Evolutionary Search", $Q$24:$Q$1598, "Fixed")</f>
        <v>10.64594594594594</v>
      </c>
      <c r="J1713" s="27">
        <f>AVERAGEIFS(I$24:I$1598, $P$24:$P$1598, "Evolutionary Search", $Q$24:$Q$1598, "Fixed")</f>
        <v>32.526306306306317</v>
      </c>
      <c r="K1713" s="27">
        <f>AVERAGEIFS(J$24:J$1598, $P$24:$P$1598, "Evolutionary Search", $Q$24:$Q$1598, "Fixed")</f>
        <v>55.604234234234248</v>
      </c>
      <c r="L1713" s="27">
        <f>AVERAGEIFS(K$24:K$1598, $P$24:$P$1598, "Evolutionary Search", $Q$24:$Q$1598, "Fixed")</f>
        <v>0.36396396396396397</v>
      </c>
      <c r="M1713" s="27">
        <f>AVERAGEIFS(L$24:L$1598, $P$24:$P$1598, "Evolutionary Search", $Q$24:$Q$1598, "Fixed")</f>
        <v>5.3479279279279278E-2</v>
      </c>
      <c r="N1713" s="27">
        <f>AVERAGEIFS(M$24:M$1598, $P$24:$P$1598, "Evolutionary Search", $Q$24:$Q$1598, "Fixed")</f>
        <v>40.193396396396402</v>
      </c>
      <c r="O1713" s="27">
        <f>AVERAGEIFS(N$24:N$1598, $P$24:$P$1598, "Evolutionary Search", $Q$24:$Q$1598, "Fixed")</f>
        <v>2.2325567567567575</v>
      </c>
      <c r="Q1713" s="27">
        <f>AVERAGEIFS(S$24:S$1598, $P$24:$P$1598, "Evolutionary Search", $Q$24:$Q$1598, "Fixed")</f>
        <v>2.0630630630630629</v>
      </c>
      <c r="R1713" s="27">
        <f>AVERAGEIFS(T$24:T$1598, $P$24:$P$1598, "Evolutionary Search", $Q$24:$Q$1598, "Fixed")</f>
        <v>3.2342342342342341</v>
      </c>
      <c r="S1713" s="27">
        <f>AVERAGEIFS(U$24:U$1598, $P$24:$P$1598, "Evolutionary Search", $Q$24:$Q$1598, "Fixed")</f>
        <v>3.6846846846846848</v>
      </c>
      <c r="T1713" s="27">
        <f>AVERAGEIFS(V$24:V$1598, $P$24:$P$1598, "Evolutionary Search", $Q$24:$Q$1598, "Fixed")</f>
        <v>5.8558558558558556</v>
      </c>
      <c r="V1713" s="1">
        <f>N1713+D1713+C1713-C1714-D1714-N1714</f>
        <v>-0.35972972972974304</v>
      </c>
      <c r="W1713" s="1" t="s">
        <v>1735</v>
      </c>
      <c r="X1713"/>
    </row>
    <row r="1714" spans="1:24" ht="15" x14ac:dyDescent="0.35">
      <c r="A1714" s="38">
        <f>COUNTIFS($P$24:$P$1598, "Evolutionary Search", $Q$24:$Q$1598, "Repaired")</f>
        <v>111</v>
      </c>
      <c r="B1714" s="38" t="s">
        <v>1656</v>
      </c>
      <c r="C1714" s="39">
        <f>AVERAGEIFS(B$24:B$1598, $P$24:$P$1598, "Evolutionary Search", $Q$24:$Q$1598, "Repaired")</f>
        <v>3.9875675675675661</v>
      </c>
      <c r="D1714" s="39">
        <f>AVERAGEIFS(C$24:C$1598, $P$24:$P$1598, "Evolutionary Search", $Q$24:$Q$1598, "Repaired")</f>
        <v>77.314864864864859</v>
      </c>
      <c r="E1714" s="39">
        <f>AVERAGEIFS(D$24:D$1598, $P$24:$P$1598, "Evolutionary Search", $Q$24:$Q$1598, "Repaired")</f>
        <v>18.059819819819818</v>
      </c>
      <c r="F1714" s="39">
        <f>AVERAGEIFS(E$24:E$1598, $P$24:$P$1598, "Evolutionary Search", $Q$24:$Q$1598, "Repaired")</f>
        <v>6.5217117117117089</v>
      </c>
      <c r="G1714" s="39">
        <f>AVERAGEIFS(F$24:F$1598, $P$24:$P$1598, "Evolutionary Search", $Q$24:$Q$1598, "Repaired")</f>
        <v>14.005135135135141</v>
      </c>
      <c r="H1714" s="39">
        <f>AVERAGEIFS(G$24:G$1598, $P$24:$P$1598, "Evolutionary Search", $Q$24:$Q$1598, "Repaired")</f>
        <v>4.0477477477477493</v>
      </c>
      <c r="I1714" s="39">
        <f>AVERAGEIFS(H$24:H$1598, $P$24:$P$1598, "Evolutionary Search", $Q$24:$Q$1598, "Repaired")</f>
        <v>10.569189189189185</v>
      </c>
      <c r="J1714" s="39">
        <f>AVERAGEIFS(I$24:I$1598, $P$24:$P$1598, "Evolutionary Search", $Q$24:$Q$1598, "Repaired")</f>
        <v>32.065495495495497</v>
      </c>
      <c r="K1714" s="39">
        <f>AVERAGEIFS(J$24:J$1598, $P$24:$P$1598, "Evolutionary Search", $Q$24:$Q$1598, "Repaired")</f>
        <v>54.914864864864853</v>
      </c>
      <c r="L1714" s="39">
        <f>AVERAGEIFS(K$24:K$1598, $P$24:$P$1598, "Evolutionary Search", $Q$24:$Q$1598, "Repaired")</f>
        <v>0.36949549549549554</v>
      </c>
      <c r="M1714" s="39">
        <f>AVERAGEIFS(L$24:L$1598, $P$24:$P$1598, "Evolutionary Search", $Q$24:$Q$1598, "Repaired")</f>
        <v>5.4866666666666661E-2</v>
      </c>
      <c r="N1714" s="39">
        <f>AVERAGEIFS(M$24:M$1598, $P$24:$P$1598, "Evolutionary Search", $Q$24:$Q$1598, "Repaired")</f>
        <v>40.47195495495496</v>
      </c>
      <c r="O1714" s="39">
        <f>AVERAGEIFS(N$24:N$1598, $P$24:$P$1598, "Evolutionary Search", $Q$24:$Q$1598, "Repaired")</f>
        <v>2.247953153153154</v>
      </c>
      <c r="Q1714" s="39">
        <f>AVERAGEIFS(S$24:S$1598, $P$24:$P$1598, "Evolutionary Search", $Q$24:$Q$1598, "Repaired")</f>
        <v>1.1441441441441442</v>
      </c>
      <c r="R1714" s="39">
        <f>AVERAGEIFS(T$24:T$1598, $P$24:$P$1598, "Evolutionary Search", $Q$24:$Q$1598, "Repaired")</f>
        <v>1.4594594594594594</v>
      </c>
      <c r="S1714" s="39">
        <f>AVERAGEIFS(U$24:U$1598, $P$24:$P$1598, "Evolutionary Search", $Q$24:$Q$1598, "Repaired")</f>
        <v>6.4324324324324325</v>
      </c>
      <c r="T1714" s="39">
        <f>AVERAGEIFS(V$24:V$1598, $P$24:$P$1598, "Evolutionary Search", $Q$24:$Q$1598, "Repaired")</f>
        <v>7.045045045045045</v>
      </c>
      <c r="V1714" s="38">
        <f>N1714+D1714+C1714</f>
        <v>121.77438738738738</v>
      </c>
      <c r="W1714" s="38" t="s">
        <v>1735</v>
      </c>
      <c r="X1714"/>
    </row>
    <row r="1715" spans="1:24" ht="15.6" thickBot="1" x14ac:dyDescent="0.4">
      <c r="A1715" s="40" t="s">
        <v>1698</v>
      </c>
      <c r="B1715" s="31"/>
      <c r="C1715" s="50" t="s">
        <v>1693</v>
      </c>
      <c r="D1715" s="49"/>
      <c r="E1715" s="50" t="s">
        <v>1693</v>
      </c>
      <c r="F1715" s="49"/>
      <c r="G1715" s="50" t="s">
        <v>1693</v>
      </c>
      <c r="H1715" s="50" t="s">
        <v>1693</v>
      </c>
      <c r="I1715" s="50" t="s">
        <v>1693</v>
      </c>
      <c r="J1715" s="50" t="s">
        <v>1693</v>
      </c>
      <c r="K1715" s="50" t="s">
        <v>1693</v>
      </c>
      <c r="L1715" s="49"/>
      <c r="M1715" s="49"/>
      <c r="N1715" s="49"/>
      <c r="O1715" s="49"/>
      <c r="Q1715" s="41"/>
      <c r="R1715" s="41"/>
      <c r="S1715" s="41"/>
      <c r="T1715" s="41"/>
      <c r="V1715" s="31"/>
      <c r="W1715" s="31"/>
      <c r="X1715"/>
    </row>
    <row r="1716" spans="1:24" ht="15" x14ac:dyDescent="0.35">
      <c r="A1716" s="1">
        <f>COUNTIFS($P$24:$P$1598, "True Semantic", $Q$24:$Q$1598, "Fixed")</f>
        <v>51</v>
      </c>
      <c r="B1716" s="1" t="s">
        <v>1657</v>
      </c>
      <c r="C1716" s="27">
        <f>AVERAGEIFS(B$24:B$1598, $P$24:$P$1598, "True Semantic", $Q$24:$Q$1598, "Fixed")</f>
        <v>3.5682352941176458</v>
      </c>
      <c r="D1716" s="27">
        <f>AVERAGEIFS(C$24:C$1598, $P$24:$P$1598, "True Semantic", $Q$24:$Q$1598, "Fixed")</f>
        <v>77.975882352941156</v>
      </c>
      <c r="E1716" s="27">
        <f>AVERAGEIFS(D$24:D$1598, $P$24:$P$1598, "True Semantic", $Q$24:$Q$1598, "Fixed")</f>
        <v>20.026470588235295</v>
      </c>
      <c r="F1716" s="27">
        <f>AVERAGEIFS(E$24:E$1598, $P$24:$P$1598, "True Semantic", $Q$24:$Q$1598, "Fixed")</f>
        <v>6.6905882352941184</v>
      </c>
      <c r="G1716" s="27">
        <f>AVERAGEIFS(F$24:F$1598, $P$24:$P$1598, "True Semantic", $Q$24:$Q$1598, "Fixed")</f>
        <v>14.359411764705882</v>
      </c>
      <c r="H1716" s="27">
        <f>AVERAGEIFS(G$24:G$1598, $P$24:$P$1598, "True Semantic", $Q$24:$Q$1598, "Fixed")</f>
        <v>4.1176470588235281</v>
      </c>
      <c r="I1716" s="27">
        <f>AVERAGEIFS(H$24:H$1598, $P$24:$P$1598, "True Semantic", $Q$24:$Q$1598, "Fixed")</f>
        <v>10.809019607843139</v>
      </c>
      <c r="J1716" s="27">
        <f>AVERAGEIFS(I$24:I$1598, $P$24:$P$1598, "True Semantic", $Q$24:$Q$1598, "Fixed")</f>
        <v>34.385098039215698</v>
      </c>
      <c r="K1716" s="27">
        <f>AVERAGEIFS(J$24:J$1598, $P$24:$P$1598, "True Semantic", $Q$24:$Q$1598, "Fixed")</f>
        <v>57.591176470588216</v>
      </c>
      <c r="L1716" s="27">
        <f>AVERAGEIFS(K$24:K$1598, $P$24:$P$1598, "True Semantic", $Q$24:$Q$1598, "Fixed")</f>
        <v>0.5499215686274509</v>
      </c>
      <c r="M1716" s="27">
        <f>AVERAGEIFS(L$24:L$1598, $P$24:$P$1598, "True Semantic", $Q$24:$Q$1598, "Fixed")</f>
        <v>7.4078431372549006E-2</v>
      </c>
      <c r="N1716" s="27">
        <f>AVERAGEIFS(M$24:M$1598, $P$24:$P$1598, "True Semantic", $Q$24:$Q$1598, "Fixed")</f>
        <v>14.867137254901962</v>
      </c>
      <c r="O1716" s="27">
        <f>AVERAGEIFS(N$24:N$1598, $P$24:$P$1598, "True Semantic", $Q$24:$Q$1598, "Fixed")</f>
        <v>0.82626666666666682</v>
      </c>
      <c r="Q1716" s="27">
        <f>AVERAGEIFS(S$24:S$1598, $P$24:$P$1598, "True Semantic", $Q$24:$Q$1598, "Fixed")</f>
        <v>2.392156862745098</v>
      </c>
      <c r="R1716" s="27">
        <f>AVERAGEIFS(T$24:T$1598, $P$24:$P$1598, "True Semantic", $Q$24:$Q$1598, "Fixed")</f>
        <v>3.3333333333333335</v>
      </c>
      <c r="S1716" s="27">
        <f>AVERAGEIFS(U$24:U$1598, $P$24:$P$1598, "True Semantic", $Q$24:$Q$1598, "Fixed")</f>
        <v>2.392156862745098</v>
      </c>
      <c r="T1716" s="27">
        <f>AVERAGEIFS(V$24:V$1598, $P$24:$P$1598, "True Semantic", $Q$24:$Q$1598, "Fixed")</f>
        <v>4.333333333333333</v>
      </c>
      <c r="V1716" s="1">
        <f>N1716+D1716+C1716-C1717-D1717-N1717</f>
        <v>-0.46215686274512535</v>
      </c>
      <c r="W1716" s="1" t="s">
        <v>1736</v>
      </c>
      <c r="X1716"/>
    </row>
    <row r="1717" spans="1:24" ht="15" x14ac:dyDescent="0.35">
      <c r="A1717" s="38">
        <f>COUNTIFS($P$24:$P$1598, "True Semantic", $Q$24:$Q$1598, "Repaired")</f>
        <v>51</v>
      </c>
      <c r="B1717" s="38" t="s">
        <v>1658</v>
      </c>
      <c r="C1717" s="39">
        <f>AVERAGEIFS(B$24:B$1598, $P$24:$P$1598, "True Semantic", $Q$24:$Q$1598, "Repaired")</f>
        <v>3.5654901960784309</v>
      </c>
      <c r="D1717" s="39">
        <f>AVERAGEIFS(C$24:C$1598, $P$24:$P$1598, "True Semantic", $Q$24:$Q$1598, "Repaired")</f>
        <v>77.976078431372557</v>
      </c>
      <c r="E1717" s="39">
        <f>AVERAGEIFS(D$24:D$1598, $P$24:$P$1598, "True Semantic", $Q$24:$Q$1598, "Repaired")</f>
        <v>19.946078431372552</v>
      </c>
      <c r="F1717" s="39">
        <f>AVERAGEIFS(E$24:E$1598, $P$24:$P$1598, "True Semantic", $Q$24:$Q$1598, "Repaired")</f>
        <v>6.6976470588235291</v>
      </c>
      <c r="G1717" s="39">
        <f>AVERAGEIFS(F$24:F$1598, $P$24:$P$1598, "True Semantic", $Q$24:$Q$1598, "Repaired")</f>
        <v>14.329999999999997</v>
      </c>
      <c r="H1717" s="39">
        <f>AVERAGEIFS(G$24:G$1598, $P$24:$P$1598, "True Semantic", $Q$24:$Q$1598, "Repaired")</f>
        <v>4.1111764705882345</v>
      </c>
      <c r="I1717" s="39">
        <f>AVERAGEIFS(H$24:H$1598, $P$24:$P$1598, "True Semantic", $Q$24:$Q$1598, "Repaired")</f>
        <v>10.810000000000004</v>
      </c>
      <c r="J1717" s="39">
        <f>AVERAGEIFS(I$24:I$1598, $P$24:$P$1598, "True Semantic", $Q$24:$Q$1598, "Repaired")</f>
        <v>34.277647058823526</v>
      </c>
      <c r="K1717" s="39">
        <f>AVERAGEIFS(J$24:J$1598, $P$24:$P$1598, "True Semantic", $Q$24:$Q$1598, "Repaired")</f>
        <v>57.499019607843152</v>
      </c>
      <c r="L1717" s="39">
        <f>AVERAGEIFS(K$24:K$1598, $P$24:$P$1598, "True Semantic", $Q$24:$Q$1598, "Repaired")</f>
        <v>0.55435294117647049</v>
      </c>
      <c r="M1717" s="39">
        <f>AVERAGEIFS(L$24:L$1598, $P$24:$P$1598, "True Semantic", $Q$24:$Q$1598, "Repaired")</f>
        <v>7.5176470588235275E-2</v>
      </c>
      <c r="N1717" s="39">
        <f>AVERAGEIFS(M$24:M$1598, $P$24:$P$1598, "True Semantic", $Q$24:$Q$1598, "Repaired")</f>
        <v>15.3318431372549</v>
      </c>
      <c r="O1717" s="39">
        <f>AVERAGEIFS(N$24:N$1598, $P$24:$P$1598, "True Semantic", $Q$24:$Q$1598, "Repaired")</f>
        <v>0.85214901960784317</v>
      </c>
      <c r="Q1717" s="39">
        <f>AVERAGEIFS(S$24:S$1598, $P$24:$P$1598, "True Semantic", $Q$24:$Q$1598, "Repaired")</f>
        <v>1.2549019607843137</v>
      </c>
      <c r="R1717" s="39">
        <f>AVERAGEIFS(T$24:T$1598, $P$24:$P$1598, "True Semantic", $Q$24:$Q$1598, "Repaired")</f>
        <v>4.5882352941176467</v>
      </c>
      <c r="S1717" s="39">
        <f>AVERAGEIFS(U$24:U$1598, $P$24:$P$1598, "True Semantic", $Q$24:$Q$1598, "Repaired")</f>
        <v>3.1568627450980391</v>
      </c>
      <c r="T1717" s="39">
        <f>AVERAGEIFS(V$24:V$1598, $P$24:$P$1598, "True Semantic", $Q$24:$Q$1598, "Repaired")</f>
        <v>5</v>
      </c>
      <c r="V1717" s="38">
        <f>N1717+D1717+C1717</f>
        <v>96.873411764705878</v>
      </c>
      <c r="W1717" s="38" t="s">
        <v>1736</v>
      </c>
      <c r="X1717"/>
    </row>
    <row r="1718" spans="1:24" ht="15.6" thickBot="1" x14ac:dyDescent="0.4">
      <c r="A1718" s="40" t="s">
        <v>1698</v>
      </c>
      <c r="B1718" s="31"/>
      <c r="C1718" s="49"/>
      <c r="D1718" s="49"/>
      <c r="E1718" s="49"/>
      <c r="F1718" s="49"/>
      <c r="G1718" s="49"/>
      <c r="H1718" s="49"/>
      <c r="I1718" s="49"/>
      <c r="J1718" s="49"/>
      <c r="K1718" s="49"/>
      <c r="L1718" s="49"/>
      <c r="M1718" s="49"/>
      <c r="N1718" s="49"/>
      <c r="O1718" s="49"/>
      <c r="Q1718" s="41"/>
      <c r="R1718" s="41"/>
      <c r="S1718" s="41"/>
      <c r="T1718" s="41"/>
      <c r="V1718" s="31"/>
      <c r="W1718" s="31"/>
      <c r="X1718"/>
    </row>
    <row r="1719" spans="1:24" ht="15" x14ac:dyDescent="0.35">
      <c r="A1719" s="1">
        <f>COUNTIFS($P$24:$P$1598, "True Pattern", $Q$24:$Q$1598, "Fixed")</f>
        <v>255</v>
      </c>
      <c r="B1719" s="1" t="s">
        <v>1659</v>
      </c>
      <c r="C1719" s="27">
        <f>AVERAGEIFS(B$24:B$1598, $P$24:$P$1598, "True Pattern", $Q$24:$Q$1598, "Fixed")</f>
        <v>3.8602352941176497</v>
      </c>
      <c r="D1719" s="27">
        <f>AVERAGEIFS(C$24:C$1598, $P$24:$P$1598, "True Pattern", $Q$24:$Q$1598, "Fixed")</f>
        <v>78.183529411764724</v>
      </c>
      <c r="E1719" s="27">
        <f>AVERAGEIFS(D$24:D$1598, $P$24:$P$1598, "True Pattern", $Q$24:$Q$1598, "Fixed")</f>
        <v>18.207999999999998</v>
      </c>
      <c r="F1719" s="27">
        <f>AVERAGEIFS(E$24:E$1598, $P$24:$P$1598, "True Pattern", $Q$24:$Q$1598, "Fixed")</f>
        <v>6.5863137254901982</v>
      </c>
      <c r="G1719" s="27">
        <f>AVERAGEIFS(F$24:F$1598, $P$24:$P$1598, "True Pattern", $Q$24:$Q$1598, "Fixed")</f>
        <v>13.598117647058823</v>
      </c>
      <c r="H1719" s="27">
        <f>AVERAGEIFS(G$24:G$1598, $P$24:$P$1598, "True Pattern", $Q$24:$Q$1598, "Fixed")</f>
        <v>3.9848235294117651</v>
      </c>
      <c r="I1719" s="27">
        <f>AVERAGEIFS(H$24:H$1598, $P$24:$P$1598, "True Pattern", $Q$24:$Q$1598, "Fixed")</f>
        <v>10.571607843137253</v>
      </c>
      <c r="J1719" s="27">
        <f>AVERAGEIFS(I$24:I$1598, $P$24:$P$1598, "True Pattern", $Q$24:$Q$1598, "Fixed")</f>
        <v>31.80615686274508</v>
      </c>
      <c r="K1719" s="27">
        <f>AVERAGEIFS(J$24:J$1598, $P$24:$P$1598, "True Pattern", $Q$24:$Q$1598, "Fixed")</f>
        <v>55.586078431372535</v>
      </c>
      <c r="L1719" s="27">
        <f>AVERAGEIFS(K$24:K$1598, $P$24:$P$1598, "True Pattern", $Q$24:$Q$1598, "Fixed")</f>
        <v>0.35587843137254904</v>
      </c>
      <c r="M1719" s="27">
        <f>AVERAGEIFS(L$24:L$1598, $P$24:$P$1598, "True Pattern", $Q$24:$Q$1598, "Fixed")</f>
        <v>5.0368627450980405E-2</v>
      </c>
      <c r="N1719" s="27">
        <f>AVERAGEIFS(M$24:M$1598, $P$24:$P$1598, "True Pattern", $Q$24:$Q$1598, "Fixed")</f>
        <v>73.769788235294115</v>
      </c>
      <c r="O1719" s="27">
        <f>AVERAGEIFS(N$24:N$1598, $P$24:$P$1598, "True Pattern", $Q$24:$Q$1598, "Fixed")</f>
        <v>4.098532549019609</v>
      </c>
      <c r="Q1719" s="27">
        <f>AVERAGEIFS(S$24:S$1598, $P$24:$P$1598, "True Pattern", $Q$24:$Q$1598, "Fixed")</f>
        <v>1.9254901960784314</v>
      </c>
      <c r="R1719" s="27">
        <f>AVERAGEIFS(T$24:T$1598, $P$24:$P$1598, "True Pattern", $Q$24:$Q$1598, "Fixed")</f>
        <v>2.7686274509803921</v>
      </c>
      <c r="S1719" s="27">
        <f>AVERAGEIFS(U$24:U$1598, $P$24:$P$1598, "True Pattern", $Q$24:$Q$1598, "Fixed")</f>
        <v>2.8235294117647061</v>
      </c>
      <c r="T1719" s="27">
        <f>AVERAGEIFS(V$24:V$1598, $P$24:$P$1598, "True Pattern", $Q$24:$Q$1598, "Fixed")</f>
        <v>4.6549019607843141</v>
      </c>
      <c r="V1719" s="1">
        <f>N1719+D1719+C1719-C1720-D1720-N1720</f>
        <v>0.23945098039217783</v>
      </c>
      <c r="W1719" s="1" t="s">
        <v>1737</v>
      </c>
      <c r="X1719"/>
    </row>
    <row r="1720" spans="1:24" ht="15" x14ac:dyDescent="0.35">
      <c r="A1720" s="38">
        <f>COUNTIFS($P$24:$P$1598, "True Pattern", $Q$24:$Q$1598, "Repaired")</f>
        <v>255</v>
      </c>
      <c r="B1720" s="38" t="s">
        <v>1660</v>
      </c>
      <c r="C1720" s="39">
        <f>AVERAGEIFS(B$24:B$1598, $P$24:$P$1598, "True Pattern", $Q$24:$Q$1598, "Repaired")</f>
        <v>3.8399607843137269</v>
      </c>
      <c r="D1720" s="39">
        <f>AVERAGEIFS(C$24:C$1598, $P$24:$P$1598, "True Pattern", $Q$24:$Q$1598, "Repaired")</f>
        <v>78.199058823529427</v>
      </c>
      <c r="E1720" s="39">
        <f>AVERAGEIFS(D$24:D$1598, $P$24:$P$1598, "True Pattern", $Q$24:$Q$1598, "Repaired")</f>
        <v>18.035686274509789</v>
      </c>
      <c r="F1720" s="39">
        <f>AVERAGEIFS(E$24:E$1598, $P$24:$P$1598, "True Pattern", $Q$24:$Q$1598, "Repaired")</f>
        <v>6.5403137254901971</v>
      </c>
      <c r="G1720" s="39">
        <f>AVERAGEIFS(F$24:F$1598, $P$24:$P$1598, "True Pattern", $Q$24:$Q$1598, "Repaired")</f>
        <v>13.545058823529407</v>
      </c>
      <c r="H1720" s="39">
        <f>AVERAGEIFS(G$24:G$1598, $P$24:$P$1598, "True Pattern", $Q$24:$Q$1598, "Repaired")</f>
        <v>3.9674901960784341</v>
      </c>
      <c r="I1720" s="39">
        <f>AVERAGEIFS(H$24:H$1598, $P$24:$P$1598, "True Pattern", $Q$24:$Q$1598, "Repaired")</f>
        <v>10.507882352941166</v>
      </c>
      <c r="J1720" s="39">
        <f>AVERAGEIFS(I$24:I$1598, $P$24:$P$1598, "True Pattern", $Q$24:$Q$1598, "Repaired")</f>
        <v>31.580235294117639</v>
      </c>
      <c r="K1720" s="39">
        <f>AVERAGEIFS(J$24:J$1598, $P$24:$P$1598, "True Pattern", $Q$24:$Q$1598, "Repaired")</f>
        <v>55.039843137254856</v>
      </c>
      <c r="L1720" s="39">
        <f>AVERAGEIFS(K$24:K$1598, $P$24:$P$1598, "True Pattern", $Q$24:$Q$1598, "Repaired")</f>
        <v>0.35499215686274521</v>
      </c>
      <c r="M1720" s="39">
        <f>AVERAGEIFS(L$24:L$1598, $P$24:$P$1598, "True Pattern", $Q$24:$Q$1598, "Repaired")</f>
        <v>5.0207843137254918E-2</v>
      </c>
      <c r="N1720" s="39">
        <f>AVERAGEIFS(M$24:M$1598, $P$24:$P$1598, "True Pattern", $Q$24:$Q$1598, "Repaired")</f>
        <v>73.53508235294116</v>
      </c>
      <c r="O1720" s="39">
        <f>AVERAGEIFS(N$24:N$1598, $P$24:$P$1598, "True Pattern", $Q$24:$Q$1598, "Repaired")</f>
        <v>4.0853247058823525</v>
      </c>
      <c r="Q1720" s="39">
        <f>AVERAGEIFS(S$24:S$1598, $P$24:$P$1598, "True Pattern", $Q$24:$Q$1598, "Repaired")</f>
        <v>1.0980392156862746</v>
      </c>
      <c r="R1720" s="39">
        <f>AVERAGEIFS(T$24:T$1598, $P$24:$P$1598, "True Pattern", $Q$24:$Q$1598, "Repaired")</f>
        <v>1.5019607843137255</v>
      </c>
      <c r="S1720" s="39">
        <f>AVERAGEIFS(U$24:U$1598, $P$24:$P$1598, "True Pattern", $Q$24:$Q$1598, "Repaired")</f>
        <v>2.0588235294117645</v>
      </c>
      <c r="T1720" s="39">
        <f>AVERAGEIFS(V$24:V$1598, $P$24:$P$1598, "True Pattern", $Q$24:$Q$1598, "Repaired")</f>
        <v>2.5372549019607842</v>
      </c>
      <c r="V1720" s="38">
        <f>N1720+D1720+C1720</f>
        <v>155.5741019607843</v>
      </c>
      <c r="W1720" s="38" t="s">
        <v>1737</v>
      </c>
      <c r="X1720"/>
    </row>
    <row r="1721" spans="1:24" ht="15.6" thickBot="1" x14ac:dyDescent="0.4">
      <c r="A1721" s="40" t="s">
        <v>1698</v>
      </c>
      <c r="B1721" s="31"/>
      <c r="C1721" s="49"/>
      <c r="D1721" s="49"/>
      <c r="E1721" s="50" t="s">
        <v>1693</v>
      </c>
      <c r="F1721" s="49"/>
      <c r="G1721" s="49"/>
      <c r="H1721" s="49"/>
      <c r="I1721" s="49"/>
      <c r="J1721" s="49"/>
      <c r="K1721" s="49"/>
      <c r="L1721" s="49"/>
      <c r="M1721" s="49"/>
      <c r="N1721" s="49"/>
      <c r="O1721" s="49"/>
      <c r="Q1721" s="41"/>
      <c r="R1721" s="41"/>
      <c r="S1721" s="41"/>
      <c r="T1721" s="41"/>
      <c r="V1721" s="31"/>
      <c r="W1721" s="31"/>
      <c r="X1721"/>
    </row>
    <row r="1722" spans="1:24" ht="15" x14ac:dyDescent="0.35">
      <c r="A1722" s="1">
        <f>COUNTIFS($P$24:$P$1598, "Search Like Pattern", $Q$24:$Q$1598, "Fixed")</f>
        <v>54</v>
      </c>
      <c r="B1722" s="1" t="s">
        <v>1661</v>
      </c>
      <c r="C1722" s="27">
        <f>AVERAGEIFS(B$24:B$1598, $P$24:$P$1598, "Search Like Pattern", $Q$24:$Q$1598, "Fixed")</f>
        <v>3.9398148148148144</v>
      </c>
      <c r="D1722" s="27">
        <f>AVERAGEIFS(C$24:C$1598, $P$24:$P$1598, "Search Like Pattern", $Q$24:$Q$1598, "Fixed")</f>
        <v>77.628888888888852</v>
      </c>
      <c r="E1722" s="27">
        <f>AVERAGEIFS(D$24:D$1598, $P$24:$P$1598, "Search Like Pattern", $Q$24:$Q$1598, "Fixed")</f>
        <v>19.485185185185188</v>
      </c>
      <c r="F1722" s="27">
        <f>AVERAGEIFS(E$24:E$1598, $P$24:$P$1598, "Search Like Pattern", $Q$24:$Q$1598, "Fixed")</f>
        <v>6.8544444444444457</v>
      </c>
      <c r="G1722" s="27">
        <f>AVERAGEIFS(F$24:F$1598, $P$24:$P$1598, "Search Like Pattern", $Q$24:$Q$1598, "Fixed")</f>
        <v>14.755740740740739</v>
      </c>
      <c r="H1722" s="27">
        <f>AVERAGEIFS(G$24:G$1598, $P$24:$P$1598, "Search Like Pattern", $Q$24:$Q$1598, "Fixed")</f>
        <v>4.2961111111111103</v>
      </c>
      <c r="I1722" s="27">
        <f>AVERAGEIFS(H$24:H$1598, $P$24:$P$1598, "Search Like Pattern", $Q$24:$Q$1598, "Fixed")</f>
        <v>11.150555555555556</v>
      </c>
      <c r="J1722" s="27">
        <f>AVERAGEIFS(I$24:I$1598, $P$24:$P$1598, "Search Like Pattern", $Q$24:$Q$1598, "Fixed")</f>
        <v>34.241296296296298</v>
      </c>
      <c r="K1722" s="27">
        <f>AVERAGEIFS(J$24:J$1598, $P$24:$P$1598, "Search Like Pattern", $Q$24:$Q$1598, "Fixed")</f>
        <v>59.68666666666666</v>
      </c>
      <c r="L1722" s="27">
        <f>AVERAGEIFS(K$24:K$1598, $P$24:$P$1598, "Search Like Pattern", $Q$24:$Q$1598, "Fixed")</f>
        <v>0.36953703703703716</v>
      </c>
      <c r="M1722" s="27">
        <f>AVERAGEIFS(L$24:L$1598, $P$24:$P$1598, "Search Like Pattern", $Q$24:$Q$1598, "Fixed")</f>
        <v>5.4648148148148147E-2</v>
      </c>
      <c r="N1722" s="27">
        <f>AVERAGEIFS(M$24:M$1598, $P$24:$P$1598, "Search Like Pattern", $Q$24:$Q$1598, "Fixed")</f>
        <v>50.662037037037038</v>
      </c>
      <c r="O1722" s="27">
        <f>AVERAGEIFS(N$24:N$1598, $P$24:$P$1598, "Search Like Pattern", $Q$24:$Q$1598, "Fixed")</f>
        <v>2.8143333333333334</v>
      </c>
      <c r="Q1722" s="27">
        <f>AVERAGEIFS(S$24:S$1598, $P$24:$P$1598, "Search Like Pattern", $Q$24:$Q$1598, "Fixed")</f>
        <v>1.962962962962963</v>
      </c>
      <c r="R1722" s="27">
        <f>AVERAGEIFS(T$24:T$1598, $P$24:$P$1598, "Search Like Pattern", $Q$24:$Q$1598, "Fixed")</f>
        <v>3.1666666666666665</v>
      </c>
      <c r="S1722" s="27">
        <f>AVERAGEIFS(U$24:U$1598, $P$24:$P$1598, "Search Like Pattern", $Q$24:$Q$1598, "Fixed")</f>
        <v>3.0925925925925926</v>
      </c>
      <c r="T1722" s="27">
        <f>AVERAGEIFS(V$24:V$1598, $P$24:$P$1598, "Search Like Pattern", $Q$24:$Q$1598, "Fixed")</f>
        <v>5.1851851851851851</v>
      </c>
      <c r="V1722" s="1">
        <f>N1722+D1722+C1722-C1723-D1723-N1723</f>
        <v>-0.1212962962963573</v>
      </c>
      <c r="W1722" s="1" t="s">
        <v>1738</v>
      </c>
      <c r="X1722"/>
    </row>
    <row r="1723" spans="1:24" ht="15" x14ac:dyDescent="0.35">
      <c r="A1723" s="38">
        <f>COUNTIFS($P$24:$P$1598, "Search Like Pattern", $Q$24:$Q$1598, "Repaired")</f>
        <v>54</v>
      </c>
      <c r="B1723" s="38" t="s">
        <v>1662</v>
      </c>
      <c r="C1723" s="39">
        <f>AVERAGEIFS(B$24:B$1598, $P$24:$P$1598, "Search Like Pattern", $Q$24:$Q$1598, "Repaired")</f>
        <v>3.9848148148148144</v>
      </c>
      <c r="D1723" s="39">
        <f>AVERAGEIFS(C$24:C$1598, $P$24:$P$1598, "Search Like Pattern", $Q$24:$Q$1598, "Repaired")</f>
        <v>77.523888888888877</v>
      </c>
      <c r="E1723" s="39">
        <f>AVERAGEIFS(D$24:D$1598, $P$24:$P$1598, "Search Like Pattern", $Q$24:$Q$1598, "Repaired")</f>
        <v>19.458333333333339</v>
      </c>
      <c r="F1723" s="39">
        <f>AVERAGEIFS(E$24:E$1598, $P$24:$P$1598, "Search Like Pattern", $Q$24:$Q$1598, "Repaired")</f>
        <v>6.8507407407407417</v>
      </c>
      <c r="G1723" s="39">
        <f>AVERAGEIFS(F$24:F$1598, $P$24:$P$1598, "Search Like Pattern", $Q$24:$Q$1598, "Repaired")</f>
        <v>14.928518518518516</v>
      </c>
      <c r="H1723" s="39">
        <f>AVERAGEIFS(G$24:G$1598, $P$24:$P$1598, "Search Like Pattern", $Q$24:$Q$1598, "Repaired")</f>
        <v>4.3237037037037043</v>
      </c>
      <c r="I1723" s="39">
        <f>AVERAGEIFS(H$24:H$1598, $P$24:$P$1598, "Search Like Pattern", $Q$24:$Q$1598, "Repaired")</f>
        <v>11.174444444444443</v>
      </c>
      <c r="J1723" s="39">
        <f>AVERAGEIFS(I$24:I$1598, $P$24:$P$1598, "Search Like Pattern", $Q$24:$Q$1598, "Repaired")</f>
        <v>34.38611111111112</v>
      </c>
      <c r="K1723" s="39">
        <f>AVERAGEIFS(J$24:J$1598, $P$24:$P$1598, "Search Like Pattern", $Q$24:$Q$1598, "Repaired")</f>
        <v>59.765925925925927</v>
      </c>
      <c r="L1723" s="39">
        <f>AVERAGEIFS(K$24:K$1598, $P$24:$P$1598, "Search Like Pattern", $Q$24:$Q$1598, "Repaired")</f>
        <v>0.37638888888888894</v>
      </c>
      <c r="M1723" s="39">
        <f>AVERAGEIFS(L$24:L$1598, $P$24:$P$1598, "Search Like Pattern", $Q$24:$Q$1598, "Repaired")</f>
        <v>5.5629629629629633E-2</v>
      </c>
      <c r="N1723" s="39">
        <f>AVERAGEIFS(M$24:M$1598, $P$24:$P$1598, "Search Like Pattern", $Q$24:$Q$1598, "Repaired")</f>
        <v>50.843333333333341</v>
      </c>
      <c r="O1723" s="39">
        <f>AVERAGEIFS(N$24:N$1598, $P$24:$P$1598, "Search Like Pattern", $Q$24:$Q$1598, "Repaired")</f>
        <v>2.8243333333333336</v>
      </c>
      <c r="Q1723" s="39">
        <f>AVERAGEIFS(S$24:S$1598, $P$24:$P$1598, "Search Like Pattern", $Q$24:$Q$1598, "Repaired")</f>
        <v>2.2777777777777777</v>
      </c>
      <c r="R1723" s="39">
        <f>AVERAGEIFS(T$24:T$1598, $P$24:$P$1598, "Search Like Pattern", $Q$24:$Q$1598, "Repaired")</f>
        <v>10.407407407407407</v>
      </c>
      <c r="S1723" s="39">
        <f>AVERAGEIFS(U$24:U$1598, $P$24:$P$1598, "Search Like Pattern", $Q$24:$Q$1598, "Repaired")</f>
        <v>1.8518518518518517E-2</v>
      </c>
      <c r="T1723" s="39">
        <f>AVERAGEIFS(V$24:V$1598, $P$24:$P$1598, "Search Like Pattern", $Q$24:$Q$1598, "Repaired")</f>
        <v>10.407407407407407</v>
      </c>
      <c r="V1723" s="38">
        <f>N1723+D1723+C1723</f>
        <v>132.35203703703704</v>
      </c>
      <c r="W1723" s="38" t="s">
        <v>1738</v>
      </c>
      <c r="X1723"/>
    </row>
    <row r="1724" spans="1:24" ht="15.6" thickBot="1" x14ac:dyDescent="0.4">
      <c r="A1724" s="40" t="s">
        <v>1698</v>
      </c>
      <c r="B1724" s="31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2"/>
      <c r="O1724" s="32"/>
      <c r="P1724" s="48"/>
      <c r="Q1724" s="32"/>
      <c r="R1724" s="32"/>
      <c r="S1724" s="32"/>
      <c r="T1724" s="32"/>
      <c r="V1724" s="31"/>
      <c r="W1724" s="31"/>
      <c r="X1724"/>
    </row>
    <row r="1725" spans="1:24" x14ac:dyDescent="0.35">
      <c r="A1725" s="1">
        <f>COUNTIFS($P$24:$P$1598, "Learning Pattern", $Q$24:$Q$1598, "Fixed")</f>
        <v>0</v>
      </c>
      <c r="B1725" s="1" t="s">
        <v>1663</v>
      </c>
      <c r="C1725" s="27" t="e">
        <f>AVERAGEIFS(B$24:B$1598, $P$24:$P$1598, "Learning Pattern", $Q$24:$Q$1598, "Fixed")</f>
        <v>#DIV/0!</v>
      </c>
      <c r="D1725" s="27" t="e">
        <f>AVERAGEIFS(C$24:C$1598, $P$24:$P$1598, "Learning Pattern", $Q$24:$Q$1598, "Fixed")</f>
        <v>#DIV/0!</v>
      </c>
      <c r="E1725" s="27" t="e">
        <f>AVERAGEIFS(D$24:D$1598, $P$24:$P$1598, "Learning Pattern", $Q$24:$Q$1598, "Fixed")</f>
        <v>#DIV/0!</v>
      </c>
      <c r="F1725" s="27" t="e">
        <f>AVERAGEIFS(E$24:E$1598, $P$24:$P$1598, "Learning Pattern", $Q$24:$Q$1598, "Fixed")</f>
        <v>#DIV/0!</v>
      </c>
      <c r="G1725" s="27" t="e">
        <f>AVERAGEIFS(F$24:F$1598, $P$24:$P$1598, "Learning Pattern", $Q$24:$Q$1598, "Fixed")</f>
        <v>#DIV/0!</v>
      </c>
      <c r="H1725" s="27" t="e">
        <f>AVERAGEIFS(G$24:G$1598, $P$24:$P$1598, "Learning Pattern", $Q$24:$Q$1598, "Fixed")</f>
        <v>#DIV/0!</v>
      </c>
      <c r="I1725" s="27" t="e">
        <f>AVERAGEIFS(H$24:H$1598, $P$24:$P$1598, "Learning Pattern", $Q$24:$Q$1598, "Fixed")</f>
        <v>#DIV/0!</v>
      </c>
      <c r="J1725" s="27" t="e">
        <f>AVERAGEIFS(I$24:I$1598, $P$24:$P$1598, "Learning Pattern", $Q$24:$Q$1598, "Fixed")</f>
        <v>#DIV/0!</v>
      </c>
      <c r="K1725" s="27" t="e">
        <f>AVERAGEIFS(J$24:J$1598, $P$24:$P$1598, "Learning Pattern", $Q$24:$Q$1598, "Fixed")</f>
        <v>#DIV/0!</v>
      </c>
      <c r="L1725" s="27" t="e">
        <f>AVERAGEIFS(K$24:K$1598, $P$24:$P$1598, "Learning Pattern", $Q$24:$Q$1598, "Fixed")</f>
        <v>#DIV/0!</v>
      </c>
      <c r="M1725" s="27" t="e">
        <f>AVERAGEIFS(L$24:L$1598, $P$24:$P$1598, "Learning Pattern", $Q$24:$Q$1598, "Fixed")</f>
        <v>#DIV/0!</v>
      </c>
      <c r="N1725" s="27" t="e">
        <f>AVERAGEIFS(M$24:M$1598, $P$24:$P$1598, "Learning Pattern", $Q$24:$Q$1598, "Fixed")</f>
        <v>#DIV/0!</v>
      </c>
      <c r="O1725" s="27" t="e">
        <f>AVERAGEIFS(N$24:N$1598, $P$24:$P$1598, "Learning Pattern", $Q$24:$Q$1598, "Fixed")</f>
        <v>#DIV/0!</v>
      </c>
    </row>
    <row r="1726" spans="1:24" ht="15" thickBot="1" x14ac:dyDescent="0.4">
      <c r="A1726" s="31">
        <f>COUNTIFS($P$24:$P$1598, "Learning Pattern", $Q$24:$Q$1598, "Repaired")</f>
        <v>0</v>
      </c>
      <c r="B1726" s="31" t="s">
        <v>1664</v>
      </c>
      <c r="C1726" s="32" t="e">
        <f>AVERAGEIFS(B$24:B$1598, $P$24:$P$1598, "Learning Pattern", $Q$24:$Q$1598, "Repaired")</f>
        <v>#DIV/0!</v>
      </c>
      <c r="D1726" s="32" t="e">
        <f>AVERAGEIFS(C$24:C$1598, $P$24:$P$1598, "Learning Pattern", $Q$24:$Q$1598, "Repaired")</f>
        <v>#DIV/0!</v>
      </c>
      <c r="E1726" s="32" t="e">
        <f>AVERAGEIFS(D$24:D$1598, $P$24:$P$1598, "Learning Pattern", $Q$24:$Q$1598, "Repaired")</f>
        <v>#DIV/0!</v>
      </c>
      <c r="F1726" s="32" t="e">
        <f>AVERAGEIFS(E$24:E$1598, $P$24:$P$1598, "Learning Pattern", $Q$24:$Q$1598, "Repaired")</f>
        <v>#DIV/0!</v>
      </c>
      <c r="G1726" s="32" t="e">
        <f>AVERAGEIFS(F$24:F$1598, $P$24:$P$1598, "Learning Pattern", $Q$24:$Q$1598, "Repaired")</f>
        <v>#DIV/0!</v>
      </c>
      <c r="H1726" s="32" t="e">
        <f>AVERAGEIFS(G$24:G$1598, $P$24:$P$1598, "Learning Pattern", $Q$24:$Q$1598, "Repaired")</f>
        <v>#DIV/0!</v>
      </c>
      <c r="I1726" s="32" t="e">
        <f>AVERAGEIFS(H$24:H$1598, $P$24:$P$1598, "Learning Pattern", $Q$24:$Q$1598, "Repaired")</f>
        <v>#DIV/0!</v>
      </c>
      <c r="J1726" s="32" t="e">
        <f>AVERAGEIFS(I$24:I$1598, $P$24:$P$1598, "Learning Pattern", $Q$24:$Q$1598, "Repaired")</f>
        <v>#DIV/0!</v>
      </c>
      <c r="K1726" s="32" t="e">
        <f>AVERAGEIFS(J$24:J$1598, $P$24:$P$1598, "Learning Pattern", $Q$24:$Q$1598, "Repaired")</f>
        <v>#DIV/0!</v>
      </c>
      <c r="L1726" s="32" t="e">
        <f>AVERAGEIFS(K$24:K$1598, $P$24:$P$1598, "Learning Pattern", $Q$24:$Q$1598, "Repaired")</f>
        <v>#DIV/0!</v>
      </c>
      <c r="M1726" s="32" t="e">
        <f>AVERAGEIFS(L$24:L$1598, $P$24:$P$1598, "Learning Pattern", $Q$24:$Q$1598, "Repaired")</f>
        <v>#DIV/0!</v>
      </c>
      <c r="N1726" s="32" t="e">
        <f>AVERAGEIFS(M$24:M$1598, $P$24:$P$1598, "Learning Pattern", $Q$24:$Q$1598, "Repaired")</f>
        <v>#DIV/0!</v>
      </c>
      <c r="O1726" s="32" t="e">
        <f>AVERAGEIFS(N$24:N$1598, $P$24:$P$1598, "Learning Pattern", $Q$24:$Q$1598, "Repaired")</f>
        <v>#DIV/0!</v>
      </c>
    </row>
    <row r="1727" spans="1:24" x14ac:dyDescent="0.35">
      <c r="A1727" s="1">
        <f>COUNTIFS($P$24:$P$1598, "Deep Learning", $Q$24:$Q$1598, "Fixed")</f>
        <v>0</v>
      </c>
      <c r="B1727" s="1" t="s">
        <v>1665</v>
      </c>
      <c r="C1727" s="27" t="e">
        <f>AVERAGEIFS(B$24:B$1598, $P$24:$P$1598, "Deep Learning", $Q$24:$Q$1598, "Fixed")</f>
        <v>#DIV/0!</v>
      </c>
      <c r="D1727" s="27" t="e">
        <f>AVERAGEIFS(C$24:C$1598, $P$24:$P$1598, "Deep Learning", $Q$24:$Q$1598, "Fixed")</f>
        <v>#DIV/0!</v>
      </c>
      <c r="E1727" s="27" t="e">
        <f>AVERAGEIFS(D$24:D$1598, $P$24:$P$1598, "Deep Learning", $Q$24:$Q$1598, "Fixed")</f>
        <v>#DIV/0!</v>
      </c>
      <c r="F1727" s="27" t="e">
        <f>AVERAGEIFS(E$24:E$1598, $P$24:$P$1598, "Deep Learning", $Q$24:$Q$1598, "Fixed")</f>
        <v>#DIV/0!</v>
      </c>
      <c r="G1727" s="27" t="e">
        <f>AVERAGEIFS(F$24:F$1598, $P$24:$P$1598, "Deep Learning", $Q$24:$Q$1598, "Fixed")</f>
        <v>#DIV/0!</v>
      </c>
      <c r="H1727" s="27" t="e">
        <f>AVERAGEIFS(G$24:G$1598, $P$24:$P$1598, "Deep Learning", $Q$24:$Q$1598, "Fixed")</f>
        <v>#DIV/0!</v>
      </c>
      <c r="I1727" s="27" t="e">
        <f>AVERAGEIFS(H$24:H$1598, $P$24:$P$1598, "Deep Learning", $Q$24:$Q$1598, "Fixed")</f>
        <v>#DIV/0!</v>
      </c>
      <c r="J1727" s="27" t="e">
        <f>AVERAGEIFS(I$24:I$1598, $P$24:$P$1598, "Deep Learning", $Q$24:$Q$1598, "Fixed")</f>
        <v>#DIV/0!</v>
      </c>
      <c r="K1727" s="27" t="e">
        <f>AVERAGEIFS(J$24:J$1598, $P$24:$P$1598, "Deep Learning", $Q$24:$Q$1598, "Fixed")</f>
        <v>#DIV/0!</v>
      </c>
      <c r="L1727" s="27" t="e">
        <f>AVERAGEIFS(K$24:K$1598, $P$24:$P$1598, "Deep Learning", $Q$24:$Q$1598, "Fixed")</f>
        <v>#DIV/0!</v>
      </c>
      <c r="M1727" s="27" t="e">
        <f>AVERAGEIFS(L$24:L$1598, $P$24:$P$1598, "Deep Learning", $Q$24:$Q$1598, "Fixed")</f>
        <v>#DIV/0!</v>
      </c>
      <c r="N1727" s="27" t="e">
        <f>AVERAGEIFS(M$24:M$1598, $P$24:$P$1598, "Deep Learning", $Q$24:$Q$1598, "Fixed")</f>
        <v>#DIV/0!</v>
      </c>
      <c r="O1727" s="27" t="e">
        <f>AVERAGEIFS(N$24:N$1598, $P$24:$P$1598, "Deep Learning", $Q$24:$Q$1598, "Fixed")</f>
        <v>#DIV/0!</v>
      </c>
    </row>
    <row r="1728" spans="1:24" ht="15" thickBot="1" x14ac:dyDescent="0.4">
      <c r="A1728" s="31">
        <f>COUNTIFS($P$24:$P$1598, "Deep Learning", $Q$24:$Q$1598, "Repaired")</f>
        <v>0</v>
      </c>
      <c r="B1728" s="31" t="s">
        <v>1666</v>
      </c>
      <c r="C1728" s="32" t="e">
        <f>AVERAGEIFS(B$24:B$1598, $P$24:$P$1598, "Deep Learning", $Q$24:$Q$1598, "Repaired")</f>
        <v>#DIV/0!</v>
      </c>
      <c r="D1728" s="32" t="e">
        <f>AVERAGEIFS(C$24:C$1598, $P$24:$P$1598, "Deep Learning", $Q$24:$Q$1598, "Repaired")</f>
        <v>#DIV/0!</v>
      </c>
      <c r="E1728" s="32" t="e">
        <f>AVERAGEIFS(D$24:D$1598, $P$24:$P$1598, "Deep Learning", $Q$24:$Q$1598, "Repaired")</f>
        <v>#DIV/0!</v>
      </c>
      <c r="F1728" s="32" t="e">
        <f>AVERAGEIFS(E$24:E$1598, $P$24:$P$1598, "Deep Learning", $Q$24:$Q$1598, "Repaired")</f>
        <v>#DIV/0!</v>
      </c>
      <c r="G1728" s="32" t="e">
        <f>AVERAGEIFS(F$24:F$1598, $P$24:$P$1598, "Deep Learning", $Q$24:$Q$1598, "Repaired")</f>
        <v>#DIV/0!</v>
      </c>
      <c r="H1728" s="32" t="e">
        <f>AVERAGEIFS(G$24:G$1598, $P$24:$P$1598, "Deep Learning", $Q$24:$Q$1598, "Repaired")</f>
        <v>#DIV/0!</v>
      </c>
      <c r="I1728" s="32" t="e">
        <f>AVERAGEIFS(H$24:H$1598, $P$24:$P$1598, "Deep Learning", $Q$24:$Q$1598, "Repaired")</f>
        <v>#DIV/0!</v>
      </c>
      <c r="J1728" s="32" t="e">
        <f>AVERAGEIFS(I$24:I$1598, $P$24:$P$1598, "Deep Learning", $Q$24:$Q$1598, "Repaired")</f>
        <v>#DIV/0!</v>
      </c>
      <c r="K1728" s="32" t="e">
        <f>AVERAGEIFS(J$24:J$1598, $P$24:$P$1598, "Deep Learning", $Q$24:$Q$1598, "Repaired")</f>
        <v>#DIV/0!</v>
      </c>
      <c r="L1728" s="32" t="e">
        <f>AVERAGEIFS(K$24:K$1598, $P$24:$P$1598, "Deep Learning", $Q$24:$Q$1598, "Repaired")</f>
        <v>#DIV/0!</v>
      </c>
      <c r="M1728" s="32" t="e">
        <f>AVERAGEIFS(L$24:L$1598, $P$24:$P$1598, "Deep Learning", $Q$24:$Q$1598, "Repaired")</f>
        <v>#DIV/0!</v>
      </c>
      <c r="N1728" s="32" t="e">
        <f>AVERAGEIFS(M$24:M$1598, $P$24:$P$1598, "Deep Learning", $Q$24:$Q$1598, "Repaired")</f>
        <v>#DIV/0!</v>
      </c>
      <c r="O1728" s="32" t="e">
        <f>AVERAGEIFS(N$24:N$1598, $P$24:$P$1598, "Deep Learning", $Q$24:$Q$1598, "Repaired")</f>
        <v>#DIV/0!</v>
      </c>
    </row>
    <row r="1729" spans="1:14" ht="15" x14ac:dyDescent="0.3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ht="15" x14ac:dyDescent="0.3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ht="15" x14ac:dyDescent="0.3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ht="15" x14ac:dyDescent="0.3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</sheetData>
  <sortState ref="A551:W1074">
    <sortCondition ref="O26:O1601"/>
    <sortCondition ref="A26:A1601"/>
  </sortState>
  <mergeCells count="1">
    <mergeCell ref="S1627:V1627"/>
  </mergeCells>
  <conditionalFormatting sqref="S549:U1598">
    <cfRule type="cellIs" dxfId="12" priority="60" operator="greaterThan">
      <formula>$S$550</formula>
    </cfRule>
  </conditionalFormatting>
  <conditionalFormatting sqref="C1727:O1727 C1725:O1725 C1683:O1683 Q1683:T1683 C1685:O1685 C1687:O1687 C1689:O1689 C1691:O1691 C1693:O1693 C1695:O1695 C1697:O1697 C1699:O1699 C1701:O1701 C1703:O1703 C1705:O1705 Q1705:T1705 Q1703:T1703 Q1701:T1701 Q1699:T1699 Q1697:T1697 Q1695:T1695 Q1693:T1693 Q1691:T1691 Q1689:T1689 Q1687:T1687 Q1685:T1685 C1710:O1710 C1713:O1713 C1722:O1722 C1719:O1719 C1716:O1716 Q1716:T1716 Q1719:T1719 Q1722:T1722 Q1713:T1713 Q1710:T1710">
    <cfRule type="cellIs" dxfId="11" priority="47" operator="equal">
      <formula>C1684</formula>
    </cfRule>
    <cfRule type="cellIs" dxfId="10" priority="49" operator="greaterThan">
      <formula>C1684</formula>
    </cfRule>
  </conditionalFormatting>
  <conditionalFormatting sqref="C1728:O1728 C1726:O1726 C1684:O1684 C1686:O1686 C1688:O1688 C1690:O1690 C1692:O1692 C1694:O1694 C1696:O1696 C1698:O1698 C1700:O1700 C1702:O1702 C1704:O1704 C1706:O1706 Q1706:T1706 Q1704:T1704 Q1702:T1702 Q1700:T1700 Q1698:T1698 Q1696:T1696 Q1694:T1694 Q1692:T1692 Q1690:T1690 Q1688:T1688 Q1686:T1686 Q1684:T1684 C1711:O1711 C1714:O1714 C1723:O1724 C1720:O1720 C1717:O1717 Q1717:T1717 Q1720:T1720 Q1723:T1724 Q1714:T1714 Q1711:T1711">
    <cfRule type="cellIs" dxfId="9" priority="46" operator="equal">
      <formula>C1683</formula>
    </cfRule>
    <cfRule type="cellIs" dxfId="8" priority="48" operator="greaterThan">
      <formula>C1683</formula>
    </cfRule>
  </conditionalFormatting>
  <conditionalFormatting sqref="C1612:O1612 C1619:O1619 C1623:O1623 C1676:O1676 C1671:O1671 C1666:O1666 C1661:O1661 C1656:O1656 C1651:O1651">
    <cfRule type="cellIs" dxfId="7" priority="51" operator="equal">
      <formula>C1613</formula>
    </cfRule>
    <cfRule type="cellIs" dxfId="6" priority="53" operator="greaterThan">
      <formula>C1613</formula>
    </cfRule>
  </conditionalFormatting>
  <conditionalFormatting sqref="C1613:O1613 C1620:O1620 O1624 C1677:O1677 C1672:O1672 C1667:O1667 C1662:O1662 C1657:O1657 C1652:O1652">
    <cfRule type="cellIs" dxfId="5" priority="50" operator="equal">
      <formula>C1612</formula>
    </cfRule>
    <cfRule type="cellIs" dxfId="4" priority="52" operator="greaterThan">
      <formula>C1612</formula>
    </cfRule>
  </conditionalFormatting>
  <conditionalFormatting sqref="C1630:O1630 C1634:O1634 C1639:O1639 C1643:O1643 T1630:AF1630 T1634:AF1634 T1639:AF1639 T1643:AF1643 T1647:AF1647">
    <cfRule type="cellIs" dxfId="3" priority="31" operator="equal">
      <formula>C1631</formula>
    </cfRule>
    <cfRule type="cellIs" dxfId="2" priority="33" operator="greaterThan">
      <formula>C1631</formula>
    </cfRule>
  </conditionalFormatting>
  <conditionalFormatting sqref="C1631:O1631 C1635:O1635 C1640:O1640 C1644:O1644 T1631:AF1631 T1635:AF1635 T1640:AF1640 T1644:AF1644 T1648:AF1648">
    <cfRule type="cellIs" dxfId="1" priority="30" operator="equal">
      <formula>C1630</formula>
    </cfRule>
    <cfRule type="cellIs" dxfId="0" priority="32" operator="greaterThan">
      <formula>C1630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2023-11-02T17:32:02Z</dcterms:modified>
</cp:coreProperties>
</file>