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Q152" i="2" l="1"/>
  <c r="R152" i="2"/>
  <c r="S152" i="2"/>
  <c r="T152" i="2"/>
  <c r="U152" i="2"/>
  <c r="P152" i="2"/>
  <c r="Q153" i="2"/>
  <c r="R153" i="2"/>
  <c r="S153" i="2"/>
  <c r="T153" i="2"/>
  <c r="U153" i="2"/>
  <c r="P153" i="2"/>
  <c r="O236" i="2" l="1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228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221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216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211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206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201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227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220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A215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210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205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200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195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164" i="2"/>
  <c r="D180" i="2" l="1"/>
  <c r="E180" i="2"/>
  <c r="F180" i="2"/>
  <c r="G180" i="2"/>
  <c r="H180" i="2"/>
  <c r="I180" i="2"/>
  <c r="J180" i="2"/>
  <c r="K180" i="2"/>
  <c r="L180" i="2"/>
  <c r="M180" i="2"/>
  <c r="N180" i="2"/>
  <c r="O180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C184" i="2"/>
  <c r="C183" i="2"/>
  <c r="C180" i="2"/>
  <c r="C179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X108" i="2"/>
  <c r="W108" i="2"/>
  <c r="A184" i="2"/>
  <c r="A183" i="2"/>
  <c r="A180" i="2"/>
  <c r="A179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A175" i="2"/>
  <c r="C176" i="2"/>
  <c r="C175" i="2"/>
  <c r="A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72" i="2"/>
  <c r="C171" i="2"/>
  <c r="A171" i="2"/>
  <c r="A163" i="2"/>
  <c r="V172" i="2" l="1"/>
  <c r="U176" i="2"/>
  <c r="E188" i="2"/>
  <c r="X171" i="2"/>
  <c r="O187" i="2"/>
  <c r="W175" i="2"/>
  <c r="V176" i="2"/>
  <c r="AC175" i="2"/>
  <c r="AD175" i="2"/>
  <c r="T172" i="2"/>
  <c r="AA172" i="2"/>
  <c r="AA176" i="2"/>
  <c r="J188" i="2"/>
  <c r="Y171" i="2"/>
  <c r="X175" i="2"/>
  <c r="D187" i="2"/>
  <c r="T176" i="2"/>
  <c r="Z172" i="2"/>
  <c r="Z176" i="2"/>
  <c r="I188" i="2"/>
  <c r="Z171" i="2"/>
  <c r="Y175" i="2"/>
  <c r="E187" i="2"/>
  <c r="R171" i="2"/>
  <c r="AD171" i="2"/>
  <c r="A188" i="2"/>
  <c r="Y172" i="2"/>
  <c r="Y176" i="2"/>
  <c r="H188" i="2"/>
  <c r="AA171" i="2"/>
  <c r="Z175" i="2"/>
  <c r="F187" i="2"/>
  <c r="X172" i="2"/>
  <c r="X176" i="2"/>
  <c r="G188" i="2"/>
  <c r="AB171" i="2"/>
  <c r="AA175" i="2"/>
  <c r="G187" i="2"/>
  <c r="C188" i="2"/>
  <c r="W172" i="2"/>
  <c r="W176" i="2"/>
  <c r="F188" i="2"/>
  <c r="AC171" i="2"/>
  <c r="AB175" i="2"/>
  <c r="H187" i="2"/>
  <c r="I187" i="2"/>
  <c r="U172" i="2"/>
  <c r="AE171" i="2"/>
  <c r="J187" i="2"/>
  <c r="AF172" i="2"/>
  <c r="U171" i="2"/>
  <c r="AF175" i="2"/>
  <c r="L187" i="2"/>
  <c r="A187" i="2"/>
  <c r="AD172" i="2"/>
  <c r="AD176" i="2"/>
  <c r="M188" i="2"/>
  <c r="V171" i="2"/>
  <c r="U175" i="2"/>
  <c r="M187" i="2"/>
  <c r="AE172" i="2"/>
  <c r="T175" i="2"/>
  <c r="R172" i="2"/>
  <c r="AC172" i="2"/>
  <c r="AC176" i="2"/>
  <c r="L188" i="2"/>
  <c r="W171" i="2"/>
  <c r="V175" i="2"/>
  <c r="N187" i="2"/>
  <c r="R175" i="2"/>
  <c r="D188" i="2"/>
  <c r="AF176" i="2"/>
  <c r="O188" i="2"/>
  <c r="T171" i="2"/>
  <c r="AF171" i="2"/>
  <c r="AE175" i="2"/>
  <c r="K187" i="2"/>
  <c r="AE176" i="2"/>
  <c r="N188" i="2"/>
  <c r="R176" i="2"/>
  <c r="AB172" i="2"/>
  <c r="AB176" i="2"/>
  <c r="K188" i="2"/>
  <c r="C187" i="2"/>
  <c r="Z108" i="2"/>
  <c r="Z109" i="2" l="1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08" i="2"/>
  <c r="AD184" i="2" l="1"/>
  <c r="Z184" i="2"/>
  <c r="U183" i="2"/>
  <c r="W183" i="2"/>
  <c r="AE183" i="2"/>
  <c r="Y184" i="2"/>
  <c r="AE184" i="2"/>
  <c r="X183" i="2"/>
  <c r="AD183" i="2"/>
  <c r="T184" i="2"/>
  <c r="AC184" i="2"/>
  <c r="X184" i="2"/>
  <c r="T183" i="2"/>
  <c r="Y183" i="2"/>
  <c r="AF183" i="2"/>
  <c r="V184" i="2"/>
  <c r="AB183" i="2"/>
  <c r="AA184" i="2"/>
  <c r="V179" i="2"/>
  <c r="AB180" i="2"/>
  <c r="AE179" i="2"/>
  <c r="AB179" i="2"/>
  <c r="U179" i="2"/>
  <c r="AC180" i="2"/>
  <c r="AD179" i="2"/>
  <c r="AF180" i="2"/>
  <c r="AC179" i="2"/>
  <c r="U180" i="2"/>
  <c r="AF179" i="2"/>
  <c r="T179" i="2"/>
  <c r="AD180" i="2"/>
  <c r="AE180" i="2"/>
  <c r="R179" i="2"/>
  <c r="V180" i="2"/>
  <c r="AA179" i="2"/>
  <c r="W180" i="2"/>
  <c r="Z179" i="2"/>
  <c r="X180" i="2"/>
  <c r="Y179" i="2"/>
  <c r="Y180" i="2"/>
  <c r="T180" i="2"/>
  <c r="X179" i="2"/>
  <c r="Z180" i="2"/>
  <c r="W179" i="2"/>
  <c r="AA180" i="2"/>
  <c r="R180" i="2"/>
  <c r="V183" i="2"/>
  <c r="U184" i="2"/>
  <c r="R183" i="2"/>
  <c r="W184" i="2"/>
  <c r="Z183" i="2"/>
  <c r="AA183" i="2"/>
  <c r="AF184" i="2"/>
  <c r="AB184" i="2"/>
  <c r="R184" i="2"/>
  <c r="AC183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19" i="2" l="1"/>
  <c r="A214" i="2"/>
  <c r="A209" i="2"/>
  <c r="A204" i="2"/>
  <c r="A199" i="2"/>
  <c r="A194" i="2"/>
  <c r="O219" i="2" l="1"/>
  <c r="N219" i="2"/>
  <c r="M219" i="2"/>
  <c r="L219" i="2"/>
  <c r="K219" i="2"/>
  <c r="J219" i="2"/>
  <c r="I219" i="2"/>
  <c r="H219" i="2"/>
  <c r="G219" i="2"/>
  <c r="F219" i="2"/>
  <c r="E219" i="2"/>
  <c r="D219" i="2"/>
  <c r="C219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D163" i="2" l="1"/>
  <c r="E163" i="2"/>
  <c r="F163" i="2"/>
  <c r="G163" i="2"/>
  <c r="H163" i="2"/>
  <c r="I163" i="2"/>
  <c r="J163" i="2"/>
  <c r="K163" i="2"/>
  <c r="L163" i="2"/>
  <c r="M163" i="2"/>
  <c r="N163" i="2"/>
  <c r="O163" i="2"/>
  <c r="C163" i="2"/>
</calcChain>
</file>

<file path=xl/sharedStrings.xml><?xml version="1.0" encoding="utf-8"?>
<sst xmlns="http://schemas.openxmlformats.org/spreadsheetml/2006/main" count="498" uniqueCount="235">
  <si>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</si>
  <si>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</si>
  <si>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</si>
  <si>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</si>
  <si>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</si>
  <si>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</si>
  <si>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</si>
  <si>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</si>
  <si>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</si>
  <si>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</si>
  <si>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</si>
  <si>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</si>
  <si>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</si>
  <si>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</si>
  <si>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</si>
  <si>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</si>
  <si>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</si>
  <si>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</si>
  <si>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</si>
  <si>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</si>
  <si>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</si>
  <si>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</si>
  <si>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</si>
  <si>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RSRepair-Bears-SzFMV2018-Tavasz-Automate dCar-351742666-351759763_2_Buggy</t>
  </si>
  <si>
    <t>Nopol-Bears-vkostyukov-la4j-414793864-43 6911083_0_Buggy</t>
  </si>
  <si>
    <t>GenProg-Bears-SzFMV2018-Tavasz-Automated Car-351742666-351759763_0_Buggy</t>
  </si>
  <si>
    <t>GenProg-Bears-SzFMV2018-Tavasz-Automated Car-351742666-351759763_2_Buggy</t>
  </si>
  <si>
    <t>Arja-Bears-albfernandez-GDS-PMD-Security -Rules-451155169-455669767_1_Buggy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</si>
  <si>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</si>
  <si>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</si>
  <si>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</si>
  <si>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Arja-Bears-traccar-traccar-255051210-255 052458_2_Buggy</t>
  </si>
  <si>
    <t>Arja-Bears-albfernandez-GDS-PMD-Security -Rules-451155169-455669767_4_Buggy</t>
  </si>
  <si>
    <t>Arja-Bears-opentracing-contrib-java-p6sp y-390188323-431527545_2_Buggy</t>
  </si>
  <si>
    <t>Arja-Bears-opentracing-contrib-java-p6sp y-390188323-431527545_0_Buggy</t>
  </si>
  <si>
    <t>Arja-Bears-traccar-traccar-255051210-255 052458_4_Buggy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</si>
  <si>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</si>
  <si>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</si>
  <si>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</si>
  <si>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Arja-Bears-julianps-modelmapper-module-v avr-441307573-461240331_1_Buggy</t>
  </si>
  <si>
    <t>Arja-Bears-julianps-modelmapper-module-v avr-441307573-461240331_4_Buggy</t>
  </si>
  <si>
    <t>Arja-Bears-julianps-modelmapper-module-v avr-441307573-461240331_2_Buggy</t>
  </si>
  <si>
    <t>Arja-Bears-traccar-traccar-255051210-255 052458_1_Buggy</t>
  </si>
  <si>
    <t>RSRepair-Bears-SzFMV2018-Tavasz-Automate dCar-351742666-351759763_4_Buggy</t>
  </si>
  <si>
    <t>Arja-Bears-julianps-modelmapper-module-v avr-441307573-461240331_0_Buggy</t>
  </si>
  <si>
    <t>Arja-Bears-opentracing-contrib-java-p6sp y-390188323-431527545_1_Buggy</t>
  </si>
  <si>
    <t>Kali-Bears-traccar-traccar-255051210-255 052458_0_Buggy</t>
  </si>
  <si>
    <t>GenProg-Bears-SzFMV2018-Tavasz-Automated Car-351742666-351759763_1_Buggy</t>
  </si>
  <si>
    <t>Arja-Bears-albfernandez-GDS-PMD-Security -Rules-451155169-455669767_2_Buggy</t>
  </si>
  <si>
    <t>Arja-Bears-SzFMV2018-Tavasz-AutomatedCar -351742666-351759763_0_Buggy</t>
  </si>
  <si>
    <t>Arja-Bears-traccar-traccar-255051210-255 052458_3_Buggy</t>
  </si>
  <si>
    <t>Arja-Bears-traccar-traccar-255051210-255 052458_0_Buggy</t>
  </si>
  <si>
    <t>Arja-Bears-SzFMV2018-Tavasz-AutomatedCar -351742666-351759763_4_Buggy</t>
  </si>
  <si>
    <t>Arja-Bears-dungba88-libra-436514153-4365 24727_1_Buggy</t>
  </si>
  <si>
    <t>Kali-Bears-albfernandez-GDS-PMD-Security -Rules-451155169-455669767_0_Buggy</t>
  </si>
  <si>
    <t>RSRepair-Bears-SzFMV2018-Tavasz-Automate dCar-351742666-351759763_0_Buggy</t>
  </si>
  <si>
    <t>Arja-Bears-opentracing-contrib-java-p6sp y-390188323-431527545_3_Buggy</t>
  </si>
  <si>
    <t>Kali-Bears-julianps-modelmapper-module-v avr-441307573-461240331_0_Buggy</t>
  </si>
  <si>
    <t>Arja-Bears-SzFMV2018-Tavasz-AutomatedCar -351742666-351759763_1_Buggy</t>
  </si>
  <si>
    <t>GenProg-Bears-SzFMV2018-Tavasz-Automated Car-351742666-351759763_3_Buggy</t>
  </si>
  <si>
    <t>Arja-Bears-SzFMV2018-Tavasz-AutomatedCar -351742666-351759763_3_Buggy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</si>
  <si>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</si>
  <si>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</si>
  <si>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</si>
  <si>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</si>
  <si>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</si>
  <si>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</si>
  <si>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</si>
  <si>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</si>
  <si>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</si>
  <si>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</si>
  <si>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</si>
  <si>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</si>
  <si>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</si>
  <si>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</si>
  <si>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</si>
  <si>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</si>
  <si>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</si>
  <si>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</si>
  <si>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</si>
  <si>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</si>
  <si>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</si>
  <si>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</si>
  <si>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</si>
  <si>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</si>
  <si>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</si>
  <si>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</si>
  <si>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</si>
  <si>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</si>
  <si>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Cyclomatic Complexity</t>
  </si>
  <si>
    <t>Project Type</t>
  </si>
  <si>
    <t>Tool Type</t>
  </si>
  <si>
    <t>Count</t>
  </si>
  <si>
    <t>Avg-albfernandez-GDS-PMD-Security-Buggy</t>
  </si>
  <si>
    <t>Avg-dungba88-libra-Buggy</t>
  </si>
  <si>
    <t>Avg-julianps-modelmapper-module-Buggy</t>
  </si>
  <si>
    <t>Avg-opentracing-contrib-java-p6sp-Buggy</t>
  </si>
  <si>
    <t>Avg-SzFMV2018-Tavasz-AutomatedCar-Buggy</t>
  </si>
  <si>
    <t>Avg-traccar-traccar-Buggy</t>
  </si>
  <si>
    <t>Lines</t>
  </si>
  <si>
    <t>MC-SL Comm</t>
  </si>
  <si>
    <t>MC-ML Comm</t>
  </si>
  <si>
    <t>SC-SL Comm</t>
  </si>
  <si>
    <t>SC-ML Comm</t>
  </si>
  <si>
    <t>ML - HE Comm</t>
  </si>
  <si>
    <t>Two-Factor Common</t>
  </si>
  <si>
    <t>Chunks &amp; Lines Common</t>
  </si>
  <si>
    <t>Arja-Bears-albfernandez-GDS-PMD-Security -Rules-451155169-455669767_0_Manual</t>
  </si>
  <si>
    <t>Arja-Bears-albfernandez-GDS-PMD-Security -Rules-451155169-455669767_1_Manual</t>
  </si>
  <si>
    <t>Arja-Bears-albfernandez-GDS-PMD-Security -Rules-451155169-455669767_2_Manual</t>
  </si>
  <si>
    <t>Arja-Bears-albfernandez-GDS-PMD-Security -Rules-451155169-455669767_4_Manual</t>
  </si>
  <si>
    <t>Arja-Bears-dungba88-libra-436514153-4365 24727_0_Manual</t>
  </si>
  <si>
    <t>Arja-Bears-dungba88-libra-436514153-4365 24727_1_Manual</t>
  </si>
  <si>
    <t>Arja-Bears-julianps-modelmapper-module-v avr-441307573-461240331_0_Manual</t>
  </si>
  <si>
    <t>Arja-Bears-julianps-modelmapper-module-v avr-441307573-461240331_1_Manual</t>
  </si>
  <si>
    <t>Arja-Bears-julianps-modelmapper-module-v avr-441307573-461240331_2_Manual</t>
  </si>
  <si>
    <t>Arja-Bears-julianps-modelmapper-module-v avr-441307573-461240331_3_Manual</t>
  </si>
  <si>
    <t>Arja-Bears-julianps-modelmapper-module-v avr-441307573-461240331_4_Manual</t>
  </si>
  <si>
    <t>Arja-Bears-opentracing-contrib-java-p6sp y-390188323-431527545_0_Manual</t>
  </si>
  <si>
    <t>Arja-Bears-opentracing-contrib-java-p6sp y-390188323-431527545_1_Manual</t>
  </si>
  <si>
    <t>Arja-Bears-opentracing-contrib-java-p6sp y-390188323-431527545_2_Manual</t>
  </si>
  <si>
    <t>Arja-Bears-opentracing-contrib-java-p6sp y-390188323-431527545_3_Manual</t>
  </si>
  <si>
    <t>Arja-Bears-opentracing-contrib-java-p6sp y-390188323-431527545_4_Manual</t>
  </si>
  <si>
    <t>Arja-Bears-SzFMV2018-Tavasz-AutomatedCar -351742666-351759763_0_Manual</t>
  </si>
  <si>
    <t>Arja-Bears-SzFMV2018-Tavasz-AutomatedCar -351742666-351759763_1_Manual</t>
  </si>
  <si>
    <t>Arja-Bears-SzFMV2018-Tavasz-AutomatedCar -351742666-351759763_2_Manual</t>
  </si>
  <si>
    <t>Arja-Bears-SzFMV2018-Tavasz-AutomatedCar -351742666-351759763_3_Manual</t>
  </si>
  <si>
    <t>Arja-Bears-SzFMV2018-Tavasz-AutomatedCar -351742666-351759763_4_Manual</t>
  </si>
  <si>
    <t>Arja-Bears-traccar-traccar-255051210-255 052458_0_Manual</t>
  </si>
  <si>
    <t>Arja-Bears-traccar-traccar-255051210-255 052458_1_Manual</t>
  </si>
  <si>
    <t>Arja-Bears-traccar-traccar-255051210-255 052458_2_Manual</t>
  </si>
  <si>
    <t>Arja-Bears-traccar-traccar-255051210-255 052458_3_Manual</t>
  </si>
  <si>
    <t>Arja-Bears-traccar-traccar-255051210-255 052458_4_Manual</t>
  </si>
  <si>
    <t>GenProg-Bears-SzFMV2018-Tavasz-Automated Car-351742666-351759763_0_Manual</t>
  </si>
  <si>
    <t>GenProg-Bears-SzFMV2018-Tavasz-Automated Car-351742666-351759763_1_Manual</t>
  </si>
  <si>
    <t>GenProg-Bears-SzFMV2018-Tavasz-Automated Car-351742666-351759763_2_Manual</t>
  </si>
  <si>
    <t>GenProg-Bears-SzFMV2018-Tavasz-Automated Car-351742666-351759763_3_Manual</t>
  </si>
  <si>
    <t>GenProg-Bears-SzFMV2018-Tavasz-Automated Car-351742666-351759763_4_Manual</t>
  </si>
  <si>
    <t>Kali-Bears-albfernandez-GDS-PMD-Security -Rules-451155169-455669767_0_Manual</t>
  </si>
  <si>
    <t>Kali-Bears-dungba88-libra-436514153-4365 24727_0_Manual</t>
  </si>
  <si>
    <t>Kali-Bears-julianps-modelmapper-module-v avr-441307573-461240331_0_Manual</t>
  </si>
  <si>
    <t>Kali-Bears-SzFMV2018-Tavasz-AutomatedCar -351742666-351759763_0_Manual</t>
  </si>
  <si>
    <t>Kali-Bears-traccar-traccar-255051210-255 052458_0_Manual</t>
  </si>
  <si>
    <t>Nopol-Bears-vkostyukov-la4j-414793864-43 6911083_0_Manual</t>
  </si>
  <si>
    <t>RSRepair-Bears-SzFMV2018-Tavasz-Automate dCar-351742666-351759763_0_Manual</t>
  </si>
  <si>
    <t>RSRepair-Bears-SzFMV2018-Tavasz-Automate dCar-351742666-351759763_1_Manual</t>
  </si>
  <si>
    <t>RSRepair-Bears-SzFMV2018-Tavasz-Automate dCar-351742666-351759763_2_Manual</t>
  </si>
  <si>
    <t>RSRepair-Bears-SzFMV2018-Tavasz-Automate dCar-351742666-351759763_3_Manual</t>
  </si>
  <si>
    <t>RSRepair-Bears-SzFMV2018-Tavasz-Automate dCar-351742666-351759763_4_Manual</t>
  </si>
  <si>
    <t>Avg-Manual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</si>
  <si>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</si>
  <si>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</si>
  <si>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</si>
  <si>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</si>
  <si>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</si>
  <si>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</si>
  <si>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</si>
  <si>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</si>
  <si>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Multi-Chunk-High-Edits-Avg-Manual</t>
  </si>
  <si>
    <t>Avg-albfernandez-GDS-PMD-Security-Manual</t>
  </si>
  <si>
    <t>Avg-dungba88-libra-Manual</t>
  </si>
  <si>
    <t>Avg-julianps-modelmapper-module-Manual</t>
  </si>
  <si>
    <t>Avg-opentracing-contrib-java-p6sp-Manual</t>
  </si>
  <si>
    <t>Avg-SzFMV2018-Tavasz-AutomatedCar-Manual</t>
  </si>
  <si>
    <t>Avg-traccar-traccar-Manual</t>
  </si>
  <si>
    <t>Avg-Arja-Manual</t>
  </si>
  <si>
    <t>Avg-GenProg-Manual</t>
  </si>
  <si>
    <t>Avg-Kali-Manual</t>
  </si>
  <si>
    <t>Avg-Nopol-Manual</t>
  </si>
  <si>
    <t>Avg-RSRepair-Manual</t>
  </si>
  <si>
    <t>Arja-Bears-albfernandez-GDS-PMD-Security -Rules-451155169-455669767_0_Auto</t>
  </si>
  <si>
    <t>Arja-Bears-albfernandez-GDS-PMD-Security -Rules-451155169-455669767_1_Auto</t>
  </si>
  <si>
    <t>Arja-Bears-albfernandez-GDS-PMD-Security -Rules-451155169-455669767_2_Auto</t>
  </si>
  <si>
    <t>Arja-Bears-albfernandez-GDS-PMD-Security -Rules-451155169-455669767_4_Auto</t>
  </si>
  <si>
    <t>Arja-Bears-dungba88-libra-436514153-4365 24727_0_Auto</t>
  </si>
  <si>
    <t>Arja-Bears-dungba88-libra-436514153-4365 24727_1_Auto</t>
  </si>
  <si>
    <t>Arja-Bears-julianps-modelmapper-module-v avr-441307573-461240331_0_Auto</t>
  </si>
  <si>
    <t>Arja-Bears-julianps-modelmapper-module-v avr-441307573-461240331_1_Auto</t>
  </si>
  <si>
    <t>Arja-Bears-julianps-modelmapper-module-v avr-441307573-461240331_2_Auto</t>
  </si>
  <si>
    <t>Arja-Bears-julianps-modelmapper-module-v avr-441307573-461240331_3_Auto</t>
  </si>
  <si>
    <t>Arja-Bears-julianps-modelmapper-module-v avr-441307573-461240331_4_Auto</t>
  </si>
  <si>
    <t>Arja-Bears-opentracing-contrib-java-p6sp y-390188323-431527545_0_Auto</t>
  </si>
  <si>
    <t>Arja-Bears-opentracing-contrib-java-p6sp y-390188323-431527545_1_Auto</t>
  </si>
  <si>
    <t>Arja-Bears-opentracing-contrib-java-p6sp y-390188323-431527545_2_Auto</t>
  </si>
  <si>
    <t>Arja-Bears-opentracing-contrib-java-p6sp y-390188323-431527545_3_Auto</t>
  </si>
  <si>
    <t>Arja-Bears-opentracing-contrib-java-p6sp y-390188323-431527545_4_Auto</t>
  </si>
  <si>
    <t>Arja-Bears-SzFMV2018-Tavasz-AutomatedCar -351742666-351759763_0_Auto</t>
  </si>
  <si>
    <t>Arja-Bears-SzFMV2018-Tavasz-AutomatedCar -351742666-351759763_1_Auto</t>
  </si>
  <si>
    <t>Arja-Bears-SzFMV2018-Tavasz-AutomatedCar -351742666-351759763_2_Auto</t>
  </si>
  <si>
    <t>Arja-Bears-SzFMV2018-Tavasz-AutomatedCar -351742666-351759763_3_Auto</t>
  </si>
  <si>
    <t>Arja-Bears-SzFMV2018-Tavasz-AutomatedCar -351742666-351759763_4_Auto</t>
  </si>
  <si>
    <t>Arja-Bears-traccar-traccar-255051210-255 052458_0_Auto</t>
  </si>
  <si>
    <t>Arja-Bears-traccar-traccar-255051210-255 052458_1_Auto</t>
  </si>
  <si>
    <t>Arja-Bears-traccar-traccar-255051210-255 052458_2_Auto</t>
  </si>
  <si>
    <t>Arja-Bears-traccar-traccar-255051210-255 052458_3_Auto</t>
  </si>
  <si>
    <t>Arja-Bears-traccar-traccar-255051210-255 052458_4_Auto</t>
  </si>
  <si>
    <t>GenProg-Bears-SzFMV2018-Tavasz-Automated Car-351742666-351759763_0_Auto</t>
  </si>
  <si>
    <t>GenProg-Bears-SzFMV2018-Tavasz-Automated Car-351742666-351759763_1_Auto</t>
  </si>
  <si>
    <t>GenProg-Bears-SzFMV2018-Tavasz-Automated Car-351742666-351759763_2_Auto</t>
  </si>
  <si>
    <t>GenProg-Bears-SzFMV2018-Tavasz-Automated Car-351742666-351759763_3_Auto</t>
  </si>
  <si>
    <t>GenProg-Bears-SzFMV2018-Tavasz-Automated Car-351742666-351759763_4_Auto</t>
  </si>
  <si>
    <t>Kali-Bears-albfernandez-GDS-PMD-Security -Rules-451155169-455669767_0_Auto</t>
  </si>
  <si>
    <t>Kali-Bears-dungba88-libra-436514153-4365 24727_0_Auto</t>
  </si>
  <si>
    <t>Kali-Bears-julianps-modelmapper-module-v avr-441307573-461240331_0_Auto</t>
  </si>
  <si>
    <t>Kali-Bears-SzFMV2018-Tavasz-AutomatedCar -351742666-351759763_0_Auto</t>
  </si>
  <si>
    <t>Kali-Bears-traccar-traccar-255051210-255 052458_0_Auto</t>
  </si>
  <si>
    <t>Nopol-Bears-vkostyukov-la4j-414793864-43 6911083_0_Auto</t>
  </si>
  <si>
    <t>RSRepair-Bears-SzFMV2018-Tavasz-Automate dCar-351742666-351759763_0_Auto</t>
  </si>
  <si>
    <t>RSRepair-Bears-SzFMV2018-Tavasz-Automate dCar-351742666-351759763_1_Auto</t>
  </si>
  <si>
    <t>RSRepair-Bears-SzFMV2018-Tavasz-Automate dCar-351742666-351759763_2_Auto</t>
  </si>
  <si>
    <t>RSRepair-Bears-SzFMV2018-Tavasz-Automate dCar-351742666-351759763_3_Auto</t>
  </si>
  <si>
    <t>RSRepair-Bears-SzFMV2018-Tavasz-Automate dCar-351742666-351759763_4_Auto</t>
  </si>
  <si>
    <t>Avg-Auto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</si>
  <si>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</si>
  <si>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</si>
  <si>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</si>
  <si>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</si>
  <si>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</si>
  <si>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</si>
  <si>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</si>
  <si>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</si>
  <si>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Multi-Chunk-High-Edits-Avg-Auto</t>
  </si>
  <si>
    <t>Avg-albfernandez-GDS-PMD-Security-Auto</t>
  </si>
  <si>
    <t>Avg-dungba88-libra-Auto</t>
  </si>
  <si>
    <t>Avg-julianps-modelmapper-module-Auto</t>
  </si>
  <si>
    <t>Avg-opentracing-contrib-java-p6sp-Auto</t>
  </si>
  <si>
    <t>Avg-SzFMV2018-Tavasz-AutomatedCar-Auto</t>
  </si>
  <si>
    <t>Avg-traccar-traccar-Auto</t>
  </si>
  <si>
    <t>Avg-Arja-Auto</t>
  </si>
  <si>
    <t>Avg-GenProg-Auto</t>
  </si>
  <si>
    <t>Avg-Kali-Auto</t>
  </si>
  <si>
    <t>Avg-Nopol-Auto</t>
  </si>
  <si>
    <t>Avg-RSRepair-Auto</t>
  </si>
  <si>
    <t>Update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</si>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</sst>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0" fillId="0" borderId="0" xfId="0" applyBorder="1"/>
    <xf numFmtId="0" fontId="26" fillId="0" borderId="0" xfId="0" applyFont="1"/>
    <xf numFmtId="0" fontId="18" fillId="40" borderId="0" xfId="0" applyFont="1" applyFill="1" applyAlignment="1">
      <alignment vertical="center"/>
    </xf>
    <xf numFmtId="2" fontId="18" fillId="0" borderId="0" xfId="0" applyNumberFormat="1" applyFont="1"/>
    <xf numFmtId="0" fontId="18" fillId="40" borderId="0" xfId="0" applyFont="1" applyFill="1" applyAlignment="1">
      <alignment horizontal="center" vertical="center"/>
    </xf>
    <xf numFmtId="0" fontId="24" fillId="35" borderId="10" xfId="0" applyFont="1" applyFill="1" applyBorder="1" applyAlignment="1">
      <alignment horizontal="center" wrapText="1"/>
    </xf>
    <xf numFmtId="0" fontId="24" fillId="35" borderId="12" xfId="0" applyFont="1" applyFill="1" applyBorder="1" applyAlignment="1">
      <alignment horizontal="center" wrapText="1"/>
    </xf>
    <xf numFmtId="0" fontId="24" fillId="35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"/>
  <sheetViews>
    <sheetView showGridLines="0" tabSelected="1" topLeftCell="H113" zoomScale="55" zoomScaleNormal="55" workbookViewId="0">
      <selection activeCell="T70" sqref="T70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20" width="11.33203125" style="1" customWidth="1"/>
    <col min="21" max="21" width="12.77734375" style="1" bestFit="1" customWidth="1"/>
    <col min="22" max="22" width="10.77734375" style="1" customWidth="1"/>
    <col min="23" max="23" width="11.6640625" style="1" bestFit="1" customWidth="1"/>
    <col min="24" max="24" width="11.21875" style="1" customWidth="1"/>
    <col min="25" max="25" width="12.21875" style="1" bestFit="1" customWidth="1"/>
    <col min="26" max="26" width="10.88671875" style="1" customWidth="1"/>
    <col min="27" max="27" width="11.88671875" style="1" customWidth="1"/>
    <col min="28" max="28" width="10.21875" style="1" customWidth="1"/>
    <col min="29" max="29" width="11.21875" style="1" customWidth="1"/>
    <col min="30" max="32" width="11.1093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3" spans="1:21" ht="28.8" x14ac:dyDescent="0.35">
      <c r="A23" s="13" t="s">
        <v>86</v>
      </c>
      <c r="B23" s="13" t="s">
        <v>20</v>
      </c>
      <c r="C23" s="13" t="s">
        <v>73</v>
      </c>
      <c r="D23" s="13" t="s">
        <v>74</v>
      </c>
      <c r="E23" s="13" t="s">
        <v>21</v>
      </c>
      <c r="F23" s="13" t="s">
        <v>75</v>
      </c>
      <c r="G23" s="13" t="s">
        <v>22</v>
      </c>
      <c r="H23" s="13" t="s">
        <v>76</v>
      </c>
      <c r="I23" s="13" t="s">
        <v>77</v>
      </c>
      <c r="J23" s="13" t="s">
        <v>78</v>
      </c>
      <c r="K23" s="13" t="s">
        <v>79</v>
      </c>
      <c r="L23" s="13" t="s">
        <v>80</v>
      </c>
      <c r="M23" s="13" t="s">
        <v>81</v>
      </c>
      <c r="N23" s="13" t="s">
        <v>82</v>
      </c>
      <c r="O23" s="13" t="s">
        <v>71</v>
      </c>
      <c r="P23" s="13" t="s">
        <v>83</v>
      </c>
      <c r="Q23" s="13" t="s">
        <v>84</v>
      </c>
      <c r="R23" s="13" t="s">
        <v>85</v>
      </c>
      <c r="S23" s="13" t="s">
        <v>233</v>
      </c>
      <c r="T23" s="13" t="s">
        <v>234</v>
      </c>
      <c r="U23" s="13" t="s">
        <v>99</v>
      </c>
    </row>
    <row r="24" spans="1:21" x14ac:dyDescent="0.35">
      <c r="A24" s="5" t="s">
        <v>61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IF(NOT(ISERR(SEARCH("*_Manual",$A24))), "Manual", IF(NOT(ISERR(SEARCH("*_Auto",$A24))), "Auto", "")))</f>
        <v>Buggy</v>
      </c>
      <c r="P24" s="12"/>
      <c r="Q24" s="12"/>
      <c r="R24" s="12"/>
      <c r="S24" s="12"/>
      <c r="T24" s="12"/>
      <c r="U24" s="12"/>
    </row>
    <row r="25" spans="1:21" x14ac:dyDescent="0.35">
      <c r="A25" s="7" t="s">
        <v>27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  <c r="S25" s="12"/>
      <c r="T25" s="12"/>
      <c r="U25" s="12"/>
    </row>
    <row r="26" spans="1:21" x14ac:dyDescent="0.35">
      <c r="A26" s="7" t="s">
        <v>48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  <c r="S26" s="12"/>
      <c r="T26" s="12"/>
      <c r="U26" s="12"/>
    </row>
    <row r="27" spans="1:21" x14ac:dyDescent="0.35">
      <c r="A27" s="5" t="s">
        <v>32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  <c r="S27" s="12"/>
      <c r="T27" s="12"/>
      <c r="U27" s="12"/>
    </row>
    <row r="28" spans="1:21" x14ac:dyDescent="0.35">
      <c r="A28" s="7" t="s">
        <v>29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  <c r="S28" s="12"/>
      <c r="T28" s="12"/>
      <c r="U28" s="12"/>
    </row>
    <row r="29" spans="1:21" x14ac:dyDescent="0.35">
      <c r="A29" s="5" t="s">
        <v>53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  <c r="S29" s="12"/>
      <c r="T29" s="12"/>
      <c r="U29" s="12"/>
    </row>
    <row r="30" spans="1:21" x14ac:dyDescent="0.35">
      <c r="A30" s="5" t="s">
        <v>44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  <c r="S30" s="12"/>
      <c r="T30" s="12"/>
      <c r="U30" s="12"/>
    </row>
    <row r="31" spans="1:21" x14ac:dyDescent="0.35">
      <c r="A31" s="7" t="s">
        <v>39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  <c r="S31" s="12"/>
      <c r="T31" s="12"/>
      <c r="U31" s="12"/>
    </row>
    <row r="32" spans="1:21" x14ac:dyDescent="0.35">
      <c r="A32" s="5" t="s">
        <v>41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  <c r="S32" s="12"/>
      <c r="T32" s="12"/>
      <c r="U32" s="12"/>
    </row>
    <row r="33" spans="1:21" x14ac:dyDescent="0.35">
      <c r="A33" s="7" t="s">
        <v>62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  <c r="S33" s="12"/>
      <c r="T33" s="12"/>
      <c r="U33" s="12"/>
    </row>
    <row r="34" spans="1:21" x14ac:dyDescent="0.35">
      <c r="A34" s="7" t="s">
        <v>40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  <c r="S34" s="12"/>
      <c r="T34" s="12"/>
      <c r="U34" s="12"/>
    </row>
    <row r="35" spans="1:21" x14ac:dyDescent="0.35">
      <c r="A35" s="7" t="s">
        <v>34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  <c r="S35" s="12"/>
      <c r="T35" s="12"/>
      <c r="U35" s="12"/>
    </row>
    <row r="36" spans="1:21" x14ac:dyDescent="0.35">
      <c r="A36" s="7" t="s">
        <v>45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  <c r="S36" s="12"/>
      <c r="T36" s="12"/>
      <c r="U36" s="12"/>
    </row>
    <row r="37" spans="1:21" x14ac:dyDescent="0.35">
      <c r="A37" s="7" t="s">
        <v>33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  <c r="S37" s="12"/>
      <c r="T37" s="12"/>
      <c r="U37" s="12"/>
    </row>
    <row r="38" spans="1:21" x14ac:dyDescent="0.35">
      <c r="A38" s="7" t="s">
        <v>56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  <c r="S38" s="12"/>
      <c r="T38" s="12"/>
      <c r="U38" s="12"/>
    </row>
    <row r="39" spans="1:21" x14ac:dyDescent="0.35">
      <c r="A39" s="7" t="s">
        <v>64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  <c r="S39" s="12"/>
      <c r="T39" s="12"/>
      <c r="U39" s="12"/>
    </row>
    <row r="40" spans="1:21" x14ac:dyDescent="0.35">
      <c r="A40" s="5" t="s">
        <v>49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  <c r="S40" s="12"/>
      <c r="T40" s="12"/>
      <c r="U40" s="12"/>
    </row>
    <row r="41" spans="1:21" x14ac:dyDescent="0.35">
      <c r="A41" s="7" t="s">
        <v>58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  <c r="S41" s="12"/>
      <c r="T41" s="12"/>
      <c r="U41" s="12"/>
    </row>
    <row r="42" spans="1:21" x14ac:dyDescent="0.35">
      <c r="A42" s="5" t="s">
        <v>63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  <c r="S42" s="12"/>
      <c r="T42" s="12"/>
      <c r="U42" s="12"/>
    </row>
    <row r="43" spans="1:21" x14ac:dyDescent="0.35">
      <c r="A43" s="7" t="s">
        <v>60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  <c r="S43" s="12"/>
      <c r="T43" s="12"/>
      <c r="U43" s="12"/>
    </row>
    <row r="44" spans="1:21" x14ac:dyDescent="0.35">
      <c r="A44" s="5" t="s">
        <v>52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  <c r="S44" s="12"/>
      <c r="T44" s="12"/>
      <c r="U44" s="12"/>
    </row>
    <row r="45" spans="1:21" x14ac:dyDescent="0.35">
      <c r="A45" s="7" t="s">
        <v>51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  <c r="S45" s="12"/>
      <c r="T45" s="12"/>
      <c r="U45" s="12"/>
    </row>
    <row r="46" spans="1:21" x14ac:dyDescent="0.35">
      <c r="A46" s="5" t="s">
        <v>42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  <c r="S46" s="12"/>
      <c r="T46" s="12"/>
      <c r="U46" s="12"/>
    </row>
    <row r="47" spans="1:21" x14ac:dyDescent="0.35">
      <c r="A47" s="7" t="s">
        <v>31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  <c r="S47" s="12"/>
      <c r="T47" s="12"/>
      <c r="U47" s="12"/>
    </row>
    <row r="48" spans="1:21" x14ac:dyDescent="0.35">
      <c r="A48" s="5" t="s">
        <v>50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  <c r="S48" s="12"/>
      <c r="T48" s="12"/>
      <c r="U48" s="12"/>
    </row>
    <row r="49" spans="1:21" x14ac:dyDescent="0.35">
      <c r="A49" s="5" t="s">
        <v>35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  <c r="S49" s="12"/>
      <c r="T49" s="12"/>
      <c r="U49" s="12"/>
    </row>
    <row r="50" spans="1:21" x14ac:dyDescent="0.35">
      <c r="A50" s="7" t="s">
        <v>25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  <c r="S50" s="12"/>
      <c r="T50" s="12"/>
      <c r="U50" s="12"/>
    </row>
    <row r="51" spans="1:21" x14ac:dyDescent="0.35">
      <c r="A51" s="5" t="s">
        <v>47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  <c r="S51" s="12"/>
      <c r="T51" s="12"/>
      <c r="U51" s="12"/>
    </row>
    <row r="52" spans="1:21" x14ac:dyDescent="0.35">
      <c r="A52" s="7" t="s">
        <v>26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  <c r="S52" s="12"/>
      <c r="T52" s="12"/>
      <c r="U52" s="12"/>
    </row>
    <row r="53" spans="1:21" x14ac:dyDescent="0.35">
      <c r="A53" s="5" t="s">
        <v>59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  <c r="S53" s="12"/>
      <c r="T53" s="12"/>
      <c r="U53" s="12"/>
    </row>
    <row r="54" spans="1:21" x14ac:dyDescent="0.35">
      <c r="A54" s="5" t="s">
        <v>36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  <c r="S54" s="12"/>
      <c r="T54" s="12"/>
      <c r="U54" s="12"/>
    </row>
    <row r="55" spans="1:21" x14ac:dyDescent="0.35">
      <c r="A55" s="7" t="s">
        <v>54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  <c r="S55" s="12"/>
      <c r="T55" s="12"/>
      <c r="U55" s="12"/>
    </row>
    <row r="56" spans="1:21" x14ac:dyDescent="0.35">
      <c r="A56" s="5" t="s">
        <v>28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IF(NOT(ISERR(SEARCH("*_Manual",$A56))), "Manual", IF(NOT(ISERR(SEARCH("*_Auto",$A56))), "Auto", "")))</f>
        <v>Buggy</v>
      </c>
      <c r="P56" s="12"/>
      <c r="Q56" s="12"/>
      <c r="R56" s="12"/>
      <c r="S56" s="12"/>
      <c r="T56" s="12"/>
      <c r="U56" s="12"/>
    </row>
    <row r="57" spans="1:21" x14ac:dyDescent="0.35">
      <c r="A57" s="7" t="s">
        <v>57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  <c r="S57" s="12"/>
      <c r="T57" s="12"/>
      <c r="U57" s="12"/>
    </row>
    <row r="58" spans="1:21" x14ac:dyDescent="0.35">
      <c r="A58" s="5" t="s">
        <v>30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  <c r="S58" s="12"/>
      <c r="T58" s="12"/>
      <c r="U58" s="12"/>
    </row>
    <row r="59" spans="1:21" x14ac:dyDescent="0.35">
      <c r="A59" s="5" t="s">
        <v>46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  <c r="S59" s="12"/>
      <c r="T59" s="12"/>
      <c r="U59" s="12"/>
    </row>
    <row r="60" spans="1:21" x14ac:dyDescent="0.35">
      <c r="A60" s="7" t="s">
        <v>24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  <c r="S60" s="12"/>
      <c r="T60" s="12"/>
      <c r="U60" s="12"/>
    </row>
    <row r="61" spans="1:21" x14ac:dyDescent="0.35">
      <c r="A61" s="7" t="s">
        <v>55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  <c r="S61" s="12"/>
      <c r="T61" s="12"/>
      <c r="U61" s="12"/>
    </row>
    <row r="62" spans="1:21" x14ac:dyDescent="0.35">
      <c r="A62" s="5" t="s">
        <v>38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  <c r="S62" s="12"/>
      <c r="T62" s="12"/>
      <c r="U62" s="12"/>
    </row>
    <row r="63" spans="1:21" x14ac:dyDescent="0.35">
      <c r="A63" s="5" t="s">
        <v>23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  <c r="S63" s="12"/>
      <c r="T63" s="12"/>
      <c r="U63" s="12"/>
    </row>
    <row r="64" spans="1:21" x14ac:dyDescent="0.35">
      <c r="A64" s="7" t="s">
        <v>37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  <c r="S64" s="12"/>
      <c r="T64" s="12"/>
      <c r="U64" s="12"/>
    </row>
    <row r="65" spans="1:21" ht="15" thickBot="1" x14ac:dyDescent="0.4">
      <c r="A65" s="21" t="s">
        <v>43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  <c r="S65" s="20"/>
      <c r="T65" s="20"/>
      <c r="U65" s="20"/>
    </row>
    <row r="66" spans="1:21" x14ac:dyDescent="0.35">
      <c r="A66" s="15" t="s">
        <v>107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Manual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39">
        <v>0</v>
      </c>
    </row>
    <row r="67" spans="1:21" x14ac:dyDescent="0.35">
      <c r="A67" s="5" t="s">
        <v>108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Manual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39">
        <v>0</v>
      </c>
    </row>
    <row r="68" spans="1:21" x14ac:dyDescent="0.35">
      <c r="A68" s="7" t="s">
        <v>109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Manual</v>
      </c>
      <c r="P68" s="12">
        <v>2</v>
      </c>
      <c r="Q68" s="12">
        <v>23</v>
      </c>
      <c r="R68" s="12">
        <v>0</v>
      </c>
      <c r="S68" s="12">
        <v>0</v>
      </c>
      <c r="T68" s="12">
        <v>0</v>
      </c>
      <c r="U68" s="39">
        <v>23</v>
      </c>
    </row>
    <row r="69" spans="1:21" x14ac:dyDescent="0.35">
      <c r="A69" s="5" t="s">
        <v>110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Manual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39">
        <v>0</v>
      </c>
    </row>
    <row r="70" spans="1:21" x14ac:dyDescent="0.35">
      <c r="A70" s="5" t="s">
        <v>111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Manual</v>
      </c>
      <c r="P70" s="12">
        <v>1</v>
      </c>
      <c r="Q70" s="12">
        <v>0</v>
      </c>
      <c r="R70" s="12">
        <v>0</v>
      </c>
      <c r="S70" s="12">
        <v>42</v>
      </c>
      <c r="T70" s="12">
        <v>42</v>
      </c>
      <c r="U70" s="39">
        <v>52</v>
      </c>
    </row>
    <row r="71" spans="1:21" x14ac:dyDescent="0.35">
      <c r="A71" s="5" t="s">
        <v>112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Manual</v>
      </c>
      <c r="P71" s="12">
        <v>1</v>
      </c>
      <c r="Q71" s="12">
        <v>0</v>
      </c>
      <c r="R71" s="12">
        <v>0</v>
      </c>
      <c r="S71" s="12">
        <v>42</v>
      </c>
      <c r="T71" s="12">
        <v>42</v>
      </c>
      <c r="U71" s="39">
        <v>52</v>
      </c>
    </row>
    <row r="72" spans="1:21" x14ac:dyDescent="0.35">
      <c r="A72" s="5" t="s">
        <v>113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Manual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39">
        <v>0</v>
      </c>
    </row>
    <row r="73" spans="1:21" x14ac:dyDescent="0.35">
      <c r="A73" s="5" t="s">
        <v>114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Manual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39">
        <v>0</v>
      </c>
    </row>
    <row r="74" spans="1:21" x14ac:dyDescent="0.35">
      <c r="A74" s="7" t="s">
        <v>115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Manual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39">
        <v>0</v>
      </c>
    </row>
    <row r="75" spans="1:21" x14ac:dyDescent="0.35">
      <c r="A75" s="7" t="s">
        <v>116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Manual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39">
        <v>0</v>
      </c>
    </row>
    <row r="76" spans="1:21" x14ac:dyDescent="0.35">
      <c r="A76" s="5" t="s">
        <v>117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Manual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39">
        <v>0</v>
      </c>
    </row>
    <row r="77" spans="1:21" x14ac:dyDescent="0.35">
      <c r="A77" s="7" t="s">
        <v>118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Manual</v>
      </c>
      <c r="P77" s="12">
        <v>4</v>
      </c>
      <c r="Q77" s="12">
        <v>7</v>
      </c>
      <c r="R77" s="12">
        <v>0</v>
      </c>
      <c r="S77" s="12">
        <v>8</v>
      </c>
      <c r="T77" s="12">
        <v>6</v>
      </c>
      <c r="U77" s="39">
        <v>17</v>
      </c>
    </row>
    <row r="78" spans="1:21" x14ac:dyDescent="0.35">
      <c r="A78" s="7" t="s">
        <v>119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Manual</v>
      </c>
      <c r="P78" s="12">
        <v>4</v>
      </c>
      <c r="Q78" s="12">
        <v>7</v>
      </c>
      <c r="R78" s="12">
        <v>0</v>
      </c>
      <c r="S78" s="12">
        <v>8</v>
      </c>
      <c r="T78" s="12">
        <v>6</v>
      </c>
      <c r="U78" s="39">
        <v>17</v>
      </c>
    </row>
    <row r="79" spans="1:21" x14ac:dyDescent="0.35">
      <c r="A79" s="7" t="s">
        <v>120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Manual</v>
      </c>
      <c r="P79" s="12">
        <v>4</v>
      </c>
      <c r="Q79" s="12">
        <v>7</v>
      </c>
      <c r="R79" s="12">
        <v>0</v>
      </c>
      <c r="S79" s="12">
        <v>8</v>
      </c>
      <c r="T79" s="12">
        <v>6</v>
      </c>
      <c r="U79" s="39">
        <v>17</v>
      </c>
    </row>
    <row r="80" spans="1:21" x14ac:dyDescent="0.35">
      <c r="A80" s="5" t="s">
        <v>121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Manual</v>
      </c>
      <c r="P80" s="12">
        <v>4</v>
      </c>
      <c r="Q80" s="12">
        <v>7</v>
      </c>
      <c r="R80" s="12">
        <v>0</v>
      </c>
      <c r="S80" s="12">
        <v>8</v>
      </c>
      <c r="T80" s="12">
        <v>6</v>
      </c>
      <c r="U80" s="39">
        <v>17</v>
      </c>
    </row>
    <row r="81" spans="1:21" x14ac:dyDescent="0.35">
      <c r="A81" s="5" t="s">
        <v>122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Manual</v>
      </c>
      <c r="P81" s="12">
        <v>4</v>
      </c>
      <c r="Q81" s="12">
        <v>7</v>
      </c>
      <c r="R81" s="12">
        <v>0</v>
      </c>
      <c r="S81" s="12">
        <v>8</v>
      </c>
      <c r="T81" s="12">
        <v>6</v>
      </c>
      <c r="U81" s="39">
        <v>17</v>
      </c>
    </row>
    <row r="82" spans="1:21" x14ac:dyDescent="0.35">
      <c r="A82" s="5" t="s">
        <v>123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Manual</v>
      </c>
      <c r="P82" s="12">
        <v>1</v>
      </c>
      <c r="Q82" s="12">
        <v>0</v>
      </c>
      <c r="R82" s="12">
        <v>0</v>
      </c>
      <c r="S82" s="12">
        <v>1</v>
      </c>
      <c r="T82" s="12">
        <v>0</v>
      </c>
      <c r="U82" s="39">
        <v>1</v>
      </c>
    </row>
    <row r="83" spans="1:21" x14ac:dyDescent="0.35">
      <c r="A83" s="5" t="s">
        <v>124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Manual</v>
      </c>
      <c r="P83" s="12">
        <v>1</v>
      </c>
      <c r="Q83" s="12">
        <v>0</v>
      </c>
      <c r="R83" s="12">
        <v>0</v>
      </c>
      <c r="S83" s="12">
        <v>1</v>
      </c>
      <c r="T83" s="12">
        <v>0</v>
      </c>
      <c r="U83" s="39">
        <v>1</v>
      </c>
    </row>
    <row r="84" spans="1:21" x14ac:dyDescent="0.35">
      <c r="A84" s="5" t="s">
        <v>125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Manual</v>
      </c>
      <c r="P84" s="12">
        <v>1</v>
      </c>
      <c r="Q84" s="12">
        <v>0</v>
      </c>
      <c r="R84" s="12">
        <v>0</v>
      </c>
      <c r="S84" s="12">
        <v>1</v>
      </c>
      <c r="T84" s="12">
        <v>0</v>
      </c>
      <c r="U84" s="39">
        <v>1</v>
      </c>
    </row>
    <row r="85" spans="1:21" x14ac:dyDescent="0.35">
      <c r="A85" s="7" t="s">
        <v>126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Manual</v>
      </c>
      <c r="P85" s="12">
        <v>1</v>
      </c>
      <c r="Q85" s="12">
        <v>0</v>
      </c>
      <c r="R85" s="12">
        <v>0</v>
      </c>
      <c r="S85" s="12">
        <v>1</v>
      </c>
      <c r="T85" s="12">
        <v>0</v>
      </c>
      <c r="U85" s="39">
        <v>1</v>
      </c>
    </row>
    <row r="86" spans="1:21" x14ac:dyDescent="0.35">
      <c r="A86" s="5" t="s">
        <v>127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Manual</v>
      </c>
      <c r="P86" s="12">
        <v>1</v>
      </c>
      <c r="Q86" s="12">
        <v>0</v>
      </c>
      <c r="R86" s="12">
        <v>0</v>
      </c>
      <c r="S86" s="12">
        <v>1</v>
      </c>
      <c r="T86" s="12">
        <v>0</v>
      </c>
      <c r="U86" s="39">
        <v>1</v>
      </c>
    </row>
    <row r="87" spans="1:21" x14ac:dyDescent="0.35">
      <c r="A87" s="5" t="s">
        <v>128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Manual</v>
      </c>
      <c r="P87" s="12">
        <v>1</v>
      </c>
      <c r="Q87" s="12">
        <v>0</v>
      </c>
      <c r="R87" s="12">
        <v>0</v>
      </c>
      <c r="S87" s="12">
        <v>1</v>
      </c>
      <c r="T87" s="12">
        <v>0</v>
      </c>
      <c r="U87" s="39">
        <v>1</v>
      </c>
    </row>
    <row r="88" spans="1:21" x14ac:dyDescent="0.35">
      <c r="A88" s="5" t="s">
        <v>129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2">IF(NOT(ISERR(SEARCH("*_Buggy",$A88))), "Buggy", IF(NOT(ISERR(SEARCH("*_Manual",$A88))), "Manual", IF(NOT(ISERR(SEARCH("*_Auto",$A88))), "Auto", "")))</f>
        <v>Manual</v>
      </c>
      <c r="P88" s="12">
        <v>1</v>
      </c>
      <c r="Q88" s="12">
        <v>0</v>
      </c>
      <c r="R88" s="12">
        <v>0</v>
      </c>
      <c r="S88" s="12">
        <v>1</v>
      </c>
      <c r="T88" s="12">
        <v>0</v>
      </c>
      <c r="U88" s="39">
        <v>1</v>
      </c>
    </row>
    <row r="89" spans="1:21" x14ac:dyDescent="0.35">
      <c r="A89" s="5" t="s">
        <v>130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2"/>
        <v>Manual</v>
      </c>
      <c r="P89" s="12">
        <v>1</v>
      </c>
      <c r="Q89" s="12">
        <v>0</v>
      </c>
      <c r="R89" s="12">
        <v>0</v>
      </c>
      <c r="S89" s="12">
        <v>1</v>
      </c>
      <c r="T89" s="12">
        <v>0</v>
      </c>
      <c r="U89" s="39">
        <v>1</v>
      </c>
    </row>
    <row r="90" spans="1:21" x14ac:dyDescent="0.35">
      <c r="A90" s="7" t="s">
        <v>131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2"/>
        <v>Manual</v>
      </c>
      <c r="P90" s="12">
        <v>1</v>
      </c>
      <c r="Q90" s="12">
        <v>0</v>
      </c>
      <c r="R90" s="12">
        <v>0</v>
      </c>
      <c r="S90" s="12">
        <v>1</v>
      </c>
      <c r="T90" s="12">
        <v>0</v>
      </c>
      <c r="U90" s="39">
        <v>1</v>
      </c>
    </row>
    <row r="91" spans="1:21" x14ac:dyDescent="0.35">
      <c r="A91" s="7" t="s">
        <v>132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2"/>
        <v>Manual</v>
      </c>
      <c r="P91" s="12">
        <v>1</v>
      </c>
      <c r="Q91" s="12">
        <v>0</v>
      </c>
      <c r="R91" s="12">
        <v>0</v>
      </c>
      <c r="S91" s="12">
        <v>1</v>
      </c>
      <c r="T91" s="12">
        <v>0</v>
      </c>
      <c r="U91" s="39">
        <v>1</v>
      </c>
    </row>
    <row r="92" spans="1:21" x14ac:dyDescent="0.35">
      <c r="A92" s="7" t="s">
        <v>133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2"/>
        <v>Manual</v>
      </c>
      <c r="P92" s="12">
        <v>1</v>
      </c>
      <c r="Q92" s="12">
        <v>0</v>
      </c>
      <c r="R92" s="12">
        <v>0</v>
      </c>
      <c r="S92" s="12">
        <v>1</v>
      </c>
      <c r="T92" s="12">
        <v>0</v>
      </c>
      <c r="U92" s="39">
        <v>1</v>
      </c>
    </row>
    <row r="93" spans="1:21" x14ac:dyDescent="0.35">
      <c r="A93" s="5" t="s">
        <v>134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2"/>
        <v>Manual</v>
      </c>
      <c r="P93" s="12">
        <v>1</v>
      </c>
      <c r="Q93" s="12">
        <v>0</v>
      </c>
      <c r="R93" s="12">
        <v>0</v>
      </c>
      <c r="S93" s="12">
        <v>1</v>
      </c>
      <c r="T93" s="12">
        <v>0</v>
      </c>
      <c r="U93" s="39">
        <v>1</v>
      </c>
    </row>
    <row r="94" spans="1:21" x14ac:dyDescent="0.35">
      <c r="A94" s="7" t="s">
        <v>135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2"/>
        <v>Manual</v>
      </c>
      <c r="P94" s="12">
        <v>1</v>
      </c>
      <c r="Q94" s="12">
        <v>0</v>
      </c>
      <c r="R94" s="12">
        <v>0</v>
      </c>
      <c r="S94" s="12">
        <v>1</v>
      </c>
      <c r="T94" s="12">
        <v>0</v>
      </c>
      <c r="U94" s="39">
        <v>1</v>
      </c>
    </row>
    <row r="95" spans="1:21" x14ac:dyDescent="0.35">
      <c r="A95" s="5" t="s">
        <v>136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2"/>
        <v>Manual</v>
      </c>
      <c r="P95" s="12">
        <v>1</v>
      </c>
      <c r="Q95" s="12">
        <v>0</v>
      </c>
      <c r="R95" s="12">
        <v>0</v>
      </c>
      <c r="S95" s="12">
        <v>1</v>
      </c>
      <c r="T95" s="12">
        <v>0</v>
      </c>
      <c r="U95" s="39">
        <v>1</v>
      </c>
    </row>
    <row r="96" spans="1:21" x14ac:dyDescent="0.35">
      <c r="A96" s="5" t="s">
        <v>137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2"/>
        <v>Manual</v>
      </c>
      <c r="P96" s="12">
        <v>1</v>
      </c>
      <c r="Q96" s="12">
        <v>0</v>
      </c>
      <c r="R96" s="12">
        <v>0</v>
      </c>
      <c r="S96" s="12">
        <v>1</v>
      </c>
      <c r="T96" s="12">
        <v>0</v>
      </c>
      <c r="U96" s="39">
        <v>1</v>
      </c>
    </row>
    <row r="97" spans="1:28" x14ac:dyDescent="0.35">
      <c r="A97" s="7" t="s">
        <v>138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2"/>
        <v>Manual</v>
      </c>
      <c r="P97" s="12">
        <v>2</v>
      </c>
      <c r="Q97" s="12">
        <v>23</v>
      </c>
      <c r="R97" s="12">
        <v>0</v>
      </c>
      <c r="S97" s="12">
        <v>0</v>
      </c>
      <c r="T97" s="12">
        <v>0</v>
      </c>
      <c r="U97" s="39">
        <v>23</v>
      </c>
    </row>
    <row r="98" spans="1:28" x14ac:dyDescent="0.35">
      <c r="A98" s="5" t="s">
        <v>139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2"/>
        <v>Manual</v>
      </c>
      <c r="P98" s="12">
        <v>1</v>
      </c>
      <c r="Q98" s="12">
        <v>3</v>
      </c>
      <c r="R98" s="12">
        <v>0</v>
      </c>
      <c r="S98" s="12">
        <v>36</v>
      </c>
      <c r="T98" s="12">
        <v>36</v>
      </c>
      <c r="U98" s="39">
        <v>47</v>
      </c>
    </row>
    <row r="99" spans="1:28" x14ac:dyDescent="0.35">
      <c r="A99" s="5" t="s">
        <v>140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2"/>
        <v>Manual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39">
        <v>0</v>
      </c>
    </row>
    <row r="100" spans="1:28" x14ac:dyDescent="0.35">
      <c r="A100" s="7" t="s">
        <v>141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2"/>
        <v>Manual</v>
      </c>
      <c r="P100" s="12">
        <v>1</v>
      </c>
      <c r="Q100" s="12">
        <v>0</v>
      </c>
      <c r="R100" s="12">
        <v>0</v>
      </c>
      <c r="S100" s="12">
        <v>1</v>
      </c>
      <c r="T100" s="12">
        <v>0</v>
      </c>
      <c r="U100" s="39">
        <v>1</v>
      </c>
    </row>
    <row r="101" spans="1:28" x14ac:dyDescent="0.35">
      <c r="A101" s="7" t="s">
        <v>142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2"/>
        <v>Manual</v>
      </c>
      <c r="P101" s="12">
        <v>1</v>
      </c>
      <c r="Q101" s="12">
        <v>0</v>
      </c>
      <c r="R101" s="12">
        <v>0</v>
      </c>
      <c r="S101" s="12">
        <v>1</v>
      </c>
      <c r="T101" s="12">
        <v>0</v>
      </c>
      <c r="U101" s="39">
        <v>1</v>
      </c>
    </row>
    <row r="102" spans="1:28" x14ac:dyDescent="0.35">
      <c r="A102" s="5" t="s">
        <v>143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2"/>
        <v>Manual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39">
        <v>0</v>
      </c>
    </row>
    <row r="103" spans="1:28" x14ac:dyDescent="0.35">
      <c r="A103" s="7" t="s">
        <v>144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2"/>
        <v>Manual</v>
      </c>
      <c r="P103" s="12">
        <v>1</v>
      </c>
      <c r="Q103" s="12">
        <v>0</v>
      </c>
      <c r="R103" s="12">
        <v>0</v>
      </c>
      <c r="S103" s="12">
        <v>1</v>
      </c>
      <c r="T103" s="12">
        <v>0</v>
      </c>
      <c r="U103" s="39">
        <v>1</v>
      </c>
    </row>
    <row r="104" spans="1:28" x14ac:dyDescent="0.35">
      <c r="A104" s="5" t="s">
        <v>145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2"/>
        <v>Manual</v>
      </c>
      <c r="P104" s="12">
        <v>1</v>
      </c>
      <c r="Q104" s="12">
        <v>0</v>
      </c>
      <c r="R104" s="12">
        <v>0</v>
      </c>
      <c r="S104" s="12">
        <v>1</v>
      </c>
      <c r="T104" s="12">
        <v>0</v>
      </c>
      <c r="U104" s="39">
        <v>1</v>
      </c>
    </row>
    <row r="105" spans="1:28" x14ac:dyDescent="0.35">
      <c r="A105" s="5" t="s">
        <v>146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2"/>
        <v>Manual</v>
      </c>
      <c r="P105" s="12">
        <v>1</v>
      </c>
      <c r="Q105" s="12">
        <v>0</v>
      </c>
      <c r="R105" s="12">
        <v>0</v>
      </c>
      <c r="S105" s="12">
        <v>1</v>
      </c>
      <c r="T105" s="12">
        <v>0</v>
      </c>
      <c r="U105" s="39">
        <v>1</v>
      </c>
    </row>
    <row r="106" spans="1:28" x14ac:dyDescent="0.35">
      <c r="A106" s="7" t="s">
        <v>147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2"/>
        <v>Manual</v>
      </c>
      <c r="P106" s="12">
        <v>1</v>
      </c>
      <c r="Q106" s="12">
        <v>0</v>
      </c>
      <c r="R106" s="12">
        <v>0</v>
      </c>
      <c r="S106" s="12">
        <v>1</v>
      </c>
      <c r="T106" s="12">
        <v>0</v>
      </c>
      <c r="U106" s="39">
        <v>1</v>
      </c>
    </row>
    <row r="107" spans="1:28" ht="29.4" thickBot="1" x14ac:dyDescent="0.4">
      <c r="A107" s="18" t="s">
        <v>148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2"/>
        <v>Manual</v>
      </c>
      <c r="P107" s="20">
        <v>1</v>
      </c>
      <c r="Q107" s="20">
        <v>0</v>
      </c>
      <c r="R107" s="20">
        <v>0</v>
      </c>
      <c r="S107" s="20">
        <v>1</v>
      </c>
      <c r="T107" s="20">
        <v>0</v>
      </c>
      <c r="U107" s="40">
        <v>1</v>
      </c>
      <c r="V107" s="33"/>
      <c r="W107" s="32" t="s">
        <v>102</v>
      </c>
      <c r="X107" s="32" t="s">
        <v>103</v>
      </c>
      <c r="Y107" s="32" t="s">
        <v>100</v>
      </c>
      <c r="Z107" s="32" t="s">
        <v>101</v>
      </c>
      <c r="AA107" s="32" t="s">
        <v>104</v>
      </c>
      <c r="AB107"/>
    </row>
    <row r="108" spans="1:28" ht="15" x14ac:dyDescent="0.35">
      <c r="A108" s="15" t="s">
        <v>170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2"/>
        <v>Auto</v>
      </c>
      <c r="P108" s="17">
        <v>1</v>
      </c>
      <c r="Q108" s="17">
        <v>0</v>
      </c>
      <c r="R108" s="17">
        <v>1</v>
      </c>
      <c r="S108" s="17">
        <v>0</v>
      </c>
      <c r="T108" s="17">
        <v>0</v>
      </c>
      <c r="U108" s="41">
        <v>1</v>
      </c>
      <c r="W108" t="str">
        <f>IF(AND($P66=1,$P108=1,$U66=1,$U108=1), "YES", "NO")</f>
        <v>NO</v>
      </c>
      <c r="X108" t="str">
        <f>IF(AND($P66=1,$P108=1,$U66&gt;1,$U108&gt;1), "YES", "NO")</f>
        <v>NO</v>
      </c>
      <c r="Y108" t="str">
        <f t="shared" ref="Y108:Y149" si="3">IF(AND(P66&gt;1,P108&gt;1,P66=U66,P108=U108), "YES", "NO")</f>
        <v>NO</v>
      </c>
      <c r="Z108" t="str">
        <f t="shared" ref="Z108:Z149" si="4">IF(AND(P66&gt;1,P108&gt;1,P66&lt;U66,P108&lt;U108), "YES", "NO")</f>
        <v>NO</v>
      </c>
      <c r="AA108" t="str">
        <f>IF(AND($U66&gt;5,$U108&gt;5), "YES", "NO")</f>
        <v>NO</v>
      </c>
      <c r="AB108"/>
    </row>
    <row r="109" spans="1:28" ht="15" x14ac:dyDescent="0.35">
      <c r="A109" s="5" t="s">
        <v>171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2"/>
        <v>Auto</v>
      </c>
      <c r="P109" s="12">
        <v>2</v>
      </c>
      <c r="Q109" s="12">
        <v>0</v>
      </c>
      <c r="R109" s="12">
        <v>2</v>
      </c>
      <c r="S109" s="12">
        <v>0</v>
      </c>
      <c r="T109" s="12">
        <v>0</v>
      </c>
      <c r="U109" s="39">
        <v>2</v>
      </c>
      <c r="W109" t="str">
        <f t="shared" ref="W109:W149" si="5">IF(AND($P67=1,$P109=1,$U67=1,$U109=1), "YES", "NO")</f>
        <v>NO</v>
      </c>
      <c r="X109" t="str">
        <f t="shared" ref="X109:X149" si="6">IF(AND($P67=1,$P109=1,$U67&gt;1,$U109&gt;1), "YES", "NO")</f>
        <v>NO</v>
      </c>
      <c r="Y109" t="str">
        <f t="shared" si="3"/>
        <v>NO</v>
      </c>
      <c r="Z109" t="str">
        <f t="shared" si="4"/>
        <v>NO</v>
      </c>
      <c r="AA109" t="str">
        <f t="shared" ref="AA109:AA149" si="7">IF(AND($U67&gt;5,$U109&gt;5), "YES", "NO")</f>
        <v>NO</v>
      </c>
      <c r="AB109"/>
    </row>
    <row r="110" spans="1:28" ht="15" x14ac:dyDescent="0.35">
      <c r="A110" s="7" t="s">
        <v>172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2"/>
        <v>Auto</v>
      </c>
      <c r="P110" s="12">
        <v>1</v>
      </c>
      <c r="Q110" s="12">
        <v>0</v>
      </c>
      <c r="R110" s="12">
        <v>1</v>
      </c>
      <c r="S110" s="12">
        <v>0</v>
      </c>
      <c r="T110" s="12">
        <v>0</v>
      </c>
      <c r="U110" s="39">
        <v>1</v>
      </c>
      <c r="W110" t="str">
        <f t="shared" si="5"/>
        <v>NO</v>
      </c>
      <c r="X110" t="str">
        <f t="shared" si="6"/>
        <v>NO</v>
      </c>
      <c r="Y110" t="str">
        <f t="shared" si="3"/>
        <v>NO</v>
      </c>
      <c r="Z110" t="str">
        <f t="shared" si="4"/>
        <v>NO</v>
      </c>
      <c r="AA110" t="str">
        <f t="shared" si="7"/>
        <v>NO</v>
      </c>
      <c r="AB110"/>
    </row>
    <row r="111" spans="1:28" ht="15" x14ac:dyDescent="0.35">
      <c r="A111" s="7" t="s">
        <v>173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2"/>
        <v>Auto</v>
      </c>
      <c r="P111" s="12">
        <v>1</v>
      </c>
      <c r="Q111" s="12">
        <v>0</v>
      </c>
      <c r="R111" s="12">
        <v>6</v>
      </c>
      <c r="S111" s="12">
        <v>0</v>
      </c>
      <c r="T111" s="12">
        <v>0</v>
      </c>
      <c r="U111" s="39">
        <v>6</v>
      </c>
      <c r="W111" t="str">
        <f t="shared" si="5"/>
        <v>NO</v>
      </c>
      <c r="X111" t="str">
        <f t="shared" si="6"/>
        <v>NO</v>
      </c>
      <c r="Y111" t="str">
        <f t="shared" si="3"/>
        <v>NO</v>
      </c>
      <c r="Z111" t="str">
        <f t="shared" si="4"/>
        <v>NO</v>
      </c>
      <c r="AA111" t="str">
        <f t="shared" si="7"/>
        <v>NO</v>
      </c>
      <c r="AB111"/>
    </row>
    <row r="112" spans="1:28" ht="15" x14ac:dyDescent="0.35">
      <c r="A112" s="5" t="s">
        <v>174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2"/>
        <v>Auto</v>
      </c>
      <c r="P112" s="12">
        <v>1</v>
      </c>
      <c r="Q112" s="12">
        <v>0</v>
      </c>
      <c r="R112" s="12">
        <v>4</v>
      </c>
      <c r="S112" s="12">
        <v>0</v>
      </c>
      <c r="T112" s="12">
        <v>0</v>
      </c>
      <c r="U112" s="39">
        <v>4</v>
      </c>
      <c r="W112" t="str">
        <f t="shared" si="5"/>
        <v>NO</v>
      </c>
      <c r="X112" t="str">
        <f t="shared" si="6"/>
        <v>YES</v>
      </c>
      <c r="Y112" t="str">
        <f t="shared" si="3"/>
        <v>NO</v>
      </c>
      <c r="Z112" t="str">
        <f t="shared" si="4"/>
        <v>NO</v>
      </c>
      <c r="AA112" t="str">
        <f t="shared" si="7"/>
        <v>NO</v>
      </c>
      <c r="AB112"/>
    </row>
    <row r="113" spans="1:28" ht="15" x14ac:dyDescent="0.35">
      <c r="A113" s="7" t="s">
        <v>175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2"/>
        <v>Auto</v>
      </c>
      <c r="P113" s="12">
        <v>1</v>
      </c>
      <c r="Q113" s="12">
        <v>0</v>
      </c>
      <c r="R113" s="12">
        <v>4</v>
      </c>
      <c r="S113" s="12">
        <v>0</v>
      </c>
      <c r="T113" s="12">
        <v>0</v>
      </c>
      <c r="U113" s="39">
        <v>4</v>
      </c>
      <c r="W113" t="str">
        <f t="shared" si="5"/>
        <v>NO</v>
      </c>
      <c r="X113" t="str">
        <f t="shared" si="6"/>
        <v>YES</v>
      </c>
      <c r="Y113" t="str">
        <f t="shared" si="3"/>
        <v>NO</v>
      </c>
      <c r="Z113" t="str">
        <f t="shared" si="4"/>
        <v>NO</v>
      </c>
      <c r="AA113" t="str">
        <f t="shared" si="7"/>
        <v>NO</v>
      </c>
      <c r="AB113"/>
    </row>
    <row r="114" spans="1:28" ht="15" x14ac:dyDescent="0.35">
      <c r="A114" s="5" t="s">
        <v>176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2"/>
        <v>Auto</v>
      </c>
      <c r="P114" s="12">
        <v>1</v>
      </c>
      <c r="Q114" s="12">
        <v>0</v>
      </c>
      <c r="R114" s="12">
        <v>1</v>
      </c>
      <c r="S114" s="12">
        <v>0</v>
      </c>
      <c r="T114" s="12">
        <v>0</v>
      </c>
      <c r="U114" s="39">
        <v>1</v>
      </c>
      <c r="W114" t="str">
        <f t="shared" si="5"/>
        <v>NO</v>
      </c>
      <c r="X114" t="str">
        <f t="shared" si="6"/>
        <v>NO</v>
      </c>
      <c r="Y114" t="str">
        <f t="shared" si="3"/>
        <v>NO</v>
      </c>
      <c r="Z114" t="str">
        <f t="shared" si="4"/>
        <v>NO</v>
      </c>
      <c r="AA114" t="str">
        <f t="shared" si="7"/>
        <v>NO</v>
      </c>
      <c r="AB114"/>
    </row>
    <row r="115" spans="1:28" ht="15" x14ac:dyDescent="0.35">
      <c r="A115" s="7" t="s">
        <v>177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2"/>
        <v>Auto</v>
      </c>
      <c r="P115" s="12">
        <v>1</v>
      </c>
      <c r="Q115" s="12">
        <v>0</v>
      </c>
      <c r="R115" s="12">
        <v>1</v>
      </c>
      <c r="S115" s="12">
        <v>0</v>
      </c>
      <c r="T115" s="12">
        <v>0</v>
      </c>
      <c r="U115" s="39">
        <v>1</v>
      </c>
      <c r="W115" t="str">
        <f t="shared" si="5"/>
        <v>NO</v>
      </c>
      <c r="X115" t="str">
        <f t="shared" si="6"/>
        <v>NO</v>
      </c>
      <c r="Y115" t="str">
        <f t="shared" si="3"/>
        <v>NO</v>
      </c>
      <c r="Z115" t="str">
        <f t="shared" si="4"/>
        <v>NO</v>
      </c>
      <c r="AA115" t="str">
        <f t="shared" si="7"/>
        <v>NO</v>
      </c>
      <c r="AB115"/>
    </row>
    <row r="116" spans="1:28" ht="15" x14ac:dyDescent="0.35">
      <c r="A116" s="7" t="s">
        <v>178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2"/>
        <v>Auto</v>
      </c>
      <c r="P116" s="12">
        <v>1</v>
      </c>
      <c r="Q116" s="12">
        <v>0</v>
      </c>
      <c r="R116" s="12">
        <v>1</v>
      </c>
      <c r="S116" s="12">
        <v>0</v>
      </c>
      <c r="T116" s="12">
        <v>0</v>
      </c>
      <c r="U116" s="39">
        <v>1</v>
      </c>
      <c r="W116" t="str">
        <f t="shared" si="5"/>
        <v>NO</v>
      </c>
      <c r="X116" t="str">
        <f t="shared" si="6"/>
        <v>NO</v>
      </c>
      <c r="Y116" t="str">
        <f t="shared" si="3"/>
        <v>NO</v>
      </c>
      <c r="Z116" t="str">
        <f t="shared" si="4"/>
        <v>NO</v>
      </c>
      <c r="AA116" t="str">
        <f t="shared" si="7"/>
        <v>NO</v>
      </c>
      <c r="AB116"/>
    </row>
    <row r="117" spans="1:28" ht="15" x14ac:dyDescent="0.35">
      <c r="A117" s="7" t="s">
        <v>179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2"/>
        <v>Auto</v>
      </c>
      <c r="P117" s="12">
        <v>1</v>
      </c>
      <c r="Q117" s="12">
        <v>0</v>
      </c>
      <c r="R117" s="12">
        <v>1</v>
      </c>
      <c r="S117" s="12">
        <v>0</v>
      </c>
      <c r="T117" s="12">
        <v>0</v>
      </c>
      <c r="U117" s="39">
        <v>1</v>
      </c>
      <c r="W117" t="str">
        <f t="shared" si="5"/>
        <v>NO</v>
      </c>
      <c r="X117" t="str">
        <f t="shared" si="6"/>
        <v>NO</v>
      </c>
      <c r="Y117" t="str">
        <f t="shared" si="3"/>
        <v>NO</v>
      </c>
      <c r="Z117" t="str">
        <f t="shared" si="4"/>
        <v>NO</v>
      </c>
      <c r="AA117" t="str">
        <f t="shared" si="7"/>
        <v>NO</v>
      </c>
      <c r="AB117"/>
    </row>
    <row r="118" spans="1:28" ht="15" x14ac:dyDescent="0.35">
      <c r="A118" s="5" t="s">
        <v>180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2"/>
        <v>Auto</v>
      </c>
      <c r="P118" s="12">
        <v>1</v>
      </c>
      <c r="Q118" s="12">
        <v>0</v>
      </c>
      <c r="R118" s="12">
        <v>1</v>
      </c>
      <c r="S118" s="12">
        <v>0</v>
      </c>
      <c r="T118" s="12">
        <v>0</v>
      </c>
      <c r="U118" s="39">
        <v>1</v>
      </c>
      <c r="W118" t="str">
        <f t="shared" si="5"/>
        <v>NO</v>
      </c>
      <c r="X118" t="str">
        <f t="shared" si="6"/>
        <v>NO</v>
      </c>
      <c r="Y118" t="str">
        <f t="shared" si="3"/>
        <v>NO</v>
      </c>
      <c r="Z118" t="str">
        <f t="shared" si="4"/>
        <v>NO</v>
      </c>
      <c r="AA118" t="str">
        <f t="shared" si="7"/>
        <v>NO</v>
      </c>
      <c r="AB118"/>
    </row>
    <row r="119" spans="1:28" ht="15" x14ac:dyDescent="0.35">
      <c r="A119" s="5" t="s">
        <v>181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2"/>
        <v>Auto</v>
      </c>
      <c r="P119" s="12">
        <v>1</v>
      </c>
      <c r="Q119" s="12">
        <v>0</v>
      </c>
      <c r="R119" s="12">
        <v>1</v>
      </c>
      <c r="S119" s="12">
        <v>0</v>
      </c>
      <c r="T119" s="12">
        <v>0</v>
      </c>
      <c r="U119" s="39">
        <v>1</v>
      </c>
      <c r="W119" t="str">
        <f t="shared" si="5"/>
        <v>NO</v>
      </c>
      <c r="X119" t="str">
        <f t="shared" si="6"/>
        <v>NO</v>
      </c>
      <c r="Y119" t="str">
        <f t="shared" si="3"/>
        <v>NO</v>
      </c>
      <c r="Z119" t="str">
        <f t="shared" si="4"/>
        <v>NO</v>
      </c>
      <c r="AA119" t="str">
        <f t="shared" si="7"/>
        <v>NO</v>
      </c>
      <c r="AB119"/>
    </row>
    <row r="120" spans="1:28" ht="15" x14ac:dyDescent="0.35">
      <c r="A120" s="5" t="s">
        <v>182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8">IF(NOT(ISERR(SEARCH("*_Buggy",$A120))), "Buggy", IF(NOT(ISERR(SEARCH("*_Manual",$A120))), "Manual", IF(NOT(ISERR(SEARCH("*_Auto",$A120))), "Auto", "")))</f>
        <v>Auto</v>
      </c>
      <c r="P120" s="12">
        <v>2</v>
      </c>
      <c r="Q120" s="12">
        <v>1</v>
      </c>
      <c r="R120" s="12">
        <v>1</v>
      </c>
      <c r="S120" s="12">
        <v>1</v>
      </c>
      <c r="T120" s="12">
        <v>0</v>
      </c>
      <c r="U120" s="39">
        <v>3</v>
      </c>
      <c r="W120" t="str">
        <f t="shared" si="5"/>
        <v>NO</v>
      </c>
      <c r="X120" t="str">
        <f t="shared" si="6"/>
        <v>NO</v>
      </c>
      <c r="Y120" t="str">
        <f t="shared" si="3"/>
        <v>NO</v>
      </c>
      <c r="Z120" t="str">
        <f t="shared" si="4"/>
        <v>YES</v>
      </c>
      <c r="AA120" t="str">
        <f t="shared" si="7"/>
        <v>NO</v>
      </c>
      <c r="AB120"/>
    </row>
    <row r="121" spans="1:28" ht="15" x14ac:dyDescent="0.35">
      <c r="A121" s="7" t="s">
        <v>183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8"/>
        <v>Auto</v>
      </c>
      <c r="P121" s="12">
        <v>3</v>
      </c>
      <c r="Q121" s="12">
        <v>0</v>
      </c>
      <c r="R121" s="12">
        <v>6</v>
      </c>
      <c r="S121" s="12">
        <v>0</v>
      </c>
      <c r="T121" s="12">
        <v>0</v>
      </c>
      <c r="U121" s="39">
        <v>6</v>
      </c>
      <c r="W121" t="str">
        <f t="shared" si="5"/>
        <v>NO</v>
      </c>
      <c r="X121" t="str">
        <f t="shared" si="6"/>
        <v>NO</v>
      </c>
      <c r="Y121" t="str">
        <f t="shared" si="3"/>
        <v>NO</v>
      </c>
      <c r="Z121" t="str">
        <f t="shared" si="4"/>
        <v>YES</v>
      </c>
      <c r="AA121" t="str">
        <f t="shared" si="7"/>
        <v>YES</v>
      </c>
      <c r="AB121"/>
    </row>
    <row r="122" spans="1:28" ht="15" x14ac:dyDescent="0.35">
      <c r="A122" s="7" t="s">
        <v>184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8"/>
        <v>Auto</v>
      </c>
      <c r="P122" s="12">
        <v>2</v>
      </c>
      <c r="Q122" s="12">
        <v>0</v>
      </c>
      <c r="R122" s="12">
        <v>2</v>
      </c>
      <c r="S122" s="12">
        <v>0</v>
      </c>
      <c r="T122" s="12">
        <v>0</v>
      </c>
      <c r="U122" s="39">
        <v>2</v>
      </c>
      <c r="W122" t="str">
        <f t="shared" si="5"/>
        <v>NO</v>
      </c>
      <c r="X122" t="str">
        <f t="shared" si="6"/>
        <v>NO</v>
      </c>
      <c r="Y122" t="str">
        <f t="shared" si="3"/>
        <v>NO</v>
      </c>
      <c r="Z122" t="str">
        <f t="shared" si="4"/>
        <v>NO</v>
      </c>
      <c r="AA122" t="str">
        <f t="shared" si="7"/>
        <v>NO</v>
      </c>
      <c r="AB122"/>
    </row>
    <row r="123" spans="1:28" ht="15" x14ac:dyDescent="0.35">
      <c r="A123" s="7" t="s">
        <v>185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8"/>
        <v>Auto</v>
      </c>
      <c r="P123" s="12">
        <v>2</v>
      </c>
      <c r="Q123" s="12">
        <v>0</v>
      </c>
      <c r="R123" s="12">
        <v>5</v>
      </c>
      <c r="S123" s="12">
        <v>0</v>
      </c>
      <c r="T123" s="12">
        <v>0</v>
      </c>
      <c r="U123" s="39">
        <v>5</v>
      </c>
      <c r="W123" t="str">
        <f t="shared" si="5"/>
        <v>NO</v>
      </c>
      <c r="X123" t="str">
        <f t="shared" si="6"/>
        <v>NO</v>
      </c>
      <c r="Y123" t="str">
        <f t="shared" si="3"/>
        <v>NO</v>
      </c>
      <c r="Z123" t="str">
        <f t="shared" si="4"/>
        <v>YES</v>
      </c>
      <c r="AA123" t="str">
        <f t="shared" si="7"/>
        <v>NO</v>
      </c>
      <c r="AB123"/>
    </row>
    <row r="124" spans="1:28" ht="15" x14ac:dyDescent="0.35">
      <c r="A124" s="5" t="s">
        <v>186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8"/>
        <v>Auto</v>
      </c>
      <c r="P124" s="12">
        <v>2</v>
      </c>
      <c r="Q124" s="12">
        <v>0</v>
      </c>
      <c r="R124" s="12">
        <v>0</v>
      </c>
      <c r="S124" s="12">
        <v>2</v>
      </c>
      <c r="T124" s="12">
        <v>1</v>
      </c>
      <c r="U124" s="39">
        <v>3</v>
      </c>
      <c r="W124" t="str">
        <f t="shared" si="5"/>
        <v>NO</v>
      </c>
      <c r="X124" t="str">
        <f t="shared" si="6"/>
        <v>NO</v>
      </c>
      <c r="Y124" t="str">
        <f t="shared" si="3"/>
        <v>NO</v>
      </c>
      <c r="Z124" t="str">
        <f t="shared" si="4"/>
        <v>NO</v>
      </c>
      <c r="AA124" t="str">
        <f t="shared" si="7"/>
        <v>NO</v>
      </c>
      <c r="AB124"/>
    </row>
    <row r="125" spans="1:28" ht="15" x14ac:dyDescent="0.35">
      <c r="A125" s="5" t="s">
        <v>187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8"/>
        <v>Auto</v>
      </c>
      <c r="P125" s="12">
        <v>3</v>
      </c>
      <c r="Q125" s="12">
        <v>0</v>
      </c>
      <c r="R125" s="12">
        <v>1</v>
      </c>
      <c r="S125" s="12">
        <v>2</v>
      </c>
      <c r="T125" s="12">
        <v>1</v>
      </c>
      <c r="U125" s="39">
        <v>4</v>
      </c>
      <c r="W125" t="str">
        <f t="shared" si="5"/>
        <v>NO</v>
      </c>
      <c r="X125" t="str">
        <f t="shared" si="6"/>
        <v>NO</v>
      </c>
      <c r="Y125" t="str">
        <f t="shared" si="3"/>
        <v>NO</v>
      </c>
      <c r="Z125" t="str">
        <f t="shared" si="4"/>
        <v>NO</v>
      </c>
      <c r="AA125" t="str">
        <f t="shared" si="7"/>
        <v>NO</v>
      </c>
      <c r="AB125"/>
    </row>
    <row r="126" spans="1:28" ht="15" x14ac:dyDescent="0.35">
      <c r="A126" s="5" t="s">
        <v>188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8"/>
        <v>Auto</v>
      </c>
      <c r="P126" s="12">
        <v>2</v>
      </c>
      <c r="Q126" s="12">
        <v>0</v>
      </c>
      <c r="R126" s="12">
        <v>0</v>
      </c>
      <c r="S126" s="12">
        <v>2</v>
      </c>
      <c r="T126" s="12">
        <v>1</v>
      </c>
      <c r="U126" s="39">
        <v>3</v>
      </c>
      <c r="W126" t="str">
        <f t="shared" si="5"/>
        <v>NO</v>
      </c>
      <c r="X126" t="str">
        <f t="shared" si="6"/>
        <v>NO</v>
      </c>
      <c r="Y126" t="str">
        <f t="shared" si="3"/>
        <v>NO</v>
      </c>
      <c r="Z126" t="str">
        <f t="shared" si="4"/>
        <v>NO</v>
      </c>
      <c r="AA126" t="str">
        <f t="shared" si="7"/>
        <v>NO</v>
      </c>
      <c r="AB126"/>
    </row>
    <row r="127" spans="1:28" ht="15" x14ac:dyDescent="0.35">
      <c r="A127" s="5" t="s">
        <v>189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8"/>
        <v>Auto</v>
      </c>
      <c r="P127" s="12">
        <v>2</v>
      </c>
      <c r="Q127" s="12">
        <v>0</v>
      </c>
      <c r="R127" s="12">
        <v>0</v>
      </c>
      <c r="S127" s="12">
        <v>2</v>
      </c>
      <c r="T127" s="12">
        <v>1</v>
      </c>
      <c r="U127" s="39">
        <v>3</v>
      </c>
      <c r="W127" t="str">
        <f t="shared" si="5"/>
        <v>NO</v>
      </c>
      <c r="X127" t="str">
        <f t="shared" si="6"/>
        <v>NO</v>
      </c>
      <c r="Y127" t="str">
        <f t="shared" si="3"/>
        <v>NO</v>
      </c>
      <c r="Z127" t="str">
        <f t="shared" si="4"/>
        <v>NO</v>
      </c>
      <c r="AA127" t="str">
        <f t="shared" si="7"/>
        <v>NO</v>
      </c>
      <c r="AB127"/>
    </row>
    <row r="128" spans="1:28" ht="15" x14ac:dyDescent="0.35">
      <c r="A128" s="7" t="s">
        <v>190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8"/>
        <v>Auto</v>
      </c>
      <c r="P128" s="12">
        <v>4</v>
      </c>
      <c r="Q128" s="12">
        <v>0</v>
      </c>
      <c r="R128" s="12">
        <v>1</v>
      </c>
      <c r="S128" s="12">
        <v>3</v>
      </c>
      <c r="T128" s="12">
        <v>2</v>
      </c>
      <c r="U128" s="39">
        <v>6</v>
      </c>
      <c r="W128" t="str">
        <f t="shared" si="5"/>
        <v>NO</v>
      </c>
      <c r="X128" t="str">
        <f t="shared" si="6"/>
        <v>NO</v>
      </c>
      <c r="Y128" t="str">
        <f t="shared" si="3"/>
        <v>NO</v>
      </c>
      <c r="Z128" t="str">
        <f t="shared" si="4"/>
        <v>NO</v>
      </c>
      <c r="AA128" t="str">
        <f t="shared" si="7"/>
        <v>NO</v>
      </c>
      <c r="AB128"/>
    </row>
    <row r="129" spans="1:28" ht="15" x14ac:dyDescent="0.35">
      <c r="A129" s="7" t="s">
        <v>191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8"/>
        <v>Auto</v>
      </c>
      <c r="P129" s="12">
        <v>1</v>
      </c>
      <c r="Q129" s="12">
        <v>0</v>
      </c>
      <c r="R129" s="12">
        <v>12</v>
      </c>
      <c r="S129" s="12">
        <v>0</v>
      </c>
      <c r="T129" s="12">
        <v>0</v>
      </c>
      <c r="U129" s="39">
        <v>12</v>
      </c>
      <c r="W129" t="str">
        <f t="shared" si="5"/>
        <v>NO</v>
      </c>
      <c r="X129" t="str">
        <f t="shared" si="6"/>
        <v>NO</v>
      </c>
      <c r="Y129" t="str">
        <f t="shared" si="3"/>
        <v>NO</v>
      </c>
      <c r="Z129" t="str">
        <f t="shared" si="4"/>
        <v>NO</v>
      </c>
      <c r="AA129" t="str">
        <f t="shared" si="7"/>
        <v>NO</v>
      </c>
      <c r="AB129"/>
    </row>
    <row r="130" spans="1:28" ht="15" x14ac:dyDescent="0.35">
      <c r="A130" s="7" t="s">
        <v>192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8"/>
        <v>Auto</v>
      </c>
      <c r="P130" s="12">
        <v>1</v>
      </c>
      <c r="Q130" s="12">
        <v>0</v>
      </c>
      <c r="R130" s="12">
        <v>12</v>
      </c>
      <c r="S130" s="12">
        <v>0</v>
      </c>
      <c r="T130" s="12">
        <v>0</v>
      </c>
      <c r="U130" s="39">
        <v>12</v>
      </c>
      <c r="W130" t="str">
        <f t="shared" si="5"/>
        <v>NO</v>
      </c>
      <c r="X130" t="str">
        <f t="shared" si="6"/>
        <v>NO</v>
      </c>
      <c r="Y130" t="str">
        <f t="shared" si="3"/>
        <v>NO</v>
      </c>
      <c r="Z130" t="str">
        <f t="shared" si="4"/>
        <v>NO</v>
      </c>
      <c r="AA130" t="str">
        <f t="shared" si="7"/>
        <v>NO</v>
      </c>
      <c r="AB130"/>
    </row>
    <row r="131" spans="1:28" ht="15" x14ac:dyDescent="0.35">
      <c r="A131" s="7" t="s">
        <v>193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8"/>
        <v>Auto</v>
      </c>
      <c r="P131" s="12">
        <v>1</v>
      </c>
      <c r="Q131" s="12">
        <v>0</v>
      </c>
      <c r="R131" s="12">
        <v>12</v>
      </c>
      <c r="S131" s="12">
        <v>0</v>
      </c>
      <c r="T131" s="12">
        <v>0</v>
      </c>
      <c r="U131" s="39">
        <v>12</v>
      </c>
      <c r="W131" t="str">
        <f t="shared" si="5"/>
        <v>NO</v>
      </c>
      <c r="X131" t="str">
        <f t="shared" si="6"/>
        <v>NO</v>
      </c>
      <c r="Y131" t="str">
        <f t="shared" si="3"/>
        <v>NO</v>
      </c>
      <c r="Z131" t="str">
        <f t="shared" si="4"/>
        <v>NO</v>
      </c>
      <c r="AA131" t="str">
        <f t="shared" si="7"/>
        <v>NO</v>
      </c>
      <c r="AB131"/>
    </row>
    <row r="132" spans="1:28" ht="15" x14ac:dyDescent="0.35">
      <c r="A132" s="7" t="s">
        <v>194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8"/>
        <v>Auto</v>
      </c>
      <c r="P132" s="12">
        <v>1</v>
      </c>
      <c r="Q132" s="12">
        <v>0</v>
      </c>
      <c r="R132" s="12">
        <v>12</v>
      </c>
      <c r="S132" s="12">
        <v>0</v>
      </c>
      <c r="T132" s="12">
        <v>0</v>
      </c>
      <c r="U132" s="39">
        <v>12</v>
      </c>
      <c r="W132" t="str">
        <f t="shared" si="5"/>
        <v>NO</v>
      </c>
      <c r="X132" t="str">
        <f t="shared" si="6"/>
        <v>NO</v>
      </c>
      <c r="Y132" t="str">
        <f t="shared" si="3"/>
        <v>NO</v>
      </c>
      <c r="Z132" t="str">
        <f t="shared" si="4"/>
        <v>NO</v>
      </c>
      <c r="AA132" t="str">
        <f t="shared" si="7"/>
        <v>NO</v>
      </c>
      <c r="AB132"/>
    </row>
    <row r="133" spans="1:28" ht="15" x14ac:dyDescent="0.35">
      <c r="A133" s="7" t="s">
        <v>195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8"/>
        <v>Auto</v>
      </c>
      <c r="P133" s="12">
        <v>1</v>
      </c>
      <c r="Q133" s="12">
        <v>0</v>
      </c>
      <c r="R133" s="12">
        <v>12</v>
      </c>
      <c r="S133" s="12">
        <v>0</v>
      </c>
      <c r="T133" s="12">
        <v>0</v>
      </c>
      <c r="U133" s="39">
        <v>12</v>
      </c>
      <c r="W133" t="str">
        <f t="shared" si="5"/>
        <v>NO</v>
      </c>
      <c r="X133" t="str">
        <f t="shared" si="6"/>
        <v>NO</v>
      </c>
      <c r="Y133" t="str">
        <f t="shared" si="3"/>
        <v>NO</v>
      </c>
      <c r="Z133" t="str">
        <f t="shared" si="4"/>
        <v>NO</v>
      </c>
      <c r="AA133" t="str">
        <f t="shared" si="7"/>
        <v>NO</v>
      </c>
      <c r="AB133"/>
    </row>
    <row r="134" spans="1:28" ht="15" x14ac:dyDescent="0.35">
      <c r="A134" s="7" t="s">
        <v>196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8"/>
        <v>Auto</v>
      </c>
      <c r="P134" s="12">
        <v>8</v>
      </c>
      <c r="Q134" s="12">
        <v>1</v>
      </c>
      <c r="R134" s="12">
        <v>1</v>
      </c>
      <c r="S134" s="12">
        <v>11</v>
      </c>
      <c r="T134" s="12">
        <v>6</v>
      </c>
      <c r="U134" s="39">
        <v>16</v>
      </c>
      <c r="W134" t="str">
        <f t="shared" si="5"/>
        <v>NO</v>
      </c>
      <c r="X134" t="str">
        <f t="shared" si="6"/>
        <v>NO</v>
      </c>
      <c r="Y134" t="str">
        <f t="shared" si="3"/>
        <v>NO</v>
      </c>
      <c r="Z134" t="str">
        <f t="shared" si="4"/>
        <v>NO</v>
      </c>
      <c r="AA134" t="str">
        <f t="shared" si="7"/>
        <v>NO</v>
      </c>
      <c r="AB134"/>
    </row>
    <row r="135" spans="1:28" ht="15" x14ac:dyDescent="0.35">
      <c r="A135" s="5" t="s">
        <v>197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8"/>
        <v>Auto</v>
      </c>
      <c r="P135" s="12">
        <v>11</v>
      </c>
      <c r="Q135" s="12">
        <v>16</v>
      </c>
      <c r="R135" s="12">
        <v>9</v>
      </c>
      <c r="S135" s="12">
        <v>9</v>
      </c>
      <c r="T135" s="12">
        <v>9</v>
      </c>
      <c r="U135" s="39">
        <v>39</v>
      </c>
      <c r="W135" t="str">
        <f t="shared" si="5"/>
        <v>NO</v>
      </c>
      <c r="X135" t="str">
        <f t="shared" si="6"/>
        <v>NO</v>
      </c>
      <c r="Y135" t="str">
        <f t="shared" si="3"/>
        <v>NO</v>
      </c>
      <c r="Z135" t="str">
        <f t="shared" si="4"/>
        <v>NO</v>
      </c>
      <c r="AA135" t="str">
        <f t="shared" si="7"/>
        <v>NO</v>
      </c>
      <c r="AB135"/>
    </row>
    <row r="136" spans="1:28" ht="15" x14ac:dyDescent="0.35">
      <c r="A136" s="5" t="s">
        <v>198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8"/>
        <v>Auto</v>
      </c>
      <c r="P136" s="12">
        <v>8</v>
      </c>
      <c r="Q136" s="12">
        <v>2</v>
      </c>
      <c r="R136" s="12">
        <v>2</v>
      </c>
      <c r="S136" s="12">
        <v>7</v>
      </c>
      <c r="T136" s="12">
        <v>3</v>
      </c>
      <c r="U136" s="39">
        <v>13</v>
      </c>
      <c r="W136" t="str">
        <f t="shared" si="5"/>
        <v>NO</v>
      </c>
      <c r="X136" t="str">
        <f t="shared" si="6"/>
        <v>NO</v>
      </c>
      <c r="Y136" t="str">
        <f t="shared" si="3"/>
        <v>NO</v>
      </c>
      <c r="Z136" t="str">
        <f t="shared" si="4"/>
        <v>NO</v>
      </c>
      <c r="AA136" t="str">
        <f t="shared" si="7"/>
        <v>NO</v>
      </c>
      <c r="AB136"/>
    </row>
    <row r="137" spans="1:28" ht="15" x14ac:dyDescent="0.35">
      <c r="A137" s="7" t="s">
        <v>199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8"/>
        <v>Auto</v>
      </c>
      <c r="P137" s="12">
        <v>6</v>
      </c>
      <c r="Q137" s="12">
        <v>0</v>
      </c>
      <c r="R137" s="12">
        <v>2</v>
      </c>
      <c r="S137" s="12">
        <v>4</v>
      </c>
      <c r="T137" s="12">
        <v>3</v>
      </c>
      <c r="U137" s="39">
        <v>9</v>
      </c>
      <c r="W137" t="str">
        <f t="shared" si="5"/>
        <v>NO</v>
      </c>
      <c r="X137" t="str">
        <f t="shared" si="6"/>
        <v>NO</v>
      </c>
      <c r="Y137" t="str">
        <f t="shared" si="3"/>
        <v>NO</v>
      </c>
      <c r="Z137" t="str">
        <f t="shared" si="4"/>
        <v>NO</v>
      </c>
      <c r="AA137" t="str">
        <f t="shared" si="7"/>
        <v>NO</v>
      </c>
      <c r="AB137"/>
    </row>
    <row r="138" spans="1:28" ht="15" x14ac:dyDescent="0.35">
      <c r="A138" s="7" t="s">
        <v>200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8"/>
        <v>Auto</v>
      </c>
      <c r="P138" s="12">
        <v>7</v>
      </c>
      <c r="Q138" s="12">
        <v>5</v>
      </c>
      <c r="R138" s="12">
        <v>2</v>
      </c>
      <c r="S138" s="12">
        <v>9</v>
      </c>
      <c r="T138" s="12">
        <v>5</v>
      </c>
      <c r="U138" s="39">
        <v>20</v>
      </c>
      <c r="W138" t="str">
        <f t="shared" si="5"/>
        <v>NO</v>
      </c>
      <c r="X138" t="str">
        <f t="shared" si="6"/>
        <v>NO</v>
      </c>
      <c r="Y138" t="str">
        <f t="shared" si="3"/>
        <v>NO</v>
      </c>
      <c r="Z138" t="str">
        <f t="shared" si="4"/>
        <v>NO</v>
      </c>
      <c r="AA138" t="str">
        <f t="shared" si="7"/>
        <v>NO</v>
      </c>
      <c r="AB138"/>
    </row>
    <row r="139" spans="1:28" ht="15" x14ac:dyDescent="0.35">
      <c r="A139" s="7" t="s">
        <v>201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8"/>
        <v>Auto</v>
      </c>
      <c r="P139" s="12">
        <v>1</v>
      </c>
      <c r="Q139" s="12">
        <v>0</v>
      </c>
      <c r="R139" s="12">
        <v>0</v>
      </c>
      <c r="S139" s="12">
        <v>1</v>
      </c>
      <c r="T139" s="12">
        <v>0</v>
      </c>
      <c r="U139" s="39">
        <v>1</v>
      </c>
      <c r="W139" t="str">
        <f t="shared" si="5"/>
        <v>NO</v>
      </c>
      <c r="X139" t="str">
        <f t="shared" si="6"/>
        <v>NO</v>
      </c>
      <c r="Y139" t="str">
        <f t="shared" si="3"/>
        <v>NO</v>
      </c>
      <c r="Z139" t="str">
        <f t="shared" si="4"/>
        <v>NO</v>
      </c>
      <c r="AA139" t="str">
        <f t="shared" si="7"/>
        <v>NO</v>
      </c>
      <c r="AB139"/>
    </row>
    <row r="140" spans="1:28" ht="15" x14ac:dyDescent="0.35">
      <c r="A140" s="7" t="s">
        <v>202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8"/>
        <v>Auto</v>
      </c>
      <c r="P140" s="12">
        <v>1</v>
      </c>
      <c r="Q140" s="12">
        <v>0</v>
      </c>
      <c r="R140" s="12">
        <v>0</v>
      </c>
      <c r="S140" s="12">
        <v>1</v>
      </c>
      <c r="T140" s="12">
        <v>0</v>
      </c>
      <c r="U140" s="39">
        <v>1</v>
      </c>
      <c r="W140" t="str">
        <f t="shared" si="5"/>
        <v>NO</v>
      </c>
      <c r="X140" t="str">
        <f t="shared" si="6"/>
        <v>NO</v>
      </c>
      <c r="Y140" t="str">
        <f t="shared" si="3"/>
        <v>NO</v>
      </c>
      <c r="Z140" t="str">
        <f t="shared" si="4"/>
        <v>NO</v>
      </c>
      <c r="AA140" t="str">
        <f t="shared" si="7"/>
        <v>NO</v>
      </c>
      <c r="AB140"/>
    </row>
    <row r="141" spans="1:28" ht="15" x14ac:dyDescent="0.35">
      <c r="A141" s="7" t="s">
        <v>203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8"/>
        <v>Auto</v>
      </c>
      <c r="P141" s="12">
        <v>1</v>
      </c>
      <c r="Q141" s="12">
        <v>2</v>
      </c>
      <c r="R141" s="12">
        <v>0</v>
      </c>
      <c r="S141" s="12">
        <v>0</v>
      </c>
      <c r="T141" s="12">
        <v>0</v>
      </c>
      <c r="U141" s="39">
        <v>2</v>
      </c>
      <c r="W141" t="str">
        <f t="shared" si="5"/>
        <v>NO</v>
      </c>
      <c r="X141" t="str">
        <f t="shared" si="6"/>
        <v>NO</v>
      </c>
      <c r="Y141" t="str">
        <f t="shared" si="3"/>
        <v>NO</v>
      </c>
      <c r="Z141" t="str">
        <f t="shared" si="4"/>
        <v>NO</v>
      </c>
      <c r="AA141" t="str">
        <f t="shared" si="7"/>
        <v>NO</v>
      </c>
      <c r="AB141"/>
    </row>
    <row r="142" spans="1:28" ht="15" x14ac:dyDescent="0.35">
      <c r="A142" s="7" t="s">
        <v>204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8"/>
        <v>Auto</v>
      </c>
      <c r="P142" s="12">
        <v>1</v>
      </c>
      <c r="Q142" s="12">
        <v>1</v>
      </c>
      <c r="R142" s="12">
        <v>0</v>
      </c>
      <c r="S142" s="12">
        <v>1</v>
      </c>
      <c r="T142" s="12">
        <v>1</v>
      </c>
      <c r="U142" s="39">
        <v>3</v>
      </c>
      <c r="W142" t="str">
        <f t="shared" si="5"/>
        <v>NO</v>
      </c>
      <c r="X142" t="str">
        <f t="shared" si="6"/>
        <v>NO</v>
      </c>
      <c r="Y142" t="str">
        <f t="shared" si="3"/>
        <v>NO</v>
      </c>
      <c r="Z142" t="str">
        <f t="shared" si="4"/>
        <v>NO</v>
      </c>
      <c r="AA142" t="str">
        <f t="shared" si="7"/>
        <v>NO</v>
      </c>
      <c r="AB142"/>
    </row>
    <row r="143" spans="1:28" ht="15" x14ac:dyDescent="0.35">
      <c r="A143" s="5" t="s">
        <v>205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8"/>
        <v>Auto</v>
      </c>
      <c r="P143" s="12">
        <v>1</v>
      </c>
      <c r="Q143" s="12">
        <v>0</v>
      </c>
      <c r="R143" s="12">
        <v>1</v>
      </c>
      <c r="S143" s="12">
        <v>1</v>
      </c>
      <c r="T143" s="12">
        <v>0</v>
      </c>
      <c r="U143" s="39">
        <v>2</v>
      </c>
      <c r="W143" t="str">
        <f t="shared" si="5"/>
        <v>NO</v>
      </c>
      <c r="X143" t="str">
        <f t="shared" si="6"/>
        <v>NO</v>
      </c>
      <c r="Y143" t="str">
        <f t="shared" si="3"/>
        <v>NO</v>
      </c>
      <c r="Z143" t="str">
        <f t="shared" si="4"/>
        <v>NO</v>
      </c>
      <c r="AA143" t="str">
        <f t="shared" si="7"/>
        <v>NO</v>
      </c>
      <c r="AB143"/>
    </row>
    <row r="144" spans="1:28" ht="15" x14ac:dyDescent="0.35">
      <c r="A144" s="5" t="s">
        <v>206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8"/>
        <v>Auto</v>
      </c>
      <c r="P144" s="12">
        <v>1</v>
      </c>
      <c r="Q144" s="12">
        <v>1</v>
      </c>
      <c r="R144" s="12">
        <v>0</v>
      </c>
      <c r="S144" s="12">
        <v>2</v>
      </c>
      <c r="T144" s="12">
        <v>2</v>
      </c>
      <c r="U144" s="39">
        <v>4</v>
      </c>
      <c r="W144" t="str">
        <f t="shared" si="5"/>
        <v>NO</v>
      </c>
      <c r="X144" t="str">
        <f t="shared" si="6"/>
        <v>NO</v>
      </c>
      <c r="Y144" t="str">
        <f t="shared" si="3"/>
        <v>NO</v>
      </c>
      <c r="Z144" t="str">
        <f t="shared" si="4"/>
        <v>NO</v>
      </c>
      <c r="AA144" t="str">
        <f t="shared" si="7"/>
        <v>NO</v>
      </c>
      <c r="AB144"/>
    </row>
    <row r="145" spans="1:28" ht="15" x14ac:dyDescent="0.35">
      <c r="A145" s="5" t="s">
        <v>207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8"/>
        <v>Auto</v>
      </c>
      <c r="P145" s="12">
        <v>3</v>
      </c>
      <c r="Q145" s="12">
        <v>0</v>
      </c>
      <c r="R145" s="12">
        <v>2</v>
      </c>
      <c r="S145" s="12">
        <v>1</v>
      </c>
      <c r="T145" s="12">
        <v>0</v>
      </c>
      <c r="U145" s="39">
        <v>3</v>
      </c>
      <c r="W145" t="str">
        <f t="shared" si="5"/>
        <v>NO</v>
      </c>
      <c r="X145" t="str">
        <f t="shared" si="6"/>
        <v>NO</v>
      </c>
      <c r="Y145" t="str">
        <f t="shared" si="3"/>
        <v>NO</v>
      </c>
      <c r="Z145" t="str">
        <f t="shared" si="4"/>
        <v>NO</v>
      </c>
      <c r="AA145" t="str">
        <f t="shared" si="7"/>
        <v>NO</v>
      </c>
      <c r="AB145"/>
    </row>
    <row r="146" spans="1:28" ht="15" x14ac:dyDescent="0.35">
      <c r="A146" s="7" t="s">
        <v>208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8"/>
        <v>Auto</v>
      </c>
      <c r="P146" s="12">
        <v>3</v>
      </c>
      <c r="Q146" s="12">
        <v>1</v>
      </c>
      <c r="R146" s="12">
        <v>1</v>
      </c>
      <c r="S146" s="12">
        <v>1</v>
      </c>
      <c r="T146" s="12">
        <v>0</v>
      </c>
      <c r="U146" s="39">
        <v>3</v>
      </c>
      <c r="W146" t="str">
        <f t="shared" si="5"/>
        <v>NO</v>
      </c>
      <c r="X146" t="str">
        <f t="shared" si="6"/>
        <v>NO</v>
      </c>
      <c r="Y146" t="str">
        <f t="shared" si="3"/>
        <v>NO</v>
      </c>
      <c r="Z146" t="str">
        <f t="shared" si="4"/>
        <v>NO</v>
      </c>
      <c r="AA146" t="str">
        <f t="shared" si="7"/>
        <v>NO</v>
      </c>
      <c r="AB146"/>
    </row>
    <row r="147" spans="1:28" ht="15" x14ac:dyDescent="0.35">
      <c r="A147" s="5" t="s">
        <v>209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8"/>
        <v>Auto</v>
      </c>
      <c r="P147" s="12">
        <v>2</v>
      </c>
      <c r="Q147" s="12">
        <v>0</v>
      </c>
      <c r="R147" s="12">
        <v>0</v>
      </c>
      <c r="S147" s="12">
        <v>2</v>
      </c>
      <c r="T147" s="12">
        <v>1</v>
      </c>
      <c r="U147" s="39">
        <v>3</v>
      </c>
      <c r="W147" t="str">
        <f t="shared" si="5"/>
        <v>NO</v>
      </c>
      <c r="X147" t="str">
        <f t="shared" si="6"/>
        <v>NO</v>
      </c>
      <c r="Y147" t="str">
        <f t="shared" si="3"/>
        <v>NO</v>
      </c>
      <c r="Z147" t="str">
        <f t="shared" si="4"/>
        <v>NO</v>
      </c>
      <c r="AA147" t="str">
        <f t="shared" si="7"/>
        <v>NO</v>
      </c>
      <c r="AB147"/>
    </row>
    <row r="148" spans="1:28" ht="15" x14ac:dyDescent="0.35">
      <c r="A148" s="5" t="s">
        <v>210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8"/>
        <v>Auto</v>
      </c>
      <c r="P148" s="12">
        <v>3</v>
      </c>
      <c r="Q148" s="12">
        <v>0</v>
      </c>
      <c r="R148" s="12">
        <v>1</v>
      </c>
      <c r="S148" s="12">
        <v>2</v>
      </c>
      <c r="T148" s="12">
        <v>2</v>
      </c>
      <c r="U148" s="39">
        <v>5</v>
      </c>
      <c r="W148" t="str">
        <f t="shared" si="5"/>
        <v>NO</v>
      </c>
      <c r="X148" t="str">
        <f t="shared" si="6"/>
        <v>NO</v>
      </c>
      <c r="Y148" t="str">
        <f t="shared" si="3"/>
        <v>NO</v>
      </c>
      <c r="Z148" t="str">
        <f t="shared" si="4"/>
        <v>NO</v>
      </c>
      <c r="AA148" t="str">
        <f t="shared" si="7"/>
        <v>NO</v>
      </c>
      <c r="AB148"/>
    </row>
    <row r="149" spans="1:28" ht="15" x14ac:dyDescent="0.35">
      <c r="A149" s="7" t="s">
        <v>211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8"/>
        <v>Auto</v>
      </c>
      <c r="P149" s="12">
        <v>2</v>
      </c>
      <c r="Q149" s="12">
        <v>0</v>
      </c>
      <c r="R149" s="12">
        <v>1</v>
      </c>
      <c r="S149" s="12">
        <v>1</v>
      </c>
      <c r="T149" s="12">
        <v>0</v>
      </c>
      <c r="U149" s="39">
        <v>2</v>
      </c>
      <c r="W149" t="str">
        <f t="shared" si="5"/>
        <v>NO</v>
      </c>
      <c r="X149" t="str">
        <f t="shared" si="6"/>
        <v>NO</v>
      </c>
      <c r="Y149" s="34" t="str">
        <f t="shared" si="3"/>
        <v>NO</v>
      </c>
      <c r="Z149" s="34" t="str">
        <f t="shared" si="4"/>
        <v>NO</v>
      </c>
      <c r="AA149" t="str">
        <f t="shared" si="7"/>
        <v>NO</v>
      </c>
      <c r="AB149"/>
    </row>
    <row r="150" spans="1:28" ht="28.8" x14ac:dyDescent="0.35">
      <c r="A150" s="13" t="s">
        <v>86</v>
      </c>
      <c r="B150" s="13" t="s">
        <v>20</v>
      </c>
      <c r="C150" s="13" t="s">
        <v>73</v>
      </c>
      <c r="D150" s="13" t="s">
        <v>74</v>
      </c>
      <c r="E150" s="13" t="s">
        <v>21</v>
      </c>
      <c r="F150" s="13" t="s">
        <v>75</v>
      </c>
      <c r="G150" s="13" t="s">
        <v>22</v>
      </c>
      <c r="H150" s="13" t="s">
        <v>76</v>
      </c>
      <c r="I150" s="13" t="s">
        <v>77</v>
      </c>
      <c r="J150" s="13" t="s">
        <v>78</v>
      </c>
      <c r="K150" s="13" t="s">
        <v>79</v>
      </c>
      <c r="L150" s="13" t="s">
        <v>80</v>
      </c>
      <c r="M150" s="13" t="s">
        <v>81</v>
      </c>
      <c r="N150" s="13" t="s">
        <v>82</v>
      </c>
      <c r="O150" s="13" t="s">
        <v>71</v>
      </c>
      <c r="P150" s="13" t="s">
        <v>83</v>
      </c>
      <c r="Q150" s="13" t="s">
        <v>84</v>
      </c>
      <c r="R150" s="13" t="s">
        <v>85</v>
      </c>
      <c r="S150" s="13" t="s">
        <v>233</v>
      </c>
      <c r="T150" s="13" t="s">
        <v>234</v>
      </c>
      <c r="U150" s="13" t="s">
        <v>99</v>
      </c>
      <c r="W150" s="32" t="s">
        <v>102</v>
      </c>
      <c r="X150" s="32" t="s">
        <v>103</v>
      </c>
      <c r="Y150" s="32" t="s">
        <v>100</v>
      </c>
      <c r="Z150" s="32" t="s">
        <v>101</v>
      </c>
      <c r="AA150" s="32" t="s">
        <v>104</v>
      </c>
      <c r="AB150"/>
    </row>
    <row r="151" spans="1:28" x14ac:dyDescent="0.35">
      <c r="A151" s="9" t="s">
        <v>65</v>
      </c>
      <c r="B151" s="30">
        <f>SUM(B24:B149)</f>
        <v>276.41999999999996</v>
      </c>
      <c r="C151" s="30">
        <f t="shared" ref="C151:N151" si="9">SUM(C24:C149)</f>
        <v>9906.2599999999929</v>
      </c>
      <c r="D151" s="30">
        <f t="shared" si="9"/>
        <v>1378.93</v>
      </c>
      <c r="E151" s="30">
        <f t="shared" si="9"/>
        <v>907.77000000000044</v>
      </c>
      <c r="F151" s="30">
        <f t="shared" si="9"/>
        <v>1059.2000000000003</v>
      </c>
      <c r="G151" s="30">
        <f t="shared" si="9"/>
        <v>313.62999999999994</v>
      </c>
      <c r="H151" s="30">
        <f t="shared" si="9"/>
        <v>1221.420000000001</v>
      </c>
      <c r="I151" s="30">
        <f t="shared" si="9"/>
        <v>2438.2200000000003</v>
      </c>
      <c r="J151" s="30">
        <f t="shared" si="9"/>
        <v>5431.3700000000026</v>
      </c>
      <c r="K151" s="30">
        <f t="shared" si="9"/>
        <v>109.44000000000003</v>
      </c>
      <c r="L151" s="30">
        <f t="shared" si="9"/>
        <v>6.7965999999999962</v>
      </c>
      <c r="M151" s="30">
        <f t="shared" si="9"/>
        <v>1884.7400000000007</v>
      </c>
      <c r="N151" s="30">
        <f t="shared" si="9"/>
        <v>104.78599999999993</v>
      </c>
      <c r="O151" s="10"/>
    </row>
    <row r="152" spans="1:28" x14ac:dyDescent="0.35">
      <c r="A152" s="11" t="s">
        <v>66</v>
      </c>
      <c r="B152" s="31">
        <f>AVERAGE(B24:B149)</f>
        <v>2.1938095238095237</v>
      </c>
      <c r="C152" s="31">
        <f t="shared" ref="C152:N152" si="10">AVERAGE(C24:C149)</f>
        <v>78.621111111111048</v>
      </c>
      <c r="D152" s="31">
        <f t="shared" si="10"/>
        <v>10.943888888888889</v>
      </c>
      <c r="E152" s="31">
        <f t="shared" si="10"/>
        <v>7.2045238095238133</v>
      </c>
      <c r="F152" s="31">
        <f t="shared" si="10"/>
        <v>8.4063492063492085</v>
      </c>
      <c r="G152" s="31">
        <f t="shared" si="10"/>
        <v>2.4891269841269836</v>
      </c>
      <c r="H152" s="31">
        <f t="shared" si="10"/>
        <v>9.6938095238095308</v>
      </c>
      <c r="I152" s="31">
        <f t="shared" si="10"/>
        <v>19.350952380952382</v>
      </c>
      <c r="J152" s="31">
        <f t="shared" si="10"/>
        <v>43.106111111111133</v>
      </c>
      <c r="K152" s="31">
        <f t="shared" si="10"/>
        <v>0.86857142857142877</v>
      </c>
      <c r="L152" s="31">
        <f t="shared" si="10"/>
        <v>5.3941269841269811E-2</v>
      </c>
      <c r="M152" s="31">
        <f t="shared" si="10"/>
        <v>14.958253968253974</v>
      </c>
      <c r="N152" s="31">
        <f t="shared" si="10"/>
        <v>0.83163492063492006</v>
      </c>
      <c r="O152" s="10"/>
      <c r="P152" s="37">
        <f>AVERAGE(P66:P107)</f>
        <v>1.1666666666666667</v>
      </c>
      <c r="Q152" s="37">
        <f t="shared" ref="Q152:U152" si="11">AVERAGE(Q66:Q107)</f>
        <v>2</v>
      </c>
      <c r="R152" s="37">
        <f t="shared" si="11"/>
        <v>0</v>
      </c>
      <c r="S152" s="37">
        <f t="shared" si="11"/>
        <v>4.333333333333333</v>
      </c>
      <c r="T152" s="37">
        <f t="shared" si="11"/>
        <v>3.5714285714285716</v>
      </c>
      <c r="U152" s="37">
        <f t="shared" si="11"/>
        <v>7.2380952380952381</v>
      </c>
    </row>
    <row r="153" spans="1:28" x14ac:dyDescent="0.35">
      <c r="A153" s="9" t="s">
        <v>67</v>
      </c>
      <c r="B153" s="30">
        <f>MIN(B24:B149)</f>
        <v>1</v>
      </c>
      <c r="C153" s="30">
        <f t="shared" ref="C153:N153" si="12">MIN(C24:C149)</f>
        <v>68.5</v>
      </c>
      <c r="D153" s="30">
        <f t="shared" si="12"/>
        <v>2.67</v>
      </c>
      <c r="E153" s="30">
        <f t="shared" si="12"/>
        <v>2.17</v>
      </c>
      <c r="F153" s="30">
        <f t="shared" si="12"/>
        <v>0</v>
      </c>
      <c r="G153" s="30">
        <f t="shared" si="12"/>
        <v>0</v>
      </c>
      <c r="H153" s="30">
        <f t="shared" si="12"/>
        <v>3</v>
      </c>
      <c r="I153" s="30">
        <f t="shared" si="12"/>
        <v>3</v>
      </c>
      <c r="J153" s="30">
        <f t="shared" si="12"/>
        <v>6.34</v>
      </c>
      <c r="K153" s="30">
        <f t="shared" si="12"/>
        <v>0</v>
      </c>
      <c r="L153" s="30">
        <f t="shared" si="12"/>
        <v>0</v>
      </c>
      <c r="M153" s="30">
        <f t="shared" si="12"/>
        <v>0</v>
      </c>
      <c r="N153" s="30">
        <f t="shared" si="12"/>
        <v>0</v>
      </c>
      <c r="O153" s="10"/>
      <c r="P153" s="37">
        <f>AVERAGE(P108:P149)</f>
        <v>2.3571428571428572</v>
      </c>
      <c r="Q153" s="37">
        <f t="shared" ref="Q153:U153" si="13">AVERAGE(Q108:Q149)</f>
        <v>0.7142857142857143</v>
      </c>
      <c r="R153" s="37">
        <f t="shared" si="13"/>
        <v>2.9047619047619047</v>
      </c>
      <c r="S153" s="37">
        <f t="shared" si="13"/>
        <v>1.5476190476190477</v>
      </c>
      <c r="T153" s="37">
        <f t="shared" si="13"/>
        <v>0.90476190476190477</v>
      </c>
      <c r="U153" s="37">
        <f t="shared" si="13"/>
        <v>5.833333333333333</v>
      </c>
    </row>
    <row r="154" spans="1:28" x14ac:dyDescent="0.35">
      <c r="A154" s="11" t="s">
        <v>68</v>
      </c>
      <c r="B154" s="31">
        <f>MAX(B24:B149)</f>
        <v>5.88</v>
      </c>
      <c r="C154" s="31">
        <f t="shared" ref="C154:N154" si="14">MAX(C24:C149)</f>
        <v>100</v>
      </c>
      <c r="D154" s="31">
        <f t="shared" si="14"/>
        <v>22.5</v>
      </c>
      <c r="E154" s="31">
        <f t="shared" si="14"/>
        <v>10.71</v>
      </c>
      <c r="F154" s="31">
        <f t="shared" si="14"/>
        <v>22</v>
      </c>
      <c r="G154" s="31">
        <f t="shared" si="14"/>
        <v>4.63</v>
      </c>
      <c r="H154" s="31">
        <f t="shared" si="14"/>
        <v>12.86</v>
      </c>
      <c r="I154" s="31">
        <f t="shared" si="14"/>
        <v>44.5</v>
      </c>
      <c r="J154" s="31">
        <f t="shared" si="14"/>
        <v>67.08</v>
      </c>
      <c r="K154" s="31">
        <f t="shared" si="14"/>
        <v>3.14</v>
      </c>
      <c r="L154" s="31">
        <f t="shared" si="14"/>
        <v>0.5</v>
      </c>
      <c r="M154" s="31">
        <f t="shared" si="14"/>
        <v>60.82</v>
      </c>
      <c r="N154" s="31">
        <f t="shared" si="14"/>
        <v>3.38</v>
      </c>
      <c r="O154" s="10"/>
    </row>
    <row r="155" spans="1:28" x14ac:dyDescent="0.35">
      <c r="A155" s="9" t="s">
        <v>69</v>
      </c>
      <c r="B155" s="30">
        <f>_xlfn.STDEV.S(B24:B149)</f>
        <v>1.6743924783122304</v>
      </c>
      <c r="C155" s="30">
        <f t="shared" ref="C155:N155" si="15">_xlfn.STDEV.S(C24:C149)</f>
        <v>8.403984599912345</v>
      </c>
      <c r="D155" s="30">
        <f t="shared" si="15"/>
        <v>5.4370625852159886</v>
      </c>
      <c r="E155" s="30">
        <f t="shared" si="15"/>
        <v>2.5467597003699698</v>
      </c>
      <c r="F155" s="30">
        <f t="shared" si="15"/>
        <v>5.9789503564655355</v>
      </c>
      <c r="G155" s="30">
        <f t="shared" si="15"/>
        <v>1.2243045502431305</v>
      </c>
      <c r="H155" s="30">
        <f t="shared" si="15"/>
        <v>3.042608317123396</v>
      </c>
      <c r="I155" s="30">
        <f t="shared" si="15"/>
        <v>11.341977988239703</v>
      </c>
      <c r="J155" s="30">
        <f t="shared" si="15"/>
        <v>18.678845573416833</v>
      </c>
      <c r="K155" s="30">
        <f t="shared" si="15"/>
        <v>0.93866519209840837</v>
      </c>
      <c r="L155" s="30">
        <f t="shared" si="15"/>
        <v>7.9573117339806404E-2</v>
      </c>
      <c r="M155" s="30">
        <f t="shared" si="15"/>
        <v>15.708798863279913</v>
      </c>
      <c r="N155" s="30">
        <f t="shared" si="15"/>
        <v>0.87321025741272273</v>
      </c>
      <c r="O155" s="10"/>
    </row>
    <row r="156" spans="1:28" x14ac:dyDescent="0.35">
      <c r="A156" s="11" t="s">
        <v>70</v>
      </c>
      <c r="B156" s="31">
        <f>_xlfn.VAR.S(B24:B149)</f>
        <v>2.8035901714285729</v>
      </c>
      <c r="C156" s="31">
        <f t="shared" ref="C156:N156" si="16">_xlfn.VAR.S(C24:C149)</f>
        <v>70.626957155563872</v>
      </c>
      <c r="D156" s="31">
        <f t="shared" si="16"/>
        <v>29.561649555555572</v>
      </c>
      <c r="E156" s="31">
        <f t="shared" si="16"/>
        <v>6.4859849714285378</v>
      </c>
      <c r="F156" s="31">
        <f t="shared" si="16"/>
        <v>35.747847365079359</v>
      </c>
      <c r="G156" s="31">
        <f t="shared" si="16"/>
        <v>1.4989216317460341</v>
      </c>
      <c r="H156" s="31">
        <f t="shared" si="16"/>
        <v>9.2574653714284647</v>
      </c>
      <c r="I156" s="31">
        <f t="shared" si="16"/>
        <v>128.64046468571394</v>
      </c>
      <c r="J156" s="31">
        <f t="shared" si="16"/>
        <v>348.89927195555367</v>
      </c>
      <c r="K156" s="31">
        <f t="shared" si="16"/>
        <v>0.881092342857142</v>
      </c>
      <c r="L156" s="31">
        <f t="shared" si="16"/>
        <v>6.3318810031745979E-3</v>
      </c>
      <c r="M156" s="31">
        <f t="shared" si="16"/>
        <v>246.76636172698431</v>
      </c>
      <c r="N156" s="31">
        <f t="shared" si="16"/>
        <v>0.7624961536507936</v>
      </c>
      <c r="O156" s="10"/>
    </row>
    <row r="160" spans="1:28" x14ac:dyDescent="0.35">
      <c r="A160" s="23" t="s">
        <v>88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2" spans="1:34" ht="28.8" x14ac:dyDescent="0.35">
      <c r="B162" s="13" t="s">
        <v>87</v>
      </c>
      <c r="C162" s="13" t="s">
        <v>20</v>
      </c>
      <c r="D162" s="13" t="s">
        <v>73</v>
      </c>
      <c r="E162" s="13" t="s">
        <v>74</v>
      </c>
      <c r="F162" s="13" t="s">
        <v>21</v>
      </c>
      <c r="G162" s="13" t="s">
        <v>75</v>
      </c>
      <c r="H162" s="13" t="s">
        <v>22</v>
      </c>
      <c r="I162" s="13" t="s">
        <v>76</v>
      </c>
      <c r="J162" s="13" t="s">
        <v>77</v>
      </c>
      <c r="K162" s="13" t="s">
        <v>78</v>
      </c>
      <c r="L162" s="13" t="s">
        <v>79</v>
      </c>
      <c r="M162" s="13" t="s">
        <v>80</v>
      </c>
      <c r="N162" s="13" t="s">
        <v>81</v>
      </c>
      <c r="O162" s="13" t="s">
        <v>82</v>
      </c>
    </row>
    <row r="163" spans="1:34" x14ac:dyDescent="0.35">
      <c r="A163" s="1">
        <f>COUNTIF($A$24:$A$149, "*Buggy")</f>
        <v>42</v>
      </c>
      <c r="B163" s="1" t="s">
        <v>72</v>
      </c>
      <c r="C163" s="14">
        <f t="shared" ref="C163:O163" si="17" xml:space="preserve"> AVERAGEIF($A$24:$A$149, "*Buggy",B$24:B$149)</f>
        <v>2.2026190476190473</v>
      </c>
      <c r="D163" s="14">
        <f t="shared" si="17"/>
        <v>78.397142857142882</v>
      </c>
      <c r="E163" s="14">
        <f t="shared" si="17"/>
        <v>11.101190476190476</v>
      </c>
      <c r="F163" s="14">
        <f t="shared" si="17"/>
        <v>7.1707142857142898</v>
      </c>
      <c r="G163" s="14">
        <f t="shared" si="17"/>
        <v>8.627380952380955</v>
      </c>
      <c r="H163" s="14">
        <f t="shared" si="17"/>
        <v>2.5138095238095235</v>
      </c>
      <c r="I163" s="14">
        <f t="shared" si="17"/>
        <v>9.6845238095238155</v>
      </c>
      <c r="J163" s="14">
        <f t="shared" si="17"/>
        <v>19.731190476190481</v>
      </c>
      <c r="K163" s="14">
        <f t="shared" si="17"/>
        <v>43.330952380952354</v>
      </c>
      <c r="L163" s="14">
        <f t="shared" si="17"/>
        <v>0.86357142857142843</v>
      </c>
      <c r="M163" s="14">
        <f t="shared" si="17"/>
        <v>4.761904761904763E-2</v>
      </c>
      <c r="N163" s="14">
        <f t="shared" si="17"/>
        <v>14.291904761904764</v>
      </c>
      <c r="O163" s="14">
        <f t="shared" si="17"/>
        <v>0.79480952380952397</v>
      </c>
    </row>
    <row r="164" spans="1:34" x14ac:dyDescent="0.35">
      <c r="A164" s="1">
        <f>COUNTIF($A$24:$A$149, "*Manual")</f>
        <v>42</v>
      </c>
      <c r="B164" s="1" t="s">
        <v>149</v>
      </c>
      <c r="C164" s="14">
        <f t="shared" ref="C164:O164" si="18" xml:space="preserve"> AVERAGEIF($A$24:$A$149, "*Manual",B$24:B$149)</f>
        <v>2.2321428571428572</v>
      </c>
      <c r="D164" s="14">
        <f t="shared" si="18"/>
        <v>78.414047619047636</v>
      </c>
      <c r="E164" s="14">
        <f t="shared" si="18"/>
        <v>11.115</v>
      </c>
      <c r="F164" s="14">
        <f t="shared" si="18"/>
        <v>7.1685714285714326</v>
      </c>
      <c r="G164" s="14">
        <f t="shared" si="18"/>
        <v>8.6342857142857099</v>
      </c>
      <c r="H164" s="14">
        <f t="shared" si="18"/>
        <v>2.5192857142857141</v>
      </c>
      <c r="I164" s="14">
        <f t="shared" si="18"/>
        <v>9.6876190476190533</v>
      </c>
      <c r="J164" s="14">
        <f t="shared" si="18"/>
        <v>19.749047619047627</v>
      </c>
      <c r="K164" s="14">
        <f t="shared" si="18"/>
        <v>43.343333333333327</v>
      </c>
      <c r="L164" s="14">
        <f t="shared" si="18"/>
        <v>0.86309523809523814</v>
      </c>
      <c r="M164" s="14">
        <f t="shared" si="18"/>
        <v>4.761904761904763E-2</v>
      </c>
      <c r="N164" s="14">
        <f t="shared" si="18"/>
        <v>14.280000000000003</v>
      </c>
      <c r="O164" s="14">
        <f t="shared" si="18"/>
        <v>0.79385714285714304</v>
      </c>
    </row>
    <row r="165" spans="1:34" x14ac:dyDescent="0.35">
      <c r="A165" s="1">
        <f>COUNTIF($A$24:$A$149, "*Auto")</f>
        <v>42</v>
      </c>
      <c r="B165" s="1" t="s">
        <v>212</v>
      </c>
      <c r="C165" s="14">
        <f t="shared" ref="C165:O165" si="19" xml:space="preserve"> AVERAGEIF($A$24:$A$149, "*Auto",B$24:B$149)</f>
        <v>2.1466666666666669</v>
      </c>
      <c r="D165" s="14">
        <f t="shared" si="19"/>
        <v>79.052142857142854</v>
      </c>
      <c r="E165" s="14">
        <f t="shared" si="19"/>
        <v>10.615476190476189</v>
      </c>
      <c r="F165" s="14">
        <f t="shared" si="19"/>
        <v>7.274285714285714</v>
      </c>
      <c r="G165" s="14">
        <f t="shared" si="19"/>
        <v>7.9573809523809516</v>
      </c>
      <c r="H165" s="14">
        <f t="shared" si="19"/>
        <v>2.4342857142857151</v>
      </c>
      <c r="I165" s="14">
        <f t="shared" si="19"/>
        <v>9.7092857142857127</v>
      </c>
      <c r="J165" s="14">
        <f t="shared" si="19"/>
        <v>18.572619047619046</v>
      </c>
      <c r="K165" s="14">
        <f t="shared" si="19"/>
        <v>42.644047619047626</v>
      </c>
      <c r="L165" s="14">
        <f t="shared" si="19"/>
        <v>0.87904761904761897</v>
      </c>
      <c r="M165" s="14">
        <f t="shared" si="19"/>
        <v>6.6585714285714276E-2</v>
      </c>
      <c r="N165" s="14">
        <f t="shared" si="19"/>
        <v>16.302857142857142</v>
      </c>
      <c r="O165" s="14">
        <f t="shared" si="19"/>
        <v>0.90623809523809518</v>
      </c>
    </row>
    <row r="168" spans="1:34" ht="15" x14ac:dyDescent="0.35">
      <c r="A168" s="23" t="s">
        <v>106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R168" s="38" t="s">
        <v>105</v>
      </c>
      <c r="S168" s="38"/>
      <c r="T168" s="38"/>
      <c r="U168" s="36"/>
      <c r="V168" s="36"/>
      <c r="W168" s="36"/>
      <c r="X168" s="24"/>
      <c r="Y168" s="24"/>
      <c r="Z168" s="24"/>
      <c r="AA168" s="24"/>
      <c r="AB168" s="24"/>
      <c r="AC168" s="24"/>
      <c r="AD168" s="24"/>
      <c r="AE168" s="24"/>
      <c r="AF168" s="24"/>
      <c r="AG168"/>
      <c r="AH168"/>
    </row>
    <row r="170" spans="1:34" ht="33.6" customHeight="1" x14ac:dyDescent="0.35">
      <c r="B170" s="13" t="s">
        <v>87</v>
      </c>
      <c r="C170" s="13" t="s">
        <v>89</v>
      </c>
      <c r="D170" s="13" t="s">
        <v>73</v>
      </c>
      <c r="E170" s="13" t="s">
        <v>74</v>
      </c>
      <c r="F170" s="13" t="s">
        <v>21</v>
      </c>
      <c r="G170" s="13" t="s">
        <v>75</v>
      </c>
      <c r="H170" s="13" t="s">
        <v>22</v>
      </c>
      <c r="I170" s="13" t="s">
        <v>76</v>
      </c>
      <c r="J170" s="13" t="s">
        <v>77</v>
      </c>
      <c r="K170" s="13" t="s">
        <v>78</v>
      </c>
      <c r="L170" s="13" t="s">
        <v>79</v>
      </c>
      <c r="M170" s="13" t="s">
        <v>80</v>
      </c>
      <c r="N170" s="13" t="s">
        <v>81</v>
      </c>
      <c r="O170" s="13" t="s">
        <v>82</v>
      </c>
      <c r="S170" s="13" t="s">
        <v>87</v>
      </c>
      <c r="T170" s="13" t="s">
        <v>89</v>
      </c>
      <c r="U170" s="13" t="s">
        <v>73</v>
      </c>
      <c r="V170" s="13" t="s">
        <v>74</v>
      </c>
      <c r="W170" s="13" t="s">
        <v>21</v>
      </c>
      <c r="X170" s="13" t="s">
        <v>75</v>
      </c>
      <c r="Y170" s="13" t="s">
        <v>22</v>
      </c>
      <c r="Z170" s="13" t="s">
        <v>76</v>
      </c>
      <c r="AA170" s="13" t="s">
        <v>77</v>
      </c>
      <c r="AB170" s="13" t="s">
        <v>78</v>
      </c>
      <c r="AC170" s="13" t="s">
        <v>79</v>
      </c>
      <c r="AD170" s="13" t="s">
        <v>80</v>
      </c>
      <c r="AE170" s="13" t="s">
        <v>81</v>
      </c>
      <c r="AF170" s="13" t="s">
        <v>82</v>
      </c>
    </row>
    <row r="171" spans="1:34" x14ac:dyDescent="0.35">
      <c r="A171" s="1">
        <f>COUNTIFS($P$66:$P$107, "=1", $P$108:$P$149, "=1")</f>
        <v>10</v>
      </c>
      <c r="B171" s="1" t="s">
        <v>150</v>
      </c>
      <c r="C171" s="25">
        <f>AVERAGEIFS(B$66:B$107, $P$66:$P$107, "=1", $P$108:$P$149, "=1")</f>
        <v>4.2279999999999998</v>
      </c>
      <c r="D171" s="25">
        <f t="shared" ref="D171:O171" si="20">AVERAGEIFS(C$66:C$107, $P$66:$P$107, "=1", $P$108:$P$149, "=1")</f>
        <v>75.155999999999992</v>
      </c>
      <c r="E171" s="25">
        <f t="shared" si="20"/>
        <v>15.967000000000002</v>
      </c>
      <c r="F171" s="25">
        <f t="shared" si="20"/>
        <v>6.4590000000000005</v>
      </c>
      <c r="G171" s="25">
        <f t="shared" si="20"/>
        <v>14.870999999999999</v>
      </c>
      <c r="H171" s="25">
        <f t="shared" si="20"/>
        <v>3.2610000000000001</v>
      </c>
      <c r="I171" s="25">
        <f t="shared" si="20"/>
        <v>9.7200000000000006</v>
      </c>
      <c r="J171" s="25">
        <f t="shared" si="20"/>
        <v>30.838000000000001</v>
      </c>
      <c r="K171" s="25">
        <f t="shared" si="20"/>
        <v>49.914000000000001</v>
      </c>
      <c r="L171" s="25">
        <f t="shared" si="20"/>
        <v>0.23399999999999999</v>
      </c>
      <c r="M171" s="25">
        <f t="shared" si="20"/>
        <v>3.9E-2</v>
      </c>
      <c r="N171" s="25">
        <f t="shared" si="20"/>
        <v>3.2409999999999997</v>
      </c>
      <c r="O171" s="25">
        <f t="shared" si="20"/>
        <v>0.1802</v>
      </c>
      <c r="R171" s="1">
        <f>COUNTIFS($W$108:$W$149, "YES")</f>
        <v>0</v>
      </c>
      <c r="S171" s="1" t="s">
        <v>151</v>
      </c>
      <c r="T171" s="25" t="e">
        <f t="shared" ref="T171:AF171" si="21">AVERAGEIFS(B$66:B$107, $W$108:$W$149, "YES")</f>
        <v>#DIV/0!</v>
      </c>
      <c r="U171" s="25" t="e">
        <f t="shared" si="21"/>
        <v>#DIV/0!</v>
      </c>
      <c r="V171" s="25" t="e">
        <f t="shared" si="21"/>
        <v>#DIV/0!</v>
      </c>
      <c r="W171" s="25" t="e">
        <f t="shared" si="21"/>
        <v>#DIV/0!</v>
      </c>
      <c r="X171" s="25" t="e">
        <f t="shared" si="21"/>
        <v>#DIV/0!</v>
      </c>
      <c r="Y171" s="25" t="e">
        <f t="shared" si="21"/>
        <v>#DIV/0!</v>
      </c>
      <c r="Z171" s="25" t="e">
        <f t="shared" si="21"/>
        <v>#DIV/0!</v>
      </c>
      <c r="AA171" s="25" t="e">
        <f t="shared" si="21"/>
        <v>#DIV/0!</v>
      </c>
      <c r="AB171" s="25" t="e">
        <f t="shared" si="21"/>
        <v>#DIV/0!</v>
      </c>
      <c r="AC171" s="25" t="e">
        <f t="shared" si="21"/>
        <v>#DIV/0!</v>
      </c>
      <c r="AD171" s="25" t="e">
        <f t="shared" si="21"/>
        <v>#DIV/0!</v>
      </c>
      <c r="AE171" s="25" t="e">
        <f t="shared" si="21"/>
        <v>#DIV/0!</v>
      </c>
      <c r="AF171" s="25" t="e">
        <f t="shared" si="21"/>
        <v>#DIV/0!</v>
      </c>
    </row>
    <row r="172" spans="1:34" x14ac:dyDescent="0.35">
      <c r="A172" s="1">
        <f>COUNTIFS($P$66:$P$107, "=1", $P$108:$P$149, "=1")</f>
        <v>10</v>
      </c>
      <c r="B172" s="1" t="s">
        <v>213</v>
      </c>
      <c r="C172" s="25">
        <f>AVERAGEIFS(B$108:B$149, $P$66:$P$107, "=1", $P$108:$P$149, "=1")</f>
        <v>3.8</v>
      </c>
      <c r="D172" s="25">
        <f t="shared" ref="D172:O172" si="22">AVERAGEIFS(C$108:C$149, $P$66:$P$107, "=1", $P$108:$P$149, "=1")</f>
        <v>75.637</v>
      </c>
      <c r="E172" s="25">
        <f t="shared" si="22"/>
        <v>14.617000000000001</v>
      </c>
      <c r="F172" s="25">
        <f t="shared" si="22"/>
        <v>6.3789999999999996</v>
      </c>
      <c r="G172" s="25">
        <f t="shared" si="22"/>
        <v>13.252000000000001</v>
      </c>
      <c r="H172" s="25">
        <f t="shared" si="22"/>
        <v>3.2410000000000005</v>
      </c>
      <c r="I172" s="25">
        <f t="shared" si="22"/>
        <v>9.6210000000000004</v>
      </c>
      <c r="J172" s="25">
        <f t="shared" si="22"/>
        <v>27.868000000000002</v>
      </c>
      <c r="K172" s="25">
        <f t="shared" si="22"/>
        <v>48.195999999999998</v>
      </c>
      <c r="L172" s="25">
        <f t="shared" si="22"/>
        <v>0.23399999999999999</v>
      </c>
      <c r="M172" s="25">
        <f t="shared" si="22"/>
        <v>3.9E-2</v>
      </c>
      <c r="N172" s="25">
        <f t="shared" si="22"/>
        <v>3.2409999999999997</v>
      </c>
      <c r="O172" s="25">
        <f t="shared" si="22"/>
        <v>0.1802</v>
      </c>
      <c r="R172" s="1">
        <f>COUNTIFS($W$108:$W$149, "YES")</f>
        <v>0</v>
      </c>
      <c r="S172" s="1" t="s">
        <v>214</v>
      </c>
      <c r="T172" s="25" t="e">
        <f t="shared" ref="T172:AF172" si="23">AVERAGEIFS(B$108:B$149, $W$108:$W$149, "YES")</f>
        <v>#DIV/0!</v>
      </c>
      <c r="U172" s="25" t="e">
        <f t="shared" si="23"/>
        <v>#DIV/0!</v>
      </c>
      <c r="V172" s="25" t="e">
        <f t="shared" si="23"/>
        <v>#DIV/0!</v>
      </c>
      <c r="W172" s="25" t="e">
        <f t="shared" si="23"/>
        <v>#DIV/0!</v>
      </c>
      <c r="X172" s="25" t="e">
        <f t="shared" si="23"/>
        <v>#DIV/0!</v>
      </c>
      <c r="Y172" s="25" t="e">
        <f t="shared" si="23"/>
        <v>#DIV/0!</v>
      </c>
      <c r="Z172" s="25" t="e">
        <f t="shared" si="23"/>
        <v>#DIV/0!</v>
      </c>
      <c r="AA172" s="25" t="e">
        <f t="shared" si="23"/>
        <v>#DIV/0!</v>
      </c>
      <c r="AB172" s="25" t="e">
        <f t="shared" si="23"/>
        <v>#DIV/0!</v>
      </c>
      <c r="AC172" s="25" t="e">
        <f t="shared" si="23"/>
        <v>#DIV/0!</v>
      </c>
      <c r="AD172" s="25" t="e">
        <f t="shared" si="23"/>
        <v>#DIV/0!</v>
      </c>
      <c r="AE172" s="25" t="e">
        <f t="shared" si="23"/>
        <v>#DIV/0!</v>
      </c>
      <c r="AF172" s="25" t="e">
        <f t="shared" si="23"/>
        <v>#DIV/0!</v>
      </c>
    </row>
    <row r="173" spans="1:34" x14ac:dyDescent="0.35">
      <c r="R173" s="35"/>
    </row>
    <row r="174" spans="1:34" ht="36" customHeight="1" x14ac:dyDescent="0.35">
      <c r="B174" s="13" t="s">
        <v>87</v>
      </c>
      <c r="C174" s="13" t="s">
        <v>89</v>
      </c>
      <c r="D174" s="13" t="s">
        <v>73</v>
      </c>
      <c r="E174" s="13" t="s">
        <v>74</v>
      </c>
      <c r="F174" s="13" t="s">
        <v>21</v>
      </c>
      <c r="G174" s="13" t="s">
        <v>75</v>
      </c>
      <c r="H174" s="13" t="s">
        <v>22</v>
      </c>
      <c r="I174" s="13" t="s">
        <v>76</v>
      </c>
      <c r="J174" s="13" t="s">
        <v>77</v>
      </c>
      <c r="K174" s="13" t="s">
        <v>78</v>
      </c>
      <c r="L174" s="13" t="s">
        <v>79</v>
      </c>
      <c r="M174" s="13" t="s">
        <v>80</v>
      </c>
      <c r="N174" s="13" t="s">
        <v>81</v>
      </c>
      <c r="O174" s="13" t="s">
        <v>82</v>
      </c>
      <c r="S174" s="13" t="s">
        <v>87</v>
      </c>
      <c r="T174" s="13" t="s">
        <v>89</v>
      </c>
      <c r="U174" s="13" t="s">
        <v>73</v>
      </c>
      <c r="V174" s="13" t="s">
        <v>74</v>
      </c>
      <c r="W174" s="13" t="s">
        <v>21</v>
      </c>
      <c r="X174" s="13" t="s">
        <v>75</v>
      </c>
      <c r="Y174" s="13" t="s">
        <v>22</v>
      </c>
      <c r="Z174" s="13" t="s">
        <v>76</v>
      </c>
      <c r="AA174" s="13" t="s">
        <v>77</v>
      </c>
      <c r="AB174" s="13" t="s">
        <v>78</v>
      </c>
      <c r="AC174" s="13" t="s">
        <v>79</v>
      </c>
      <c r="AD174" s="13" t="s">
        <v>80</v>
      </c>
      <c r="AE174" s="13" t="s">
        <v>81</v>
      </c>
      <c r="AF174" s="13" t="s">
        <v>82</v>
      </c>
    </row>
    <row r="175" spans="1:34" x14ac:dyDescent="0.35">
      <c r="A175" s="1">
        <f>COUNTIFS($P$66:$P$107, "&gt;1", $P$108:$P$149, "&gt;1")</f>
        <v>4</v>
      </c>
      <c r="B175" s="1" t="s">
        <v>152</v>
      </c>
      <c r="C175" s="25">
        <f>AVERAGEIFS(B$66:B$107, $P$66:$P$107, "&gt;1", $P$108:$P$149, "&gt;1")</f>
        <v>2.57</v>
      </c>
      <c r="D175" s="25">
        <f t="shared" ref="D175:O175" si="24">AVERAGEIFS(C$66:C$107, $P$66:$P$107, "&gt;1", $P$108:$P$149, "&gt;1")</f>
        <v>80.36</v>
      </c>
      <c r="E175" s="25">
        <f t="shared" si="24"/>
        <v>9.7899999999999991</v>
      </c>
      <c r="F175" s="25">
        <f t="shared" si="24"/>
        <v>5.43</v>
      </c>
      <c r="G175" s="25">
        <f t="shared" si="24"/>
        <v>8.43</v>
      </c>
      <c r="H175" s="25">
        <f t="shared" si="24"/>
        <v>3.36</v>
      </c>
      <c r="I175" s="25">
        <f t="shared" si="24"/>
        <v>8.7899999999999991</v>
      </c>
      <c r="J175" s="25">
        <f t="shared" si="24"/>
        <v>18.21</v>
      </c>
      <c r="K175" s="25">
        <f t="shared" si="24"/>
        <v>36.97</v>
      </c>
      <c r="L175" s="25">
        <f t="shared" si="24"/>
        <v>0</v>
      </c>
      <c r="M175" s="25">
        <f t="shared" si="24"/>
        <v>0</v>
      </c>
      <c r="N175" s="25">
        <f t="shared" si="24"/>
        <v>0</v>
      </c>
      <c r="O175" s="25">
        <f t="shared" si="24"/>
        <v>0</v>
      </c>
      <c r="R175" s="1">
        <f>COUNTIFS($X$108:$X$149, "YES")</f>
        <v>2</v>
      </c>
      <c r="S175" s="1" t="s">
        <v>153</v>
      </c>
      <c r="T175" s="25">
        <f t="shared" ref="T175:AF175" si="25">AVERAGEIFS(B$66:B$107, $X$108:$X$149, "YES")</f>
        <v>1.5</v>
      </c>
      <c r="U175" s="25">
        <f t="shared" si="25"/>
        <v>91.33</v>
      </c>
      <c r="V175" s="25">
        <f t="shared" si="25"/>
        <v>3.5</v>
      </c>
      <c r="W175" s="25">
        <f t="shared" si="25"/>
        <v>2.17</v>
      </c>
      <c r="X175" s="25">
        <f t="shared" si="25"/>
        <v>2</v>
      </c>
      <c r="Y175" s="25">
        <f t="shared" si="25"/>
        <v>1</v>
      </c>
      <c r="Z175" s="25">
        <f t="shared" si="25"/>
        <v>3.17</v>
      </c>
      <c r="AA175" s="25">
        <f t="shared" si="25"/>
        <v>5.5</v>
      </c>
      <c r="AB175" s="25">
        <f t="shared" si="25"/>
        <v>8.91</v>
      </c>
      <c r="AC175" s="25">
        <f t="shared" si="25"/>
        <v>0.17</v>
      </c>
      <c r="AD175" s="25">
        <f t="shared" si="25"/>
        <v>0.17</v>
      </c>
      <c r="AE175" s="25">
        <f t="shared" si="25"/>
        <v>1</v>
      </c>
      <c r="AF175" s="25">
        <f t="shared" si="25"/>
        <v>5.6000000000000001E-2</v>
      </c>
    </row>
    <row r="176" spans="1:34" x14ac:dyDescent="0.35">
      <c r="A176" s="1">
        <f>COUNTIFS($P$66:$P$107, "&gt;1", $P$108:$P$149, "&gt;1")</f>
        <v>4</v>
      </c>
      <c r="B176" s="1" t="s">
        <v>215</v>
      </c>
      <c r="C176" s="25">
        <f>AVERAGEIFS(B$108:B$149, $P$66:$P$107, "&gt;1", $P$108:$P$149, "&gt;1")</f>
        <v>2.52</v>
      </c>
      <c r="D176" s="25">
        <f t="shared" ref="D176:O176" si="26">AVERAGEIFS(C$108:C$149, $P$66:$P$107, "&gt;1", $P$108:$P$149, "&gt;1")</f>
        <v>80.17</v>
      </c>
      <c r="E176" s="25">
        <f t="shared" si="26"/>
        <v>10.0175</v>
      </c>
      <c r="F176" s="25">
        <f t="shared" si="26"/>
        <v>5.52</v>
      </c>
      <c r="G176" s="25">
        <f t="shared" si="26"/>
        <v>8.27</v>
      </c>
      <c r="H176" s="25">
        <f t="shared" si="26"/>
        <v>3.1150000000000002</v>
      </c>
      <c r="I176" s="25">
        <f t="shared" si="26"/>
        <v>8.6374999999999993</v>
      </c>
      <c r="J176" s="25">
        <f t="shared" si="26"/>
        <v>18.287500000000001</v>
      </c>
      <c r="K176" s="25">
        <f t="shared" si="26"/>
        <v>36.277499999999996</v>
      </c>
      <c r="L176" s="25">
        <f t="shared" si="26"/>
        <v>0</v>
      </c>
      <c r="M176" s="25">
        <f t="shared" si="26"/>
        <v>0</v>
      </c>
      <c r="N176" s="25">
        <f t="shared" si="26"/>
        <v>0</v>
      </c>
      <c r="O176" s="25">
        <f t="shared" si="26"/>
        <v>0</v>
      </c>
      <c r="R176" s="1">
        <f>COUNTIFS($X$108:$X$149, "YES")</f>
        <v>2</v>
      </c>
      <c r="S176" s="1" t="s">
        <v>216</v>
      </c>
      <c r="T176" s="25">
        <f t="shared" ref="T176:AF176" si="27">AVERAGEIFS(B$108:B$149, $X$108:$X$149, "YES")</f>
        <v>1.33</v>
      </c>
      <c r="U176" s="25">
        <f t="shared" si="27"/>
        <v>92.17</v>
      </c>
      <c r="V176" s="25">
        <f t="shared" si="27"/>
        <v>2.67</v>
      </c>
      <c r="W176" s="25">
        <f t="shared" si="27"/>
        <v>2.17</v>
      </c>
      <c r="X176" s="25">
        <f t="shared" si="27"/>
        <v>1.17</v>
      </c>
      <c r="Y176" s="25">
        <f t="shared" si="27"/>
        <v>0.83</v>
      </c>
      <c r="Z176" s="25">
        <f t="shared" si="27"/>
        <v>3</v>
      </c>
      <c r="AA176" s="25">
        <f t="shared" si="27"/>
        <v>3.83</v>
      </c>
      <c r="AB176" s="25">
        <f t="shared" si="27"/>
        <v>6.93</v>
      </c>
      <c r="AC176" s="25">
        <f t="shared" si="27"/>
        <v>0.17</v>
      </c>
      <c r="AD176" s="25">
        <f t="shared" si="27"/>
        <v>0.17</v>
      </c>
      <c r="AE176" s="25">
        <f t="shared" si="27"/>
        <v>1</v>
      </c>
      <c r="AF176" s="25">
        <f t="shared" si="27"/>
        <v>5.6000000000000001E-2</v>
      </c>
    </row>
    <row r="177" spans="1:32" x14ac:dyDescent="0.3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R177" s="3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32.4" customHeight="1" x14ac:dyDescent="0.35">
      <c r="B178" s="13" t="s">
        <v>87</v>
      </c>
      <c r="C178" s="13" t="s">
        <v>89</v>
      </c>
      <c r="D178" s="13" t="s">
        <v>73</v>
      </c>
      <c r="E178" s="13" t="s">
        <v>74</v>
      </c>
      <c r="F178" s="13" t="s">
        <v>21</v>
      </c>
      <c r="G178" s="13" t="s">
        <v>75</v>
      </c>
      <c r="H178" s="13" t="s">
        <v>22</v>
      </c>
      <c r="I178" s="13" t="s">
        <v>76</v>
      </c>
      <c r="J178" s="13" t="s">
        <v>77</v>
      </c>
      <c r="K178" s="13" t="s">
        <v>78</v>
      </c>
      <c r="L178" s="13" t="s">
        <v>79</v>
      </c>
      <c r="M178" s="13" t="s">
        <v>80</v>
      </c>
      <c r="N178" s="13" t="s">
        <v>81</v>
      </c>
      <c r="O178" s="13" t="s">
        <v>82</v>
      </c>
      <c r="S178" s="13" t="s">
        <v>87</v>
      </c>
      <c r="T178" s="13" t="s">
        <v>89</v>
      </c>
      <c r="U178" s="13" t="s">
        <v>73</v>
      </c>
      <c r="V178" s="13" t="s">
        <v>74</v>
      </c>
      <c r="W178" s="13" t="s">
        <v>21</v>
      </c>
      <c r="X178" s="13" t="s">
        <v>75</v>
      </c>
      <c r="Y178" s="13" t="s">
        <v>22</v>
      </c>
      <c r="Z178" s="13" t="s">
        <v>76</v>
      </c>
      <c r="AA178" s="13" t="s">
        <v>77</v>
      </c>
      <c r="AB178" s="13" t="s">
        <v>78</v>
      </c>
      <c r="AC178" s="13" t="s">
        <v>79</v>
      </c>
      <c r="AD178" s="13" t="s">
        <v>80</v>
      </c>
      <c r="AE178" s="13" t="s">
        <v>81</v>
      </c>
      <c r="AF178" s="13" t="s">
        <v>82</v>
      </c>
    </row>
    <row r="179" spans="1:32" x14ac:dyDescent="0.35">
      <c r="A179" s="1">
        <f>COUNTIFS($U$66:$U$107, "=1", $U$108:$U$149, "=1")</f>
        <v>0</v>
      </c>
      <c r="B179" s="1" t="s">
        <v>154</v>
      </c>
      <c r="C179" s="25" t="e">
        <f t="shared" ref="C179:O179" si="28">AVERAGEIFS(B$66:B$107, $U$66:$U$107, "=1", $U$108:$U$149, "=1")</f>
        <v>#DIV/0!</v>
      </c>
      <c r="D179" s="25" t="e">
        <f t="shared" si="28"/>
        <v>#DIV/0!</v>
      </c>
      <c r="E179" s="25" t="e">
        <f t="shared" si="28"/>
        <v>#DIV/0!</v>
      </c>
      <c r="F179" s="25" t="e">
        <f t="shared" si="28"/>
        <v>#DIV/0!</v>
      </c>
      <c r="G179" s="25" t="e">
        <f t="shared" si="28"/>
        <v>#DIV/0!</v>
      </c>
      <c r="H179" s="25" t="e">
        <f t="shared" si="28"/>
        <v>#DIV/0!</v>
      </c>
      <c r="I179" s="25" t="e">
        <f t="shared" si="28"/>
        <v>#DIV/0!</v>
      </c>
      <c r="J179" s="25" t="e">
        <f t="shared" si="28"/>
        <v>#DIV/0!</v>
      </c>
      <c r="K179" s="25" t="e">
        <f t="shared" si="28"/>
        <v>#DIV/0!</v>
      </c>
      <c r="L179" s="25" t="e">
        <f t="shared" si="28"/>
        <v>#DIV/0!</v>
      </c>
      <c r="M179" s="25" t="e">
        <f t="shared" si="28"/>
        <v>#DIV/0!</v>
      </c>
      <c r="N179" s="25" t="e">
        <f t="shared" si="28"/>
        <v>#DIV/0!</v>
      </c>
      <c r="O179" s="25" t="e">
        <f t="shared" si="28"/>
        <v>#DIV/0!</v>
      </c>
      <c r="R179" s="1">
        <f>COUNTIFS($Y$108:$Y$149, "YES")</f>
        <v>0</v>
      </c>
      <c r="S179" s="1" t="s">
        <v>155</v>
      </c>
      <c r="T179" s="25" t="e">
        <f t="shared" ref="T179:AF179" si="29">AVERAGEIFS(B$66:B$107, $Y$108:$Y$149, "YES")</f>
        <v>#DIV/0!</v>
      </c>
      <c r="U179" s="25" t="e">
        <f t="shared" si="29"/>
        <v>#DIV/0!</v>
      </c>
      <c r="V179" s="25" t="e">
        <f t="shared" si="29"/>
        <v>#DIV/0!</v>
      </c>
      <c r="W179" s="25" t="e">
        <f t="shared" si="29"/>
        <v>#DIV/0!</v>
      </c>
      <c r="X179" s="25" t="e">
        <f t="shared" si="29"/>
        <v>#DIV/0!</v>
      </c>
      <c r="Y179" s="25" t="e">
        <f t="shared" si="29"/>
        <v>#DIV/0!</v>
      </c>
      <c r="Z179" s="25" t="e">
        <f t="shared" si="29"/>
        <v>#DIV/0!</v>
      </c>
      <c r="AA179" s="25" t="e">
        <f t="shared" si="29"/>
        <v>#DIV/0!</v>
      </c>
      <c r="AB179" s="25" t="e">
        <f t="shared" si="29"/>
        <v>#DIV/0!</v>
      </c>
      <c r="AC179" s="25" t="e">
        <f t="shared" si="29"/>
        <v>#DIV/0!</v>
      </c>
      <c r="AD179" s="25" t="e">
        <f t="shared" si="29"/>
        <v>#DIV/0!</v>
      </c>
      <c r="AE179" s="25" t="e">
        <f t="shared" si="29"/>
        <v>#DIV/0!</v>
      </c>
      <c r="AF179" s="25" t="e">
        <f t="shared" si="29"/>
        <v>#DIV/0!</v>
      </c>
    </row>
    <row r="180" spans="1:32" x14ac:dyDescent="0.35">
      <c r="A180" s="1">
        <f>COUNTIFS($U$66:$U$107, "=1", $U$108:$U$149, "=1")</f>
        <v>0</v>
      </c>
      <c r="B180" s="1" t="s">
        <v>217</v>
      </c>
      <c r="C180" s="25" t="e">
        <f t="shared" ref="C180:O180" si="30">AVERAGEIFS(B$108:B$149, $U$66:$U$107, "=1", $U$108:$U$149, "=1")</f>
        <v>#DIV/0!</v>
      </c>
      <c r="D180" s="25" t="e">
        <f t="shared" si="30"/>
        <v>#DIV/0!</v>
      </c>
      <c r="E180" s="25" t="e">
        <f t="shared" si="30"/>
        <v>#DIV/0!</v>
      </c>
      <c r="F180" s="25" t="e">
        <f t="shared" si="30"/>
        <v>#DIV/0!</v>
      </c>
      <c r="G180" s="25" t="e">
        <f t="shared" si="30"/>
        <v>#DIV/0!</v>
      </c>
      <c r="H180" s="25" t="e">
        <f t="shared" si="30"/>
        <v>#DIV/0!</v>
      </c>
      <c r="I180" s="25" t="e">
        <f t="shared" si="30"/>
        <v>#DIV/0!</v>
      </c>
      <c r="J180" s="25" t="e">
        <f t="shared" si="30"/>
        <v>#DIV/0!</v>
      </c>
      <c r="K180" s="25" t="e">
        <f t="shared" si="30"/>
        <v>#DIV/0!</v>
      </c>
      <c r="L180" s="25" t="e">
        <f t="shared" si="30"/>
        <v>#DIV/0!</v>
      </c>
      <c r="M180" s="25" t="e">
        <f t="shared" si="30"/>
        <v>#DIV/0!</v>
      </c>
      <c r="N180" s="25" t="e">
        <f t="shared" si="30"/>
        <v>#DIV/0!</v>
      </c>
      <c r="O180" s="25" t="e">
        <f t="shared" si="30"/>
        <v>#DIV/0!</v>
      </c>
      <c r="R180" s="1">
        <f>COUNTIFS($Y$108:$Y$149, "YES")</f>
        <v>0</v>
      </c>
      <c r="S180" s="1" t="s">
        <v>218</v>
      </c>
      <c r="T180" s="25" t="e">
        <f t="shared" ref="T180:AF180" si="31">AVERAGEIFS(B$108:B$149, $Y$108:$Y$149, "YES")</f>
        <v>#DIV/0!</v>
      </c>
      <c r="U180" s="25" t="e">
        <f t="shared" si="31"/>
        <v>#DIV/0!</v>
      </c>
      <c r="V180" s="25" t="e">
        <f t="shared" si="31"/>
        <v>#DIV/0!</v>
      </c>
      <c r="W180" s="25" t="e">
        <f t="shared" si="31"/>
        <v>#DIV/0!</v>
      </c>
      <c r="X180" s="25" t="e">
        <f t="shared" si="31"/>
        <v>#DIV/0!</v>
      </c>
      <c r="Y180" s="25" t="e">
        <f t="shared" si="31"/>
        <v>#DIV/0!</v>
      </c>
      <c r="Z180" s="25" t="e">
        <f t="shared" si="31"/>
        <v>#DIV/0!</v>
      </c>
      <c r="AA180" s="25" t="e">
        <f t="shared" si="31"/>
        <v>#DIV/0!</v>
      </c>
      <c r="AB180" s="25" t="e">
        <f t="shared" si="31"/>
        <v>#DIV/0!</v>
      </c>
      <c r="AC180" s="25" t="e">
        <f t="shared" si="31"/>
        <v>#DIV/0!</v>
      </c>
      <c r="AD180" s="25" t="e">
        <f t="shared" si="31"/>
        <v>#DIV/0!</v>
      </c>
      <c r="AE180" s="25" t="e">
        <f t="shared" si="31"/>
        <v>#DIV/0!</v>
      </c>
      <c r="AF180" s="25" t="e">
        <f t="shared" si="31"/>
        <v>#DIV/0!</v>
      </c>
    </row>
    <row r="181" spans="1:32" x14ac:dyDescent="0.3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34.200000000000003" customHeight="1" x14ac:dyDescent="0.35">
      <c r="B182" s="13" t="s">
        <v>87</v>
      </c>
      <c r="C182" s="13" t="s">
        <v>89</v>
      </c>
      <c r="D182" s="13" t="s">
        <v>73</v>
      </c>
      <c r="E182" s="13" t="s">
        <v>74</v>
      </c>
      <c r="F182" s="13" t="s">
        <v>21</v>
      </c>
      <c r="G182" s="13" t="s">
        <v>75</v>
      </c>
      <c r="H182" s="13" t="s">
        <v>22</v>
      </c>
      <c r="I182" s="13" t="s">
        <v>76</v>
      </c>
      <c r="J182" s="13" t="s">
        <v>77</v>
      </c>
      <c r="K182" s="13" t="s">
        <v>78</v>
      </c>
      <c r="L182" s="13" t="s">
        <v>79</v>
      </c>
      <c r="M182" s="13" t="s">
        <v>80</v>
      </c>
      <c r="N182" s="13" t="s">
        <v>81</v>
      </c>
      <c r="O182" s="13" t="s">
        <v>82</v>
      </c>
      <c r="R182" s="35"/>
      <c r="S182" s="13" t="s">
        <v>87</v>
      </c>
      <c r="T182" s="13" t="s">
        <v>89</v>
      </c>
      <c r="U182" s="13" t="s">
        <v>73</v>
      </c>
      <c r="V182" s="13" t="s">
        <v>74</v>
      </c>
      <c r="W182" s="13" t="s">
        <v>21</v>
      </c>
      <c r="X182" s="13" t="s">
        <v>75</v>
      </c>
      <c r="Y182" s="13" t="s">
        <v>22</v>
      </c>
      <c r="Z182" s="13" t="s">
        <v>76</v>
      </c>
      <c r="AA182" s="13" t="s">
        <v>77</v>
      </c>
      <c r="AB182" s="13" t="s">
        <v>78</v>
      </c>
      <c r="AC182" s="13" t="s">
        <v>79</v>
      </c>
      <c r="AD182" s="13" t="s">
        <v>80</v>
      </c>
      <c r="AE182" s="13" t="s">
        <v>81</v>
      </c>
      <c r="AF182" s="13" t="s">
        <v>82</v>
      </c>
    </row>
    <row r="183" spans="1:32" x14ac:dyDescent="0.35">
      <c r="A183" s="1">
        <f>COUNTIFS($U$66:$U$107, "&gt;1", $U$108:$U$149, "&gt;1")</f>
        <v>6</v>
      </c>
      <c r="B183" s="1" t="s">
        <v>156</v>
      </c>
      <c r="C183" s="25">
        <f t="shared" ref="C183:O183" si="32">AVERAGEIFS(B$66:B$107, $U$66:$U$107, "&gt;1", $U$108:$U$149, "&gt;1")</f>
        <v>2.2133333333333334</v>
      </c>
      <c r="D183" s="25">
        <f t="shared" si="32"/>
        <v>84.016666666666666</v>
      </c>
      <c r="E183" s="25">
        <f t="shared" si="32"/>
        <v>7.6933333333333325</v>
      </c>
      <c r="F183" s="25">
        <f t="shared" si="32"/>
        <v>4.3433333333333328</v>
      </c>
      <c r="G183" s="25">
        <f t="shared" si="32"/>
        <v>6.2866666666666662</v>
      </c>
      <c r="H183" s="25">
        <f t="shared" si="32"/>
        <v>2.5733333333333328</v>
      </c>
      <c r="I183" s="25">
        <f t="shared" si="32"/>
        <v>6.9166666666666652</v>
      </c>
      <c r="J183" s="25">
        <f t="shared" si="32"/>
        <v>13.973333333333334</v>
      </c>
      <c r="K183" s="25">
        <f t="shared" si="32"/>
        <v>27.616666666666664</v>
      </c>
      <c r="L183" s="25">
        <f t="shared" si="32"/>
        <v>5.6666666666666671E-2</v>
      </c>
      <c r="M183" s="25">
        <f t="shared" si="32"/>
        <v>5.6666666666666671E-2</v>
      </c>
      <c r="N183" s="25">
        <f t="shared" si="32"/>
        <v>0.33333333333333331</v>
      </c>
      <c r="O183" s="25">
        <f t="shared" si="32"/>
        <v>1.8666666666666668E-2</v>
      </c>
      <c r="R183" s="1">
        <f>COUNTIFS($Z$108:$Z$149, "YES")</f>
        <v>3</v>
      </c>
      <c r="S183" s="1" t="s">
        <v>157</v>
      </c>
      <c r="T183" s="25">
        <f t="shared" ref="T183:AF183" si="33">AVERAGEIFS(B$66:B$107, $Z$108:$Z$149, "YES")</f>
        <v>2.57</v>
      </c>
      <c r="U183" s="25">
        <f t="shared" si="33"/>
        <v>80.36</v>
      </c>
      <c r="V183" s="25">
        <f t="shared" si="33"/>
        <v>9.7899999999999991</v>
      </c>
      <c r="W183" s="25">
        <f t="shared" si="33"/>
        <v>5.43</v>
      </c>
      <c r="X183" s="25">
        <f t="shared" si="33"/>
        <v>8.43</v>
      </c>
      <c r="Y183" s="25">
        <f t="shared" si="33"/>
        <v>3.36</v>
      </c>
      <c r="Z183" s="25">
        <f t="shared" si="33"/>
        <v>8.7899999999999991</v>
      </c>
      <c r="AA183" s="25">
        <f t="shared" si="33"/>
        <v>18.21</v>
      </c>
      <c r="AB183" s="25">
        <f t="shared" si="33"/>
        <v>36.97</v>
      </c>
      <c r="AC183" s="25">
        <f t="shared" si="33"/>
        <v>0</v>
      </c>
      <c r="AD183" s="25">
        <f t="shared" si="33"/>
        <v>0</v>
      </c>
      <c r="AE183" s="25">
        <f t="shared" si="33"/>
        <v>0</v>
      </c>
      <c r="AF183" s="25">
        <f t="shared" si="33"/>
        <v>0</v>
      </c>
    </row>
    <row r="184" spans="1:32" x14ac:dyDescent="0.35">
      <c r="A184" s="1">
        <f>COUNTIFS($U$66:$U$107, "&gt;1", $U$108:$U$149, "&gt;1")</f>
        <v>6</v>
      </c>
      <c r="B184" s="1" t="s">
        <v>219</v>
      </c>
      <c r="C184" s="25">
        <f t="shared" ref="C184:O184" si="34">AVERAGEIFS(B$108:B$149, $U$66:$U$107, "&gt;1", $U$108:$U$149, "&gt;1")</f>
        <v>2.1233333333333335</v>
      </c>
      <c r="D184" s="25">
        <f t="shared" si="34"/>
        <v>84.17</v>
      </c>
      <c r="E184" s="25">
        <f t="shared" si="34"/>
        <v>7.5683333333333342</v>
      </c>
      <c r="F184" s="25">
        <f t="shared" si="34"/>
        <v>4.4033333333333333</v>
      </c>
      <c r="G184" s="25">
        <f t="shared" si="34"/>
        <v>5.9033333333333333</v>
      </c>
      <c r="H184" s="25">
        <f t="shared" si="34"/>
        <v>2.3533333333333331</v>
      </c>
      <c r="I184" s="25">
        <f t="shared" si="34"/>
        <v>6.7583333333333329</v>
      </c>
      <c r="J184" s="25">
        <f t="shared" si="34"/>
        <v>13.468333333333334</v>
      </c>
      <c r="K184" s="25">
        <f t="shared" si="34"/>
        <v>26.495000000000001</v>
      </c>
      <c r="L184" s="25">
        <f t="shared" si="34"/>
        <v>5.6666666666666671E-2</v>
      </c>
      <c r="M184" s="25">
        <f t="shared" si="34"/>
        <v>5.6666666666666671E-2</v>
      </c>
      <c r="N184" s="25">
        <f t="shared" si="34"/>
        <v>0.33333333333333331</v>
      </c>
      <c r="O184" s="25">
        <f t="shared" si="34"/>
        <v>1.8666666666666668E-2</v>
      </c>
      <c r="R184" s="1">
        <f>COUNTIFS($Z$108:$Z$149, "YES")</f>
        <v>3</v>
      </c>
      <c r="S184" s="1" t="s">
        <v>220</v>
      </c>
      <c r="T184" s="25">
        <f t="shared" ref="T184:AF184" si="35">AVERAGEIFS(B$108:B$149, $Z$108:$Z$149, "YES")</f>
        <v>2.5133333333333332</v>
      </c>
      <c r="U184" s="25">
        <f t="shared" si="35"/>
        <v>80.100000000000009</v>
      </c>
      <c r="V184" s="25">
        <f t="shared" si="35"/>
        <v>9.9966666666666679</v>
      </c>
      <c r="W184" s="25">
        <f t="shared" si="35"/>
        <v>5.54</v>
      </c>
      <c r="X184" s="25">
        <f t="shared" si="35"/>
        <v>8.2333333333333325</v>
      </c>
      <c r="Y184" s="25">
        <f t="shared" si="35"/>
        <v>3.1033333333333335</v>
      </c>
      <c r="Z184" s="25">
        <f t="shared" si="35"/>
        <v>8.6433333333333326</v>
      </c>
      <c r="AA184" s="25">
        <f t="shared" si="35"/>
        <v>18.23</v>
      </c>
      <c r="AB184" s="25">
        <f t="shared" si="35"/>
        <v>36.206666666666671</v>
      </c>
      <c r="AC184" s="25">
        <f t="shared" si="35"/>
        <v>0</v>
      </c>
      <c r="AD184" s="25">
        <f t="shared" si="35"/>
        <v>0</v>
      </c>
      <c r="AE184" s="25">
        <f t="shared" si="35"/>
        <v>0</v>
      </c>
      <c r="AF184" s="25">
        <f t="shared" si="35"/>
        <v>0</v>
      </c>
    </row>
    <row r="186" spans="1:32" ht="28.8" x14ac:dyDescent="0.35">
      <c r="A186" s="35"/>
      <c r="B186" s="13" t="s">
        <v>87</v>
      </c>
      <c r="C186" s="13" t="s">
        <v>89</v>
      </c>
      <c r="D186" s="13" t="s">
        <v>73</v>
      </c>
      <c r="E186" s="13" t="s">
        <v>74</v>
      </c>
      <c r="F186" s="13" t="s">
        <v>21</v>
      </c>
      <c r="G186" s="13" t="s">
        <v>75</v>
      </c>
      <c r="H186" s="13" t="s">
        <v>22</v>
      </c>
      <c r="I186" s="13" t="s">
        <v>76</v>
      </c>
      <c r="J186" s="13" t="s">
        <v>77</v>
      </c>
      <c r="K186" s="13" t="s">
        <v>78</v>
      </c>
      <c r="L186" s="13" t="s">
        <v>79</v>
      </c>
      <c r="M186" s="13" t="s">
        <v>80</v>
      </c>
      <c r="N186" s="13" t="s">
        <v>81</v>
      </c>
      <c r="O186" s="13" t="s">
        <v>82</v>
      </c>
    </row>
    <row r="187" spans="1:32" x14ac:dyDescent="0.35">
      <c r="A187" s="1">
        <f>COUNTIFS($AA$108:$AA$149, "YES")</f>
        <v>1</v>
      </c>
      <c r="B187" s="1" t="s">
        <v>158</v>
      </c>
      <c r="C187" s="25">
        <f t="shared" ref="C187:O187" si="36">AVERAGEIFS(B$66:B$107, $AA$108:$AA$149, "YES")</f>
        <v>2.57</v>
      </c>
      <c r="D187" s="25">
        <f t="shared" si="36"/>
        <v>80.36</v>
      </c>
      <c r="E187" s="25">
        <f t="shared" si="36"/>
        <v>9.7899999999999991</v>
      </c>
      <c r="F187" s="25">
        <f t="shared" si="36"/>
        <v>5.43</v>
      </c>
      <c r="G187" s="25">
        <f t="shared" si="36"/>
        <v>8.43</v>
      </c>
      <c r="H187" s="25">
        <f t="shared" si="36"/>
        <v>3.36</v>
      </c>
      <c r="I187" s="25">
        <f t="shared" si="36"/>
        <v>8.7899999999999991</v>
      </c>
      <c r="J187" s="25">
        <f t="shared" si="36"/>
        <v>18.21</v>
      </c>
      <c r="K187" s="25">
        <f t="shared" si="36"/>
        <v>36.97</v>
      </c>
      <c r="L187" s="25">
        <f t="shared" si="36"/>
        <v>0</v>
      </c>
      <c r="M187" s="25">
        <f t="shared" si="36"/>
        <v>0</v>
      </c>
      <c r="N187" s="25">
        <f t="shared" si="36"/>
        <v>0</v>
      </c>
      <c r="O187" s="25">
        <f t="shared" si="36"/>
        <v>0</v>
      </c>
    </row>
    <row r="188" spans="1:32" x14ac:dyDescent="0.35">
      <c r="A188" s="1">
        <f>COUNTIFS($AA$108:$AA$149, "YES")</f>
        <v>1</v>
      </c>
      <c r="B188" s="1" t="s">
        <v>221</v>
      </c>
      <c r="C188" s="25">
        <f t="shared" ref="C188:O188" si="37">AVERAGEIFS(B$108:B$149, $AA$108:$AA$149, "YES")</f>
        <v>2.46</v>
      </c>
      <c r="D188" s="25">
        <f t="shared" si="37"/>
        <v>80.23</v>
      </c>
      <c r="E188" s="25">
        <f t="shared" si="37"/>
        <v>9.92</v>
      </c>
      <c r="F188" s="25">
        <f t="shared" si="37"/>
        <v>5.54</v>
      </c>
      <c r="G188" s="25">
        <f t="shared" si="37"/>
        <v>8.08</v>
      </c>
      <c r="H188" s="25">
        <f t="shared" si="37"/>
        <v>3</v>
      </c>
      <c r="I188" s="25">
        <f t="shared" si="37"/>
        <v>8.5399999999999991</v>
      </c>
      <c r="J188" s="25">
        <f t="shared" si="37"/>
        <v>18</v>
      </c>
      <c r="K188" s="25">
        <f t="shared" si="37"/>
        <v>35.54</v>
      </c>
      <c r="L188" s="25">
        <f t="shared" si="37"/>
        <v>0</v>
      </c>
      <c r="M188" s="25">
        <f t="shared" si="37"/>
        <v>0</v>
      </c>
      <c r="N188" s="25">
        <f t="shared" si="37"/>
        <v>0</v>
      </c>
      <c r="O188" s="25">
        <f t="shared" si="37"/>
        <v>0</v>
      </c>
    </row>
    <row r="189" spans="1:32" ht="15" customHeight="1" x14ac:dyDescent="0.35"/>
    <row r="190" spans="1:32" ht="15" customHeight="1" x14ac:dyDescent="0.35"/>
    <row r="191" spans="1:32" x14ac:dyDescent="0.35">
      <c r="A191" s="23" t="s">
        <v>90</v>
      </c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32" ht="15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5" ht="28.8" x14ac:dyDescent="0.35">
      <c r="A193" s="13" t="s">
        <v>92</v>
      </c>
      <c r="B193" s="13" t="s">
        <v>87</v>
      </c>
      <c r="C193" s="13" t="s">
        <v>89</v>
      </c>
      <c r="D193" s="13" t="s">
        <v>73</v>
      </c>
      <c r="E193" s="13" t="s">
        <v>74</v>
      </c>
      <c r="F193" s="13" t="s">
        <v>21</v>
      </c>
      <c r="G193" s="13" t="s">
        <v>75</v>
      </c>
      <c r="H193" s="13" t="s">
        <v>22</v>
      </c>
      <c r="I193" s="13" t="s">
        <v>76</v>
      </c>
      <c r="J193" s="13" t="s">
        <v>77</v>
      </c>
      <c r="K193" s="13" t="s">
        <v>78</v>
      </c>
      <c r="L193" s="13" t="s">
        <v>79</v>
      </c>
      <c r="M193" s="13" t="s">
        <v>80</v>
      </c>
      <c r="N193" s="13" t="s">
        <v>81</v>
      </c>
      <c r="O193" s="13" t="s">
        <v>82</v>
      </c>
    </row>
    <row r="194" spans="1:15" x14ac:dyDescent="0.35">
      <c r="A194" s="1">
        <f>COUNTIF($A$24:$A$149, "*albfernandez-GDS-PMD-Security*Buggy")</f>
        <v>5</v>
      </c>
      <c r="B194" s="1" t="s">
        <v>93</v>
      </c>
      <c r="C194" s="25">
        <f t="shared" ref="C194:O194" si="38">AVERAGEIF($A$24:$A$149, "*albfernandez-GDS-PMD-Security*_Buggy", B$24:B$149)</f>
        <v>3.218</v>
      </c>
      <c r="D194" s="25">
        <f t="shared" si="38"/>
        <v>76.114000000000004</v>
      </c>
      <c r="E194" s="25">
        <f t="shared" si="38"/>
        <v>11.389999999999999</v>
      </c>
      <c r="F194" s="25">
        <f t="shared" si="38"/>
        <v>6.8020000000000014</v>
      </c>
      <c r="G194" s="25">
        <f t="shared" si="38"/>
        <v>9.8800000000000008</v>
      </c>
      <c r="H194" s="25">
        <f t="shared" si="38"/>
        <v>3.7</v>
      </c>
      <c r="I194" s="25">
        <f t="shared" si="38"/>
        <v>10.5</v>
      </c>
      <c r="J194" s="25">
        <f t="shared" si="38"/>
        <v>21.276</v>
      </c>
      <c r="K194" s="25">
        <f t="shared" si="38"/>
        <v>46.86</v>
      </c>
      <c r="L194" s="25">
        <f t="shared" si="38"/>
        <v>0.74199999999999999</v>
      </c>
      <c r="M194" s="25">
        <f t="shared" si="38"/>
        <v>0.15</v>
      </c>
      <c r="N194" s="25">
        <f t="shared" si="38"/>
        <v>21.845999999999997</v>
      </c>
      <c r="O194" s="25">
        <f t="shared" si="38"/>
        <v>1.218</v>
      </c>
    </row>
    <row r="195" spans="1:15" x14ac:dyDescent="0.35">
      <c r="A195" s="1">
        <f>COUNTIF($A$24:$A$149, "*albfernandez-GDS-PMD-Security*Manual")</f>
        <v>5</v>
      </c>
      <c r="B195" s="1" t="s">
        <v>159</v>
      </c>
      <c r="C195" s="25">
        <f t="shared" ref="C195:O195" si="39">AVERAGEIF($A$24:$A$149, "*albfernandez-GDS-PMD-Security*_Manual", B$24:B$149)</f>
        <v>3.226</v>
      </c>
      <c r="D195" s="25">
        <f t="shared" si="39"/>
        <v>76.013999999999996</v>
      </c>
      <c r="E195" s="25">
        <f t="shared" si="39"/>
        <v>11.458</v>
      </c>
      <c r="F195" s="25">
        <f t="shared" si="39"/>
        <v>6.8259999999999987</v>
      </c>
      <c r="G195" s="25">
        <f t="shared" si="39"/>
        <v>9.8879999999999999</v>
      </c>
      <c r="H195" s="25">
        <f t="shared" si="39"/>
        <v>3.6960000000000002</v>
      </c>
      <c r="I195" s="25">
        <f t="shared" si="39"/>
        <v>10.52</v>
      </c>
      <c r="J195" s="25">
        <f t="shared" si="39"/>
        <v>21.351999999999997</v>
      </c>
      <c r="K195" s="25">
        <f t="shared" si="39"/>
        <v>47.007999999999996</v>
      </c>
      <c r="L195" s="25">
        <f t="shared" si="39"/>
        <v>0.73799999999999999</v>
      </c>
      <c r="M195" s="25">
        <f t="shared" si="39"/>
        <v>0.15</v>
      </c>
      <c r="N195" s="25">
        <f t="shared" si="39"/>
        <v>21.745999999999999</v>
      </c>
      <c r="O195" s="25">
        <f t="shared" si="39"/>
        <v>1.2100000000000002</v>
      </c>
    </row>
    <row r="196" spans="1:15" x14ac:dyDescent="0.35">
      <c r="A196" s="1">
        <f>COUNTIF($A$24:$A$149, "*albfernandez-GDS-PMD-Security*Auto")</f>
        <v>5</v>
      </c>
      <c r="B196" s="1" t="s">
        <v>222</v>
      </c>
      <c r="C196" s="25">
        <f t="shared" ref="C196:O196" si="40">AVERAGEIF($A$24:$A$149, "*albfernandez-GDS-PMD-Security*_Auto", B$24:B$149)</f>
        <v>3.1859999999999999</v>
      </c>
      <c r="D196" s="25">
        <f t="shared" si="40"/>
        <v>76.397999999999996</v>
      </c>
      <c r="E196" s="25">
        <f t="shared" si="40"/>
        <v>11.363999999999999</v>
      </c>
      <c r="F196" s="25">
        <f t="shared" si="40"/>
        <v>6.7860000000000014</v>
      </c>
      <c r="G196" s="25">
        <f t="shared" si="40"/>
        <v>9.7039999999999988</v>
      </c>
      <c r="H196" s="25">
        <f t="shared" si="40"/>
        <v>3.6519999999999997</v>
      </c>
      <c r="I196" s="25">
        <f t="shared" si="40"/>
        <v>10.436</v>
      </c>
      <c r="J196" s="25">
        <f t="shared" si="40"/>
        <v>21.068000000000001</v>
      </c>
      <c r="K196" s="25">
        <f t="shared" si="40"/>
        <v>46.462000000000003</v>
      </c>
      <c r="L196" s="25">
        <f t="shared" si="40"/>
        <v>0.61199999999999999</v>
      </c>
      <c r="M196" s="25">
        <f t="shared" si="40"/>
        <v>0.15212000000000001</v>
      </c>
      <c r="N196" s="25">
        <f t="shared" si="40"/>
        <v>18.821999999999996</v>
      </c>
      <c r="O196" s="25">
        <f t="shared" si="40"/>
        <v>1.046</v>
      </c>
    </row>
    <row r="198" spans="1:15" ht="28.8" x14ac:dyDescent="0.35">
      <c r="B198" s="13" t="s">
        <v>87</v>
      </c>
      <c r="C198" s="13" t="s">
        <v>89</v>
      </c>
      <c r="D198" s="13" t="s">
        <v>73</v>
      </c>
      <c r="E198" s="13" t="s">
        <v>74</v>
      </c>
      <c r="F198" s="13" t="s">
        <v>21</v>
      </c>
      <c r="G198" s="13" t="s">
        <v>75</v>
      </c>
      <c r="H198" s="13" t="s">
        <v>22</v>
      </c>
      <c r="I198" s="13" t="s">
        <v>76</v>
      </c>
      <c r="J198" s="13" t="s">
        <v>77</v>
      </c>
      <c r="K198" s="13" t="s">
        <v>78</v>
      </c>
      <c r="L198" s="13" t="s">
        <v>79</v>
      </c>
      <c r="M198" s="13" t="s">
        <v>80</v>
      </c>
      <c r="N198" s="13" t="s">
        <v>81</v>
      </c>
      <c r="O198" s="13" t="s">
        <v>82</v>
      </c>
    </row>
    <row r="199" spans="1:15" x14ac:dyDescent="0.35">
      <c r="A199" s="1">
        <f>COUNTIF($A$24:$A$149, "*dungba88-libra*Buggy")</f>
        <v>3</v>
      </c>
      <c r="B199" s="1" t="s">
        <v>94</v>
      </c>
      <c r="C199" s="25">
        <f t="shared" ref="C199:O199" si="41">AVERAGEIF($A$24:$A$149, "*dungba88-libra*_Buggy", B$24:B$149)</f>
        <v>1.7766666666666666</v>
      </c>
      <c r="D199" s="25">
        <f t="shared" si="41"/>
        <v>89.11</v>
      </c>
      <c r="E199" s="25">
        <f t="shared" si="41"/>
        <v>4.1100000000000003</v>
      </c>
      <c r="F199" s="25">
        <f t="shared" si="41"/>
        <v>2.89</v>
      </c>
      <c r="G199" s="25">
        <f t="shared" si="41"/>
        <v>2.7766666666666668</v>
      </c>
      <c r="H199" s="25">
        <f t="shared" si="41"/>
        <v>1.4433333333333334</v>
      </c>
      <c r="I199" s="25">
        <f t="shared" si="41"/>
        <v>4.3366666666666669</v>
      </c>
      <c r="J199" s="25">
        <f t="shared" si="41"/>
        <v>6.8900000000000006</v>
      </c>
      <c r="K199" s="25">
        <f t="shared" si="41"/>
        <v>13.39</v>
      </c>
      <c r="L199" s="25">
        <f t="shared" si="41"/>
        <v>0.11333333333333334</v>
      </c>
      <c r="M199" s="25">
        <f t="shared" si="41"/>
        <v>0.11333333333333334</v>
      </c>
      <c r="N199" s="25">
        <f t="shared" si="41"/>
        <v>0.66666666666666663</v>
      </c>
      <c r="O199" s="25">
        <f t="shared" si="41"/>
        <v>3.7333333333333336E-2</v>
      </c>
    </row>
    <row r="200" spans="1:15" x14ac:dyDescent="0.35">
      <c r="A200" s="1">
        <f>COUNTIF($A$24:$A$149, "*dungba88-libra*Manual")</f>
        <v>3</v>
      </c>
      <c r="B200" s="1" t="s">
        <v>160</v>
      </c>
      <c r="C200" s="25">
        <f t="shared" ref="C200:O200" si="42">AVERAGEIF($A$24:$A$149, "*dungba88-libra*_Manual", B$24:B$149)</f>
        <v>2</v>
      </c>
      <c r="D200" s="25">
        <f t="shared" si="42"/>
        <v>88.663333333333341</v>
      </c>
      <c r="E200" s="25">
        <f t="shared" si="42"/>
        <v>4.5566666666666666</v>
      </c>
      <c r="F200" s="25">
        <f t="shared" si="42"/>
        <v>3.0033333333333334</v>
      </c>
      <c r="G200" s="25">
        <f t="shared" si="42"/>
        <v>3.3333333333333335</v>
      </c>
      <c r="H200" s="25">
        <f t="shared" si="42"/>
        <v>1.4433333333333334</v>
      </c>
      <c r="I200" s="25">
        <f t="shared" si="42"/>
        <v>4.4466666666666663</v>
      </c>
      <c r="J200" s="25">
        <f t="shared" si="42"/>
        <v>7.8900000000000006</v>
      </c>
      <c r="K200" s="25">
        <f t="shared" si="42"/>
        <v>14.62</v>
      </c>
      <c r="L200" s="25">
        <f t="shared" si="42"/>
        <v>0.11333333333333334</v>
      </c>
      <c r="M200" s="25">
        <f t="shared" si="42"/>
        <v>0.11333333333333334</v>
      </c>
      <c r="N200" s="25">
        <f t="shared" si="42"/>
        <v>0.66666666666666663</v>
      </c>
      <c r="O200" s="25">
        <f t="shared" si="42"/>
        <v>3.7333333333333336E-2</v>
      </c>
    </row>
    <row r="201" spans="1:15" x14ac:dyDescent="0.35">
      <c r="A201" s="1">
        <f>COUNTIF($A$24:$A$149, "*dungba88-libra*Auto")</f>
        <v>3</v>
      </c>
      <c r="B201" s="1" t="s">
        <v>223</v>
      </c>
      <c r="C201" s="25">
        <f t="shared" ref="C201:O201" si="43">AVERAGEIF($A$24:$A$149, "*dungba88-libra*_Auto", B$24:B$149)</f>
        <v>1.6633333333333333</v>
      </c>
      <c r="D201" s="25">
        <f t="shared" si="43"/>
        <v>89.67</v>
      </c>
      <c r="E201" s="25">
        <f t="shared" si="43"/>
        <v>3.5566666666666666</v>
      </c>
      <c r="F201" s="25">
        <f t="shared" si="43"/>
        <v>2.89</v>
      </c>
      <c r="G201" s="25">
        <f t="shared" si="43"/>
        <v>2.2233333333333332</v>
      </c>
      <c r="H201" s="25">
        <f t="shared" si="43"/>
        <v>1.33</v>
      </c>
      <c r="I201" s="25">
        <f t="shared" si="43"/>
        <v>4.2233333333333336</v>
      </c>
      <c r="J201" s="25">
        <f t="shared" si="43"/>
        <v>5.7766666666666664</v>
      </c>
      <c r="K201" s="25">
        <f t="shared" si="43"/>
        <v>12.07</v>
      </c>
      <c r="L201" s="25">
        <f t="shared" si="43"/>
        <v>0.11333333333333334</v>
      </c>
      <c r="M201" s="25">
        <f t="shared" si="43"/>
        <v>0.11333333333333334</v>
      </c>
      <c r="N201" s="25">
        <f t="shared" si="43"/>
        <v>0.66666666666666663</v>
      </c>
      <c r="O201" s="25">
        <f t="shared" si="43"/>
        <v>3.7333333333333336E-2</v>
      </c>
    </row>
    <row r="203" spans="1:15" ht="28.8" x14ac:dyDescent="0.35">
      <c r="B203" s="13" t="s">
        <v>87</v>
      </c>
      <c r="C203" s="13" t="s">
        <v>89</v>
      </c>
      <c r="D203" s="13" t="s">
        <v>73</v>
      </c>
      <c r="E203" s="13" t="s">
        <v>74</v>
      </c>
      <c r="F203" s="13" t="s">
        <v>21</v>
      </c>
      <c r="G203" s="13" t="s">
        <v>75</v>
      </c>
      <c r="H203" s="13" t="s">
        <v>22</v>
      </c>
      <c r="I203" s="13" t="s">
        <v>76</v>
      </c>
      <c r="J203" s="13" t="s">
        <v>77</v>
      </c>
      <c r="K203" s="13" t="s">
        <v>78</v>
      </c>
      <c r="L203" s="13" t="s">
        <v>79</v>
      </c>
      <c r="M203" s="13" t="s">
        <v>80</v>
      </c>
      <c r="N203" s="13" t="s">
        <v>81</v>
      </c>
      <c r="O203" s="13" t="s">
        <v>82</v>
      </c>
    </row>
    <row r="204" spans="1:15" x14ac:dyDescent="0.35">
      <c r="A204" s="1">
        <f>COUNTIF($A$24:$A$149, "*julianps-modelmapper-module*Buggy")</f>
        <v>6</v>
      </c>
      <c r="B204" s="1" t="s">
        <v>95</v>
      </c>
      <c r="C204" s="25">
        <f t="shared" ref="C204:O204" si="44">AVERAGEIF($A$24:$A$149, "*julianps-modelmapper-module*_Buggy", B$24:B$149)</f>
        <v>1</v>
      </c>
      <c r="D204" s="25">
        <f t="shared" si="44"/>
        <v>92</v>
      </c>
      <c r="E204" s="25">
        <f t="shared" si="44"/>
        <v>5</v>
      </c>
      <c r="F204" s="25">
        <f t="shared" si="44"/>
        <v>4</v>
      </c>
      <c r="G204" s="25">
        <f t="shared" si="44"/>
        <v>3</v>
      </c>
      <c r="H204" s="25">
        <f t="shared" si="44"/>
        <v>1</v>
      </c>
      <c r="I204" s="25">
        <f t="shared" si="44"/>
        <v>5</v>
      </c>
      <c r="J204" s="25">
        <f t="shared" si="44"/>
        <v>8</v>
      </c>
      <c r="K204" s="25">
        <f t="shared" si="44"/>
        <v>15</v>
      </c>
      <c r="L204" s="25">
        <f t="shared" si="44"/>
        <v>0</v>
      </c>
      <c r="M204" s="25">
        <f t="shared" si="44"/>
        <v>0</v>
      </c>
      <c r="N204" s="25">
        <f t="shared" si="44"/>
        <v>0</v>
      </c>
      <c r="O204" s="25">
        <f t="shared" si="44"/>
        <v>0</v>
      </c>
    </row>
    <row r="205" spans="1:15" x14ac:dyDescent="0.35">
      <c r="A205" s="1">
        <f>COUNTIF($A$24:$A$149, "*julianps-modelmapper-module*Manual")</f>
        <v>6</v>
      </c>
      <c r="B205" s="1" t="s">
        <v>161</v>
      </c>
      <c r="C205" s="25">
        <f t="shared" ref="C205:O205" si="45">AVERAGEIF($A$24:$A$149, "*julianps-modelmapper-module*_Manual", B$24:B$149)</f>
        <v>1</v>
      </c>
      <c r="D205" s="25">
        <f t="shared" si="45"/>
        <v>92</v>
      </c>
      <c r="E205" s="25">
        <f t="shared" si="45"/>
        <v>5</v>
      </c>
      <c r="F205" s="25">
        <f t="shared" si="45"/>
        <v>4</v>
      </c>
      <c r="G205" s="25">
        <f t="shared" si="45"/>
        <v>3</v>
      </c>
      <c r="H205" s="25">
        <f t="shared" si="45"/>
        <v>1</v>
      </c>
      <c r="I205" s="25">
        <f t="shared" si="45"/>
        <v>5</v>
      </c>
      <c r="J205" s="25">
        <f t="shared" si="45"/>
        <v>8</v>
      </c>
      <c r="K205" s="25">
        <f t="shared" si="45"/>
        <v>15</v>
      </c>
      <c r="L205" s="25">
        <f t="shared" si="45"/>
        <v>0</v>
      </c>
      <c r="M205" s="25">
        <f t="shared" si="45"/>
        <v>0</v>
      </c>
      <c r="N205" s="25">
        <f t="shared" si="45"/>
        <v>0</v>
      </c>
      <c r="O205" s="25">
        <f t="shared" si="45"/>
        <v>0</v>
      </c>
    </row>
    <row r="206" spans="1:15" x14ac:dyDescent="0.35">
      <c r="A206" s="1">
        <f>COUNTIF($A$24:$A$149, "*julianps-modelmapper-module*Auto")</f>
        <v>6</v>
      </c>
      <c r="B206" s="1" t="s">
        <v>224</v>
      </c>
      <c r="C206" s="25">
        <f t="shared" ref="C206:O206" si="46">AVERAGEIF($A$24:$A$149, "*julianps-modelmapper-module*_Auto", B$24:B$149)</f>
        <v>1.1666666666666667</v>
      </c>
      <c r="D206" s="25">
        <f t="shared" si="46"/>
        <v>96.666666666666671</v>
      </c>
      <c r="E206" s="25">
        <f t="shared" si="46"/>
        <v>3.3333333333333335</v>
      </c>
      <c r="F206" s="25">
        <f t="shared" si="46"/>
        <v>4.166666666666667</v>
      </c>
      <c r="G206" s="25">
        <f t="shared" si="46"/>
        <v>0.66666666666666663</v>
      </c>
      <c r="H206" s="25">
        <f t="shared" si="46"/>
        <v>0.33333333333333331</v>
      </c>
      <c r="I206" s="25">
        <f t="shared" si="46"/>
        <v>4.5</v>
      </c>
      <c r="J206" s="25">
        <f t="shared" si="46"/>
        <v>4</v>
      </c>
      <c r="K206" s="25">
        <f t="shared" si="46"/>
        <v>8.9816666666666674</v>
      </c>
      <c r="L206" s="25">
        <f t="shared" si="46"/>
        <v>0.33333333333333331</v>
      </c>
      <c r="M206" s="25">
        <f t="shared" si="46"/>
        <v>8.3333333333333329E-2</v>
      </c>
      <c r="N206" s="25">
        <f t="shared" si="46"/>
        <v>7.3966666666666674</v>
      </c>
      <c r="O206" s="25">
        <f t="shared" si="46"/>
        <v>0.41166666666666668</v>
      </c>
    </row>
    <row r="208" spans="1:15" ht="28.8" x14ac:dyDescent="0.35">
      <c r="B208" s="13" t="s">
        <v>87</v>
      </c>
      <c r="C208" s="13" t="s">
        <v>89</v>
      </c>
      <c r="D208" s="13" t="s">
        <v>73</v>
      </c>
      <c r="E208" s="13" t="s">
        <v>74</v>
      </c>
      <c r="F208" s="13" t="s">
        <v>21</v>
      </c>
      <c r="G208" s="13" t="s">
        <v>75</v>
      </c>
      <c r="H208" s="13" t="s">
        <v>22</v>
      </c>
      <c r="I208" s="13" t="s">
        <v>76</v>
      </c>
      <c r="J208" s="13" t="s">
        <v>77</v>
      </c>
      <c r="K208" s="13" t="s">
        <v>78</v>
      </c>
      <c r="L208" s="13" t="s">
        <v>79</v>
      </c>
      <c r="M208" s="13" t="s">
        <v>80</v>
      </c>
      <c r="N208" s="13" t="s">
        <v>81</v>
      </c>
      <c r="O208" s="13" t="s">
        <v>82</v>
      </c>
    </row>
    <row r="209" spans="1:15" x14ac:dyDescent="0.35">
      <c r="A209" s="1">
        <f>COUNTIF($A$24:$A$149, "*opentracing-contrib-java-p6sp*Buggy")</f>
        <v>5</v>
      </c>
      <c r="B209" s="1" t="s">
        <v>96</v>
      </c>
      <c r="C209" s="25">
        <f t="shared" ref="C209:O209" si="47">AVERAGEIF($A$24:$A$149, "*opentracing-contrib-java-p6sp*_Buggy", B$24:B$149)</f>
        <v>2.62</v>
      </c>
      <c r="D209" s="25">
        <f t="shared" si="47"/>
        <v>79.849999999999994</v>
      </c>
      <c r="E209" s="25">
        <f t="shared" si="47"/>
        <v>10.31</v>
      </c>
      <c r="F209" s="25">
        <f t="shared" si="47"/>
        <v>5.54</v>
      </c>
      <c r="G209" s="25">
        <f t="shared" si="47"/>
        <v>8.69</v>
      </c>
      <c r="H209" s="25">
        <f t="shared" si="47"/>
        <v>3.31</v>
      </c>
      <c r="I209" s="25">
        <f t="shared" si="47"/>
        <v>8.85</v>
      </c>
      <c r="J209" s="25">
        <f t="shared" si="47"/>
        <v>19</v>
      </c>
      <c r="K209" s="25">
        <f t="shared" si="47"/>
        <v>37.72</v>
      </c>
      <c r="L209" s="25">
        <f t="shared" si="47"/>
        <v>0</v>
      </c>
      <c r="M209" s="25">
        <f t="shared" si="47"/>
        <v>0</v>
      </c>
      <c r="N209" s="25">
        <f t="shared" si="47"/>
        <v>0</v>
      </c>
      <c r="O209" s="25">
        <f t="shared" si="47"/>
        <v>0</v>
      </c>
    </row>
    <row r="210" spans="1:15" x14ac:dyDescent="0.35">
      <c r="A210" s="1">
        <f>COUNTIF($A$24:$A$149, "*opentracing-contrib-java-p6sp*Manual")</f>
        <v>5</v>
      </c>
      <c r="B210" s="1" t="s">
        <v>162</v>
      </c>
      <c r="C210" s="25">
        <f t="shared" ref="C210:O210" si="48">AVERAGEIF($A$24:$A$149, "*opentracing-contrib-java-p6sp*_Manual", B$24:B$149)</f>
        <v>2.57</v>
      </c>
      <c r="D210" s="25">
        <f t="shared" si="48"/>
        <v>80.36</v>
      </c>
      <c r="E210" s="25">
        <f t="shared" si="48"/>
        <v>9.7899999999999991</v>
      </c>
      <c r="F210" s="25">
        <f t="shared" si="48"/>
        <v>5.43</v>
      </c>
      <c r="G210" s="25">
        <f t="shared" si="48"/>
        <v>8.43</v>
      </c>
      <c r="H210" s="25">
        <f t="shared" si="48"/>
        <v>3.3600000000000003</v>
      </c>
      <c r="I210" s="25">
        <f t="shared" si="48"/>
        <v>8.7899999999999991</v>
      </c>
      <c r="J210" s="25">
        <f t="shared" si="48"/>
        <v>18.21</v>
      </c>
      <c r="K210" s="25">
        <f t="shared" si="48"/>
        <v>36.97</v>
      </c>
      <c r="L210" s="25">
        <f t="shared" si="48"/>
        <v>0</v>
      </c>
      <c r="M210" s="25">
        <f t="shared" si="48"/>
        <v>0</v>
      </c>
      <c r="N210" s="25">
        <f t="shared" si="48"/>
        <v>0</v>
      </c>
      <c r="O210" s="25">
        <f t="shared" si="48"/>
        <v>0</v>
      </c>
    </row>
    <row r="211" spans="1:15" x14ac:dyDescent="0.35">
      <c r="A211" s="1">
        <f>COUNTIF($A$24:$A$149, "*opentracing-contrib-java-p6sp*Auto")</f>
        <v>5</v>
      </c>
      <c r="B211" s="1" t="s">
        <v>225</v>
      </c>
      <c r="C211" s="25">
        <f t="shared" ref="C211:O211" si="49">AVERAGEIF($A$24:$A$149, "*opentracing-contrib-java-p6sp*_Auto", B$24:B$149)</f>
        <v>2.54</v>
      </c>
      <c r="D211" s="25">
        <f t="shared" si="49"/>
        <v>80.12</v>
      </c>
      <c r="E211" s="25">
        <f t="shared" si="49"/>
        <v>10.044</v>
      </c>
      <c r="F211" s="25">
        <f t="shared" si="49"/>
        <v>5.524</v>
      </c>
      <c r="G211" s="25">
        <f t="shared" si="49"/>
        <v>8.3239999999999998</v>
      </c>
      <c r="H211" s="25">
        <f t="shared" si="49"/>
        <v>3.1540000000000004</v>
      </c>
      <c r="I211" s="25">
        <f t="shared" si="49"/>
        <v>8.68</v>
      </c>
      <c r="J211" s="25">
        <f t="shared" si="49"/>
        <v>18.368000000000002</v>
      </c>
      <c r="K211" s="25">
        <f t="shared" si="49"/>
        <v>36.53</v>
      </c>
      <c r="L211" s="25">
        <f t="shared" si="49"/>
        <v>0</v>
      </c>
      <c r="M211" s="25">
        <f t="shared" si="49"/>
        <v>0</v>
      </c>
      <c r="N211" s="25">
        <f t="shared" si="49"/>
        <v>0</v>
      </c>
      <c r="O211" s="25">
        <f t="shared" si="49"/>
        <v>0</v>
      </c>
    </row>
    <row r="213" spans="1:15" ht="28.8" x14ac:dyDescent="0.35">
      <c r="B213" s="13" t="s">
        <v>87</v>
      </c>
      <c r="C213" s="13" t="s">
        <v>89</v>
      </c>
      <c r="D213" s="13" t="s">
        <v>73</v>
      </c>
      <c r="E213" s="13" t="s">
        <v>74</v>
      </c>
      <c r="F213" s="13" t="s">
        <v>21</v>
      </c>
      <c r="G213" s="13" t="s">
        <v>75</v>
      </c>
      <c r="H213" s="13" t="s">
        <v>22</v>
      </c>
      <c r="I213" s="13" t="s">
        <v>76</v>
      </c>
      <c r="J213" s="13" t="s">
        <v>77</v>
      </c>
      <c r="K213" s="13" t="s">
        <v>78</v>
      </c>
      <c r="L213" s="13" t="s">
        <v>79</v>
      </c>
      <c r="M213" s="13" t="s">
        <v>80</v>
      </c>
      <c r="N213" s="13" t="s">
        <v>81</v>
      </c>
      <c r="O213" s="13" t="s">
        <v>82</v>
      </c>
    </row>
    <row r="214" spans="1:15" x14ac:dyDescent="0.35">
      <c r="A214" s="1">
        <f>COUNTIF($A$24:$A$149, "*SzFMV2018-Tavasz-AutomatedCar*Buggy")</f>
        <v>6</v>
      </c>
      <c r="B214" s="1" t="s">
        <v>97</v>
      </c>
      <c r="C214" s="25">
        <f t="shared" ref="C214:O214" si="50">AVERAGEIF($A$24:$A$149, "*SzFMV2018-Tavasz-AutomatedCar*_Buggy", B$24:B$149)</f>
        <v>1</v>
      </c>
      <c r="D214" s="25">
        <f t="shared" si="50"/>
        <v>74.569999999999993</v>
      </c>
      <c r="E214" s="25">
        <f t="shared" si="50"/>
        <v>11</v>
      </c>
      <c r="F214" s="25">
        <f t="shared" si="50"/>
        <v>9.86</v>
      </c>
      <c r="G214" s="25">
        <f t="shared" si="50"/>
        <v>6.86</v>
      </c>
      <c r="H214" s="25">
        <f t="shared" si="50"/>
        <v>2</v>
      </c>
      <c r="I214" s="25">
        <f t="shared" si="50"/>
        <v>11.86</v>
      </c>
      <c r="J214" s="25">
        <f t="shared" si="50"/>
        <v>17.86</v>
      </c>
      <c r="K214" s="25">
        <f t="shared" si="50"/>
        <v>52.87</v>
      </c>
      <c r="L214" s="25">
        <f t="shared" si="50"/>
        <v>2</v>
      </c>
      <c r="M214" s="25">
        <f t="shared" si="50"/>
        <v>4.9999999999999996E-2</v>
      </c>
      <c r="N214" s="25">
        <f t="shared" si="50"/>
        <v>30.41</v>
      </c>
      <c r="O214" s="25">
        <f t="shared" si="50"/>
        <v>1.6899999999999997</v>
      </c>
    </row>
    <row r="215" spans="1:15" x14ac:dyDescent="0.35">
      <c r="A215" s="1">
        <f>COUNTIF($A$24:$A$149, "*SzFMV2018-Tavasz-AutomatedCar*Manual")</f>
        <v>6</v>
      </c>
      <c r="B215" s="1" t="s">
        <v>163</v>
      </c>
      <c r="C215" s="26">
        <f t="shared" ref="C215:O215" si="51">AVERAGEIF($A$24:$A$149, "*SzFMV2018-Tavasz-AutomatedCar*_Manual", B$24:B$149)</f>
        <v>1</v>
      </c>
      <c r="D215" s="26">
        <f t="shared" si="51"/>
        <v>74.569999999999993</v>
      </c>
      <c r="E215" s="26">
        <f t="shared" si="51"/>
        <v>11</v>
      </c>
      <c r="F215" s="26">
        <f t="shared" si="51"/>
        <v>9.86</v>
      </c>
      <c r="G215" s="26">
        <f t="shared" si="51"/>
        <v>6.71</v>
      </c>
      <c r="H215" s="26">
        <f t="shared" si="51"/>
        <v>2</v>
      </c>
      <c r="I215" s="26">
        <f t="shared" si="51"/>
        <v>11.86</v>
      </c>
      <c r="J215" s="26">
        <f t="shared" si="51"/>
        <v>17.710000000000004</v>
      </c>
      <c r="K215" s="26">
        <f t="shared" si="51"/>
        <v>52.800000000000004</v>
      </c>
      <c r="L215" s="26">
        <f t="shared" si="51"/>
        <v>2</v>
      </c>
      <c r="M215" s="26">
        <f t="shared" si="51"/>
        <v>4.9999999999999996E-2</v>
      </c>
      <c r="N215" s="26">
        <f t="shared" si="51"/>
        <v>30.41</v>
      </c>
      <c r="O215" s="26">
        <f t="shared" si="51"/>
        <v>1.6899999999999997</v>
      </c>
    </row>
    <row r="216" spans="1:15" x14ac:dyDescent="0.35">
      <c r="A216" s="1">
        <f>COUNTIF($A$24:$A$149, "*SzFMV2018-Tavasz-AutomatedCar*Auto")</f>
        <v>6</v>
      </c>
      <c r="B216" s="1" t="s">
        <v>226</v>
      </c>
      <c r="C216" s="26">
        <f t="shared" ref="C216:O216" si="52">AVERAGEIF($A$24:$A$149, "*SzFMV2018-Tavasz-AutomatedCar*_Auto", B$24:B$149)</f>
        <v>1.0233333333333332</v>
      </c>
      <c r="D216" s="26">
        <f t="shared" si="52"/>
        <v>74.263333333333335</v>
      </c>
      <c r="E216" s="26">
        <f t="shared" si="52"/>
        <v>10.998333333333335</v>
      </c>
      <c r="F216" s="26">
        <f t="shared" si="52"/>
        <v>9.9533333333333331</v>
      </c>
      <c r="G216" s="26">
        <f t="shared" si="52"/>
        <v>6.93</v>
      </c>
      <c r="H216" s="26">
        <f t="shared" si="52"/>
        <v>2.0950000000000002</v>
      </c>
      <c r="I216" s="26">
        <f t="shared" si="52"/>
        <v>12.048333333333332</v>
      </c>
      <c r="J216" s="26">
        <f t="shared" si="52"/>
        <v>17.928333333333331</v>
      </c>
      <c r="K216" s="26">
        <f t="shared" si="52"/>
        <v>53.723333333333329</v>
      </c>
      <c r="L216" s="26">
        <f t="shared" si="52"/>
        <v>2.0483333333333333</v>
      </c>
      <c r="M216" s="26">
        <f t="shared" si="52"/>
        <v>5.5333333333333325E-2</v>
      </c>
      <c r="N216" s="26">
        <f t="shared" si="52"/>
        <v>35.678333333333335</v>
      </c>
      <c r="O216" s="26">
        <f t="shared" si="52"/>
        <v>1.9833333333333332</v>
      </c>
    </row>
    <row r="218" spans="1:15" ht="28.8" x14ac:dyDescent="0.35">
      <c r="B218" s="13" t="s">
        <v>87</v>
      </c>
      <c r="C218" s="13" t="s">
        <v>89</v>
      </c>
      <c r="D218" s="13" t="s">
        <v>73</v>
      </c>
      <c r="E218" s="13" t="s">
        <v>74</v>
      </c>
      <c r="F218" s="13" t="s">
        <v>21</v>
      </c>
      <c r="G218" s="13" t="s">
        <v>75</v>
      </c>
      <c r="H218" s="13" t="s">
        <v>22</v>
      </c>
      <c r="I218" s="13" t="s">
        <v>76</v>
      </c>
      <c r="J218" s="13" t="s">
        <v>77</v>
      </c>
      <c r="K218" s="13" t="s">
        <v>78</v>
      </c>
      <c r="L218" s="13" t="s">
        <v>79</v>
      </c>
      <c r="M218" s="13" t="s">
        <v>80</v>
      </c>
      <c r="N218" s="13" t="s">
        <v>81</v>
      </c>
      <c r="O218" s="13" t="s">
        <v>82</v>
      </c>
    </row>
    <row r="219" spans="1:15" x14ac:dyDescent="0.35">
      <c r="A219" s="1">
        <f>COUNTIF($A$24:$A$149, "*traccar-traccar*Buggy")</f>
        <v>6</v>
      </c>
      <c r="B219" s="1" t="s">
        <v>98</v>
      </c>
      <c r="C219" s="25">
        <f t="shared" ref="C219:O219" si="53">AVERAGEIF($A$24:$A$149, "*traccar-traccar*_Buggy", B$24:B$149)</f>
        <v>5.75</v>
      </c>
      <c r="D219" s="25">
        <f t="shared" si="53"/>
        <v>68.5</v>
      </c>
      <c r="E219" s="25">
        <f t="shared" si="53"/>
        <v>22.25</v>
      </c>
      <c r="F219" s="25">
        <f t="shared" si="53"/>
        <v>7.62</v>
      </c>
      <c r="G219" s="25">
        <f t="shared" si="53"/>
        <v>21.62</v>
      </c>
      <c r="H219" s="25">
        <f t="shared" si="53"/>
        <v>4.38</v>
      </c>
      <c r="I219" s="25">
        <f t="shared" si="53"/>
        <v>12</v>
      </c>
      <c r="J219" s="25">
        <f t="shared" si="53"/>
        <v>43.88</v>
      </c>
      <c r="K219" s="25">
        <f t="shared" si="53"/>
        <v>66.92</v>
      </c>
      <c r="L219" s="25">
        <f t="shared" si="53"/>
        <v>0</v>
      </c>
      <c r="M219" s="25">
        <f t="shared" si="53"/>
        <v>0</v>
      </c>
      <c r="N219" s="25">
        <f t="shared" si="53"/>
        <v>0</v>
      </c>
      <c r="O219" s="25">
        <f t="shared" si="53"/>
        <v>0</v>
      </c>
    </row>
    <row r="220" spans="1:15" x14ac:dyDescent="0.35">
      <c r="A220" s="1">
        <f>COUNTIF($A$24:$A$149, "*traccar-traccar*Manual")</f>
        <v>6</v>
      </c>
      <c r="B220" s="1" t="s">
        <v>164</v>
      </c>
      <c r="C220" s="26">
        <f t="shared" ref="C220:O220" si="54">AVERAGEIF($A$24:$A$149, "*traccar-traccar*_Manual", B$24:B$149)</f>
        <v>5.88</v>
      </c>
      <c r="D220" s="26">
        <f t="shared" si="54"/>
        <v>68.5</v>
      </c>
      <c r="E220" s="26">
        <f t="shared" si="54"/>
        <v>22.5</v>
      </c>
      <c r="F220" s="26">
        <f t="shared" si="54"/>
        <v>7.62</v>
      </c>
      <c r="G220" s="26">
        <f t="shared" si="54"/>
        <v>22</v>
      </c>
      <c r="H220" s="26">
        <f t="shared" si="54"/>
        <v>4.38</v>
      </c>
      <c r="I220" s="26">
        <f t="shared" si="54"/>
        <v>12</v>
      </c>
      <c r="J220" s="26">
        <f t="shared" si="54"/>
        <v>44.5</v>
      </c>
      <c r="K220" s="26">
        <f t="shared" si="54"/>
        <v>67.08</v>
      </c>
      <c r="L220" s="26">
        <f t="shared" si="54"/>
        <v>0</v>
      </c>
      <c r="M220" s="26">
        <f t="shared" si="54"/>
        <v>0</v>
      </c>
      <c r="N220" s="26">
        <f t="shared" si="54"/>
        <v>0</v>
      </c>
      <c r="O220" s="26">
        <f t="shared" si="54"/>
        <v>0</v>
      </c>
    </row>
    <row r="221" spans="1:15" x14ac:dyDescent="0.35">
      <c r="A221" s="1">
        <f>COUNTIF($A$24:$A$149, "*traccar-traccar*Auto")</f>
        <v>6</v>
      </c>
      <c r="B221" s="1" t="s">
        <v>227</v>
      </c>
      <c r="C221" s="26">
        <f t="shared" ref="C221:O221" si="55">AVERAGEIF($A$24:$A$149, "*traccar-traccar*_Auto", B$24:B$149)</f>
        <v>5.3116666666666665</v>
      </c>
      <c r="D221" s="26">
        <f t="shared" si="55"/>
        <v>68.916666666666671</v>
      </c>
      <c r="E221" s="26">
        <f t="shared" si="55"/>
        <v>20.75</v>
      </c>
      <c r="F221" s="26">
        <f t="shared" si="55"/>
        <v>7.52</v>
      </c>
      <c r="G221" s="26">
        <f t="shared" si="55"/>
        <v>19.808333333333334</v>
      </c>
      <c r="H221" s="26">
        <f t="shared" si="55"/>
        <v>4.38</v>
      </c>
      <c r="I221" s="26">
        <f t="shared" si="55"/>
        <v>11.9</v>
      </c>
      <c r="J221" s="26">
        <f t="shared" si="55"/>
        <v>40.55833333333333</v>
      </c>
      <c r="K221" s="26">
        <f t="shared" si="55"/>
        <v>65.278333333333336</v>
      </c>
      <c r="L221" s="26">
        <f t="shared" si="55"/>
        <v>0</v>
      </c>
      <c r="M221" s="26">
        <f t="shared" si="55"/>
        <v>0</v>
      </c>
      <c r="N221" s="26">
        <f t="shared" si="55"/>
        <v>0</v>
      </c>
      <c r="O221" s="26">
        <f t="shared" si="55"/>
        <v>0</v>
      </c>
    </row>
    <row r="224" spans="1:15" x14ac:dyDescent="0.35">
      <c r="A224" s="23" t="s">
        <v>91</v>
      </c>
      <c r="B224" s="2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ht="15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ht="28.8" x14ac:dyDescent="0.35">
      <c r="A226" s="13" t="s">
        <v>92</v>
      </c>
      <c r="B226" s="13" t="s">
        <v>87</v>
      </c>
      <c r="C226" s="13" t="s">
        <v>89</v>
      </c>
      <c r="D226" s="13" t="s">
        <v>73</v>
      </c>
      <c r="E226" s="13" t="s">
        <v>74</v>
      </c>
      <c r="F226" s="13" t="s">
        <v>21</v>
      </c>
      <c r="G226" s="13" t="s">
        <v>75</v>
      </c>
      <c r="H226" s="13" t="s">
        <v>22</v>
      </c>
      <c r="I226" s="13" t="s">
        <v>76</v>
      </c>
      <c r="J226" s="13" t="s">
        <v>77</v>
      </c>
      <c r="K226" s="13" t="s">
        <v>78</v>
      </c>
      <c r="L226" s="13" t="s">
        <v>79</v>
      </c>
      <c r="M226" s="13" t="s">
        <v>80</v>
      </c>
      <c r="N226" s="13" t="s">
        <v>81</v>
      </c>
      <c r="O226" s="13" t="s">
        <v>82</v>
      </c>
    </row>
    <row r="227" spans="1:15" x14ac:dyDescent="0.35">
      <c r="A227" s="1">
        <f>COUNTIF($A$24:$A$149, "Arja*Manual")</f>
        <v>26</v>
      </c>
      <c r="B227" s="1" t="s">
        <v>165</v>
      </c>
      <c r="C227" s="25">
        <f t="shared" ref="C227:O227" si="56">AVERAGEIF($A$24:$A$149, "Arja*Manual", B$24:B$149)</f>
        <v>2.568461538461539</v>
      </c>
      <c r="D227" s="25">
        <f t="shared" si="56"/>
        <v>79.533846153846127</v>
      </c>
      <c r="E227" s="25">
        <f t="shared" si="56"/>
        <v>11.127692307692305</v>
      </c>
      <c r="F227" s="25">
        <f t="shared" si="56"/>
        <v>6.3934615384615388</v>
      </c>
      <c r="G227" s="25">
        <f t="shared" si="56"/>
        <v>9.1919230769230769</v>
      </c>
      <c r="H227" s="25">
        <f t="shared" si="56"/>
        <v>2.6753846153846155</v>
      </c>
      <c r="I227" s="25">
        <f t="shared" si="56"/>
        <v>9.0680769230769247</v>
      </c>
      <c r="J227" s="25">
        <f t="shared" si="56"/>
        <v>20.318846153846152</v>
      </c>
      <c r="K227" s="25">
        <f t="shared" si="56"/>
        <v>40.56807692307693</v>
      </c>
      <c r="L227" s="25">
        <f t="shared" si="56"/>
        <v>0.51769230769230767</v>
      </c>
      <c r="M227" s="25">
        <f t="shared" si="56"/>
        <v>5.0961538461538468E-2</v>
      </c>
      <c r="N227" s="25">
        <f t="shared" si="56"/>
        <v>9.6007692307692292</v>
      </c>
      <c r="O227" s="25">
        <f t="shared" si="56"/>
        <v>0.53392307692307683</v>
      </c>
    </row>
    <row r="228" spans="1:15" ht="15" thickBot="1" x14ac:dyDescent="0.4">
      <c r="A228" s="28">
        <f>COUNTIF($A$24:$A$149, "Arja*Auto")</f>
        <v>26</v>
      </c>
      <c r="B228" s="28" t="s">
        <v>228</v>
      </c>
      <c r="C228" s="29">
        <f t="shared" ref="C228:O228" si="57">AVERAGEIF($A$24:$A$149, "Arja*Auto", B$24:B$149)</f>
        <v>2.4215384615384616</v>
      </c>
      <c r="D228" s="29">
        <f t="shared" si="57"/>
        <v>81.206923076923076</v>
      </c>
      <c r="E228" s="29">
        <f t="shared" si="57"/>
        <v>10.330769230769231</v>
      </c>
      <c r="F228" s="29">
        <f t="shared" si="57"/>
        <v>6.3992307692307691</v>
      </c>
      <c r="G228" s="29">
        <f t="shared" si="57"/>
        <v>8.0784615384615392</v>
      </c>
      <c r="H228" s="29">
        <f t="shared" si="57"/>
        <v>2.4384615384615387</v>
      </c>
      <c r="I228" s="29">
        <f t="shared" si="57"/>
        <v>8.837692307692306</v>
      </c>
      <c r="J228" s="29">
        <f t="shared" si="57"/>
        <v>18.408846153846152</v>
      </c>
      <c r="K228" s="29">
        <f t="shared" si="57"/>
        <v>38.34269230769231</v>
      </c>
      <c r="L228" s="29">
        <f t="shared" si="57"/>
        <v>0.50576923076923075</v>
      </c>
      <c r="M228" s="29">
        <f t="shared" si="57"/>
        <v>5.296153846153847E-2</v>
      </c>
      <c r="N228" s="29">
        <f t="shared" si="57"/>
        <v>10.267307692307693</v>
      </c>
      <c r="O228" s="29">
        <f t="shared" si="57"/>
        <v>0.57084615384615389</v>
      </c>
    </row>
    <row r="229" spans="1:15" x14ac:dyDescent="0.35">
      <c r="A229" s="1">
        <f>COUNTIF($A$24:$A$149, "GenProg*Manual")</f>
        <v>5</v>
      </c>
      <c r="B229" s="1" t="s">
        <v>166</v>
      </c>
      <c r="C229" s="25">
        <f t="shared" ref="C229:O229" si="58">AVERAGEIF($A$24:$A$149, "GenProg*Manual", B$24:B$149)</f>
        <v>1</v>
      </c>
      <c r="D229" s="25">
        <f t="shared" si="58"/>
        <v>74.569999999999993</v>
      </c>
      <c r="E229" s="25">
        <f t="shared" si="58"/>
        <v>11</v>
      </c>
      <c r="F229" s="25">
        <f t="shared" si="58"/>
        <v>9.86</v>
      </c>
      <c r="G229" s="25">
        <f t="shared" si="58"/>
        <v>6.7099999999999991</v>
      </c>
      <c r="H229" s="25">
        <f t="shared" si="58"/>
        <v>2</v>
      </c>
      <c r="I229" s="25">
        <f t="shared" si="58"/>
        <v>11.86</v>
      </c>
      <c r="J229" s="25">
        <f t="shared" si="58"/>
        <v>17.71</v>
      </c>
      <c r="K229" s="25">
        <f t="shared" si="58"/>
        <v>52.8</v>
      </c>
      <c r="L229" s="25">
        <f t="shared" si="58"/>
        <v>2</v>
      </c>
      <c r="M229" s="25">
        <f t="shared" si="58"/>
        <v>0.05</v>
      </c>
      <c r="N229" s="25">
        <f t="shared" si="58"/>
        <v>30.410000000000004</v>
      </c>
      <c r="O229" s="25">
        <f t="shared" si="58"/>
        <v>1.69</v>
      </c>
    </row>
    <row r="230" spans="1:15" ht="15" thickBot="1" x14ac:dyDescent="0.4">
      <c r="A230" s="28">
        <f>COUNTIF($A$24:$A$149, "GenProg*Auto")</f>
        <v>5</v>
      </c>
      <c r="B230" s="28" t="s">
        <v>229</v>
      </c>
      <c r="C230" s="29">
        <f t="shared" ref="C230:O230" si="59">AVERAGEIF($A$24:$A$149, "GenProg*Auto", B$24:B$149)</f>
        <v>1</v>
      </c>
      <c r="D230" s="29">
        <f t="shared" si="59"/>
        <v>73.486000000000004</v>
      </c>
      <c r="E230" s="29">
        <f t="shared" si="59"/>
        <v>11.2</v>
      </c>
      <c r="F230" s="29">
        <f t="shared" si="59"/>
        <v>10.370000000000001</v>
      </c>
      <c r="G230" s="29">
        <f t="shared" si="59"/>
        <v>7.202</v>
      </c>
      <c r="H230" s="29">
        <f t="shared" si="59"/>
        <v>2.2280000000000002</v>
      </c>
      <c r="I230" s="29">
        <f t="shared" si="59"/>
        <v>12.6</v>
      </c>
      <c r="J230" s="29">
        <f t="shared" si="59"/>
        <v>18.398000000000003</v>
      </c>
      <c r="K230" s="29">
        <f t="shared" si="59"/>
        <v>56.54</v>
      </c>
      <c r="L230" s="29">
        <f t="shared" si="59"/>
        <v>1.9440000000000002</v>
      </c>
      <c r="M230" s="29">
        <f t="shared" si="59"/>
        <v>9.8000000000000004E-2</v>
      </c>
      <c r="N230" s="29">
        <f t="shared" si="59"/>
        <v>36.606000000000002</v>
      </c>
      <c r="O230" s="29">
        <f t="shared" si="59"/>
        <v>2.0339999999999998</v>
      </c>
    </row>
    <row r="231" spans="1:15" x14ac:dyDescent="0.35">
      <c r="A231" s="1">
        <f>COUNTIF($A$24:$A$149, "Kali*Manual")</f>
        <v>5</v>
      </c>
      <c r="B231" s="1" t="s">
        <v>167</v>
      </c>
      <c r="C231" s="25">
        <f t="shared" ref="C231:O231" si="60">AVERAGEIF($A$24:$A$149, "Kali*Manual", B$24:B$149)</f>
        <v>3.0960000000000001</v>
      </c>
      <c r="D231" s="25">
        <f t="shared" si="60"/>
        <v>78.08</v>
      </c>
      <c r="E231" s="25">
        <f t="shared" si="60"/>
        <v>12.318000000000001</v>
      </c>
      <c r="F231" s="25">
        <f t="shared" si="60"/>
        <v>6.5879999999999992</v>
      </c>
      <c r="G231" s="25">
        <f t="shared" si="60"/>
        <v>10.571999999999999</v>
      </c>
      <c r="H231" s="25">
        <f t="shared" si="60"/>
        <v>2.8659999999999997</v>
      </c>
      <c r="I231" s="25">
        <f t="shared" si="60"/>
        <v>9.4559999999999995</v>
      </c>
      <c r="J231" s="25">
        <f t="shared" si="60"/>
        <v>22.89</v>
      </c>
      <c r="K231" s="25">
        <f t="shared" si="60"/>
        <v>43.652000000000001</v>
      </c>
      <c r="L231" s="25">
        <f t="shared" si="60"/>
        <v>0.51400000000000001</v>
      </c>
      <c r="M231" s="25">
        <f t="shared" si="60"/>
        <v>1.3000000000000001E-2</v>
      </c>
      <c r="N231" s="25">
        <f t="shared" si="60"/>
        <v>8.7140000000000004</v>
      </c>
      <c r="O231" s="25">
        <f t="shared" si="60"/>
        <v>0.48399999999999999</v>
      </c>
    </row>
    <row r="232" spans="1:15" ht="15" thickBot="1" x14ac:dyDescent="0.4">
      <c r="A232" s="28">
        <f>COUNTIF($A$24:$A$149, "Kali*Auto")</f>
        <v>5</v>
      </c>
      <c r="B232" s="28" t="s">
        <v>230</v>
      </c>
      <c r="C232" s="29">
        <f t="shared" ref="C232:O232" si="61">AVERAGEIF($A$24:$A$149, "Kali*Auto", B$24:B$149)</f>
        <v>3.1340000000000003</v>
      </c>
      <c r="D232" s="29">
        <f t="shared" si="61"/>
        <v>75.86</v>
      </c>
      <c r="E232" s="29">
        <f t="shared" si="61"/>
        <v>11.92</v>
      </c>
      <c r="F232" s="29">
        <f t="shared" si="61"/>
        <v>6.7359999999999998</v>
      </c>
      <c r="G232" s="29">
        <f t="shared" si="61"/>
        <v>10.24</v>
      </c>
      <c r="H232" s="29">
        <f t="shared" si="61"/>
        <v>3.0939999999999999</v>
      </c>
      <c r="I232" s="29">
        <f t="shared" si="61"/>
        <v>9.831999999999999</v>
      </c>
      <c r="J232" s="29">
        <f t="shared" si="61"/>
        <v>22.16</v>
      </c>
      <c r="K232" s="29">
        <f t="shared" si="61"/>
        <v>44.432000000000002</v>
      </c>
      <c r="L232" s="29">
        <f t="shared" si="61"/>
        <v>0.90800000000000003</v>
      </c>
      <c r="M232" s="29">
        <f t="shared" si="61"/>
        <v>0.11112000000000002</v>
      </c>
      <c r="N232" s="29">
        <f t="shared" si="61"/>
        <v>17.521999999999998</v>
      </c>
      <c r="O232" s="29">
        <f t="shared" si="61"/>
        <v>0.97399999999999998</v>
      </c>
    </row>
    <row r="233" spans="1:15" x14ac:dyDescent="0.35">
      <c r="A233" s="1">
        <f>COUNTIF($A$24:$A$149, "Nopol*Manual")</f>
        <v>1</v>
      </c>
      <c r="B233" s="1" t="s">
        <v>168</v>
      </c>
      <c r="C233" s="25">
        <f t="shared" ref="C233:O233" si="62">AVERAGEIF($A$24:$A$149, "Nopol*Manual", B$24:B$149)</f>
        <v>1.49</v>
      </c>
      <c r="D233" s="25">
        <f t="shared" si="62"/>
        <v>89.41</v>
      </c>
      <c r="E233" s="25">
        <f t="shared" si="62"/>
        <v>5.92</v>
      </c>
      <c r="F233" s="25">
        <f t="shared" si="62"/>
        <v>3.31</v>
      </c>
      <c r="G233" s="25">
        <f t="shared" si="62"/>
        <v>3.69</v>
      </c>
      <c r="H233" s="25">
        <f t="shared" si="62"/>
        <v>1.92</v>
      </c>
      <c r="I233" s="25">
        <f t="shared" si="62"/>
        <v>5.23</v>
      </c>
      <c r="J233" s="25">
        <f t="shared" si="62"/>
        <v>9.6199999999999992</v>
      </c>
      <c r="K233" s="25">
        <f t="shared" si="62"/>
        <v>19.39</v>
      </c>
      <c r="L233" s="25">
        <f t="shared" si="62"/>
        <v>0.22</v>
      </c>
      <c r="M233" s="25">
        <f t="shared" si="62"/>
        <v>0.11</v>
      </c>
      <c r="N233" s="25">
        <f t="shared" si="62"/>
        <v>2.4700000000000002</v>
      </c>
      <c r="O233" s="25">
        <f t="shared" si="62"/>
        <v>0.14000000000000001</v>
      </c>
    </row>
    <row r="234" spans="1:15" ht="15" thickBot="1" x14ac:dyDescent="0.4">
      <c r="A234" s="28">
        <f>COUNTIF($A$24:$A$149, "Nopol*Auto")</f>
        <v>1</v>
      </c>
      <c r="B234" s="28" t="s">
        <v>231</v>
      </c>
      <c r="C234" s="29">
        <f t="shared" ref="C234:O234" si="63">AVERAGEIF($A$24:$A$149, "Nopol*Auto", B$24:B$149)</f>
        <v>1.53</v>
      </c>
      <c r="D234" s="29">
        <f t="shared" si="63"/>
        <v>89.38</v>
      </c>
      <c r="E234" s="29">
        <f t="shared" si="63"/>
        <v>5.95</v>
      </c>
      <c r="F234" s="29">
        <f t="shared" si="63"/>
        <v>3.33</v>
      </c>
      <c r="G234" s="29">
        <f t="shared" si="63"/>
        <v>3.82</v>
      </c>
      <c r="H234" s="29">
        <f t="shared" si="63"/>
        <v>1.95</v>
      </c>
      <c r="I234" s="29">
        <f t="shared" si="63"/>
        <v>5.28</v>
      </c>
      <c r="J234" s="29">
        <f t="shared" si="63"/>
        <v>9.77</v>
      </c>
      <c r="K234" s="29">
        <f t="shared" si="63"/>
        <v>19.79</v>
      </c>
      <c r="L234" s="29">
        <f t="shared" si="63"/>
        <v>0.22</v>
      </c>
      <c r="M234" s="29">
        <f t="shared" si="63"/>
        <v>0.11</v>
      </c>
      <c r="N234" s="29">
        <f t="shared" si="63"/>
        <v>2.4700000000000002</v>
      </c>
      <c r="O234" s="29">
        <f t="shared" si="63"/>
        <v>0.14000000000000001</v>
      </c>
    </row>
    <row r="235" spans="1:15" x14ac:dyDescent="0.35">
      <c r="A235" s="1">
        <f>COUNTIF($A$24:$A$149, "RSRepair*Manual")</f>
        <v>5</v>
      </c>
      <c r="B235" s="1" t="s">
        <v>169</v>
      </c>
      <c r="C235" s="25">
        <f t="shared" ref="C235:O235" si="64">AVERAGEIF($A$24:$A$149, "RSRepair*Manual", B$24:B$149)</f>
        <v>1</v>
      </c>
      <c r="D235" s="25">
        <f t="shared" si="64"/>
        <v>74.569999999999993</v>
      </c>
      <c r="E235" s="25">
        <f t="shared" si="64"/>
        <v>11</v>
      </c>
      <c r="F235" s="25">
        <f t="shared" si="64"/>
        <v>9.86</v>
      </c>
      <c r="G235" s="25">
        <f t="shared" si="64"/>
        <v>6.7099999999999991</v>
      </c>
      <c r="H235" s="25">
        <f t="shared" si="64"/>
        <v>2</v>
      </c>
      <c r="I235" s="25">
        <f t="shared" si="64"/>
        <v>11.86</v>
      </c>
      <c r="J235" s="25">
        <f t="shared" si="64"/>
        <v>17.71</v>
      </c>
      <c r="K235" s="25">
        <f t="shared" si="64"/>
        <v>52.8</v>
      </c>
      <c r="L235" s="25">
        <f t="shared" si="64"/>
        <v>2</v>
      </c>
      <c r="M235" s="25">
        <f t="shared" si="64"/>
        <v>0.05</v>
      </c>
      <c r="N235" s="25">
        <f t="shared" si="64"/>
        <v>30.410000000000004</v>
      </c>
      <c r="O235" s="25">
        <f t="shared" si="64"/>
        <v>1.69</v>
      </c>
    </row>
    <row r="236" spans="1:15" ht="15" thickBot="1" x14ac:dyDescent="0.4">
      <c r="A236" s="28">
        <f>COUNTIF($A$24:$A$149, "RSRepair*Auto")</f>
        <v>5</v>
      </c>
      <c r="B236" s="28" t="s">
        <v>232</v>
      </c>
      <c r="C236" s="29">
        <f t="shared" ref="C236:O236" si="65">AVERAGEIF($A$24:$A$149, "RSRepair*Auto", B$24:B$149)</f>
        <v>1</v>
      </c>
      <c r="D236" s="29">
        <f t="shared" si="65"/>
        <v>74.539999999999992</v>
      </c>
      <c r="E236" s="29">
        <f t="shared" si="65"/>
        <v>11.14</v>
      </c>
      <c r="F236" s="29">
        <f t="shared" si="65"/>
        <v>10.056000000000001</v>
      </c>
      <c r="G236" s="29">
        <f t="shared" si="65"/>
        <v>6.6280000000000001</v>
      </c>
      <c r="H236" s="29">
        <f t="shared" si="65"/>
        <v>2.056</v>
      </c>
      <c r="I236" s="29">
        <f t="shared" si="65"/>
        <v>12.114000000000001</v>
      </c>
      <c r="J236" s="29">
        <f t="shared" si="65"/>
        <v>17.772000000000002</v>
      </c>
      <c r="K236" s="29">
        <f t="shared" si="65"/>
        <v>53.898000000000003</v>
      </c>
      <c r="L236" s="29">
        <f t="shared" si="65"/>
        <v>1.8579999999999999</v>
      </c>
      <c r="M236" s="29">
        <f t="shared" si="65"/>
        <v>5.28E-2</v>
      </c>
      <c r="N236" s="29">
        <f t="shared" si="65"/>
        <v>28.931999999999999</v>
      </c>
      <c r="O236" s="29">
        <f t="shared" si="65"/>
        <v>1.6079999999999999</v>
      </c>
    </row>
    <row r="237" spans="1:15" ht="15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</sheetData>
  <sortState ref="A25:O150">
    <sortCondition ref="O25:O150"/>
    <sortCondition ref="A25:A150"/>
  </sortState>
  <mergeCells count="1">
    <mergeCell ref="R168:T168"/>
  </mergeCells>
  <conditionalFormatting sqref="P66:U149">
    <cfRule type="cellIs" dxfId="11" priority="91" operator="greaterThan">
      <formula>$P$70</formula>
    </cfRule>
  </conditionalFormatting>
  <conditionalFormatting sqref="C195:O195 C200:O200 C205:O205 C210:O210 C215:O215 C220:O220 C164:O164 C171:O171 C175:O175 C179:O179 C183:O183 T171:AF171 T175:AF175 T179:AF179 T183:AF183 C187:O187 C227:O227 C229:O229 C231:O231 C233:O233 C235:O235">
    <cfRule type="cellIs" dxfId="10" priority="83" operator="greaterThan">
      <formula>C165</formula>
    </cfRule>
    <cfRule type="cellIs" dxfId="9" priority="85" operator="equal">
      <formula>C165</formula>
    </cfRule>
  </conditionalFormatting>
  <conditionalFormatting sqref="C196:O196 C201:O201 C206:O206 C211:O211 C216:O216 C221:O221 C165:O165 C172:O172 C176:O176 C180:O180 C184:O184 T172:AF172 T176:AF176 T180:AF180 T184:AF184 C188:O188 C228:O228 C230:O230 C232:O232 C234:O234 C236:O236">
    <cfRule type="cellIs" dxfId="8" priority="84" operator="greaterThan">
      <formula>C164</formula>
    </cfRule>
    <cfRule type="cellIs" dxfId="7" priority="86" operator="equal">
      <formula>C164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2023-11-16T10:40:02Z</dcterms:modified>
</cp:coreProperties>
</file>