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ROS\Documents\GitHub\APR-PQA\5. ManyBugs_C_Metrics\"/>
    </mc:Choice>
  </mc:AlternateContent>
  <bookViews>
    <workbookView xWindow="120" yWindow="36" windowWidth="17172" windowHeight="9468"/>
  </bookViews>
  <sheets>
    <sheet name="QueryResult" sheetId="2" r:id="rId1"/>
  </sheets>
  <calcPr calcId="162913"/>
</workbook>
</file>

<file path=xl/calcChain.xml><?xml version="1.0" encoding="utf-8"?>
<calcChain xmlns="http://schemas.openxmlformats.org/spreadsheetml/2006/main">
  <c r="O124" i="2" l="1"/>
  <c r="N124" i="2"/>
  <c r="M124" i="2"/>
  <c r="L124" i="2"/>
  <c r="K124" i="2"/>
  <c r="J124" i="2"/>
  <c r="I124" i="2"/>
  <c r="H124" i="2"/>
  <c r="G124" i="2"/>
  <c r="F124" i="2"/>
  <c r="E124" i="2"/>
  <c r="D124" i="2"/>
  <c r="C124" i="2"/>
  <c r="A124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A122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D131" i="2" s="1"/>
  <c r="R37" i="2"/>
  <c r="R36" i="2"/>
  <c r="R35" i="2"/>
  <c r="R34" i="2"/>
  <c r="R33" i="2"/>
  <c r="R32" i="2"/>
  <c r="D130" i="2" s="1"/>
  <c r="R31" i="2"/>
  <c r="R30" i="2"/>
  <c r="O131" i="2" s="1"/>
  <c r="R29" i="2"/>
  <c r="R28" i="2"/>
  <c r="R27" i="2"/>
  <c r="R26" i="2"/>
  <c r="F102" i="2" s="1"/>
  <c r="R25" i="2"/>
  <c r="R24" i="2"/>
  <c r="E129" i="2" s="1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A123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A121" i="2"/>
  <c r="D106" i="2" l="1"/>
  <c r="I95" i="2"/>
  <c r="G102" i="2"/>
  <c r="E106" i="2"/>
  <c r="C111" i="2"/>
  <c r="O111" i="2"/>
  <c r="M115" i="2"/>
  <c r="G129" i="2"/>
  <c r="E131" i="2"/>
  <c r="H95" i="2"/>
  <c r="A111" i="2"/>
  <c r="F129" i="2"/>
  <c r="J95" i="2"/>
  <c r="H102" i="2"/>
  <c r="F106" i="2"/>
  <c r="D111" i="2"/>
  <c r="A115" i="2"/>
  <c r="N115" i="2"/>
  <c r="H129" i="2"/>
  <c r="F131" i="2"/>
  <c r="K95" i="2"/>
  <c r="I102" i="2"/>
  <c r="G106" i="2"/>
  <c r="E111" i="2"/>
  <c r="C115" i="2"/>
  <c r="O115" i="2"/>
  <c r="I129" i="2"/>
  <c r="G131" i="2"/>
  <c r="E128" i="2"/>
  <c r="L114" i="2"/>
  <c r="O130" i="2"/>
  <c r="L95" i="2"/>
  <c r="J102" i="2"/>
  <c r="H106" i="2"/>
  <c r="F111" i="2"/>
  <c r="D115" i="2"/>
  <c r="J129" i="2"/>
  <c r="H131" i="2"/>
  <c r="M95" i="2"/>
  <c r="K102" i="2"/>
  <c r="I106" i="2"/>
  <c r="G111" i="2"/>
  <c r="E115" i="2"/>
  <c r="K129" i="2"/>
  <c r="I131" i="2"/>
  <c r="N95" i="2"/>
  <c r="L102" i="2"/>
  <c r="J106" i="2"/>
  <c r="H111" i="2"/>
  <c r="F115" i="2"/>
  <c r="L129" i="2"/>
  <c r="J131" i="2"/>
  <c r="C95" i="2"/>
  <c r="O95" i="2"/>
  <c r="M102" i="2"/>
  <c r="K106" i="2"/>
  <c r="I111" i="2"/>
  <c r="G115" i="2"/>
  <c r="M129" i="2"/>
  <c r="K131" i="2"/>
  <c r="N111" i="2"/>
  <c r="D95" i="2"/>
  <c r="A102" i="2"/>
  <c r="N102" i="2"/>
  <c r="L106" i="2"/>
  <c r="J111" i="2"/>
  <c r="H115" i="2"/>
  <c r="A129" i="2"/>
  <c r="N129" i="2"/>
  <c r="L131" i="2"/>
  <c r="L115" i="2"/>
  <c r="E95" i="2"/>
  <c r="C102" i="2"/>
  <c r="O102" i="2"/>
  <c r="M106" i="2"/>
  <c r="K111" i="2"/>
  <c r="I115" i="2"/>
  <c r="C129" i="2"/>
  <c r="O129" i="2"/>
  <c r="M131" i="2"/>
  <c r="F95" i="2"/>
  <c r="D102" i="2"/>
  <c r="A106" i="2"/>
  <c r="N106" i="2"/>
  <c r="L111" i="2"/>
  <c r="J115" i="2"/>
  <c r="D129" i="2"/>
  <c r="A131" i="2"/>
  <c r="N131" i="2"/>
  <c r="G95" i="2"/>
  <c r="E102" i="2"/>
  <c r="C106" i="2"/>
  <c r="O106" i="2"/>
  <c r="M111" i="2"/>
  <c r="K115" i="2"/>
  <c r="C131" i="2"/>
  <c r="I94" i="2"/>
  <c r="G101" i="2"/>
  <c r="E105" i="2"/>
  <c r="C110" i="2"/>
  <c r="O110" i="2"/>
  <c r="M114" i="2"/>
  <c r="G128" i="2"/>
  <c r="E130" i="2"/>
  <c r="D105" i="2"/>
  <c r="F128" i="2"/>
  <c r="J94" i="2"/>
  <c r="H101" i="2"/>
  <c r="F105" i="2"/>
  <c r="D110" i="2"/>
  <c r="A114" i="2"/>
  <c r="N114" i="2"/>
  <c r="H128" i="2"/>
  <c r="F130" i="2"/>
  <c r="K94" i="2"/>
  <c r="I101" i="2"/>
  <c r="G105" i="2"/>
  <c r="E110" i="2"/>
  <c r="C114" i="2"/>
  <c r="O114" i="2"/>
  <c r="I128" i="2"/>
  <c r="G130" i="2"/>
  <c r="L94" i="2"/>
  <c r="J101" i="2"/>
  <c r="H105" i="2"/>
  <c r="F110" i="2"/>
  <c r="D114" i="2"/>
  <c r="J128" i="2"/>
  <c r="H130" i="2"/>
  <c r="M94" i="2"/>
  <c r="K101" i="2"/>
  <c r="I105" i="2"/>
  <c r="G110" i="2"/>
  <c r="E114" i="2"/>
  <c r="K128" i="2"/>
  <c r="I130" i="2"/>
  <c r="N110" i="2"/>
  <c r="N94" i="2"/>
  <c r="L101" i="2"/>
  <c r="J105" i="2"/>
  <c r="H110" i="2"/>
  <c r="F114" i="2"/>
  <c r="L128" i="2"/>
  <c r="J130" i="2"/>
  <c r="C94" i="2"/>
  <c r="O94" i="2"/>
  <c r="M101" i="2"/>
  <c r="K105" i="2"/>
  <c r="I110" i="2"/>
  <c r="G114" i="2"/>
  <c r="M128" i="2"/>
  <c r="K130" i="2"/>
  <c r="F101" i="2"/>
  <c r="D94" i="2"/>
  <c r="A101" i="2"/>
  <c r="N101" i="2"/>
  <c r="L105" i="2"/>
  <c r="J110" i="2"/>
  <c r="H114" i="2"/>
  <c r="A128" i="2"/>
  <c r="N128" i="2"/>
  <c r="L130" i="2"/>
  <c r="A110" i="2"/>
  <c r="E94" i="2"/>
  <c r="C101" i="2"/>
  <c r="O101" i="2"/>
  <c r="M105" i="2"/>
  <c r="K110" i="2"/>
  <c r="I114" i="2"/>
  <c r="C128" i="2"/>
  <c r="O128" i="2"/>
  <c r="M130" i="2"/>
  <c r="F94" i="2"/>
  <c r="D101" i="2"/>
  <c r="A105" i="2"/>
  <c r="N105" i="2"/>
  <c r="L110" i="2"/>
  <c r="J114" i="2"/>
  <c r="D128" i="2"/>
  <c r="A130" i="2"/>
  <c r="N130" i="2"/>
  <c r="H94" i="2"/>
  <c r="G94" i="2"/>
  <c r="E101" i="2"/>
  <c r="C105" i="2"/>
  <c r="O105" i="2"/>
  <c r="M110" i="2"/>
  <c r="K114" i="2"/>
  <c r="C130" i="2"/>
  <c r="O25" i="2" l="1"/>
  <c r="O43" i="2"/>
  <c r="O44" i="2"/>
  <c r="O62" i="2"/>
  <c r="O63" i="2"/>
  <c r="O26" i="2"/>
  <c r="O45" i="2"/>
  <c r="O64" i="2"/>
  <c r="O27" i="2"/>
  <c r="O46" i="2"/>
  <c r="O65" i="2"/>
  <c r="O28" i="2"/>
  <c r="O47" i="2"/>
  <c r="O66" i="2"/>
  <c r="O29" i="2"/>
  <c r="O48" i="2"/>
  <c r="O67" i="2"/>
  <c r="O30" i="2"/>
  <c r="O49" i="2"/>
  <c r="O68" i="2"/>
  <c r="O31" i="2"/>
  <c r="O50" i="2"/>
  <c r="O69" i="2"/>
  <c r="O32" i="2"/>
  <c r="O33" i="2"/>
  <c r="O51" i="2"/>
  <c r="O52" i="2"/>
  <c r="O70" i="2"/>
  <c r="O71" i="2"/>
  <c r="O34" i="2"/>
  <c r="O53" i="2"/>
  <c r="O72" i="2"/>
  <c r="O35" i="2"/>
  <c r="O54" i="2"/>
  <c r="O73" i="2"/>
  <c r="O36" i="2"/>
  <c r="O55" i="2"/>
  <c r="O74" i="2"/>
  <c r="O37" i="2"/>
  <c r="O56" i="2"/>
  <c r="O75" i="2"/>
  <c r="O38" i="2"/>
  <c r="O57" i="2"/>
  <c r="O76" i="2"/>
  <c r="O39" i="2"/>
  <c r="O58" i="2"/>
  <c r="O77" i="2"/>
  <c r="O40" i="2"/>
  <c r="O59" i="2"/>
  <c r="O78" i="2"/>
  <c r="O41" i="2"/>
  <c r="O60" i="2"/>
  <c r="O79" i="2"/>
  <c r="O42" i="2"/>
  <c r="O61" i="2"/>
  <c r="O80" i="2"/>
  <c r="O24" i="2"/>
  <c r="N87" i="2" l="1"/>
  <c r="M87" i="2"/>
  <c r="L87" i="2"/>
  <c r="K87" i="2"/>
  <c r="J87" i="2"/>
  <c r="I87" i="2"/>
  <c r="H87" i="2"/>
  <c r="G87" i="2"/>
  <c r="F87" i="2"/>
  <c r="E87" i="2"/>
  <c r="D87" i="2"/>
  <c r="C87" i="2"/>
  <c r="N86" i="2"/>
  <c r="M86" i="2"/>
  <c r="L86" i="2"/>
  <c r="K86" i="2"/>
  <c r="J86" i="2"/>
  <c r="I86" i="2"/>
  <c r="H86" i="2"/>
  <c r="G86" i="2"/>
  <c r="F86" i="2"/>
  <c r="E86" i="2"/>
  <c r="D86" i="2"/>
  <c r="C86" i="2"/>
  <c r="C85" i="2"/>
  <c r="D85" i="2"/>
  <c r="E85" i="2"/>
  <c r="F85" i="2"/>
  <c r="G85" i="2"/>
  <c r="H85" i="2"/>
  <c r="I85" i="2"/>
  <c r="J85" i="2"/>
  <c r="K85" i="2"/>
  <c r="L85" i="2"/>
  <c r="M85" i="2"/>
  <c r="N85" i="2"/>
  <c r="C84" i="2"/>
  <c r="D84" i="2"/>
  <c r="E84" i="2"/>
  <c r="F84" i="2"/>
  <c r="G84" i="2"/>
  <c r="H84" i="2"/>
  <c r="I84" i="2"/>
  <c r="J84" i="2"/>
  <c r="K84" i="2"/>
  <c r="L84" i="2"/>
  <c r="M84" i="2"/>
  <c r="N84" i="2"/>
  <c r="C83" i="2"/>
  <c r="D83" i="2"/>
  <c r="E83" i="2"/>
  <c r="F83" i="2"/>
  <c r="G83" i="2"/>
  <c r="H83" i="2"/>
  <c r="I83" i="2"/>
  <c r="J83" i="2"/>
  <c r="K83" i="2"/>
  <c r="L83" i="2"/>
  <c r="M83" i="2"/>
  <c r="N83" i="2"/>
  <c r="C82" i="2"/>
  <c r="D82" i="2"/>
  <c r="E82" i="2"/>
  <c r="F82" i="2"/>
  <c r="G82" i="2"/>
  <c r="H82" i="2"/>
  <c r="I82" i="2"/>
  <c r="J82" i="2"/>
  <c r="K82" i="2"/>
  <c r="L82" i="2"/>
  <c r="M82" i="2"/>
  <c r="N82" i="2"/>
  <c r="B87" i="2"/>
  <c r="B86" i="2"/>
  <c r="B85" i="2"/>
  <c r="B84" i="2"/>
  <c r="B83" i="2"/>
  <c r="B82" i="2"/>
  <c r="I93" i="2" l="1"/>
  <c r="L93" i="2"/>
  <c r="H93" i="2"/>
  <c r="G93" i="2"/>
  <c r="F93" i="2"/>
  <c r="E93" i="2"/>
  <c r="D93" i="2"/>
  <c r="C93" i="2"/>
  <c r="O93" i="2"/>
  <c r="N93" i="2"/>
  <c r="J93" i="2"/>
  <c r="M93" i="2"/>
  <c r="K93" i="2"/>
</calcChain>
</file>

<file path=xl/sharedStrings.xml><?xml version="1.0" encoding="utf-8"?>
<sst xmlns="http://schemas.openxmlformats.org/spreadsheetml/2006/main" count="398" uniqueCount="170">
  <si>
    <t>New Project (analysis done Today 06:02 most recent)</t>
  </si>
  <si>
    <r>
      <t>from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Methods</t>
    </r>
  </si>
  <si>
    <r>
      <t>join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Projects</t>
    </r>
  </si>
  <si>
    <r>
      <t>on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m.ParentProject.Name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equals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p.Name </t>
    </r>
  </si>
  <si>
    <r>
      <t>group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by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into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 </t>
    </r>
  </si>
  <si>
    <r>
      <t>select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new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{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g.Key,</t>
    </r>
  </si>
  <si>
    <r>
      <t>  CyclomaticComplexity=g.Key.ChildMethods.Average(m1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m1.CyclomaticComplexity),</t>
    </r>
  </si>
  <si>
    <r>
      <t>  MaintainabilityIndex=g.Key.ChildMethods.Average(m1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m1.MaintainabilityIndex),</t>
    </r>
  </si>
  <si>
    <r>
      <t>  NbUniqueOperands=g.Key.ChildMethods.Average(m1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m1.NbUniqueOperands),</t>
    </r>
  </si>
  <si>
    <r>
      <t>  NbOperands=g.Key.ChildMethods.Average(m1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m1.NbOperands),</t>
    </r>
  </si>
  <si>
    <r>
      <t>  NbUniqueOperators=g.Key.ChildMethods.Average(m1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m1.NbUniqueOperators),</t>
    </r>
  </si>
  <si>
    <r>
      <t>  NbOperators=g.Key.ChildMethods.Average(m1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m1.NbOperators),</t>
    </r>
  </si>
  <si>
    <r>
      <t>  ProgramLength=g.Key.ChildMethods.Average(m1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m1.ProgramLength),  </t>
    </r>
  </si>
  <si>
    <r>
      <t>  VocabularySize=g.Key.ChildMethods.Average(m1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m1.VocabularySize),</t>
    </r>
  </si>
  <si>
    <r>
      <t>  ProgramVolume=g.Key.ChildMethods.Average(m1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m1.ProgramVolume),</t>
    </r>
  </si>
  <si>
    <r>
      <t>  DifficultyLevel=g.Key.ChildMethods.Average(m1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m1.DifficultyLevel),</t>
    </r>
  </si>
  <si>
    <r>
      <t>  ProgramLevel=g.Key.ChildMethods.Average(m1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m1.ProgramLevel),</t>
    </r>
  </si>
  <si>
    <r>
      <t>  EffortToImplement=g.Key.ChildMethods.Average(m1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m1.EffortToImplement),</t>
    </r>
  </si>
  <si>
    <r>
      <t>  TimeToImplement=g.Key.ChildMethods.Average(m1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m1.TimeToImplement),</t>
    </r>
  </si>
  <si>
    <t>}</t>
  </si>
  <si>
    <t>Cyclomatic Complexity (CC)</t>
  </si>
  <si>
    <t>MaintainabilityIndex</t>
  </si>
  <si>
    <t>NbUniqueOperands</t>
  </si>
  <si>
    <t>NbOperands</t>
  </si>
  <si>
    <t>NbUniqueOperators</t>
  </si>
  <si>
    <t>NbOperators</t>
  </si>
  <si>
    <t>ProgramLength</t>
  </si>
  <si>
    <t>VocabularySize</t>
  </si>
  <si>
    <t>ProgramVolume</t>
  </si>
  <si>
    <t>DifficultyLevel</t>
  </si>
  <si>
    <t>ProgramLevel</t>
  </si>
  <si>
    <t>EffortToImplement</t>
  </si>
  <si>
    <t>TimeToImplement</t>
  </si>
  <si>
    <t>angelix-gzip-884ef-buggy</t>
  </si>
  <si>
    <t>8 062</t>
  </si>
  <si>
    <t>angelix-gzip-884ef-buggy-1</t>
  </si>
  <si>
    <t>8 841</t>
  </si>
  <si>
    <t>8 300</t>
  </si>
  <si>
    <t>angelix-libtiff-2e42d-buggy</t>
  </si>
  <si>
    <t>9 244</t>
  </si>
  <si>
    <t>angelix-libtiff-3edb9-buggy</t>
  </si>
  <si>
    <t>1 491</t>
  </si>
  <si>
    <t>angelix-libtiff-865f7-buggy</t>
  </si>
  <si>
    <t>1 107</t>
  </si>
  <si>
    <t>1 102</t>
  </si>
  <si>
    <t>angelix-php-2adf5-buggy</t>
  </si>
  <si>
    <t>2 076</t>
  </si>
  <si>
    <t>prophet-gzip-f17cb-buggy</t>
  </si>
  <si>
    <t>prophet-libtiff-2e42d-buggy</t>
  </si>
  <si>
    <t>9 252</t>
  </si>
  <si>
    <t>prophet-libtiff-865f7-buggy</t>
  </si>
  <si>
    <t>prophet-libtiff-865f7-buggy-1</t>
  </si>
  <si>
    <t>1 110</t>
  </si>
  <si>
    <t>prophet-lighttpd-2662-buggy</t>
  </si>
  <si>
    <t>1 001</t>
  </si>
  <si>
    <t>prophet-php-3acdc-buggy</t>
  </si>
  <si>
    <t>prophet-php-821d7-buggy</t>
  </si>
  <si>
    <t>prophet-php-b8496-buggy</t>
  </si>
  <si>
    <t>prophet-php-d3b20-buggy</t>
  </si>
  <si>
    <t>1 423</t>
  </si>
  <si>
    <t>prophet-php-d4ae4-buggy</t>
  </si>
  <si>
    <t>prophet-php-daecb-buggy</t>
  </si>
  <si>
    <t>prophet-php-f330c-buggy</t>
  </si>
  <si>
    <t>prophet-python-69935-buggy</t>
  </si>
  <si>
    <t>Sum:</t>
  </si>
  <si>
    <t>Average:</t>
  </si>
  <si>
    <t>Minimum:</t>
  </si>
  <si>
    <t>Maximum:</t>
  </si>
  <si>
    <t>Standard deviation:</t>
  </si>
  <si>
    <t>Variance:</t>
  </si>
  <si>
    <t>Version</t>
  </si>
  <si>
    <t>Tool</t>
  </si>
  <si>
    <t>Tool Type</t>
  </si>
  <si>
    <t>Buggy Project</t>
  </si>
  <si>
    <t>gzip-884ef</t>
  </si>
  <si>
    <t>libtiff-2e42d</t>
  </si>
  <si>
    <t>libtiff-3edb9</t>
  </si>
  <si>
    <t>libtiff-865f7</t>
  </si>
  <si>
    <t>php-2adf5</t>
  </si>
  <si>
    <t>lighttpd-2662</t>
  </si>
  <si>
    <t>php-3acdc</t>
  </si>
  <si>
    <t>php-b8496</t>
  </si>
  <si>
    <t>gzip-f17cb</t>
  </si>
  <si>
    <t>php-821d7</t>
  </si>
  <si>
    <t>php-d3b20</t>
  </si>
  <si>
    <t>php-d4ae4</t>
  </si>
  <si>
    <t>php-daecb</t>
  </si>
  <si>
    <t>php-f330c</t>
  </si>
  <si>
    <t>python-69935</t>
  </si>
  <si>
    <t>True Semantic</t>
  </si>
  <si>
    <t>Machine Learning</t>
  </si>
  <si>
    <t>Source Version</t>
  </si>
  <si>
    <t>Cyclomatic Complexity</t>
  </si>
  <si>
    <t>Maintainability Index</t>
  </si>
  <si>
    <t>NbUnique Operands</t>
  </si>
  <si>
    <t>NbUnique Operators</t>
  </si>
  <si>
    <t>Program Length</t>
  </si>
  <si>
    <t>Vocabulary Size</t>
  </si>
  <si>
    <t>Program Volume</t>
  </si>
  <si>
    <t>Difficulty Level</t>
  </si>
  <si>
    <t>Program Level</t>
  </si>
  <si>
    <t>EffortTo Implement</t>
  </si>
  <si>
    <t>TimeTo Implement</t>
  </si>
  <si>
    <t>Avg-Buggy</t>
  </si>
  <si>
    <t>Multi-Hunk &amp; Multi-Line</t>
  </si>
  <si>
    <t>Count</t>
  </si>
  <si>
    <t>* multi - methods</t>
  </si>
  <si>
    <t>Chunks</t>
  </si>
  <si>
    <t>Adds</t>
  </si>
  <si>
    <t>Remove</t>
  </si>
  <si>
    <t>57 projects</t>
  </si>
  <si>
    <t>Update</t>
  </si>
  <si>
    <t>Move</t>
  </si>
  <si>
    <t>Lines</t>
  </si>
  <si>
    <t>angelix-gzip-884ef-manual</t>
  </si>
  <si>
    <t>angelix-gzip-884ef-manual-1</t>
  </si>
  <si>
    <t>angelix-libtiff-2e42d-manual</t>
  </si>
  <si>
    <t>angelix-libtiff-3edb9-manual</t>
  </si>
  <si>
    <t>angelix-libtiff-865f7-manual</t>
  </si>
  <si>
    <t>angelix-php-2adf5-manual</t>
  </si>
  <si>
    <t>prophet-gzip-f17cb-manual</t>
  </si>
  <si>
    <t>prophet-libtiff-2e42d-manual</t>
  </si>
  <si>
    <t>prophet-libtiff-865f7-manual</t>
  </si>
  <si>
    <t>prophet-libtiff-865f7-manual-1</t>
  </si>
  <si>
    <t>prophet-lighttpd-2662-manual</t>
  </si>
  <si>
    <t>prophet-php-3acdc-manual</t>
  </si>
  <si>
    <t>prophet-php-821d7-manual</t>
  </si>
  <si>
    <t>prophet-php-b8496-manual</t>
  </si>
  <si>
    <t>prophet-php-d3b20-manual</t>
  </si>
  <si>
    <t>prophet-php-d4ae4-manual</t>
  </si>
  <si>
    <t>prophet-php-daecb-manual</t>
  </si>
  <si>
    <t>prophet-php-f330c-manual</t>
  </si>
  <si>
    <t>prophet-python-69935-manual</t>
  </si>
  <si>
    <t>Avg-manual</t>
  </si>
  <si>
    <t>Single-Hunk-Avg-manual</t>
  </si>
  <si>
    <t>Multi-Hunk-Avg-manual</t>
  </si>
  <si>
    <t>Single-Line-Avg-manual</t>
  </si>
  <si>
    <t>Multi-Line-Avg-manual</t>
  </si>
  <si>
    <t>Avg-Angelix-manual</t>
  </si>
  <si>
    <t>Avg-Prophet-manual</t>
  </si>
  <si>
    <t>Avg-True Semantic-manual</t>
  </si>
  <si>
    <t>Avg-Machine Learning-manual</t>
  </si>
  <si>
    <t>angelix-gzip-884ef-auto</t>
  </si>
  <si>
    <t>angelix-gzip-884ef-auto-1</t>
  </si>
  <si>
    <t>angelix-libtiff-2e42d-auto</t>
  </si>
  <si>
    <t>angelix-libtiff-3edb9-auto</t>
  </si>
  <si>
    <t>angelix-libtiff-865f7-auto</t>
  </si>
  <si>
    <t>angelix-php-2adf5-auto</t>
  </si>
  <si>
    <t>prophet-gzip-f17cb-auto</t>
  </si>
  <si>
    <t>prophet-libtiff-2e42d-auto</t>
  </si>
  <si>
    <t>prophet-libtiff-865f7-auto</t>
  </si>
  <si>
    <t>prophet-libtiff-865f7-auto-1</t>
  </si>
  <si>
    <t>prophet-lighttpd-2662-auto</t>
  </si>
  <si>
    <t>prophet-php-3acdc-auto</t>
  </si>
  <si>
    <t>prophet-php-821d7-auto</t>
  </si>
  <si>
    <t>prophet-php-b8496-auto</t>
  </si>
  <si>
    <t>prophet-php-d3b20-auto</t>
  </si>
  <si>
    <t>prophet-php-d4ae4-auto</t>
  </si>
  <si>
    <t>prophet-php-daecb-auto</t>
  </si>
  <si>
    <t>prophet-php-f330c-auto</t>
  </si>
  <si>
    <t>prophet-python-69935-auto</t>
  </si>
  <si>
    <t>Avg-auto</t>
  </si>
  <si>
    <t>Single-Hunk-Avg-auto</t>
  </si>
  <si>
    <t>Multi-Hunk-Avg-auto</t>
  </si>
  <si>
    <t>Single-Line-Avg-auto</t>
  </si>
  <si>
    <t>Multi-Line-Avg-auto</t>
  </si>
  <si>
    <t>Avg-Angelix-auto</t>
  </si>
  <si>
    <t>Avg-Prophet-auto</t>
  </si>
  <si>
    <t>Avg-True Semantic-auto</t>
  </si>
  <si>
    <t>Avg-Machine Learning-auto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</si>
</sst>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rebuchet MS"/>
      <family val="2"/>
    </font>
    <font>
      <sz val="10"/>
      <color theme="1"/>
      <name val="Arial Unicode MS"/>
    </font>
    <font>
      <sz val="10"/>
      <color rgb="FF0000FF"/>
      <name val="Arial Unicode MS"/>
    </font>
    <font>
      <sz val="10"/>
      <color rgb="FF000000"/>
      <name val="Arial Unicode MS"/>
    </font>
    <font>
      <b/>
      <sz val="10"/>
      <color rgb="FF000064"/>
      <name val="Arial Unicode MS"/>
    </font>
    <font>
      <b/>
      <sz val="10"/>
      <color rgb="FFFFFFFF"/>
      <name val="Trebuchet MS"/>
      <family val="2"/>
    </font>
    <font>
      <sz val="10"/>
      <color rgb="FF000055"/>
      <name val="Trebuchet MS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6F6F6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D0D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8">
    <xf numFmtId="0" fontId="0" fillId="0" borderId="0" xfId="0"/>
    <xf numFmtId="0" fontId="18" fillId="0" borderId="0" xfId="0" applyFont="1"/>
    <xf numFmtId="0" fontId="20" fillId="0" borderId="0" xfId="0" applyFont="1"/>
    <xf numFmtId="0" fontId="20" fillId="33" borderId="0" xfId="0" applyFont="1" applyFill="1"/>
    <xf numFmtId="0" fontId="21" fillId="0" borderId="0" xfId="0" applyFont="1"/>
    <xf numFmtId="0" fontId="21" fillId="33" borderId="0" xfId="0" applyFont="1" applyFill="1"/>
    <xf numFmtId="0" fontId="24" fillId="35" borderId="10" xfId="0" applyFont="1" applyFill="1" applyBorder="1" applyAlignment="1">
      <alignment horizontal="left" wrapText="1"/>
    </xf>
    <xf numFmtId="0" fontId="24" fillId="35" borderId="10" xfId="0" applyFont="1" applyFill="1" applyBorder="1" applyAlignment="1">
      <alignment horizontal="right" wrapText="1"/>
    </xf>
    <xf numFmtId="0" fontId="24" fillId="36" borderId="10" xfId="0" applyFont="1" applyFill="1" applyBorder="1" applyAlignment="1">
      <alignment horizontal="left" wrapText="1"/>
    </xf>
    <xf numFmtId="0" fontId="24" fillId="36" borderId="10" xfId="0" applyFont="1" applyFill="1" applyBorder="1" applyAlignment="1">
      <alignment horizontal="right" wrapText="1"/>
    </xf>
    <xf numFmtId="0" fontId="24" fillId="37" borderId="10" xfId="0" applyFont="1" applyFill="1" applyBorder="1" applyAlignment="1">
      <alignment horizontal="right" wrapText="1"/>
    </xf>
    <xf numFmtId="0" fontId="24" fillId="38" borderId="10" xfId="0" applyFont="1" applyFill="1" applyBorder="1" applyAlignment="1">
      <alignment horizontal="right" wrapText="1"/>
    </xf>
    <xf numFmtId="0" fontId="24" fillId="39" borderId="10" xfId="0" applyFont="1" applyFill="1" applyBorder="1" applyAlignment="1">
      <alignment horizontal="right" wrapText="1"/>
    </xf>
    <xf numFmtId="0" fontId="23" fillId="34" borderId="1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24" fillId="35" borderId="10" xfId="0" applyFont="1" applyFill="1" applyBorder="1" applyAlignment="1">
      <alignment horizontal="center" vertical="center" wrapText="1"/>
    </xf>
    <xf numFmtId="2" fontId="24" fillId="39" borderId="10" xfId="0" applyNumberFormat="1" applyFont="1" applyFill="1" applyBorder="1" applyAlignment="1">
      <alignment horizontal="right" wrapText="1"/>
    </xf>
    <xf numFmtId="2" fontId="24" fillId="37" borderId="10" xfId="0" applyNumberFormat="1" applyFont="1" applyFill="1" applyBorder="1" applyAlignment="1">
      <alignment horizontal="right" wrapText="1"/>
    </xf>
    <xf numFmtId="0" fontId="24" fillId="35" borderId="12" xfId="0" applyFont="1" applyFill="1" applyBorder="1" applyAlignment="1">
      <alignment horizontal="left" wrapText="1"/>
    </xf>
    <xf numFmtId="0" fontId="24" fillId="35" borderId="12" xfId="0" applyFont="1" applyFill="1" applyBorder="1" applyAlignment="1">
      <alignment horizontal="right" wrapText="1"/>
    </xf>
    <xf numFmtId="0" fontId="24" fillId="35" borderId="12" xfId="0" applyFont="1" applyFill="1" applyBorder="1" applyAlignment="1">
      <alignment horizontal="center" vertical="center" wrapText="1"/>
    </xf>
    <xf numFmtId="0" fontId="24" fillId="36" borderId="11" xfId="0" applyFont="1" applyFill="1" applyBorder="1" applyAlignment="1">
      <alignment horizontal="left" wrapText="1"/>
    </xf>
    <xf numFmtId="0" fontId="24" fillId="36" borderId="11" xfId="0" applyFont="1" applyFill="1" applyBorder="1" applyAlignment="1">
      <alignment horizontal="right" wrapText="1"/>
    </xf>
    <xf numFmtId="0" fontId="24" fillId="35" borderId="11" xfId="0" applyFont="1" applyFill="1" applyBorder="1" applyAlignment="1">
      <alignment horizontal="center" vertical="center" wrapText="1"/>
    </xf>
    <xf numFmtId="0" fontId="24" fillId="35" borderId="11" xfId="0" applyFont="1" applyFill="1" applyBorder="1" applyAlignment="1">
      <alignment horizontal="left" wrapText="1"/>
    </xf>
    <xf numFmtId="0" fontId="24" fillId="35" borderId="11" xfId="0" applyFont="1" applyFill="1" applyBorder="1" applyAlignment="1">
      <alignment horizontal="right" wrapText="1"/>
    </xf>
    <xf numFmtId="0" fontId="18" fillId="40" borderId="0" xfId="0" applyFont="1" applyFill="1" applyAlignment="1">
      <alignment horizontal="center" vertical="center" wrapText="1"/>
    </xf>
    <xf numFmtId="0" fontId="18" fillId="40" borderId="0" xfId="0" applyFont="1" applyFill="1"/>
    <xf numFmtId="164" fontId="18" fillId="40" borderId="0" xfId="0" applyNumberFormat="1" applyFont="1" applyFill="1" applyBorder="1"/>
    <xf numFmtId="164" fontId="18" fillId="0" borderId="0" xfId="0" applyNumberFormat="1" applyFont="1" applyFill="1"/>
    <xf numFmtId="0" fontId="18" fillId="0" borderId="0" xfId="0" applyFont="1" applyBorder="1"/>
    <xf numFmtId="164" fontId="18" fillId="0" borderId="0" xfId="0" applyNumberFormat="1" applyFont="1" applyFill="1" applyBorder="1"/>
    <xf numFmtId="0" fontId="18" fillId="40" borderId="0" xfId="0" applyFont="1" applyFill="1" applyBorder="1"/>
    <xf numFmtId="0" fontId="18" fillId="0" borderId="13" xfId="0" applyFont="1" applyBorder="1"/>
    <xf numFmtId="164" fontId="18" fillId="0" borderId="13" xfId="0" applyNumberFormat="1" applyFont="1" applyFill="1" applyBorder="1"/>
    <xf numFmtId="164" fontId="18" fillId="40" borderId="0" xfId="0" applyNumberFormat="1" applyFont="1" applyFill="1"/>
    <xf numFmtId="0" fontId="18" fillId="41" borderId="0" xfId="0" applyFont="1" applyFill="1" applyAlignment="1">
      <alignment horizontal="center" vertical="center" wrapText="1"/>
    </xf>
    <xf numFmtId="0" fontId="23" fillId="34" borderId="0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1"/>
  <sheetViews>
    <sheetView showGridLines="0" tabSelected="1" topLeftCell="K27" zoomScale="55" zoomScaleNormal="55" workbookViewId="0">
      <selection activeCell="S43" sqref="S43:X80"/>
    </sheetView>
  </sheetViews>
  <sheetFormatPr defaultColWidth="9.109375" defaultRowHeight="14.4" x14ac:dyDescent="0.35"/>
  <cols>
    <col min="1" max="1" width="29.6640625" style="1" bestFit="1" customWidth="1"/>
    <col min="2" max="2" width="25.6640625" style="1" bestFit="1" customWidth="1"/>
    <col min="3" max="3" width="19.33203125" style="1" bestFit="1" customWidth="1"/>
    <col min="4" max="4" width="18.44140625" style="1" bestFit="1" customWidth="1"/>
    <col min="5" max="5" width="11.88671875" style="1" bestFit="1" customWidth="1"/>
    <col min="6" max="6" width="18.6640625" style="1" bestFit="1" customWidth="1"/>
    <col min="7" max="7" width="12.109375" style="1" bestFit="1" customWidth="1"/>
    <col min="8" max="9" width="14.5546875" style="1" bestFit="1" customWidth="1"/>
    <col min="10" max="10" width="15" style="1" bestFit="1" customWidth="1"/>
    <col min="11" max="11" width="13.88671875" style="1" bestFit="1" customWidth="1"/>
    <col min="12" max="12" width="13.109375" style="1" bestFit="1" customWidth="1"/>
    <col min="13" max="13" width="17.6640625" style="1" bestFit="1" customWidth="1"/>
    <col min="14" max="14" width="16.88671875" style="1" bestFit="1" customWidth="1"/>
    <col min="15" max="15" width="14.109375" style="1" customWidth="1"/>
    <col min="16" max="16" width="21.21875" style="1" customWidth="1"/>
    <col min="17" max="17" width="14.109375" style="1" customWidth="1"/>
    <col min="18" max="18" width="11.109375" style="1" customWidth="1"/>
    <col min="19" max="16384" width="9.109375" style="1"/>
  </cols>
  <sheetData>
    <row r="1" spans="1:1" x14ac:dyDescent="0.35">
      <c r="A1" s="1" t="s">
        <v>0</v>
      </c>
    </row>
    <row r="3" spans="1:1" x14ac:dyDescent="0.35">
      <c r="A3" s="2" t="s">
        <v>1</v>
      </c>
    </row>
    <row r="4" spans="1:1" x14ac:dyDescent="0.35">
      <c r="A4" s="3" t="s">
        <v>2</v>
      </c>
    </row>
    <row r="5" spans="1:1" x14ac:dyDescent="0.35">
      <c r="A5" s="3" t="s">
        <v>3</v>
      </c>
    </row>
    <row r="6" spans="1:1" x14ac:dyDescent="0.35">
      <c r="A6" s="3" t="s">
        <v>4</v>
      </c>
    </row>
    <row r="7" spans="1:1" x14ac:dyDescent="0.35">
      <c r="A7" s="3" t="s">
        <v>5</v>
      </c>
    </row>
    <row r="8" spans="1:1" x14ac:dyDescent="0.35">
      <c r="A8" s="5" t="s">
        <v>6</v>
      </c>
    </row>
    <row r="9" spans="1:1" x14ac:dyDescent="0.35">
      <c r="A9" s="5" t="s">
        <v>7</v>
      </c>
    </row>
    <row r="10" spans="1:1" x14ac:dyDescent="0.35">
      <c r="A10" s="5" t="s">
        <v>8</v>
      </c>
    </row>
    <row r="11" spans="1:1" x14ac:dyDescent="0.35">
      <c r="A11" s="5" t="s">
        <v>9</v>
      </c>
    </row>
    <row r="12" spans="1:1" x14ac:dyDescent="0.35">
      <c r="A12" s="5" t="s">
        <v>10</v>
      </c>
    </row>
    <row r="13" spans="1:1" x14ac:dyDescent="0.35">
      <c r="A13" s="5" t="s">
        <v>11</v>
      </c>
    </row>
    <row r="14" spans="1:1" x14ac:dyDescent="0.35">
      <c r="A14" s="5" t="s">
        <v>12</v>
      </c>
    </row>
    <row r="15" spans="1:1" x14ac:dyDescent="0.35">
      <c r="A15" s="5" t="s">
        <v>13</v>
      </c>
    </row>
    <row r="16" spans="1:1" x14ac:dyDescent="0.35">
      <c r="A16" s="5" t="s">
        <v>14</v>
      </c>
    </row>
    <row r="17" spans="1:24" x14ac:dyDescent="0.35">
      <c r="A17" s="5" t="s">
        <v>15</v>
      </c>
    </row>
    <row r="18" spans="1:24" x14ac:dyDescent="0.35">
      <c r="A18" s="5" t="s">
        <v>16</v>
      </c>
    </row>
    <row r="19" spans="1:24" x14ac:dyDescent="0.35">
      <c r="A19" s="5" t="s">
        <v>17</v>
      </c>
    </row>
    <row r="20" spans="1:24" x14ac:dyDescent="0.35">
      <c r="A20" s="5" t="s">
        <v>18</v>
      </c>
    </row>
    <row r="21" spans="1:24" x14ac:dyDescent="0.35">
      <c r="A21" s="5" t="s">
        <v>19</v>
      </c>
    </row>
    <row r="22" spans="1:24" ht="28.8" x14ac:dyDescent="0.35">
      <c r="A22" s="4"/>
      <c r="S22" s="36" t="s">
        <v>106</v>
      </c>
    </row>
    <row r="23" spans="1:24" s="14" customFormat="1" ht="28.8" x14ac:dyDescent="0.3">
      <c r="A23" s="13" t="s">
        <v>110</v>
      </c>
      <c r="B23" s="13" t="s">
        <v>20</v>
      </c>
      <c r="C23" s="13" t="s">
        <v>21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  <c r="L23" s="13" t="s">
        <v>30</v>
      </c>
      <c r="M23" s="13" t="s">
        <v>31</v>
      </c>
      <c r="N23" s="13" t="s">
        <v>32</v>
      </c>
      <c r="O23" s="13" t="s">
        <v>71</v>
      </c>
      <c r="P23" s="13" t="s">
        <v>72</v>
      </c>
      <c r="Q23" s="13" t="s">
        <v>73</v>
      </c>
      <c r="R23" s="13" t="s">
        <v>70</v>
      </c>
      <c r="S23" s="37" t="s">
        <v>107</v>
      </c>
      <c r="T23" s="37" t="s">
        <v>108</v>
      </c>
      <c r="U23" s="37" t="s">
        <v>109</v>
      </c>
      <c r="V23" s="37" t="s">
        <v>111</v>
      </c>
      <c r="W23" s="37" t="s">
        <v>112</v>
      </c>
      <c r="X23" s="37" t="s">
        <v>113</v>
      </c>
    </row>
    <row r="24" spans="1:24" x14ac:dyDescent="0.35">
      <c r="A24" s="6" t="s">
        <v>33</v>
      </c>
      <c r="B24" s="7">
        <v>9.57</v>
      </c>
      <c r="C24" s="7">
        <v>72.290000000000006</v>
      </c>
      <c r="D24" s="7">
        <v>15.14</v>
      </c>
      <c r="E24" s="7">
        <v>28.86</v>
      </c>
      <c r="F24" s="7">
        <v>8.86</v>
      </c>
      <c r="G24" s="7">
        <v>37.71</v>
      </c>
      <c r="H24" s="7">
        <v>66.569999999999993</v>
      </c>
      <c r="I24" s="7">
        <v>24</v>
      </c>
      <c r="J24" s="7">
        <v>393.81</v>
      </c>
      <c r="K24" s="7">
        <v>6.57</v>
      </c>
      <c r="L24" s="7">
        <v>0.23</v>
      </c>
      <c r="M24" s="7" t="s">
        <v>34</v>
      </c>
      <c r="N24" s="7">
        <v>447.91</v>
      </c>
      <c r="O24" s="15" t="str">
        <f t="shared" ref="O24" si="0">LEFT($A24,FIND("-",$A24)-1)</f>
        <v>angelix</v>
      </c>
      <c r="P24" s="15" t="s">
        <v>89</v>
      </c>
      <c r="Q24" s="15" t="s">
        <v>74</v>
      </c>
      <c r="R24" s="15" t="str">
        <f>IF(NOT(ISERR(SEARCH("*-buggy",$A24))), "Buggy", IF(NOT(ISERR(SEARCH("*-manual",$A24))), "manual", IF(NOT(ISERR(SEARCH("*-auto",$A24))), "auto", "")))</f>
        <v>Buggy</v>
      </c>
      <c r="S24" s="15"/>
      <c r="T24" s="15"/>
      <c r="U24" s="15"/>
      <c r="V24" s="15"/>
      <c r="W24" s="15"/>
      <c r="X24" s="15"/>
    </row>
    <row r="25" spans="1:24" x14ac:dyDescent="0.35">
      <c r="A25" s="8" t="s">
        <v>35</v>
      </c>
      <c r="B25" s="9">
        <v>9.57</v>
      </c>
      <c r="C25" s="9">
        <v>72.290000000000006</v>
      </c>
      <c r="D25" s="9">
        <v>15.14</v>
      </c>
      <c r="E25" s="9">
        <v>28.86</v>
      </c>
      <c r="F25" s="9">
        <v>8.86</v>
      </c>
      <c r="G25" s="9">
        <v>37.71</v>
      </c>
      <c r="H25" s="9">
        <v>66.569999999999993</v>
      </c>
      <c r="I25" s="9">
        <v>24</v>
      </c>
      <c r="J25" s="9">
        <v>393.81</v>
      </c>
      <c r="K25" s="9">
        <v>6.57</v>
      </c>
      <c r="L25" s="9">
        <v>0.23</v>
      </c>
      <c r="M25" s="9" t="s">
        <v>34</v>
      </c>
      <c r="N25" s="9">
        <v>447.91</v>
      </c>
      <c r="O25" s="15" t="str">
        <f t="shared" ref="O25:O36" si="1">LEFT($A25,FIND("-",$A25)-1)</f>
        <v>angelix</v>
      </c>
      <c r="P25" s="15" t="s">
        <v>89</v>
      </c>
      <c r="Q25" s="15" t="s">
        <v>74</v>
      </c>
      <c r="R25" s="15" t="str">
        <f>IF(NOT(ISERR(SEARCH("*-buggy",$A25))), "Buggy", IF(NOT(ISERR(SEARCH("*-manual",$A25))), "manual", IF(NOT(ISERR(SEARCH("*-auto",$A25))), "auto", "")))</f>
        <v>Buggy</v>
      </c>
      <c r="S25" s="15"/>
      <c r="T25" s="15"/>
      <c r="U25" s="15"/>
      <c r="V25" s="15"/>
      <c r="W25" s="15"/>
      <c r="X25" s="15"/>
    </row>
    <row r="26" spans="1:24" x14ac:dyDescent="0.35">
      <c r="A26" s="6" t="s">
        <v>38</v>
      </c>
      <c r="B26" s="7">
        <v>5.42</v>
      </c>
      <c r="C26" s="7">
        <v>69.06</v>
      </c>
      <c r="D26" s="7">
        <v>17.03</v>
      </c>
      <c r="E26" s="7">
        <v>39.14</v>
      </c>
      <c r="F26" s="7">
        <v>7.4</v>
      </c>
      <c r="G26" s="7">
        <v>39.700000000000003</v>
      </c>
      <c r="H26" s="7">
        <v>78.84</v>
      </c>
      <c r="I26" s="7">
        <v>24.43</v>
      </c>
      <c r="J26" s="7">
        <v>436.88</v>
      </c>
      <c r="K26" s="7">
        <v>6.54</v>
      </c>
      <c r="L26" s="7">
        <v>0.15</v>
      </c>
      <c r="M26" s="7" t="s">
        <v>39</v>
      </c>
      <c r="N26" s="7">
        <v>513.53</v>
      </c>
      <c r="O26" s="15" t="str">
        <f t="shared" si="1"/>
        <v>angelix</v>
      </c>
      <c r="P26" s="15" t="s">
        <v>89</v>
      </c>
      <c r="Q26" s="15" t="s">
        <v>75</v>
      </c>
      <c r="R26" s="15" t="str">
        <f>IF(NOT(ISERR(SEARCH("*-buggy",$A26))), "Buggy", IF(NOT(ISERR(SEARCH("*-manual",$A26))), "manual", IF(NOT(ISERR(SEARCH("*-auto",$A26))), "auto", "")))</f>
        <v>Buggy</v>
      </c>
      <c r="S26" s="15"/>
      <c r="T26" s="15"/>
      <c r="U26" s="15"/>
      <c r="V26" s="15"/>
      <c r="W26" s="15"/>
      <c r="X26" s="15"/>
    </row>
    <row r="27" spans="1:24" x14ac:dyDescent="0.35">
      <c r="A27" s="8" t="s">
        <v>40</v>
      </c>
      <c r="B27" s="9">
        <v>5.26</v>
      </c>
      <c r="C27" s="9">
        <v>69.78</v>
      </c>
      <c r="D27" s="9">
        <v>10.48</v>
      </c>
      <c r="E27" s="9">
        <v>18.22</v>
      </c>
      <c r="F27" s="9">
        <v>7.04</v>
      </c>
      <c r="G27" s="9">
        <v>26</v>
      </c>
      <c r="H27" s="9">
        <v>44.22</v>
      </c>
      <c r="I27" s="9">
        <v>17.52</v>
      </c>
      <c r="J27" s="9">
        <v>199.62</v>
      </c>
      <c r="K27" s="9">
        <v>3.74</v>
      </c>
      <c r="L27" s="9">
        <v>0.36</v>
      </c>
      <c r="M27" s="9" t="s">
        <v>41</v>
      </c>
      <c r="N27" s="9">
        <v>82.83</v>
      </c>
      <c r="O27" s="15" t="str">
        <f t="shared" si="1"/>
        <v>angelix</v>
      </c>
      <c r="P27" s="15" t="s">
        <v>89</v>
      </c>
      <c r="Q27" s="15" t="s">
        <v>76</v>
      </c>
      <c r="R27" s="15" t="str">
        <f>IF(NOT(ISERR(SEARCH("*-buggy",$A27))), "Buggy", IF(NOT(ISERR(SEARCH("*-manual",$A27))), "manual", IF(NOT(ISERR(SEARCH("*-auto",$A27))), "auto", "")))</f>
        <v>Buggy</v>
      </c>
      <c r="S27" s="15"/>
      <c r="T27" s="15"/>
      <c r="U27" s="15"/>
      <c r="V27" s="15"/>
      <c r="W27" s="15"/>
      <c r="X27" s="15"/>
    </row>
    <row r="28" spans="1:24" x14ac:dyDescent="0.35">
      <c r="A28" s="6" t="s">
        <v>42</v>
      </c>
      <c r="B28" s="7">
        <v>4.2699999999999996</v>
      </c>
      <c r="C28" s="7">
        <v>78.92</v>
      </c>
      <c r="D28" s="7">
        <v>11.16</v>
      </c>
      <c r="E28" s="7">
        <v>21.66</v>
      </c>
      <c r="F28" s="7">
        <v>5.35</v>
      </c>
      <c r="G28" s="7">
        <v>19.75</v>
      </c>
      <c r="H28" s="7">
        <v>41.42</v>
      </c>
      <c r="I28" s="7">
        <v>16.510000000000002</v>
      </c>
      <c r="J28" s="7">
        <v>179.4</v>
      </c>
      <c r="K28" s="7">
        <v>3.66</v>
      </c>
      <c r="L28" s="7">
        <v>0.37</v>
      </c>
      <c r="M28" s="7" t="s">
        <v>43</v>
      </c>
      <c r="N28" s="7">
        <v>61.5</v>
      </c>
      <c r="O28" s="15" t="str">
        <f t="shared" si="1"/>
        <v>angelix</v>
      </c>
      <c r="P28" s="15" t="s">
        <v>89</v>
      </c>
      <c r="Q28" s="15" t="s">
        <v>77</v>
      </c>
      <c r="R28" s="15" t="str">
        <f>IF(NOT(ISERR(SEARCH("*-buggy",$A28))), "Buggy", IF(NOT(ISERR(SEARCH("*-manual",$A28))), "manual", IF(NOT(ISERR(SEARCH("*-auto",$A28))), "auto", "")))</f>
        <v>Buggy</v>
      </c>
      <c r="S28" s="15"/>
      <c r="T28" s="15"/>
      <c r="U28" s="15"/>
      <c r="V28" s="15"/>
      <c r="W28" s="15"/>
      <c r="X28" s="15"/>
    </row>
    <row r="29" spans="1:24" x14ac:dyDescent="0.35">
      <c r="A29" s="8" t="s">
        <v>45</v>
      </c>
      <c r="B29" s="9">
        <v>7.75</v>
      </c>
      <c r="C29" s="9">
        <v>74.5</v>
      </c>
      <c r="D29" s="9">
        <v>12.88</v>
      </c>
      <c r="E29" s="9">
        <v>20.38</v>
      </c>
      <c r="F29" s="9">
        <v>6.12</v>
      </c>
      <c r="G29" s="9">
        <v>28</v>
      </c>
      <c r="H29" s="9">
        <v>48.38</v>
      </c>
      <c r="I29" s="9">
        <v>19</v>
      </c>
      <c r="J29" s="9">
        <v>266.76</v>
      </c>
      <c r="K29" s="9">
        <v>3.25</v>
      </c>
      <c r="L29" s="9">
        <v>0.37</v>
      </c>
      <c r="M29" s="9" t="s">
        <v>46</v>
      </c>
      <c r="N29" s="9">
        <v>115.31</v>
      </c>
      <c r="O29" s="15" t="str">
        <f t="shared" si="1"/>
        <v>angelix</v>
      </c>
      <c r="P29" s="15" t="s">
        <v>89</v>
      </c>
      <c r="Q29" s="15" t="s">
        <v>78</v>
      </c>
      <c r="R29" s="15" t="str">
        <f>IF(NOT(ISERR(SEARCH("*-buggy",$A29))), "Buggy", IF(NOT(ISERR(SEARCH("*-manual",$A29))), "manual", IF(NOT(ISERR(SEARCH("*-auto",$A29))), "auto", "")))</f>
        <v>Buggy</v>
      </c>
      <c r="S29" s="15"/>
      <c r="T29" s="15"/>
      <c r="U29" s="15"/>
      <c r="V29" s="15"/>
      <c r="W29" s="15"/>
      <c r="X29" s="15"/>
    </row>
    <row r="30" spans="1:24" x14ac:dyDescent="0.35">
      <c r="A30" s="6" t="s">
        <v>47</v>
      </c>
      <c r="B30" s="7">
        <v>2.5</v>
      </c>
      <c r="C30" s="7">
        <v>80</v>
      </c>
      <c r="D30" s="7">
        <v>6.5</v>
      </c>
      <c r="E30" s="7">
        <v>11.17</v>
      </c>
      <c r="F30" s="7">
        <v>6.17</v>
      </c>
      <c r="G30" s="7">
        <v>11.17</v>
      </c>
      <c r="H30" s="7">
        <v>22.33</v>
      </c>
      <c r="I30" s="7">
        <v>12.67</v>
      </c>
      <c r="J30" s="7">
        <v>98.48</v>
      </c>
      <c r="K30" s="7">
        <v>3.67</v>
      </c>
      <c r="L30" s="7">
        <v>0.26</v>
      </c>
      <c r="M30" s="7">
        <v>742.82</v>
      </c>
      <c r="N30" s="7">
        <v>41.27</v>
      </c>
      <c r="O30" s="15" t="str">
        <f t="shared" si="1"/>
        <v>prophet</v>
      </c>
      <c r="P30" s="15" t="s">
        <v>90</v>
      </c>
      <c r="Q30" s="15" t="s">
        <v>82</v>
      </c>
      <c r="R30" s="15" t="str">
        <f>IF(NOT(ISERR(SEARCH("*-buggy",$A30))), "Buggy", IF(NOT(ISERR(SEARCH("*-manual",$A30))), "manual", IF(NOT(ISERR(SEARCH("*-auto",$A30))), "auto", "")))</f>
        <v>Buggy</v>
      </c>
      <c r="S30" s="15"/>
      <c r="T30" s="15"/>
      <c r="U30" s="15"/>
      <c r="V30" s="15"/>
      <c r="W30" s="15"/>
      <c r="X30" s="15"/>
    </row>
    <row r="31" spans="1:24" x14ac:dyDescent="0.35">
      <c r="A31" s="8" t="s">
        <v>48</v>
      </c>
      <c r="B31" s="9">
        <v>5.42</v>
      </c>
      <c r="C31" s="9">
        <v>69.06</v>
      </c>
      <c r="D31" s="9">
        <v>17.03</v>
      </c>
      <c r="E31" s="9">
        <v>39.14</v>
      </c>
      <c r="F31" s="9">
        <v>7.4</v>
      </c>
      <c r="G31" s="9">
        <v>39.700000000000003</v>
      </c>
      <c r="H31" s="9">
        <v>78.84</v>
      </c>
      <c r="I31" s="9">
        <v>24.43</v>
      </c>
      <c r="J31" s="9">
        <v>436.88</v>
      </c>
      <c r="K31" s="9">
        <v>6.54</v>
      </c>
      <c r="L31" s="9">
        <v>0.15</v>
      </c>
      <c r="M31" s="9" t="s">
        <v>39</v>
      </c>
      <c r="N31" s="9">
        <v>513.53</v>
      </c>
      <c r="O31" s="15" t="str">
        <f t="shared" si="1"/>
        <v>prophet</v>
      </c>
      <c r="P31" s="15" t="s">
        <v>90</v>
      </c>
      <c r="Q31" s="15" t="s">
        <v>75</v>
      </c>
      <c r="R31" s="15" t="str">
        <f>IF(NOT(ISERR(SEARCH("*-buggy",$A31))), "Buggy", IF(NOT(ISERR(SEARCH("*-manual",$A31))), "manual", IF(NOT(ISERR(SEARCH("*-auto",$A31))), "auto", "")))</f>
        <v>Buggy</v>
      </c>
      <c r="S31" s="15"/>
      <c r="T31" s="15"/>
      <c r="U31" s="15"/>
      <c r="V31" s="15"/>
      <c r="W31" s="15"/>
      <c r="X31" s="15"/>
    </row>
    <row r="32" spans="1:24" x14ac:dyDescent="0.35">
      <c r="A32" s="6" t="s">
        <v>50</v>
      </c>
      <c r="B32" s="7">
        <v>4.2699999999999996</v>
      </c>
      <c r="C32" s="7">
        <v>78.92</v>
      </c>
      <c r="D32" s="7">
        <v>11.16</v>
      </c>
      <c r="E32" s="7">
        <v>21.66</v>
      </c>
      <c r="F32" s="7">
        <v>5.35</v>
      </c>
      <c r="G32" s="7">
        <v>19.75</v>
      </c>
      <c r="H32" s="7">
        <v>41.42</v>
      </c>
      <c r="I32" s="7">
        <v>16.510000000000002</v>
      </c>
      <c r="J32" s="7">
        <v>179.4</v>
      </c>
      <c r="K32" s="7">
        <v>3.66</v>
      </c>
      <c r="L32" s="7">
        <v>0.37</v>
      </c>
      <c r="M32" s="7" t="s">
        <v>43</v>
      </c>
      <c r="N32" s="7">
        <v>61.5</v>
      </c>
      <c r="O32" s="15" t="str">
        <f t="shared" si="1"/>
        <v>prophet</v>
      </c>
      <c r="P32" s="15" t="s">
        <v>90</v>
      </c>
      <c r="Q32" s="15" t="s">
        <v>77</v>
      </c>
      <c r="R32" s="15" t="str">
        <f>IF(NOT(ISERR(SEARCH("*-buggy",$A32))), "Buggy", IF(NOT(ISERR(SEARCH("*-manual",$A32))), "manual", IF(NOT(ISERR(SEARCH("*-auto",$A32))), "auto", "")))</f>
        <v>Buggy</v>
      </c>
      <c r="S32" s="15"/>
      <c r="T32" s="15"/>
      <c r="U32" s="15"/>
      <c r="V32" s="15"/>
      <c r="W32" s="15"/>
      <c r="X32" s="15"/>
    </row>
    <row r="33" spans="1:24" x14ac:dyDescent="0.35">
      <c r="A33" s="8" t="s">
        <v>51</v>
      </c>
      <c r="B33" s="9">
        <v>4.2699999999999996</v>
      </c>
      <c r="C33" s="9">
        <v>78.92</v>
      </c>
      <c r="D33" s="9">
        <v>11.16</v>
      </c>
      <c r="E33" s="9">
        <v>21.66</v>
      </c>
      <c r="F33" s="9">
        <v>5.35</v>
      </c>
      <c r="G33" s="9">
        <v>19.75</v>
      </c>
      <c r="H33" s="9">
        <v>41.42</v>
      </c>
      <c r="I33" s="9">
        <v>16.510000000000002</v>
      </c>
      <c r="J33" s="9">
        <v>179.4</v>
      </c>
      <c r="K33" s="9">
        <v>3.66</v>
      </c>
      <c r="L33" s="9">
        <v>0.37</v>
      </c>
      <c r="M33" s="9" t="s">
        <v>43</v>
      </c>
      <c r="N33" s="9">
        <v>61.5</v>
      </c>
      <c r="O33" s="15" t="str">
        <f t="shared" si="1"/>
        <v>prophet</v>
      </c>
      <c r="P33" s="15" t="s">
        <v>90</v>
      </c>
      <c r="Q33" s="15" t="s">
        <v>77</v>
      </c>
      <c r="R33" s="15" t="str">
        <f>IF(NOT(ISERR(SEARCH("*-buggy",$A33))), "Buggy", IF(NOT(ISERR(SEARCH("*-manual",$A33))), "manual", IF(NOT(ISERR(SEARCH("*-auto",$A33))), "auto", "")))</f>
        <v>Buggy</v>
      </c>
      <c r="S33" s="15"/>
      <c r="T33" s="15"/>
      <c r="U33" s="15"/>
      <c r="V33" s="15"/>
      <c r="W33" s="15"/>
      <c r="X33" s="15"/>
    </row>
    <row r="34" spans="1:24" x14ac:dyDescent="0.35">
      <c r="A34" s="6" t="s">
        <v>53</v>
      </c>
      <c r="B34" s="7">
        <v>2</v>
      </c>
      <c r="C34" s="7">
        <v>87</v>
      </c>
      <c r="D34" s="7">
        <v>7</v>
      </c>
      <c r="E34" s="7">
        <v>14.67</v>
      </c>
      <c r="F34" s="7">
        <v>4.33</v>
      </c>
      <c r="G34" s="7">
        <v>8.67</v>
      </c>
      <c r="H34" s="7">
        <v>23.33</v>
      </c>
      <c r="I34" s="7">
        <v>11.33</v>
      </c>
      <c r="J34" s="7">
        <v>104.01</v>
      </c>
      <c r="K34" s="7">
        <v>3.67</v>
      </c>
      <c r="L34" s="7">
        <v>0.37</v>
      </c>
      <c r="M34" s="7">
        <v>950.09</v>
      </c>
      <c r="N34" s="7">
        <v>52.78</v>
      </c>
      <c r="O34" s="15" t="str">
        <f t="shared" si="1"/>
        <v>prophet</v>
      </c>
      <c r="P34" s="15" t="s">
        <v>90</v>
      </c>
      <c r="Q34" s="15" t="s">
        <v>79</v>
      </c>
      <c r="R34" s="15" t="str">
        <f>IF(NOT(ISERR(SEARCH("*-buggy",$A34))), "Buggy", IF(NOT(ISERR(SEARCH("*-manual",$A34))), "manual", IF(NOT(ISERR(SEARCH("*-auto",$A34))), "auto", "")))</f>
        <v>Buggy</v>
      </c>
      <c r="S34" s="15"/>
      <c r="T34" s="15"/>
      <c r="U34" s="15"/>
      <c r="V34" s="15"/>
      <c r="W34" s="15"/>
      <c r="X34" s="15"/>
    </row>
    <row r="35" spans="1:24" x14ac:dyDescent="0.35">
      <c r="A35" s="8" t="s">
        <v>55</v>
      </c>
      <c r="B35" s="9">
        <v>5.25</v>
      </c>
      <c r="C35" s="9">
        <v>77</v>
      </c>
      <c r="D35" s="9">
        <v>7.75</v>
      </c>
      <c r="E35" s="9">
        <v>13</v>
      </c>
      <c r="F35" s="9">
        <v>3.5</v>
      </c>
      <c r="G35" s="9">
        <v>17</v>
      </c>
      <c r="H35" s="9">
        <v>30</v>
      </c>
      <c r="I35" s="9">
        <v>11.25</v>
      </c>
      <c r="J35" s="9">
        <v>125.93</v>
      </c>
      <c r="K35" s="9">
        <v>1.5</v>
      </c>
      <c r="L35" s="9">
        <v>0.46</v>
      </c>
      <c r="M35" s="9">
        <v>282.01</v>
      </c>
      <c r="N35" s="9">
        <v>15.67</v>
      </c>
      <c r="O35" s="15" t="str">
        <f t="shared" si="1"/>
        <v>prophet</v>
      </c>
      <c r="P35" s="15" t="s">
        <v>90</v>
      </c>
      <c r="Q35" s="15" t="s">
        <v>80</v>
      </c>
      <c r="R35" s="15" t="str">
        <f>IF(NOT(ISERR(SEARCH("*-buggy",$A35))), "Buggy", IF(NOT(ISERR(SEARCH("*-manual",$A35))), "manual", IF(NOT(ISERR(SEARCH("*-auto",$A35))), "auto", "")))</f>
        <v>Buggy</v>
      </c>
      <c r="S35" s="15"/>
      <c r="T35" s="15"/>
      <c r="U35" s="15"/>
      <c r="V35" s="15"/>
      <c r="W35" s="15"/>
      <c r="X35" s="15"/>
    </row>
    <row r="36" spans="1:24" x14ac:dyDescent="0.35">
      <c r="A36" s="6" t="s">
        <v>56</v>
      </c>
      <c r="B36" s="7">
        <v>2.67</v>
      </c>
      <c r="C36" s="7">
        <v>88.33</v>
      </c>
      <c r="D36" s="7">
        <v>4</v>
      </c>
      <c r="E36" s="7">
        <v>5.67</v>
      </c>
      <c r="F36" s="7">
        <v>2</v>
      </c>
      <c r="G36" s="7">
        <v>8</v>
      </c>
      <c r="H36" s="7">
        <v>13.67</v>
      </c>
      <c r="I36" s="7">
        <v>6</v>
      </c>
      <c r="J36" s="7">
        <v>48.28</v>
      </c>
      <c r="K36" s="7">
        <v>0.67</v>
      </c>
      <c r="L36" s="7">
        <v>0.17</v>
      </c>
      <c r="M36" s="7">
        <v>88.81</v>
      </c>
      <c r="N36" s="7">
        <v>4.93</v>
      </c>
      <c r="O36" s="15" t="str">
        <f t="shared" si="1"/>
        <v>prophet</v>
      </c>
      <c r="P36" s="15" t="s">
        <v>90</v>
      </c>
      <c r="Q36" s="15" t="s">
        <v>83</v>
      </c>
      <c r="R36" s="15" t="str">
        <f>IF(NOT(ISERR(SEARCH("*-buggy",$A36))), "Buggy", IF(NOT(ISERR(SEARCH("*-manual",$A36))), "manual", IF(NOT(ISERR(SEARCH("*-auto",$A36))), "auto", "")))</f>
        <v>Buggy</v>
      </c>
      <c r="S36" s="15"/>
      <c r="T36" s="15"/>
      <c r="U36" s="15"/>
      <c r="V36" s="15"/>
      <c r="W36" s="15"/>
      <c r="X36" s="15"/>
    </row>
    <row r="37" spans="1:24" x14ac:dyDescent="0.35">
      <c r="A37" s="8" t="s">
        <v>57</v>
      </c>
      <c r="B37" s="9">
        <v>1</v>
      </c>
      <c r="C37" s="9">
        <v>100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15" t="str">
        <f t="shared" ref="O37:O48" si="2">LEFT($A37,FIND("-",$A37)-1)</f>
        <v>prophet</v>
      </c>
      <c r="P37" s="15" t="s">
        <v>90</v>
      </c>
      <c r="Q37" s="15" t="s">
        <v>81</v>
      </c>
      <c r="R37" s="15" t="str">
        <f>IF(NOT(ISERR(SEARCH("*-buggy",$A37))), "Buggy", IF(NOT(ISERR(SEARCH("*-manual",$A37))), "manual", IF(NOT(ISERR(SEARCH("*-auto",$A37))), "auto", "")))</f>
        <v>Buggy</v>
      </c>
      <c r="S37" s="15"/>
      <c r="T37" s="15"/>
      <c r="U37" s="15"/>
      <c r="V37" s="15"/>
      <c r="W37" s="15"/>
      <c r="X37" s="15"/>
    </row>
    <row r="38" spans="1:24" x14ac:dyDescent="0.35">
      <c r="A38" s="6" t="s">
        <v>58</v>
      </c>
      <c r="B38" s="7">
        <v>5</v>
      </c>
      <c r="C38" s="7">
        <v>76.86</v>
      </c>
      <c r="D38" s="7">
        <v>8.43</v>
      </c>
      <c r="E38" s="7">
        <v>13.14</v>
      </c>
      <c r="F38" s="7">
        <v>5.29</v>
      </c>
      <c r="G38" s="7">
        <v>19.29</v>
      </c>
      <c r="H38" s="7">
        <v>32.43</v>
      </c>
      <c r="I38" s="7">
        <v>13.71</v>
      </c>
      <c r="J38" s="7">
        <v>139.9</v>
      </c>
      <c r="K38" s="7">
        <v>3.43</v>
      </c>
      <c r="L38" s="7">
        <v>0.46</v>
      </c>
      <c r="M38" s="7">
        <v>916.65</v>
      </c>
      <c r="N38" s="7">
        <v>50.93</v>
      </c>
      <c r="O38" s="15" t="str">
        <f t="shared" si="2"/>
        <v>prophet</v>
      </c>
      <c r="P38" s="15" t="s">
        <v>90</v>
      </c>
      <c r="Q38" s="15" t="s">
        <v>84</v>
      </c>
      <c r="R38" s="15" t="str">
        <f>IF(NOT(ISERR(SEARCH("*-buggy",$A38))), "Buggy", IF(NOT(ISERR(SEARCH("*-manual",$A38))), "manual", IF(NOT(ISERR(SEARCH("*-auto",$A38))), "auto", "")))</f>
        <v>Buggy</v>
      </c>
      <c r="S38" s="15"/>
      <c r="T38" s="15"/>
      <c r="U38" s="15"/>
      <c r="V38" s="15"/>
      <c r="W38" s="15"/>
      <c r="X38" s="15"/>
    </row>
    <row r="39" spans="1:24" x14ac:dyDescent="0.35">
      <c r="A39" s="8" t="s">
        <v>60</v>
      </c>
      <c r="B39" s="9">
        <v>1</v>
      </c>
      <c r="C39" s="9">
        <v>100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15" t="str">
        <f t="shared" si="2"/>
        <v>prophet</v>
      </c>
      <c r="P39" s="15" t="s">
        <v>90</v>
      </c>
      <c r="Q39" s="15" t="s">
        <v>85</v>
      </c>
      <c r="R39" s="15" t="str">
        <f>IF(NOT(ISERR(SEARCH("*-buggy",$A39))), "Buggy", IF(NOT(ISERR(SEARCH("*-manual",$A39))), "manual", IF(NOT(ISERR(SEARCH("*-auto",$A39))), "auto", "")))</f>
        <v>Buggy</v>
      </c>
      <c r="S39" s="15"/>
      <c r="T39" s="15"/>
      <c r="U39" s="15"/>
      <c r="V39" s="15"/>
      <c r="W39" s="15"/>
      <c r="X39" s="15"/>
    </row>
    <row r="40" spans="1:24" x14ac:dyDescent="0.35">
      <c r="A40" s="6" t="s">
        <v>61</v>
      </c>
      <c r="B40" s="7">
        <v>2.0699999999999998</v>
      </c>
      <c r="C40" s="7">
        <v>88.29</v>
      </c>
      <c r="D40" s="7">
        <v>4.8600000000000003</v>
      </c>
      <c r="E40" s="7">
        <v>6.29</v>
      </c>
      <c r="F40" s="7">
        <v>3.29</v>
      </c>
      <c r="G40" s="7">
        <v>6.71</v>
      </c>
      <c r="H40" s="7">
        <v>13</v>
      </c>
      <c r="I40" s="7">
        <v>8.14</v>
      </c>
      <c r="J40" s="7">
        <v>45.62</v>
      </c>
      <c r="K40" s="7">
        <v>1.29</v>
      </c>
      <c r="L40" s="7">
        <v>0.64</v>
      </c>
      <c r="M40" s="7">
        <v>120.5</v>
      </c>
      <c r="N40" s="7">
        <v>6.69</v>
      </c>
      <c r="O40" s="15" t="str">
        <f t="shared" si="2"/>
        <v>prophet</v>
      </c>
      <c r="P40" s="15" t="s">
        <v>90</v>
      </c>
      <c r="Q40" s="15" t="s">
        <v>86</v>
      </c>
      <c r="R40" s="15" t="str">
        <f>IF(NOT(ISERR(SEARCH("*-buggy",$A40))), "Buggy", IF(NOT(ISERR(SEARCH("*-manual",$A40))), "manual", IF(NOT(ISERR(SEARCH("*-auto",$A40))), "auto", "")))</f>
        <v>Buggy</v>
      </c>
      <c r="S40" s="15"/>
      <c r="T40" s="15"/>
      <c r="U40" s="15"/>
      <c r="V40" s="15"/>
      <c r="W40" s="15"/>
      <c r="X40" s="15"/>
    </row>
    <row r="41" spans="1:24" x14ac:dyDescent="0.35">
      <c r="A41" s="8" t="s">
        <v>62</v>
      </c>
      <c r="B41" s="9">
        <v>5</v>
      </c>
      <c r="C41" s="9">
        <v>76.86</v>
      </c>
      <c r="D41" s="9">
        <v>8.43</v>
      </c>
      <c r="E41" s="9">
        <v>13.14</v>
      </c>
      <c r="F41" s="9">
        <v>5.29</v>
      </c>
      <c r="G41" s="9">
        <v>19.29</v>
      </c>
      <c r="H41" s="9">
        <v>32.43</v>
      </c>
      <c r="I41" s="9">
        <v>13.71</v>
      </c>
      <c r="J41" s="9">
        <v>139.9</v>
      </c>
      <c r="K41" s="9">
        <v>3.43</v>
      </c>
      <c r="L41" s="9">
        <v>0.46</v>
      </c>
      <c r="M41" s="9">
        <v>916.65</v>
      </c>
      <c r="N41" s="9">
        <v>50.93</v>
      </c>
      <c r="O41" s="15" t="str">
        <f t="shared" si="2"/>
        <v>prophet</v>
      </c>
      <c r="P41" s="15" t="s">
        <v>90</v>
      </c>
      <c r="Q41" s="15" t="s">
        <v>87</v>
      </c>
      <c r="R41" s="15" t="str">
        <f>IF(NOT(ISERR(SEARCH("*-buggy",$A41))), "Buggy", IF(NOT(ISERR(SEARCH("*-manual",$A41))), "manual", IF(NOT(ISERR(SEARCH("*-auto",$A41))), "auto", "")))</f>
        <v>Buggy</v>
      </c>
      <c r="S41" s="15"/>
      <c r="T41" s="15"/>
      <c r="U41" s="15"/>
      <c r="V41" s="15"/>
      <c r="W41" s="15"/>
      <c r="X41" s="15"/>
    </row>
    <row r="42" spans="1:24" ht="15" thickBot="1" x14ac:dyDescent="0.4">
      <c r="A42" s="24" t="s">
        <v>63</v>
      </c>
      <c r="B42" s="25">
        <v>2.76</v>
      </c>
      <c r="C42" s="25">
        <v>80.88</v>
      </c>
      <c r="D42" s="25">
        <v>6</v>
      </c>
      <c r="E42" s="25">
        <v>9.1199999999999992</v>
      </c>
      <c r="F42" s="25">
        <v>4.88</v>
      </c>
      <c r="G42" s="25">
        <v>10.06</v>
      </c>
      <c r="H42" s="25">
        <v>19.18</v>
      </c>
      <c r="I42" s="25">
        <v>10.88</v>
      </c>
      <c r="J42" s="25">
        <v>75.03</v>
      </c>
      <c r="K42" s="25">
        <v>2.76</v>
      </c>
      <c r="L42" s="25">
        <v>0.43</v>
      </c>
      <c r="M42" s="25">
        <v>420.6</v>
      </c>
      <c r="N42" s="25">
        <v>23.37</v>
      </c>
      <c r="O42" s="23" t="str">
        <f t="shared" si="2"/>
        <v>prophet</v>
      </c>
      <c r="P42" s="23" t="s">
        <v>90</v>
      </c>
      <c r="Q42" s="23" t="s">
        <v>88</v>
      </c>
      <c r="R42" s="23" t="str">
        <f>IF(NOT(ISERR(SEARCH("*-buggy",$A42))), "Buggy", IF(NOT(ISERR(SEARCH("*-manual",$A42))), "manual", IF(NOT(ISERR(SEARCH("*-auto",$A42))), "auto", "")))</f>
        <v>Buggy</v>
      </c>
      <c r="S42" s="23"/>
      <c r="T42" s="23"/>
      <c r="U42" s="23"/>
      <c r="V42" s="23"/>
      <c r="W42" s="23"/>
      <c r="X42" s="23"/>
    </row>
    <row r="43" spans="1:24" x14ac:dyDescent="0.35">
      <c r="A43" s="18" t="s">
        <v>114</v>
      </c>
      <c r="B43" s="19">
        <v>9.57</v>
      </c>
      <c r="C43" s="19">
        <v>72.290000000000006</v>
      </c>
      <c r="D43" s="19">
        <v>15.14</v>
      </c>
      <c r="E43" s="19">
        <v>28.86</v>
      </c>
      <c r="F43" s="19">
        <v>8.86</v>
      </c>
      <c r="G43" s="19">
        <v>37.71</v>
      </c>
      <c r="H43" s="19">
        <v>66.569999999999993</v>
      </c>
      <c r="I43" s="19">
        <v>24</v>
      </c>
      <c r="J43" s="19">
        <v>393.81</v>
      </c>
      <c r="K43" s="19">
        <v>6.57</v>
      </c>
      <c r="L43" s="19">
        <v>0.23</v>
      </c>
      <c r="M43" s="19" t="s">
        <v>34</v>
      </c>
      <c r="N43" s="19">
        <v>447.91</v>
      </c>
      <c r="O43" s="20" t="str">
        <f t="shared" si="2"/>
        <v>angelix</v>
      </c>
      <c r="P43" s="20" t="s">
        <v>89</v>
      </c>
      <c r="Q43" s="20" t="s">
        <v>74</v>
      </c>
      <c r="R43" s="20" t="str">
        <f>IF(NOT(ISERR(SEARCH("*-buggy",$A43))), "Buggy", IF(NOT(ISERR(SEARCH("*-manual",$A43))), "manual", IF(NOT(ISERR(SEARCH("*-auto",$A43))), "auto", "")))</f>
        <v>manual</v>
      </c>
      <c r="S43" s="20">
        <v>1</v>
      </c>
      <c r="T43" s="20">
        <v>0</v>
      </c>
      <c r="U43" s="20">
        <v>0</v>
      </c>
      <c r="V43" s="20">
        <v>1</v>
      </c>
      <c r="W43" s="20">
        <v>0</v>
      </c>
      <c r="X43" s="20">
        <v>1</v>
      </c>
    </row>
    <row r="44" spans="1:24" x14ac:dyDescent="0.35">
      <c r="A44" s="8" t="s">
        <v>115</v>
      </c>
      <c r="B44" s="9">
        <v>9.57</v>
      </c>
      <c r="C44" s="9">
        <v>72.290000000000006</v>
      </c>
      <c r="D44" s="9">
        <v>15.14</v>
      </c>
      <c r="E44" s="9">
        <v>28.86</v>
      </c>
      <c r="F44" s="9">
        <v>8.86</v>
      </c>
      <c r="G44" s="9">
        <v>37.71</v>
      </c>
      <c r="H44" s="9">
        <v>66.569999999999993</v>
      </c>
      <c r="I44" s="9">
        <v>24</v>
      </c>
      <c r="J44" s="9">
        <v>393.81</v>
      </c>
      <c r="K44" s="9">
        <v>6.57</v>
      </c>
      <c r="L44" s="9">
        <v>0.23</v>
      </c>
      <c r="M44" s="9" t="s">
        <v>34</v>
      </c>
      <c r="N44" s="9">
        <v>447.91</v>
      </c>
      <c r="O44" s="15" t="str">
        <f t="shared" si="2"/>
        <v>angelix</v>
      </c>
      <c r="P44" s="15" t="s">
        <v>89</v>
      </c>
      <c r="Q44" s="15" t="s">
        <v>74</v>
      </c>
      <c r="R44" s="15" t="str">
        <f>IF(NOT(ISERR(SEARCH("*-buggy",$A44))), "Buggy", IF(NOT(ISERR(SEARCH("*-manual",$A44))), "manual", IF(NOT(ISERR(SEARCH("*-auto",$A44))), "auto", "")))</f>
        <v>manual</v>
      </c>
      <c r="S44" s="15">
        <v>1</v>
      </c>
      <c r="T44" s="15">
        <v>0</v>
      </c>
      <c r="U44" s="15">
        <v>0</v>
      </c>
      <c r="V44" s="15">
        <v>1</v>
      </c>
      <c r="W44" s="15">
        <v>0</v>
      </c>
      <c r="X44" s="15">
        <v>1</v>
      </c>
    </row>
    <row r="45" spans="1:24" x14ac:dyDescent="0.35">
      <c r="A45" s="8" t="s">
        <v>116</v>
      </c>
      <c r="B45" s="9">
        <v>5.42</v>
      </c>
      <c r="C45" s="9">
        <v>69.06</v>
      </c>
      <c r="D45" s="9">
        <v>17.03</v>
      </c>
      <c r="E45" s="9">
        <v>39.14</v>
      </c>
      <c r="F45" s="9">
        <v>7.4</v>
      </c>
      <c r="G45" s="9">
        <v>39.700000000000003</v>
      </c>
      <c r="H45" s="9">
        <v>78.84</v>
      </c>
      <c r="I45" s="9">
        <v>24.43</v>
      </c>
      <c r="J45" s="9">
        <v>436.88</v>
      </c>
      <c r="K45" s="9">
        <v>6.54</v>
      </c>
      <c r="L45" s="9">
        <v>0.15</v>
      </c>
      <c r="M45" s="9" t="s">
        <v>39</v>
      </c>
      <c r="N45" s="9">
        <v>513.53</v>
      </c>
      <c r="O45" s="15" t="str">
        <f t="shared" si="2"/>
        <v>angelix</v>
      </c>
      <c r="P45" s="15" t="s">
        <v>89</v>
      </c>
      <c r="Q45" s="15" t="s">
        <v>75</v>
      </c>
      <c r="R45" s="15" t="str">
        <f>IF(NOT(ISERR(SEARCH("*-buggy",$A45))), "Buggy", IF(NOT(ISERR(SEARCH("*-manual",$A45))), "manual", IF(NOT(ISERR(SEARCH("*-auto",$A45))), "auto", "")))</f>
        <v>manual</v>
      </c>
      <c r="S45" s="15">
        <v>8</v>
      </c>
      <c r="T45" s="15">
        <v>0</v>
      </c>
      <c r="U45" s="15">
        <v>0</v>
      </c>
      <c r="V45" s="15">
        <v>8</v>
      </c>
      <c r="W45" s="15">
        <v>0</v>
      </c>
      <c r="X45" s="15">
        <v>8</v>
      </c>
    </row>
    <row r="46" spans="1:24" x14ac:dyDescent="0.35">
      <c r="A46" s="6" t="s">
        <v>117</v>
      </c>
      <c r="B46" s="7">
        <v>5.26</v>
      </c>
      <c r="C46" s="7">
        <v>69.78</v>
      </c>
      <c r="D46" s="7">
        <v>10.48</v>
      </c>
      <c r="E46" s="7">
        <v>18.22</v>
      </c>
      <c r="F46" s="7">
        <v>7.04</v>
      </c>
      <c r="G46" s="7">
        <v>26</v>
      </c>
      <c r="H46" s="7">
        <v>44.22</v>
      </c>
      <c r="I46" s="7">
        <v>17.52</v>
      </c>
      <c r="J46" s="7">
        <v>199.62</v>
      </c>
      <c r="K46" s="7">
        <v>3.74</v>
      </c>
      <c r="L46" s="7">
        <v>0.36</v>
      </c>
      <c r="M46" s="7" t="s">
        <v>41</v>
      </c>
      <c r="N46" s="7">
        <v>82.83</v>
      </c>
      <c r="O46" s="15" t="str">
        <f t="shared" si="2"/>
        <v>angelix</v>
      </c>
      <c r="P46" s="15" t="s">
        <v>89</v>
      </c>
      <c r="Q46" s="15" t="s">
        <v>76</v>
      </c>
      <c r="R46" s="15" t="str">
        <f>IF(NOT(ISERR(SEARCH("*-buggy",$A46))), "Buggy", IF(NOT(ISERR(SEARCH("*-manual",$A46))), "manual", IF(NOT(ISERR(SEARCH("*-auto",$A46))), "auto", "")))</f>
        <v>manual</v>
      </c>
      <c r="S46" s="15">
        <v>1</v>
      </c>
      <c r="T46" s="15">
        <v>0</v>
      </c>
      <c r="U46" s="15">
        <v>1</v>
      </c>
      <c r="V46" s="15">
        <v>1</v>
      </c>
      <c r="W46" s="15">
        <v>0</v>
      </c>
      <c r="X46" s="15">
        <v>2</v>
      </c>
    </row>
    <row r="47" spans="1:24" x14ac:dyDescent="0.35">
      <c r="A47" s="8" t="s">
        <v>118</v>
      </c>
      <c r="B47" s="9">
        <v>4.2699999999999996</v>
      </c>
      <c r="C47" s="9">
        <v>78.92</v>
      </c>
      <c r="D47" s="9">
        <v>11.14</v>
      </c>
      <c r="E47" s="9">
        <v>21.64</v>
      </c>
      <c r="F47" s="9">
        <v>5.35</v>
      </c>
      <c r="G47" s="9">
        <v>19.739999999999998</v>
      </c>
      <c r="H47" s="9">
        <v>41.38</v>
      </c>
      <c r="I47" s="9">
        <v>16.489999999999998</v>
      </c>
      <c r="J47" s="9">
        <v>179.01</v>
      </c>
      <c r="K47" s="9">
        <v>3.66</v>
      </c>
      <c r="L47" s="9">
        <v>0.37</v>
      </c>
      <c r="M47" s="9" t="s">
        <v>44</v>
      </c>
      <c r="N47" s="9">
        <v>61.2</v>
      </c>
      <c r="O47" s="15" t="str">
        <f t="shared" si="2"/>
        <v>angelix</v>
      </c>
      <c r="P47" s="15" t="s">
        <v>89</v>
      </c>
      <c r="Q47" s="15" t="s">
        <v>77</v>
      </c>
      <c r="R47" s="15" t="str">
        <f>IF(NOT(ISERR(SEARCH("*-buggy",$A47))), "Buggy", IF(NOT(ISERR(SEARCH("*-manual",$A47))), "manual", IF(NOT(ISERR(SEARCH("*-auto",$A47))), "auto", "")))</f>
        <v>manual</v>
      </c>
      <c r="S47" s="15">
        <v>1</v>
      </c>
      <c r="T47" s="15">
        <v>0</v>
      </c>
      <c r="U47" s="15">
        <v>0</v>
      </c>
      <c r="V47" s="15">
        <v>1</v>
      </c>
      <c r="W47" s="15">
        <v>0</v>
      </c>
      <c r="X47" s="15">
        <v>1</v>
      </c>
    </row>
    <row r="48" spans="1:24" x14ac:dyDescent="0.35">
      <c r="A48" s="6" t="s">
        <v>119</v>
      </c>
      <c r="B48" s="7">
        <v>7.75</v>
      </c>
      <c r="C48" s="7">
        <v>74.5</v>
      </c>
      <c r="D48" s="7">
        <v>12.88</v>
      </c>
      <c r="E48" s="7">
        <v>20.38</v>
      </c>
      <c r="F48" s="7">
        <v>6.12</v>
      </c>
      <c r="G48" s="7">
        <v>28</v>
      </c>
      <c r="H48" s="7">
        <v>48.38</v>
      </c>
      <c r="I48" s="7">
        <v>19</v>
      </c>
      <c r="J48" s="7">
        <v>266.76</v>
      </c>
      <c r="K48" s="7">
        <v>3.25</v>
      </c>
      <c r="L48" s="7">
        <v>0.37</v>
      </c>
      <c r="M48" s="7" t="s">
        <v>46</v>
      </c>
      <c r="N48" s="7">
        <v>115.31</v>
      </c>
      <c r="O48" s="15" t="str">
        <f t="shared" si="2"/>
        <v>angelix</v>
      </c>
      <c r="P48" s="15" t="s">
        <v>89</v>
      </c>
      <c r="Q48" s="15" t="s">
        <v>78</v>
      </c>
      <c r="R48" s="15" t="str">
        <f>IF(NOT(ISERR(SEARCH("*-buggy",$A48))), "Buggy", IF(NOT(ISERR(SEARCH("*-manual",$A48))), "manual", IF(NOT(ISERR(SEARCH("*-auto",$A48))), "auto", "")))</f>
        <v>manual</v>
      </c>
      <c r="S48" s="15">
        <v>1</v>
      </c>
      <c r="T48" s="15">
        <v>0</v>
      </c>
      <c r="U48" s="15">
        <v>0</v>
      </c>
      <c r="V48" s="15">
        <v>1</v>
      </c>
      <c r="W48" s="15">
        <v>0</v>
      </c>
      <c r="X48" s="15">
        <v>1</v>
      </c>
    </row>
    <row r="49" spans="1:24" x14ac:dyDescent="0.35">
      <c r="A49" s="8" t="s">
        <v>120</v>
      </c>
      <c r="B49" s="9">
        <v>2.5</v>
      </c>
      <c r="C49" s="9">
        <v>80</v>
      </c>
      <c r="D49" s="9">
        <v>6.5</v>
      </c>
      <c r="E49" s="9">
        <v>11.17</v>
      </c>
      <c r="F49" s="9">
        <v>6.17</v>
      </c>
      <c r="G49" s="9">
        <v>11.17</v>
      </c>
      <c r="H49" s="9">
        <v>22.33</v>
      </c>
      <c r="I49" s="9">
        <v>12.67</v>
      </c>
      <c r="J49" s="9">
        <v>98.48</v>
      </c>
      <c r="K49" s="9">
        <v>3.67</v>
      </c>
      <c r="L49" s="9">
        <v>0.26</v>
      </c>
      <c r="M49" s="9">
        <v>742.82</v>
      </c>
      <c r="N49" s="9">
        <v>41.27</v>
      </c>
      <c r="O49" s="15" t="str">
        <f t="shared" ref="O49:O67" si="3">LEFT($A49,FIND("-",$A49)-1)</f>
        <v>prophet</v>
      </c>
      <c r="P49" s="15" t="s">
        <v>90</v>
      </c>
      <c r="Q49" s="15" t="s">
        <v>82</v>
      </c>
      <c r="R49" s="15" t="str">
        <f>IF(NOT(ISERR(SEARCH("*-buggy",$A49))), "Buggy", IF(NOT(ISERR(SEARCH("*-manual",$A49))), "manual", IF(NOT(ISERR(SEARCH("*-auto",$A49))), "auto", "")))</f>
        <v>manual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</row>
    <row r="50" spans="1:24" x14ac:dyDescent="0.35">
      <c r="A50" s="6" t="s">
        <v>121</v>
      </c>
      <c r="B50" s="7">
        <v>5.42</v>
      </c>
      <c r="C50" s="7">
        <v>69.06</v>
      </c>
      <c r="D50" s="7">
        <v>17.03</v>
      </c>
      <c r="E50" s="7">
        <v>39.14</v>
      </c>
      <c r="F50" s="7">
        <v>7.4</v>
      </c>
      <c r="G50" s="7">
        <v>39.700000000000003</v>
      </c>
      <c r="H50" s="7">
        <v>78.84</v>
      </c>
      <c r="I50" s="7">
        <v>24.43</v>
      </c>
      <c r="J50" s="7">
        <v>436.88</v>
      </c>
      <c r="K50" s="7">
        <v>6.54</v>
      </c>
      <c r="L50" s="7">
        <v>0.15</v>
      </c>
      <c r="M50" s="7" t="s">
        <v>39</v>
      </c>
      <c r="N50" s="7">
        <v>513.53</v>
      </c>
      <c r="O50" s="15" t="str">
        <f t="shared" si="3"/>
        <v>prophet</v>
      </c>
      <c r="P50" s="15" t="s">
        <v>90</v>
      </c>
      <c r="Q50" s="15" t="s">
        <v>75</v>
      </c>
      <c r="R50" s="15" t="str">
        <f>IF(NOT(ISERR(SEARCH("*-buggy",$A50))), "Buggy", IF(NOT(ISERR(SEARCH("*-manual",$A50))), "manual", IF(NOT(ISERR(SEARCH("*-auto",$A50))), "auto", "")))</f>
        <v>manual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</row>
    <row r="51" spans="1:24" x14ac:dyDescent="0.35">
      <c r="A51" s="6" t="s">
        <v>122</v>
      </c>
      <c r="B51" s="7">
        <v>4.2699999999999996</v>
      </c>
      <c r="C51" s="7">
        <v>78.92</v>
      </c>
      <c r="D51" s="7">
        <v>11.14</v>
      </c>
      <c r="E51" s="7">
        <v>21.64</v>
      </c>
      <c r="F51" s="7">
        <v>5.35</v>
      </c>
      <c r="G51" s="7">
        <v>19.739999999999998</v>
      </c>
      <c r="H51" s="7">
        <v>41.38</v>
      </c>
      <c r="I51" s="7">
        <v>16.489999999999998</v>
      </c>
      <c r="J51" s="7">
        <v>179.01</v>
      </c>
      <c r="K51" s="7">
        <v>3.66</v>
      </c>
      <c r="L51" s="7">
        <v>0.37</v>
      </c>
      <c r="M51" s="7" t="s">
        <v>44</v>
      </c>
      <c r="N51" s="7">
        <v>61.2</v>
      </c>
      <c r="O51" s="15" t="str">
        <f t="shared" si="3"/>
        <v>prophet</v>
      </c>
      <c r="P51" s="15" t="s">
        <v>90</v>
      </c>
      <c r="Q51" s="15" t="s">
        <v>77</v>
      </c>
      <c r="R51" s="15" t="str">
        <f>IF(NOT(ISERR(SEARCH("*-buggy",$A51))), "Buggy", IF(NOT(ISERR(SEARCH("*-manual",$A51))), "manual", IF(NOT(ISERR(SEARCH("*-auto",$A51))), "auto", "")))</f>
        <v>manual</v>
      </c>
      <c r="S51" s="15">
        <v>0</v>
      </c>
      <c r="T51" s="15">
        <v>0</v>
      </c>
      <c r="U51" s="15">
        <v>0</v>
      </c>
      <c r="V51" s="15">
        <v>0</v>
      </c>
      <c r="W51" s="15">
        <v>0</v>
      </c>
      <c r="X51" s="15">
        <v>0</v>
      </c>
    </row>
    <row r="52" spans="1:24" x14ac:dyDescent="0.35">
      <c r="A52" s="8" t="s">
        <v>123</v>
      </c>
      <c r="B52" s="9">
        <v>4.2699999999999996</v>
      </c>
      <c r="C52" s="9">
        <v>78.92</v>
      </c>
      <c r="D52" s="9">
        <v>11.14</v>
      </c>
      <c r="E52" s="9">
        <v>21.64</v>
      </c>
      <c r="F52" s="9">
        <v>5.35</v>
      </c>
      <c r="G52" s="9">
        <v>19.739999999999998</v>
      </c>
      <c r="H52" s="9">
        <v>41.38</v>
      </c>
      <c r="I52" s="9">
        <v>16.489999999999998</v>
      </c>
      <c r="J52" s="9">
        <v>179.01</v>
      </c>
      <c r="K52" s="9">
        <v>3.66</v>
      </c>
      <c r="L52" s="9">
        <v>0.37</v>
      </c>
      <c r="M52" s="9" t="s">
        <v>44</v>
      </c>
      <c r="N52" s="9">
        <v>61.2</v>
      </c>
      <c r="O52" s="15" t="str">
        <f t="shared" si="3"/>
        <v>prophet</v>
      </c>
      <c r="P52" s="15" t="s">
        <v>90</v>
      </c>
      <c r="Q52" s="15" t="s">
        <v>77</v>
      </c>
      <c r="R52" s="15" t="str">
        <f>IF(NOT(ISERR(SEARCH("*-buggy",$A52))), "Buggy", IF(NOT(ISERR(SEARCH("*-manual",$A52))), "manual", IF(NOT(ISERR(SEARCH("*-auto",$A52))), "auto", "")))</f>
        <v>manual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  <c r="X52" s="15">
        <v>0</v>
      </c>
    </row>
    <row r="53" spans="1:24" x14ac:dyDescent="0.35">
      <c r="A53" s="8" t="s">
        <v>124</v>
      </c>
      <c r="B53" s="9">
        <v>2.33</v>
      </c>
      <c r="C53" s="9">
        <v>81</v>
      </c>
      <c r="D53" s="9">
        <v>7</v>
      </c>
      <c r="E53" s="9">
        <v>14.67</v>
      </c>
      <c r="F53" s="9">
        <v>5.33</v>
      </c>
      <c r="G53" s="9">
        <v>9.67</v>
      </c>
      <c r="H53" s="9">
        <v>24.33</v>
      </c>
      <c r="I53" s="9">
        <v>12.33</v>
      </c>
      <c r="J53" s="9">
        <v>109</v>
      </c>
      <c r="K53" s="9">
        <v>4</v>
      </c>
      <c r="L53" s="9">
        <v>0.2</v>
      </c>
      <c r="M53" s="9">
        <v>970.07</v>
      </c>
      <c r="N53" s="9">
        <v>53.89</v>
      </c>
      <c r="O53" s="15" t="str">
        <f t="shared" si="3"/>
        <v>prophet</v>
      </c>
      <c r="P53" s="15" t="s">
        <v>90</v>
      </c>
      <c r="Q53" s="15" t="s">
        <v>79</v>
      </c>
      <c r="R53" s="15" t="str">
        <f>IF(NOT(ISERR(SEARCH("*-buggy",$A53))), "Buggy", IF(NOT(ISERR(SEARCH("*-manual",$A53))), "manual", IF(NOT(ISERR(SEARCH("*-auto",$A53))), "auto", "")))</f>
        <v>manual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</row>
    <row r="54" spans="1:24" x14ac:dyDescent="0.35">
      <c r="A54" s="6" t="s">
        <v>125</v>
      </c>
      <c r="B54" s="7">
        <v>5.25</v>
      </c>
      <c r="C54" s="7">
        <v>77</v>
      </c>
      <c r="D54" s="7">
        <v>7.75</v>
      </c>
      <c r="E54" s="7">
        <v>13</v>
      </c>
      <c r="F54" s="7">
        <v>3.5</v>
      </c>
      <c r="G54" s="7">
        <v>17</v>
      </c>
      <c r="H54" s="7">
        <v>30</v>
      </c>
      <c r="I54" s="7">
        <v>11.25</v>
      </c>
      <c r="J54" s="7">
        <v>125.93</v>
      </c>
      <c r="K54" s="7">
        <v>1.5</v>
      </c>
      <c r="L54" s="7">
        <v>0.46</v>
      </c>
      <c r="M54" s="7">
        <v>282.01</v>
      </c>
      <c r="N54" s="7">
        <v>15.67</v>
      </c>
      <c r="O54" s="15" t="str">
        <f t="shared" si="3"/>
        <v>prophet</v>
      </c>
      <c r="P54" s="15" t="s">
        <v>90</v>
      </c>
      <c r="Q54" s="15" t="s">
        <v>80</v>
      </c>
      <c r="R54" s="15" t="str">
        <f>IF(NOT(ISERR(SEARCH("*-buggy",$A54))), "Buggy", IF(NOT(ISERR(SEARCH("*-manual",$A54))), "manual", IF(NOT(ISERR(SEARCH("*-auto",$A54))), "auto", "")))</f>
        <v>manual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</row>
    <row r="55" spans="1:24" x14ac:dyDescent="0.35">
      <c r="A55" s="8" t="s">
        <v>126</v>
      </c>
      <c r="B55" s="9">
        <v>2.67</v>
      </c>
      <c r="C55" s="9">
        <v>88.33</v>
      </c>
      <c r="D55" s="9">
        <v>4</v>
      </c>
      <c r="E55" s="9">
        <v>5.67</v>
      </c>
      <c r="F55" s="9">
        <v>2</v>
      </c>
      <c r="G55" s="9">
        <v>8</v>
      </c>
      <c r="H55" s="9">
        <v>13.67</v>
      </c>
      <c r="I55" s="9">
        <v>6</v>
      </c>
      <c r="J55" s="9">
        <v>48.28</v>
      </c>
      <c r="K55" s="9">
        <v>0.67</v>
      </c>
      <c r="L55" s="9">
        <v>0.17</v>
      </c>
      <c r="M55" s="9">
        <v>88.81</v>
      </c>
      <c r="N55" s="9">
        <v>4.93</v>
      </c>
      <c r="O55" s="15" t="str">
        <f t="shared" si="3"/>
        <v>prophet</v>
      </c>
      <c r="P55" s="15" t="s">
        <v>90</v>
      </c>
      <c r="Q55" s="15" t="s">
        <v>83</v>
      </c>
      <c r="R55" s="15" t="str">
        <f>IF(NOT(ISERR(SEARCH("*-buggy",$A55))), "Buggy", IF(NOT(ISERR(SEARCH("*-manual",$A55))), "manual", IF(NOT(ISERR(SEARCH("*-auto",$A55))), "auto", "")))</f>
        <v>manual</v>
      </c>
      <c r="S55" s="15">
        <v>0</v>
      </c>
      <c r="T55" s="15">
        <v>0</v>
      </c>
      <c r="U55" s="15">
        <v>0</v>
      </c>
      <c r="V55" s="15">
        <v>0</v>
      </c>
      <c r="W55" s="15">
        <v>0</v>
      </c>
      <c r="X55" s="15">
        <v>0</v>
      </c>
    </row>
    <row r="56" spans="1:24" x14ac:dyDescent="0.35">
      <c r="A56" s="6" t="s">
        <v>127</v>
      </c>
      <c r="B56" s="7">
        <v>1</v>
      </c>
      <c r="C56" s="7">
        <v>100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15" t="str">
        <f t="shared" si="3"/>
        <v>prophet</v>
      </c>
      <c r="P56" s="15" t="s">
        <v>90</v>
      </c>
      <c r="Q56" s="15" t="s">
        <v>81</v>
      </c>
      <c r="R56" s="15" t="str">
        <f>IF(NOT(ISERR(SEARCH("*-buggy",$A56))), "Buggy", IF(NOT(ISERR(SEARCH("*-manual",$A56))), "manual", IF(NOT(ISERR(SEARCH("*-auto",$A56))), "auto", "")))</f>
        <v>manual</v>
      </c>
      <c r="S56" s="15">
        <v>0</v>
      </c>
      <c r="T56" s="15">
        <v>0</v>
      </c>
      <c r="U56" s="15">
        <v>0</v>
      </c>
      <c r="V56" s="15">
        <v>0</v>
      </c>
      <c r="W56" s="15">
        <v>0</v>
      </c>
      <c r="X56" s="15">
        <v>0</v>
      </c>
    </row>
    <row r="57" spans="1:24" x14ac:dyDescent="0.35">
      <c r="A57" s="8" t="s">
        <v>128</v>
      </c>
      <c r="B57" s="9">
        <v>5</v>
      </c>
      <c r="C57" s="9">
        <v>76.86</v>
      </c>
      <c r="D57" s="9">
        <v>8.43</v>
      </c>
      <c r="E57" s="9">
        <v>13.14</v>
      </c>
      <c r="F57" s="9">
        <v>5.29</v>
      </c>
      <c r="G57" s="9">
        <v>19.29</v>
      </c>
      <c r="H57" s="9">
        <v>32.43</v>
      </c>
      <c r="I57" s="9">
        <v>13.71</v>
      </c>
      <c r="J57" s="9">
        <v>139.9</v>
      </c>
      <c r="K57" s="9">
        <v>3.43</v>
      </c>
      <c r="L57" s="9">
        <v>0.46</v>
      </c>
      <c r="M57" s="9">
        <v>916.65</v>
      </c>
      <c r="N57" s="9">
        <v>50.93</v>
      </c>
      <c r="O57" s="15" t="str">
        <f t="shared" si="3"/>
        <v>prophet</v>
      </c>
      <c r="P57" s="15" t="s">
        <v>90</v>
      </c>
      <c r="Q57" s="15" t="s">
        <v>84</v>
      </c>
      <c r="R57" s="15" t="str">
        <f>IF(NOT(ISERR(SEARCH("*-buggy",$A57))), "Buggy", IF(NOT(ISERR(SEARCH("*-manual",$A57))), "manual", IF(NOT(ISERR(SEARCH("*-auto",$A57))), "auto", "")))</f>
        <v>manual</v>
      </c>
      <c r="S57" s="15">
        <v>0</v>
      </c>
      <c r="T57" s="15">
        <v>0</v>
      </c>
      <c r="U57" s="15">
        <v>0</v>
      </c>
      <c r="V57" s="15">
        <v>0</v>
      </c>
      <c r="W57" s="15">
        <v>0</v>
      </c>
      <c r="X57" s="15">
        <v>0</v>
      </c>
    </row>
    <row r="58" spans="1:24" x14ac:dyDescent="0.35">
      <c r="A58" s="6" t="s">
        <v>129</v>
      </c>
      <c r="B58" s="7">
        <v>1</v>
      </c>
      <c r="C58" s="7">
        <v>100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15" t="str">
        <f t="shared" si="3"/>
        <v>prophet</v>
      </c>
      <c r="P58" s="15" t="s">
        <v>90</v>
      </c>
      <c r="Q58" s="15" t="s">
        <v>85</v>
      </c>
      <c r="R58" s="15" t="str">
        <f>IF(NOT(ISERR(SEARCH("*-buggy",$A58))), "Buggy", IF(NOT(ISERR(SEARCH("*-manual",$A58))), "manual", IF(NOT(ISERR(SEARCH("*-auto",$A58))), "auto", "")))</f>
        <v>manual</v>
      </c>
      <c r="S58" s="15">
        <v>0</v>
      </c>
      <c r="T58" s="15">
        <v>0</v>
      </c>
      <c r="U58" s="15">
        <v>0</v>
      </c>
      <c r="V58" s="15">
        <v>0</v>
      </c>
      <c r="W58" s="15">
        <v>0</v>
      </c>
      <c r="X58" s="15">
        <v>0</v>
      </c>
    </row>
    <row r="59" spans="1:24" x14ac:dyDescent="0.35">
      <c r="A59" s="8" t="s">
        <v>130</v>
      </c>
      <c r="B59" s="9">
        <v>2.0699999999999998</v>
      </c>
      <c r="C59" s="9">
        <v>88.29</v>
      </c>
      <c r="D59" s="9">
        <v>4.8600000000000003</v>
      </c>
      <c r="E59" s="9">
        <v>6.29</v>
      </c>
      <c r="F59" s="9">
        <v>3.29</v>
      </c>
      <c r="G59" s="9">
        <v>6.71</v>
      </c>
      <c r="H59" s="9">
        <v>13</v>
      </c>
      <c r="I59" s="9">
        <v>8.14</v>
      </c>
      <c r="J59" s="9">
        <v>45.62</v>
      </c>
      <c r="K59" s="9">
        <v>1.29</v>
      </c>
      <c r="L59" s="9">
        <v>0.64</v>
      </c>
      <c r="M59" s="9">
        <v>120.5</v>
      </c>
      <c r="N59" s="9">
        <v>6.69</v>
      </c>
      <c r="O59" s="15" t="str">
        <f t="shared" si="3"/>
        <v>prophet</v>
      </c>
      <c r="P59" s="15" t="s">
        <v>90</v>
      </c>
      <c r="Q59" s="15" t="s">
        <v>86</v>
      </c>
      <c r="R59" s="15" t="str">
        <f>IF(NOT(ISERR(SEARCH("*-buggy",$A59))), "Buggy", IF(NOT(ISERR(SEARCH("*-manual",$A59))), "manual", IF(NOT(ISERR(SEARCH("*-auto",$A59))), "auto", "")))</f>
        <v>manual</v>
      </c>
      <c r="S59" s="15">
        <v>0</v>
      </c>
      <c r="T59" s="15">
        <v>0</v>
      </c>
      <c r="U59" s="15">
        <v>0</v>
      </c>
      <c r="V59" s="15">
        <v>0</v>
      </c>
      <c r="W59" s="15">
        <v>0</v>
      </c>
      <c r="X59" s="15">
        <v>0</v>
      </c>
    </row>
    <row r="60" spans="1:24" x14ac:dyDescent="0.35">
      <c r="A60" s="6" t="s">
        <v>131</v>
      </c>
      <c r="B60" s="7">
        <v>5</v>
      </c>
      <c r="C60" s="7">
        <v>76.86</v>
      </c>
      <c r="D60" s="7">
        <v>8.43</v>
      </c>
      <c r="E60" s="7">
        <v>13.14</v>
      </c>
      <c r="F60" s="7">
        <v>5.29</v>
      </c>
      <c r="G60" s="7">
        <v>19.29</v>
      </c>
      <c r="H60" s="7">
        <v>32.43</v>
      </c>
      <c r="I60" s="7">
        <v>13.71</v>
      </c>
      <c r="J60" s="7">
        <v>139.9</v>
      </c>
      <c r="K60" s="7">
        <v>3.43</v>
      </c>
      <c r="L60" s="7">
        <v>0.46</v>
      </c>
      <c r="M60" s="7">
        <v>916.65</v>
      </c>
      <c r="N60" s="7">
        <v>50.93</v>
      </c>
      <c r="O60" s="15" t="str">
        <f t="shared" si="3"/>
        <v>prophet</v>
      </c>
      <c r="P60" s="15" t="s">
        <v>90</v>
      </c>
      <c r="Q60" s="15" t="s">
        <v>87</v>
      </c>
      <c r="R60" s="15" t="str">
        <f>IF(NOT(ISERR(SEARCH("*-buggy",$A60))), "Buggy", IF(NOT(ISERR(SEARCH("*-manual",$A60))), "manual", IF(NOT(ISERR(SEARCH("*-auto",$A60))), "auto", "")))</f>
        <v>manual</v>
      </c>
      <c r="S60" s="15">
        <v>0</v>
      </c>
      <c r="T60" s="15">
        <v>0</v>
      </c>
      <c r="U60" s="15">
        <v>0</v>
      </c>
      <c r="V60" s="15">
        <v>0</v>
      </c>
      <c r="W60" s="15">
        <v>0</v>
      </c>
      <c r="X60" s="15">
        <v>0</v>
      </c>
    </row>
    <row r="61" spans="1:24" ht="15" thickBot="1" x14ac:dyDescent="0.4">
      <c r="A61" s="21" t="s">
        <v>132</v>
      </c>
      <c r="B61" s="22">
        <v>2.82</v>
      </c>
      <c r="C61" s="22">
        <v>80.41</v>
      </c>
      <c r="D61" s="22">
        <v>6.12</v>
      </c>
      <c r="E61" s="22">
        <v>9.41</v>
      </c>
      <c r="F61" s="22">
        <v>4.9400000000000004</v>
      </c>
      <c r="G61" s="22">
        <v>10.35</v>
      </c>
      <c r="H61" s="22">
        <v>19.760000000000002</v>
      </c>
      <c r="I61" s="22">
        <v>11.06</v>
      </c>
      <c r="J61" s="22">
        <v>77.650000000000006</v>
      </c>
      <c r="K61" s="22">
        <v>2.76</v>
      </c>
      <c r="L61" s="22">
        <v>0.43</v>
      </c>
      <c r="M61" s="22">
        <v>428.46</v>
      </c>
      <c r="N61" s="22">
        <v>23.8</v>
      </c>
      <c r="O61" s="23" t="str">
        <f t="shared" si="3"/>
        <v>prophet</v>
      </c>
      <c r="P61" s="23" t="s">
        <v>90</v>
      </c>
      <c r="Q61" s="23" t="s">
        <v>88</v>
      </c>
      <c r="R61" s="23" t="str">
        <f>IF(NOT(ISERR(SEARCH("*-buggy",$A61))), "Buggy", IF(NOT(ISERR(SEARCH("*-manual",$A61))), "manual", IF(NOT(ISERR(SEARCH("*-auto",$A61))), "auto", "")))</f>
        <v>manual</v>
      </c>
      <c r="S61" s="23">
        <v>0</v>
      </c>
      <c r="T61" s="23">
        <v>0</v>
      </c>
      <c r="U61" s="23">
        <v>0</v>
      </c>
      <c r="V61" s="23">
        <v>0</v>
      </c>
      <c r="W61" s="23">
        <v>0</v>
      </c>
      <c r="X61" s="23">
        <v>0</v>
      </c>
    </row>
    <row r="62" spans="1:24" x14ac:dyDescent="0.35">
      <c r="A62" s="18" t="s">
        <v>142</v>
      </c>
      <c r="B62" s="19">
        <v>9.57</v>
      </c>
      <c r="C62" s="19">
        <v>72.290000000000006</v>
      </c>
      <c r="D62" s="19">
        <v>15.29</v>
      </c>
      <c r="E62" s="19">
        <v>29.14</v>
      </c>
      <c r="F62" s="19">
        <v>9</v>
      </c>
      <c r="G62" s="19">
        <v>38.14</v>
      </c>
      <c r="H62" s="19">
        <v>67.290000000000006</v>
      </c>
      <c r="I62" s="19">
        <v>24.29</v>
      </c>
      <c r="J62" s="19">
        <v>399.97</v>
      </c>
      <c r="K62" s="19">
        <v>6.86</v>
      </c>
      <c r="L62" s="19">
        <v>0.23</v>
      </c>
      <c r="M62" s="19" t="s">
        <v>36</v>
      </c>
      <c r="N62" s="19">
        <v>491.18</v>
      </c>
      <c r="O62" s="20" t="str">
        <f t="shared" si="3"/>
        <v>angelix</v>
      </c>
      <c r="P62" s="20" t="s">
        <v>89</v>
      </c>
      <c r="Q62" s="20" t="s">
        <v>74</v>
      </c>
      <c r="R62" s="20" t="str">
        <f>IF(NOT(ISERR(SEARCH("*-buggy",$A62))), "Buggy", IF(NOT(ISERR(SEARCH("*-manual",$A62))), "manual", IF(NOT(ISERR(SEARCH("*-auto",$A62))), "auto", "")))</f>
        <v>auto</v>
      </c>
      <c r="S62" s="20">
        <v>2</v>
      </c>
      <c r="T62" s="20">
        <v>0</v>
      </c>
      <c r="U62" s="20">
        <v>1</v>
      </c>
      <c r="V62" s="20">
        <v>2</v>
      </c>
      <c r="W62" s="20">
        <v>0</v>
      </c>
      <c r="X62" s="20">
        <v>3</v>
      </c>
    </row>
    <row r="63" spans="1:24" x14ac:dyDescent="0.35">
      <c r="A63" s="8" t="s">
        <v>143</v>
      </c>
      <c r="B63" s="9">
        <v>9.7100000000000009</v>
      </c>
      <c r="C63" s="9">
        <v>72.290000000000006</v>
      </c>
      <c r="D63" s="9">
        <v>15.43</v>
      </c>
      <c r="E63" s="9">
        <v>29.29</v>
      </c>
      <c r="F63" s="9">
        <v>8.86</v>
      </c>
      <c r="G63" s="9">
        <v>38.57</v>
      </c>
      <c r="H63" s="9">
        <v>67.86</v>
      </c>
      <c r="I63" s="9">
        <v>24.29</v>
      </c>
      <c r="J63" s="9">
        <v>403.71</v>
      </c>
      <c r="K63" s="9">
        <v>6.57</v>
      </c>
      <c r="L63" s="9">
        <v>0.23</v>
      </c>
      <c r="M63" s="9" t="s">
        <v>37</v>
      </c>
      <c r="N63" s="9">
        <v>461.11</v>
      </c>
      <c r="O63" s="15" t="str">
        <f t="shared" si="3"/>
        <v>angelix</v>
      </c>
      <c r="P63" s="15" t="s">
        <v>89</v>
      </c>
      <c r="Q63" s="15" t="s">
        <v>74</v>
      </c>
      <c r="R63" s="15" t="str">
        <f>IF(NOT(ISERR(SEARCH("*-buggy",$A63))), "Buggy", IF(NOT(ISERR(SEARCH("*-manual",$A63))), "manual", IF(NOT(ISERR(SEARCH("*-auto",$A63))), "auto", "")))</f>
        <v>auto</v>
      </c>
      <c r="S63" s="15">
        <v>2</v>
      </c>
      <c r="T63" s="15">
        <v>0</v>
      </c>
      <c r="U63" s="15">
        <v>1</v>
      </c>
      <c r="V63" s="15">
        <v>2</v>
      </c>
      <c r="W63" s="15">
        <v>0</v>
      </c>
      <c r="X63" s="15">
        <v>3</v>
      </c>
    </row>
    <row r="64" spans="1:24" x14ac:dyDescent="0.35">
      <c r="A64" s="6" t="s">
        <v>144</v>
      </c>
      <c r="B64" s="7">
        <v>5.42</v>
      </c>
      <c r="C64" s="7">
        <v>69.06</v>
      </c>
      <c r="D64" s="7">
        <v>17.03</v>
      </c>
      <c r="E64" s="7">
        <v>39.14</v>
      </c>
      <c r="F64" s="7">
        <v>7.4</v>
      </c>
      <c r="G64" s="7">
        <v>39.700000000000003</v>
      </c>
      <c r="H64" s="7">
        <v>78.84</v>
      </c>
      <c r="I64" s="7">
        <v>24.43</v>
      </c>
      <c r="J64" s="7">
        <v>436.88</v>
      </c>
      <c r="K64" s="7">
        <v>6.54</v>
      </c>
      <c r="L64" s="7">
        <v>0.15</v>
      </c>
      <c r="M64" s="7" t="s">
        <v>39</v>
      </c>
      <c r="N64" s="7">
        <v>513.53</v>
      </c>
      <c r="O64" s="15" t="str">
        <f t="shared" si="3"/>
        <v>angelix</v>
      </c>
      <c r="P64" s="15" t="s">
        <v>89</v>
      </c>
      <c r="Q64" s="15" t="s">
        <v>75</v>
      </c>
      <c r="R64" s="15" t="str">
        <f>IF(NOT(ISERR(SEARCH("*-buggy",$A64))), "Buggy", IF(NOT(ISERR(SEARCH("*-manual",$A64))), "manual", IF(NOT(ISERR(SEARCH("*-auto",$A64))), "auto", "")))</f>
        <v>auto</v>
      </c>
      <c r="S64" s="15">
        <v>8</v>
      </c>
      <c r="T64" s="15">
        <v>0</v>
      </c>
      <c r="U64" s="15">
        <v>0</v>
      </c>
      <c r="V64" s="15">
        <v>8</v>
      </c>
      <c r="W64" s="15">
        <v>0</v>
      </c>
      <c r="X64" s="15">
        <v>8</v>
      </c>
    </row>
    <row r="65" spans="1:24" x14ac:dyDescent="0.35">
      <c r="A65" s="8" t="s">
        <v>145</v>
      </c>
      <c r="B65" s="9">
        <v>5.26</v>
      </c>
      <c r="C65" s="9">
        <v>69.78</v>
      </c>
      <c r="D65" s="9">
        <v>10.48</v>
      </c>
      <c r="E65" s="9">
        <v>18.22</v>
      </c>
      <c r="F65" s="9">
        <v>7.04</v>
      </c>
      <c r="G65" s="9">
        <v>26</v>
      </c>
      <c r="H65" s="9">
        <v>44.22</v>
      </c>
      <c r="I65" s="9">
        <v>17.52</v>
      </c>
      <c r="J65" s="9">
        <v>199.62</v>
      </c>
      <c r="K65" s="9">
        <v>3.74</v>
      </c>
      <c r="L65" s="9">
        <v>0.36</v>
      </c>
      <c r="M65" s="9" t="s">
        <v>41</v>
      </c>
      <c r="N65" s="9">
        <v>82.83</v>
      </c>
      <c r="O65" s="15" t="str">
        <f t="shared" si="3"/>
        <v>angelix</v>
      </c>
      <c r="P65" s="15" t="s">
        <v>89</v>
      </c>
      <c r="Q65" s="15" t="s">
        <v>76</v>
      </c>
      <c r="R65" s="15" t="str">
        <f>IF(NOT(ISERR(SEARCH("*-buggy",$A65))), "Buggy", IF(NOT(ISERR(SEARCH("*-manual",$A65))), "manual", IF(NOT(ISERR(SEARCH("*-auto",$A65))), "auto", "")))</f>
        <v>auto</v>
      </c>
      <c r="S65" s="15">
        <v>1</v>
      </c>
      <c r="T65" s="15">
        <v>0</v>
      </c>
      <c r="U65" s="15">
        <v>0</v>
      </c>
      <c r="V65" s="15">
        <v>1</v>
      </c>
      <c r="W65" s="15">
        <v>0</v>
      </c>
      <c r="X65" s="15">
        <v>1</v>
      </c>
    </row>
    <row r="66" spans="1:24" x14ac:dyDescent="0.35">
      <c r="A66" s="6" t="s">
        <v>146</v>
      </c>
      <c r="B66" s="7">
        <v>4.2699999999999996</v>
      </c>
      <c r="C66" s="7">
        <v>78.92</v>
      </c>
      <c r="D66" s="7">
        <v>11.16</v>
      </c>
      <c r="E66" s="7">
        <v>21.66</v>
      </c>
      <c r="F66" s="7">
        <v>5.35</v>
      </c>
      <c r="G66" s="7">
        <v>19.75</v>
      </c>
      <c r="H66" s="7">
        <v>41.42</v>
      </c>
      <c r="I66" s="7">
        <v>16.510000000000002</v>
      </c>
      <c r="J66" s="7">
        <v>179.4</v>
      </c>
      <c r="K66" s="7">
        <v>3.66</v>
      </c>
      <c r="L66" s="7">
        <v>0.37</v>
      </c>
      <c r="M66" s="7" t="s">
        <v>43</v>
      </c>
      <c r="N66" s="7">
        <v>61.5</v>
      </c>
      <c r="O66" s="15" t="str">
        <f t="shared" si="3"/>
        <v>angelix</v>
      </c>
      <c r="P66" s="15" t="s">
        <v>89</v>
      </c>
      <c r="Q66" s="15" t="s">
        <v>77</v>
      </c>
      <c r="R66" s="15" t="str">
        <f>IF(NOT(ISERR(SEARCH("*-buggy",$A66))), "Buggy", IF(NOT(ISERR(SEARCH("*-manual",$A66))), "manual", IF(NOT(ISERR(SEARCH("*-auto",$A66))), "auto", "")))</f>
        <v>auto</v>
      </c>
      <c r="S66" s="15">
        <v>3</v>
      </c>
      <c r="T66" s="15">
        <v>0</v>
      </c>
      <c r="U66" s="15">
        <v>5</v>
      </c>
      <c r="V66" s="15">
        <v>2</v>
      </c>
      <c r="W66" s="15">
        <v>0</v>
      </c>
      <c r="X66" s="15">
        <v>7</v>
      </c>
    </row>
    <row r="67" spans="1:24" x14ac:dyDescent="0.35">
      <c r="A67" s="8" t="s">
        <v>147</v>
      </c>
      <c r="B67" s="9">
        <v>7.75</v>
      </c>
      <c r="C67" s="9">
        <v>74.5</v>
      </c>
      <c r="D67" s="9">
        <v>12.88</v>
      </c>
      <c r="E67" s="9">
        <v>20.38</v>
      </c>
      <c r="F67" s="9">
        <v>6.12</v>
      </c>
      <c r="G67" s="9">
        <v>28</v>
      </c>
      <c r="H67" s="9">
        <v>48.38</v>
      </c>
      <c r="I67" s="9">
        <v>19</v>
      </c>
      <c r="J67" s="9">
        <v>266.76</v>
      </c>
      <c r="K67" s="9">
        <v>3.25</v>
      </c>
      <c r="L67" s="9">
        <v>0.37</v>
      </c>
      <c r="M67" s="9" t="s">
        <v>46</v>
      </c>
      <c r="N67" s="9">
        <v>115.31</v>
      </c>
      <c r="O67" s="15" t="str">
        <f t="shared" si="3"/>
        <v>angelix</v>
      </c>
      <c r="P67" s="15" t="s">
        <v>89</v>
      </c>
      <c r="Q67" s="15" t="s">
        <v>78</v>
      </c>
      <c r="R67" s="15" t="str">
        <f>IF(NOT(ISERR(SEARCH("*-buggy",$A67))), "Buggy", IF(NOT(ISERR(SEARCH("*-manual",$A67))), "manual", IF(NOT(ISERR(SEARCH("*-auto",$A67))), "auto", "")))</f>
        <v>auto</v>
      </c>
      <c r="S67" s="15">
        <v>1</v>
      </c>
      <c r="T67" s="15">
        <v>0</v>
      </c>
      <c r="U67" s="15">
        <v>0</v>
      </c>
      <c r="V67" s="15">
        <v>1</v>
      </c>
      <c r="W67" s="15">
        <v>0</v>
      </c>
      <c r="X67" s="15">
        <v>1</v>
      </c>
    </row>
    <row r="68" spans="1:24" x14ac:dyDescent="0.35">
      <c r="A68" s="6" t="s">
        <v>148</v>
      </c>
      <c r="B68" s="7">
        <v>2.5</v>
      </c>
      <c r="C68" s="7">
        <v>80</v>
      </c>
      <c r="D68" s="7">
        <v>6.5</v>
      </c>
      <c r="E68" s="7">
        <v>11.17</v>
      </c>
      <c r="F68" s="7">
        <v>6.17</v>
      </c>
      <c r="G68" s="7">
        <v>11.17</v>
      </c>
      <c r="H68" s="7">
        <v>22.33</v>
      </c>
      <c r="I68" s="7">
        <v>12.67</v>
      </c>
      <c r="J68" s="7">
        <v>98.48</v>
      </c>
      <c r="K68" s="7">
        <v>3.67</v>
      </c>
      <c r="L68" s="7">
        <v>0.26</v>
      </c>
      <c r="M68" s="7">
        <v>742.82</v>
      </c>
      <c r="N68" s="7">
        <v>41.27</v>
      </c>
      <c r="O68" s="15" t="str">
        <f t="shared" ref="O68:O80" si="4">LEFT($A68,FIND("-",$A68)-1)</f>
        <v>prophet</v>
      </c>
      <c r="P68" s="15" t="s">
        <v>90</v>
      </c>
      <c r="Q68" s="15" t="s">
        <v>82</v>
      </c>
      <c r="R68" s="15" t="str">
        <f>IF(NOT(ISERR(SEARCH("*-buggy",$A68))), "Buggy", IF(NOT(ISERR(SEARCH("*-manual",$A68))), "manual", IF(NOT(ISERR(SEARCH("*-auto",$A68))), "auto", "")))</f>
        <v>auto</v>
      </c>
      <c r="S68" s="15">
        <v>1</v>
      </c>
      <c r="T68" s="15">
        <v>1</v>
      </c>
      <c r="U68" s="15">
        <v>0</v>
      </c>
      <c r="V68" s="15">
        <v>0</v>
      </c>
      <c r="W68" s="15">
        <v>0</v>
      </c>
      <c r="X68" s="15">
        <v>1</v>
      </c>
    </row>
    <row r="69" spans="1:24" x14ac:dyDescent="0.35">
      <c r="A69" s="8" t="s">
        <v>149</v>
      </c>
      <c r="B69" s="9">
        <v>5.42</v>
      </c>
      <c r="C69" s="9">
        <v>69.06</v>
      </c>
      <c r="D69" s="9">
        <v>17.03</v>
      </c>
      <c r="E69" s="9">
        <v>39.15</v>
      </c>
      <c r="F69" s="9">
        <v>7.41</v>
      </c>
      <c r="G69" s="9">
        <v>39.72</v>
      </c>
      <c r="H69" s="9">
        <v>78.87</v>
      </c>
      <c r="I69" s="9">
        <v>24.44</v>
      </c>
      <c r="J69" s="9">
        <v>437.17</v>
      </c>
      <c r="K69" s="9">
        <v>6.54</v>
      </c>
      <c r="L69" s="9">
        <v>0.15</v>
      </c>
      <c r="M69" s="9" t="s">
        <v>49</v>
      </c>
      <c r="N69" s="9">
        <v>514.01</v>
      </c>
      <c r="O69" s="15" t="str">
        <f t="shared" si="4"/>
        <v>prophet</v>
      </c>
      <c r="P69" s="15" t="s">
        <v>90</v>
      </c>
      <c r="Q69" s="15" t="s">
        <v>75</v>
      </c>
      <c r="R69" s="15" t="str">
        <f>IF(NOT(ISERR(SEARCH("*-buggy",$A69))), "Buggy", IF(NOT(ISERR(SEARCH("*-manual",$A69))), "manual", IF(NOT(ISERR(SEARCH("*-auto",$A69))), "auto", "")))</f>
        <v>auto</v>
      </c>
      <c r="S69" s="15">
        <v>8</v>
      </c>
      <c r="T69" s="15">
        <v>0</v>
      </c>
      <c r="U69" s="15">
        <v>0</v>
      </c>
      <c r="V69" s="15">
        <v>8</v>
      </c>
      <c r="W69" s="15">
        <v>0</v>
      </c>
      <c r="X69" s="15">
        <v>8</v>
      </c>
    </row>
    <row r="70" spans="1:24" x14ac:dyDescent="0.35">
      <c r="A70" s="6" t="s">
        <v>150</v>
      </c>
      <c r="B70" s="7">
        <v>4.2699999999999996</v>
      </c>
      <c r="C70" s="7">
        <v>78.92</v>
      </c>
      <c r="D70" s="7">
        <v>11.16</v>
      </c>
      <c r="E70" s="7">
        <v>21.66</v>
      </c>
      <c r="F70" s="7">
        <v>5.35</v>
      </c>
      <c r="G70" s="7">
        <v>19.75</v>
      </c>
      <c r="H70" s="7">
        <v>41.42</v>
      </c>
      <c r="I70" s="7">
        <v>16.510000000000002</v>
      </c>
      <c r="J70" s="7">
        <v>179.4</v>
      </c>
      <c r="K70" s="7">
        <v>3.66</v>
      </c>
      <c r="L70" s="7">
        <v>0.37</v>
      </c>
      <c r="M70" s="7" t="s">
        <v>43</v>
      </c>
      <c r="N70" s="7">
        <v>61.5</v>
      </c>
      <c r="O70" s="15" t="str">
        <f t="shared" si="4"/>
        <v>prophet</v>
      </c>
      <c r="P70" s="15" t="s">
        <v>90</v>
      </c>
      <c r="Q70" s="15" t="s">
        <v>77</v>
      </c>
      <c r="R70" s="15" t="str">
        <f>IF(NOT(ISERR(SEARCH("*-buggy",$A70))), "Buggy", IF(NOT(ISERR(SEARCH("*-manual",$A70))), "manual", IF(NOT(ISERR(SEARCH("*-auto",$A70))), "auto", "")))</f>
        <v>auto</v>
      </c>
      <c r="S70" s="15">
        <v>3</v>
      </c>
      <c r="T70" s="15">
        <v>0</v>
      </c>
      <c r="U70" s="15">
        <v>5</v>
      </c>
      <c r="V70" s="15">
        <v>2</v>
      </c>
      <c r="W70" s="15">
        <v>0</v>
      </c>
      <c r="X70" s="15">
        <v>7</v>
      </c>
    </row>
    <row r="71" spans="1:24" x14ac:dyDescent="0.35">
      <c r="A71" s="8" t="s">
        <v>151</v>
      </c>
      <c r="B71" s="9">
        <v>4.29</v>
      </c>
      <c r="C71" s="9">
        <v>78.92</v>
      </c>
      <c r="D71" s="9">
        <v>11.16</v>
      </c>
      <c r="E71" s="9">
        <v>21.68</v>
      </c>
      <c r="F71" s="9">
        <v>5.35</v>
      </c>
      <c r="G71" s="9">
        <v>19.78</v>
      </c>
      <c r="H71" s="9">
        <v>41.45</v>
      </c>
      <c r="I71" s="9">
        <v>16.510000000000002</v>
      </c>
      <c r="J71" s="9">
        <v>179.6</v>
      </c>
      <c r="K71" s="9">
        <v>3.66</v>
      </c>
      <c r="L71" s="9">
        <v>0.37</v>
      </c>
      <c r="M71" s="9" t="s">
        <v>52</v>
      </c>
      <c r="N71" s="9">
        <v>61.66</v>
      </c>
      <c r="O71" s="15" t="str">
        <f t="shared" si="4"/>
        <v>prophet</v>
      </c>
      <c r="P71" s="15" t="s">
        <v>90</v>
      </c>
      <c r="Q71" s="15" t="s">
        <v>77</v>
      </c>
      <c r="R71" s="15" t="str">
        <f>IF(NOT(ISERR(SEARCH("*-buggy",$A71))), "Buggy", IF(NOT(ISERR(SEARCH("*-manual",$A71))), "manual", IF(NOT(ISERR(SEARCH("*-auto",$A71))), "auto", "")))</f>
        <v>auto</v>
      </c>
      <c r="S71" s="15">
        <v>3</v>
      </c>
      <c r="T71" s="15">
        <v>0</v>
      </c>
      <c r="U71" s="15">
        <v>5</v>
      </c>
      <c r="V71" s="15">
        <v>2</v>
      </c>
      <c r="W71" s="15">
        <v>0</v>
      </c>
      <c r="X71" s="15">
        <v>7</v>
      </c>
    </row>
    <row r="72" spans="1:24" x14ac:dyDescent="0.35">
      <c r="A72" s="6" t="s">
        <v>152</v>
      </c>
      <c r="B72" s="7">
        <v>2.33</v>
      </c>
      <c r="C72" s="7">
        <v>80.67</v>
      </c>
      <c r="D72" s="7">
        <v>7.67</v>
      </c>
      <c r="E72" s="7">
        <v>15.33</v>
      </c>
      <c r="F72" s="7">
        <v>5.67</v>
      </c>
      <c r="G72" s="7">
        <v>10</v>
      </c>
      <c r="H72" s="7">
        <v>25.33</v>
      </c>
      <c r="I72" s="7">
        <v>13.33</v>
      </c>
      <c r="J72" s="7">
        <v>114.31</v>
      </c>
      <c r="K72" s="7">
        <v>4.33</v>
      </c>
      <c r="L72" s="7">
        <v>0.14000000000000001</v>
      </c>
      <c r="M72" s="7" t="s">
        <v>54</v>
      </c>
      <c r="N72" s="7">
        <v>55.61</v>
      </c>
      <c r="O72" s="15" t="str">
        <f t="shared" si="4"/>
        <v>prophet</v>
      </c>
      <c r="P72" s="15" t="s">
        <v>90</v>
      </c>
      <c r="Q72" s="15" t="s">
        <v>79</v>
      </c>
      <c r="R72" s="15" t="str">
        <f>IF(NOT(ISERR(SEARCH("*-buggy",$A72))), "Buggy", IF(NOT(ISERR(SEARCH("*-manual",$A72))), "manual", IF(NOT(ISERR(SEARCH("*-auto",$A72))), "auto", "")))</f>
        <v>auto</v>
      </c>
      <c r="S72" s="15">
        <v>1</v>
      </c>
      <c r="T72" s="15">
        <v>1</v>
      </c>
      <c r="U72" s="15">
        <v>0</v>
      </c>
      <c r="V72" s="15">
        <v>0</v>
      </c>
      <c r="W72" s="15">
        <v>0</v>
      </c>
      <c r="X72" s="15">
        <v>1</v>
      </c>
    </row>
    <row r="73" spans="1:24" x14ac:dyDescent="0.35">
      <c r="A73" s="8" t="s">
        <v>153</v>
      </c>
      <c r="B73" s="9">
        <v>5.25</v>
      </c>
      <c r="C73" s="9">
        <v>77</v>
      </c>
      <c r="D73" s="9">
        <v>7.75</v>
      </c>
      <c r="E73" s="9">
        <v>13</v>
      </c>
      <c r="F73" s="9">
        <v>3.5</v>
      </c>
      <c r="G73" s="9">
        <v>17</v>
      </c>
      <c r="H73" s="9">
        <v>30</v>
      </c>
      <c r="I73" s="9">
        <v>11.25</v>
      </c>
      <c r="J73" s="9">
        <v>125.93</v>
      </c>
      <c r="K73" s="9">
        <v>1.5</v>
      </c>
      <c r="L73" s="9">
        <v>0.46</v>
      </c>
      <c r="M73" s="9">
        <v>282.01</v>
      </c>
      <c r="N73" s="9">
        <v>15.67</v>
      </c>
      <c r="O73" s="15" t="str">
        <f t="shared" si="4"/>
        <v>prophet</v>
      </c>
      <c r="P73" s="15" t="s">
        <v>90</v>
      </c>
      <c r="Q73" s="15" t="s">
        <v>80</v>
      </c>
      <c r="R73" s="15" t="str">
        <f>IF(NOT(ISERR(SEARCH("*-buggy",$A73))), "Buggy", IF(NOT(ISERR(SEARCH("*-manual",$A73))), "manual", IF(NOT(ISERR(SEARCH("*-auto",$A73))), "auto", "")))</f>
        <v>auto</v>
      </c>
      <c r="S73" s="15">
        <v>1</v>
      </c>
      <c r="T73" s="15">
        <v>0</v>
      </c>
      <c r="U73" s="15">
        <v>0</v>
      </c>
      <c r="V73" s="15">
        <v>1</v>
      </c>
      <c r="W73" s="15">
        <v>0</v>
      </c>
      <c r="X73" s="15">
        <v>1</v>
      </c>
    </row>
    <row r="74" spans="1:24" x14ac:dyDescent="0.35">
      <c r="A74" s="6" t="s">
        <v>154</v>
      </c>
      <c r="B74" s="7">
        <v>2.67</v>
      </c>
      <c r="C74" s="7">
        <v>88.33</v>
      </c>
      <c r="D74" s="7">
        <v>4</v>
      </c>
      <c r="E74" s="7">
        <v>5.67</v>
      </c>
      <c r="F74" s="7">
        <v>2</v>
      </c>
      <c r="G74" s="7">
        <v>8</v>
      </c>
      <c r="H74" s="7">
        <v>13.67</v>
      </c>
      <c r="I74" s="7">
        <v>6</v>
      </c>
      <c r="J74" s="7">
        <v>48.28</v>
      </c>
      <c r="K74" s="7">
        <v>0.67</v>
      </c>
      <c r="L74" s="7">
        <v>0.17</v>
      </c>
      <c r="M74" s="7">
        <v>88.81</v>
      </c>
      <c r="N74" s="7">
        <v>4.93</v>
      </c>
      <c r="O74" s="15" t="str">
        <f t="shared" si="4"/>
        <v>prophet</v>
      </c>
      <c r="P74" s="15" t="s">
        <v>90</v>
      </c>
      <c r="Q74" s="15" t="s">
        <v>83</v>
      </c>
      <c r="R74" s="15" t="str">
        <f>IF(NOT(ISERR(SEARCH("*-buggy",$A74))), "Buggy", IF(NOT(ISERR(SEARCH("*-manual",$A74))), "manual", IF(NOT(ISERR(SEARCH("*-auto",$A74))), "auto", "")))</f>
        <v>auto</v>
      </c>
      <c r="S74" s="15">
        <v>1</v>
      </c>
      <c r="T74" s="15">
        <v>1</v>
      </c>
      <c r="U74" s="15">
        <v>0</v>
      </c>
      <c r="V74" s="15">
        <v>0</v>
      </c>
      <c r="W74" s="15">
        <v>0</v>
      </c>
      <c r="X74" s="15">
        <v>1</v>
      </c>
    </row>
    <row r="75" spans="1:24" x14ac:dyDescent="0.35">
      <c r="A75" s="8" t="s">
        <v>155</v>
      </c>
      <c r="B75" s="9">
        <v>1</v>
      </c>
      <c r="C75" s="9">
        <v>100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15" t="str">
        <f t="shared" si="4"/>
        <v>prophet</v>
      </c>
      <c r="P75" s="15" t="s">
        <v>90</v>
      </c>
      <c r="Q75" s="15" t="s">
        <v>81</v>
      </c>
      <c r="R75" s="15" t="str">
        <f>IF(NOT(ISERR(SEARCH("*-buggy",$A75))), "Buggy", IF(NOT(ISERR(SEARCH("*-manual",$A75))), "manual", IF(NOT(ISERR(SEARCH("*-auto",$A75))), "auto", "")))</f>
        <v>auto</v>
      </c>
      <c r="S75" s="15">
        <v>1</v>
      </c>
      <c r="T75" s="15">
        <v>1</v>
      </c>
      <c r="U75" s="15">
        <v>0</v>
      </c>
      <c r="V75" s="15">
        <v>1</v>
      </c>
      <c r="W75" s="15">
        <v>1</v>
      </c>
      <c r="X75" s="15">
        <v>3</v>
      </c>
    </row>
    <row r="76" spans="1:24" x14ac:dyDescent="0.35">
      <c r="A76" s="6" t="s">
        <v>156</v>
      </c>
      <c r="B76" s="7">
        <v>5.14</v>
      </c>
      <c r="C76" s="7">
        <v>76.290000000000006</v>
      </c>
      <c r="D76" s="7">
        <v>9.14</v>
      </c>
      <c r="E76" s="7">
        <v>15.57</v>
      </c>
      <c r="F76" s="7">
        <v>6.14</v>
      </c>
      <c r="G76" s="7">
        <v>22.29</v>
      </c>
      <c r="H76" s="7">
        <v>37.86</v>
      </c>
      <c r="I76" s="7">
        <v>15.29</v>
      </c>
      <c r="J76" s="7">
        <v>172.21</v>
      </c>
      <c r="K76" s="7">
        <v>4</v>
      </c>
      <c r="L76" s="7">
        <v>0.44</v>
      </c>
      <c r="M76" s="7" t="s">
        <v>59</v>
      </c>
      <c r="N76" s="7">
        <v>79.040000000000006</v>
      </c>
      <c r="O76" s="15" t="str">
        <f t="shared" si="4"/>
        <v>prophet</v>
      </c>
      <c r="P76" s="15" t="s">
        <v>90</v>
      </c>
      <c r="Q76" s="15" t="s">
        <v>84</v>
      </c>
      <c r="R76" s="15" t="str">
        <f>IF(NOT(ISERR(SEARCH("*-buggy",$A76))), "Buggy", IF(NOT(ISERR(SEARCH("*-manual",$A76))), "manual", IF(NOT(ISERR(SEARCH("*-auto",$A76))), "auto", "")))</f>
        <v>auto</v>
      </c>
      <c r="S76" s="15">
        <v>1</v>
      </c>
      <c r="T76" s="15">
        <v>0</v>
      </c>
      <c r="U76" s="15">
        <v>0</v>
      </c>
      <c r="V76" s="15">
        <v>2</v>
      </c>
      <c r="W76" s="15">
        <v>0</v>
      </c>
      <c r="X76" s="15">
        <v>2</v>
      </c>
    </row>
    <row r="77" spans="1:24" x14ac:dyDescent="0.35">
      <c r="A77" s="8" t="s">
        <v>157</v>
      </c>
      <c r="B77" s="9">
        <v>1</v>
      </c>
      <c r="C77" s="9">
        <v>100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15" t="str">
        <f t="shared" si="4"/>
        <v>prophet</v>
      </c>
      <c r="P77" s="15" t="s">
        <v>90</v>
      </c>
      <c r="Q77" s="15" t="s">
        <v>85</v>
      </c>
      <c r="R77" s="15" t="str">
        <f>IF(NOT(ISERR(SEARCH("*-buggy",$A77))), "Buggy", IF(NOT(ISERR(SEARCH("*-manual",$A77))), "manual", IF(NOT(ISERR(SEARCH("*-auto",$A77))), "auto", "")))</f>
        <v>auto</v>
      </c>
      <c r="S77" s="15">
        <v>1</v>
      </c>
      <c r="T77" s="15">
        <v>0</v>
      </c>
      <c r="U77" s="15">
        <v>0</v>
      </c>
      <c r="V77" s="15">
        <v>1</v>
      </c>
      <c r="W77" s="15">
        <v>0</v>
      </c>
      <c r="X77" s="15">
        <v>1</v>
      </c>
    </row>
    <row r="78" spans="1:24" x14ac:dyDescent="0.35">
      <c r="A78" s="6" t="s">
        <v>158</v>
      </c>
      <c r="B78" s="7">
        <v>2.0699999999999998</v>
      </c>
      <c r="C78" s="7">
        <v>88.29</v>
      </c>
      <c r="D78" s="7">
        <v>4.8600000000000003</v>
      </c>
      <c r="E78" s="7">
        <v>6.29</v>
      </c>
      <c r="F78" s="7">
        <v>3.29</v>
      </c>
      <c r="G78" s="7">
        <v>6.71</v>
      </c>
      <c r="H78" s="7">
        <v>13</v>
      </c>
      <c r="I78" s="7">
        <v>8.14</v>
      </c>
      <c r="J78" s="7">
        <v>45.62</v>
      </c>
      <c r="K78" s="7">
        <v>1.29</v>
      </c>
      <c r="L78" s="7">
        <v>0.64</v>
      </c>
      <c r="M78" s="7">
        <v>120.5</v>
      </c>
      <c r="N78" s="7">
        <v>6.69</v>
      </c>
      <c r="O78" s="15" t="str">
        <f t="shared" si="4"/>
        <v>prophet</v>
      </c>
      <c r="P78" s="15" t="s">
        <v>90</v>
      </c>
      <c r="Q78" s="15" t="s">
        <v>86</v>
      </c>
      <c r="R78" s="15" t="str">
        <f>IF(NOT(ISERR(SEARCH("*-buggy",$A78))), "Buggy", IF(NOT(ISERR(SEARCH("*-manual",$A78))), "manual", IF(NOT(ISERR(SEARCH("*-auto",$A78))), "auto", "")))</f>
        <v>auto</v>
      </c>
      <c r="S78" s="15">
        <v>2</v>
      </c>
      <c r="T78" s="15">
        <v>0</v>
      </c>
      <c r="U78" s="15">
        <v>0</v>
      </c>
      <c r="V78" s="15">
        <v>2</v>
      </c>
      <c r="W78" s="15">
        <v>0</v>
      </c>
      <c r="X78" s="15">
        <v>2</v>
      </c>
    </row>
    <row r="79" spans="1:24" x14ac:dyDescent="0.35">
      <c r="A79" s="8" t="s">
        <v>159</v>
      </c>
      <c r="B79" s="9">
        <v>5.14</v>
      </c>
      <c r="C79" s="9">
        <v>76.290000000000006</v>
      </c>
      <c r="D79" s="9">
        <v>9.14</v>
      </c>
      <c r="E79" s="9">
        <v>15.57</v>
      </c>
      <c r="F79" s="9">
        <v>6.14</v>
      </c>
      <c r="G79" s="9">
        <v>22.29</v>
      </c>
      <c r="H79" s="9">
        <v>37.86</v>
      </c>
      <c r="I79" s="9">
        <v>15.29</v>
      </c>
      <c r="J79" s="9">
        <v>172.21</v>
      </c>
      <c r="K79" s="9">
        <v>4</v>
      </c>
      <c r="L79" s="9">
        <v>0.44</v>
      </c>
      <c r="M79" s="9" t="s">
        <v>59</v>
      </c>
      <c r="N79" s="9">
        <v>79.040000000000006</v>
      </c>
      <c r="O79" s="15" t="str">
        <f t="shared" si="4"/>
        <v>prophet</v>
      </c>
      <c r="P79" s="15" t="s">
        <v>90</v>
      </c>
      <c r="Q79" s="15" t="s">
        <v>87</v>
      </c>
      <c r="R79" s="15" t="str">
        <f>IF(NOT(ISERR(SEARCH("*-buggy",$A79))), "Buggy", IF(NOT(ISERR(SEARCH("*-manual",$A79))), "manual", IF(NOT(ISERR(SEARCH("*-auto",$A79))), "auto", "")))</f>
        <v>auto</v>
      </c>
      <c r="S79" s="15">
        <v>1</v>
      </c>
      <c r="T79" s="15">
        <v>0</v>
      </c>
      <c r="U79" s="15">
        <v>0</v>
      </c>
      <c r="V79" s="15">
        <v>1</v>
      </c>
      <c r="W79" s="15">
        <v>0</v>
      </c>
      <c r="X79" s="15">
        <v>1</v>
      </c>
    </row>
    <row r="80" spans="1:24" x14ac:dyDescent="0.35">
      <c r="A80" s="6" t="s">
        <v>160</v>
      </c>
      <c r="B80" s="7">
        <v>2.82</v>
      </c>
      <c r="C80" s="7">
        <v>80.709999999999994</v>
      </c>
      <c r="D80" s="7">
        <v>6</v>
      </c>
      <c r="E80" s="7">
        <v>9.1199999999999992</v>
      </c>
      <c r="F80" s="7">
        <v>4.88</v>
      </c>
      <c r="G80" s="7">
        <v>10.18</v>
      </c>
      <c r="H80" s="7">
        <v>19.29</v>
      </c>
      <c r="I80" s="7">
        <v>10.88</v>
      </c>
      <c r="J80" s="7">
        <v>75.47</v>
      </c>
      <c r="K80" s="7">
        <v>2.76</v>
      </c>
      <c r="L80" s="7">
        <v>0.43</v>
      </c>
      <c r="M80" s="7">
        <v>421.91</v>
      </c>
      <c r="N80" s="7">
        <v>23.44</v>
      </c>
      <c r="O80" s="15" t="str">
        <f t="shared" si="4"/>
        <v>prophet</v>
      </c>
      <c r="P80" s="15" t="s">
        <v>90</v>
      </c>
      <c r="Q80" s="15" t="s">
        <v>88</v>
      </c>
      <c r="R80" s="15" t="str">
        <f>IF(NOT(ISERR(SEARCH("*-buggy",$A80))), "Buggy", IF(NOT(ISERR(SEARCH("*-manual",$A80))), "manual", IF(NOT(ISERR(SEARCH("*-auto",$A80))), "auto", "")))</f>
        <v>auto</v>
      </c>
      <c r="S80" s="15">
        <v>2</v>
      </c>
      <c r="T80" s="15">
        <v>3</v>
      </c>
      <c r="U80" s="15">
        <v>0</v>
      </c>
      <c r="V80" s="15">
        <v>2</v>
      </c>
      <c r="W80" s="15">
        <v>0</v>
      </c>
      <c r="X80" s="15">
        <v>5</v>
      </c>
    </row>
    <row r="81" spans="1:24" s="14" customFormat="1" ht="28.8" x14ac:dyDescent="0.3">
      <c r="A81" s="13" t="s">
        <v>110</v>
      </c>
      <c r="B81" s="13" t="s">
        <v>20</v>
      </c>
      <c r="C81" s="13" t="s">
        <v>21</v>
      </c>
      <c r="D81" s="13" t="s">
        <v>22</v>
      </c>
      <c r="E81" s="13" t="s">
        <v>23</v>
      </c>
      <c r="F81" s="13" t="s">
        <v>24</v>
      </c>
      <c r="G81" s="13" t="s">
        <v>25</v>
      </c>
      <c r="H81" s="13" t="s">
        <v>26</v>
      </c>
      <c r="I81" s="13" t="s">
        <v>27</v>
      </c>
      <c r="J81" s="13" t="s">
        <v>28</v>
      </c>
      <c r="K81" s="13" t="s">
        <v>29</v>
      </c>
      <c r="L81" s="13" t="s">
        <v>30</v>
      </c>
      <c r="M81" s="13" t="s">
        <v>31</v>
      </c>
      <c r="N81" s="13" t="s">
        <v>32</v>
      </c>
      <c r="O81" s="13" t="s">
        <v>71</v>
      </c>
      <c r="P81" s="13" t="s">
        <v>72</v>
      </c>
      <c r="Q81" s="13" t="s">
        <v>73</v>
      </c>
      <c r="R81" s="13" t="s">
        <v>70</v>
      </c>
      <c r="S81" s="37" t="s">
        <v>107</v>
      </c>
      <c r="T81" s="37" t="s">
        <v>108</v>
      </c>
      <c r="U81" s="37" t="s">
        <v>109</v>
      </c>
      <c r="V81" s="37" t="s">
        <v>111</v>
      </c>
      <c r="W81" s="37" t="s">
        <v>112</v>
      </c>
      <c r="X81" s="37" t="s">
        <v>113</v>
      </c>
    </row>
    <row r="82" spans="1:24" ht="15" x14ac:dyDescent="0.35">
      <c r="A82" s="10" t="s">
        <v>64</v>
      </c>
      <c r="B82" s="16">
        <f t="shared" ref="B82:N82" si="5">SUM(B24:B80)</f>
        <v>256.36999999999995</v>
      </c>
      <c r="C82" s="16">
        <f t="shared" si="5"/>
        <v>4542.7700000000004</v>
      </c>
      <c r="D82" s="16">
        <f t="shared" si="5"/>
        <v>525.04000000000019</v>
      </c>
      <c r="E82" s="16">
        <f t="shared" si="5"/>
        <v>983.8299999999997</v>
      </c>
      <c r="F82" s="16">
        <f t="shared" si="5"/>
        <v>293.69</v>
      </c>
      <c r="G82" s="16">
        <f t="shared" si="5"/>
        <v>1114.8300000000002</v>
      </c>
      <c r="H82" s="16">
        <f t="shared" si="5"/>
        <v>2098.65</v>
      </c>
      <c r="I82" s="16">
        <f t="shared" si="5"/>
        <v>818.66999999999973</v>
      </c>
      <c r="J82" s="16">
        <f t="shared" si="5"/>
        <v>10427.679999999998</v>
      </c>
      <c r="K82" s="16">
        <f t="shared" si="5"/>
        <v>196.24999999999997</v>
      </c>
      <c r="L82" s="16">
        <f t="shared" si="5"/>
        <v>17.110000000000003</v>
      </c>
      <c r="M82" s="16">
        <f t="shared" si="5"/>
        <v>10560.149999999998</v>
      </c>
      <c r="N82" s="16">
        <f t="shared" si="5"/>
        <v>7773.14</v>
      </c>
      <c r="O82"/>
      <c r="P82"/>
      <c r="Q82"/>
      <c r="R82" s="11"/>
    </row>
    <row r="83" spans="1:24" ht="15" x14ac:dyDescent="0.35">
      <c r="A83" s="12" t="s">
        <v>65</v>
      </c>
      <c r="B83" s="17">
        <f t="shared" ref="B83:N83" si="6">AVERAGE(B24:B80)</f>
        <v>4.4977192982456131</v>
      </c>
      <c r="C83" s="17">
        <f t="shared" si="6"/>
        <v>79.697719298245616</v>
      </c>
      <c r="D83" s="17">
        <f t="shared" si="6"/>
        <v>9.2112280701754425</v>
      </c>
      <c r="E83" s="17">
        <f t="shared" si="6"/>
        <v>17.260175438596487</v>
      </c>
      <c r="F83" s="17">
        <f t="shared" si="6"/>
        <v>5.1524561403508775</v>
      </c>
      <c r="G83" s="17">
        <f t="shared" si="6"/>
        <v>19.55842105263158</v>
      </c>
      <c r="H83" s="17">
        <f t="shared" si="6"/>
        <v>36.818421052631578</v>
      </c>
      <c r="I83" s="17">
        <f t="shared" si="6"/>
        <v>14.362631578947363</v>
      </c>
      <c r="J83" s="17">
        <f t="shared" si="6"/>
        <v>182.94175438596488</v>
      </c>
      <c r="K83" s="17">
        <f t="shared" si="6"/>
        <v>3.4429824561403506</v>
      </c>
      <c r="L83" s="17">
        <f t="shared" si="6"/>
        <v>0.30017543859649126</v>
      </c>
      <c r="M83" s="17">
        <f t="shared" si="6"/>
        <v>391.11666666666656</v>
      </c>
      <c r="N83" s="17">
        <f t="shared" si="6"/>
        <v>136.37087719298245</v>
      </c>
      <c r="O83"/>
      <c r="P83"/>
      <c r="Q83"/>
      <c r="R83" s="11"/>
    </row>
    <row r="84" spans="1:24" ht="15" x14ac:dyDescent="0.35">
      <c r="A84" s="10" t="s">
        <v>66</v>
      </c>
      <c r="B84" s="16">
        <f t="shared" ref="B84:N84" si="7">MIN(B24:B80)</f>
        <v>1</v>
      </c>
      <c r="C84" s="16">
        <f t="shared" si="7"/>
        <v>69.06</v>
      </c>
      <c r="D84" s="16">
        <f t="shared" si="7"/>
        <v>0</v>
      </c>
      <c r="E84" s="16">
        <f t="shared" si="7"/>
        <v>0</v>
      </c>
      <c r="F84" s="16">
        <f t="shared" si="7"/>
        <v>0</v>
      </c>
      <c r="G84" s="16">
        <f t="shared" si="7"/>
        <v>0</v>
      </c>
      <c r="H84" s="16">
        <f t="shared" si="7"/>
        <v>0</v>
      </c>
      <c r="I84" s="16">
        <f t="shared" si="7"/>
        <v>0</v>
      </c>
      <c r="J84" s="16">
        <f t="shared" si="7"/>
        <v>0</v>
      </c>
      <c r="K84" s="16">
        <f t="shared" si="7"/>
        <v>0</v>
      </c>
      <c r="L84" s="16">
        <f t="shared" si="7"/>
        <v>0</v>
      </c>
      <c r="M84" s="16">
        <f t="shared" si="7"/>
        <v>0</v>
      </c>
      <c r="N84" s="16">
        <f t="shared" si="7"/>
        <v>0</v>
      </c>
      <c r="O84"/>
      <c r="P84"/>
      <c r="Q84"/>
      <c r="R84" s="11"/>
    </row>
    <row r="85" spans="1:24" ht="15" x14ac:dyDescent="0.35">
      <c r="A85" s="12" t="s">
        <v>67</v>
      </c>
      <c r="B85" s="17">
        <f t="shared" ref="B85:N85" si="8">MAX(B24:B80)</f>
        <v>9.7100000000000009</v>
      </c>
      <c r="C85" s="17">
        <f t="shared" si="8"/>
        <v>100</v>
      </c>
      <c r="D85" s="17">
        <f t="shared" si="8"/>
        <v>17.03</v>
      </c>
      <c r="E85" s="17">
        <f t="shared" si="8"/>
        <v>39.15</v>
      </c>
      <c r="F85" s="17">
        <f t="shared" si="8"/>
        <v>9</v>
      </c>
      <c r="G85" s="17">
        <f t="shared" si="8"/>
        <v>39.72</v>
      </c>
      <c r="H85" s="17">
        <f t="shared" si="8"/>
        <v>78.87</v>
      </c>
      <c r="I85" s="17">
        <f t="shared" si="8"/>
        <v>24.44</v>
      </c>
      <c r="J85" s="17">
        <f t="shared" si="8"/>
        <v>437.17</v>
      </c>
      <c r="K85" s="17">
        <f t="shared" si="8"/>
        <v>6.86</v>
      </c>
      <c r="L85" s="17">
        <f t="shared" si="8"/>
        <v>0.64</v>
      </c>
      <c r="M85" s="17">
        <f t="shared" si="8"/>
        <v>970.07</v>
      </c>
      <c r="N85" s="17">
        <f t="shared" si="8"/>
        <v>514.01</v>
      </c>
      <c r="O85"/>
      <c r="P85"/>
      <c r="Q85"/>
      <c r="R85" s="11"/>
    </row>
    <row r="86" spans="1:24" ht="15" x14ac:dyDescent="0.35">
      <c r="A86" s="10" t="s">
        <v>68</v>
      </c>
      <c r="B86" s="16">
        <f t="shared" ref="B86:N86" si="9">_xlfn.STDEV.S(B24:B80)</f>
        <v>2.4485513337655851</v>
      </c>
      <c r="C86" s="16">
        <f t="shared" si="9"/>
        <v>8.9086152157703733</v>
      </c>
      <c r="D86" s="16">
        <f t="shared" si="9"/>
        <v>4.9691455395755595</v>
      </c>
      <c r="E86" s="16">
        <f t="shared" si="9"/>
        <v>11.104092953763255</v>
      </c>
      <c r="F86" s="16">
        <f t="shared" si="9"/>
        <v>2.4703074423336693</v>
      </c>
      <c r="G86" s="16">
        <f t="shared" si="9"/>
        <v>12.539920794559848</v>
      </c>
      <c r="H86" s="16">
        <f t="shared" si="9"/>
        <v>23.320728807334952</v>
      </c>
      <c r="I86" s="16">
        <f t="shared" si="9"/>
        <v>7.2787846135964092</v>
      </c>
      <c r="J86" s="16">
        <f t="shared" si="9"/>
        <v>139.13314064391196</v>
      </c>
      <c r="K86" s="16">
        <f t="shared" si="9"/>
        <v>2.0773652310699133</v>
      </c>
      <c r="L86" s="16">
        <f t="shared" si="9"/>
        <v>0.16289228724254473</v>
      </c>
      <c r="M86" s="16">
        <f t="shared" si="9"/>
        <v>370.76279950933605</v>
      </c>
      <c r="N86" s="16">
        <f t="shared" si="9"/>
        <v>184.82155660722259</v>
      </c>
      <c r="O86"/>
      <c r="P86"/>
      <c r="Q86"/>
      <c r="R86" s="11"/>
    </row>
    <row r="87" spans="1:24" ht="15" x14ac:dyDescent="0.35">
      <c r="A87" s="12" t="s">
        <v>69</v>
      </c>
      <c r="B87" s="17">
        <f t="shared" ref="B87:N87" si="10">_xlfn.VAR.S(B24:B80)</f>
        <v>5.9954036340852257</v>
      </c>
      <c r="C87" s="17">
        <f t="shared" si="10"/>
        <v>79.363425062655423</v>
      </c>
      <c r="D87" s="17">
        <f t="shared" si="10"/>
        <v>24.692407393483677</v>
      </c>
      <c r="E87" s="17">
        <f t="shared" si="10"/>
        <v>123.30088032581476</v>
      </c>
      <c r="F87" s="17">
        <f t="shared" si="10"/>
        <v>6.1024188596491138</v>
      </c>
      <c r="G87" s="17">
        <f t="shared" si="10"/>
        <v>157.24961353383449</v>
      </c>
      <c r="H87" s="17">
        <f t="shared" si="10"/>
        <v>543.85639210526222</v>
      </c>
      <c r="I87" s="17">
        <f t="shared" si="10"/>
        <v>52.980705451127832</v>
      </c>
      <c r="J87" s="17">
        <f t="shared" si="10"/>
        <v>19358.030825438582</v>
      </c>
      <c r="K87" s="17">
        <f t="shared" si="10"/>
        <v>4.3154463032581543</v>
      </c>
      <c r="L87" s="17">
        <f t="shared" si="10"/>
        <v>2.6533897243107698E-2</v>
      </c>
      <c r="M87" s="17">
        <f t="shared" si="10"/>
        <v>137465.05350000013</v>
      </c>
      <c r="N87" s="17">
        <f t="shared" si="10"/>
        <v>34159.007786716786</v>
      </c>
      <c r="O87"/>
      <c r="P87"/>
      <c r="Q87"/>
      <c r="R87" s="11"/>
    </row>
    <row r="90" spans="1:24" x14ac:dyDescent="0.35">
      <c r="A90" s="26" t="s">
        <v>91</v>
      </c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8"/>
    </row>
    <row r="92" spans="1:24" ht="28.8" x14ac:dyDescent="0.35">
      <c r="B92" s="13" t="s">
        <v>110</v>
      </c>
      <c r="C92" s="13" t="s">
        <v>92</v>
      </c>
      <c r="D92" s="13" t="s">
        <v>93</v>
      </c>
      <c r="E92" s="13" t="s">
        <v>94</v>
      </c>
      <c r="F92" s="13" t="s">
        <v>23</v>
      </c>
      <c r="G92" s="13" t="s">
        <v>95</v>
      </c>
      <c r="H92" s="13" t="s">
        <v>25</v>
      </c>
      <c r="I92" s="13" t="s">
        <v>96</v>
      </c>
      <c r="J92" s="13" t="s">
        <v>97</v>
      </c>
      <c r="K92" s="13" t="s">
        <v>98</v>
      </c>
      <c r="L92" s="13" t="s">
        <v>99</v>
      </c>
      <c r="M92" s="13" t="s">
        <v>100</v>
      </c>
      <c r="N92" s="13" t="s">
        <v>101</v>
      </c>
      <c r="O92" s="13" t="s">
        <v>102</v>
      </c>
    </row>
    <row r="93" spans="1:24" x14ac:dyDescent="0.35">
      <c r="B93" s="1" t="s">
        <v>103</v>
      </c>
      <c r="C93" s="29">
        <f t="shared" ref="C93:O93" si="11">AVERAGEIF($R$24:$R$80, "Buggy", B$24:B$80)</f>
        <v>4.4763157894736842</v>
      </c>
      <c r="D93" s="29">
        <f t="shared" si="11"/>
        <v>79.945263157894743</v>
      </c>
      <c r="E93" s="29">
        <f t="shared" si="11"/>
        <v>9.165789473684212</v>
      </c>
      <c r="F93" s="29">
        <f t="shared" si="11"/>
        <v>17.146315789473686</v>
      </c>
      <c r="G93" s="29">
        <f t="shared" si="11"/>
        <v>5.0778947368421052</v>
      </c>
      <c r="H93" s="29">
        <f t="shared" si="11"/>
        <v>19.382105263157897</v>
      </c>
      <c r="I93" s="29">
        <f t="shared" si="11"/>
        <v>36.528947368421044</v>
      </c>
      <c r="J93" s="29">
        <f t="shared" si="11"/>
        <v>14.242105263157892</v>
      </c>
      <c r="K93" s="29">
        <f t="shared" si="11"/>
        <v>181.21631578947373</v>
      </c>
      <c r="L93" s="29">
        <f t="shared" si="11"/>
        <v>3.4005263157894738</v>
      </c>
      <c r="M93" s="29">
        <f t="shared" si="11"/>
        <v>0.30789473684210522</v>
      </c>
      <c r="N93" s="29">
        <f t="shared" si="11"/>
        <v>443.81299999999999</v>
      </c>
      <c r="O93" s="29">
        <f t="shared" si="11"/>
        <v>134.32052631578946</v>
      </c>
    </row>
    <row r="94" spans="1:24" x14ac:dyDescent="0.35">
      <c r="B94" s="1" t="s">
        <v>133</v>
      </c>
      <c r="C94" s="29">
        <f>AVERAGEIF($R$24:$R$80, "manual", B$24:B$80)</f>
        <v>4.4968421052631573</v>
      </c>
      <c r="D94" s="29">
        <f>AVERAGEIF($R$24:$R$80, "manual", C$24:C$80)</f>
        <v>79.604736842105268</v>
      </c>
      <c r="E94" s="29">
        <f>AVERAGEIF($R$24:$R$80, "manual", D$24:D$80)</f>
        <v>9.1689473684210547</v>
      </c>
      <c r="F94" s="29">
        <f>AVERAGEIF($R$24:$R$80, "manual", E$24:E$80)</f>
        <v>17.158421052631578</v>
      </c>
      <c r="G94" s="29">
        <f>AVERAGEIF($R$24:$R$80, "manual", F$24:F$80)</f>
        <v>5.1336842105263161</v>
      </c>
      <c r="H94" s="29">
        <f>AVERAGEIF($R$24:$R$80, "manual", G$24:G$80)</f>
        <v>19.448421052631584</v>
      </c>
      <c r="I94" s="29">
        <f>AVERAGEIF($R$24:$R$80, "manual", H$24:H$80)</f>
        <v>36.605789473684204</v>
      </c>
      <c r="J94" s="29">
        <f>AVERAGEIF($R$24:$R$80, "manual", I$24:I$80)</f>
        <v>14.301052631578949</v>
      </c>
      <c r="K94" s="29">
        <f>AVERAGEIF($R$24:$R$80, "manual", J$24:J$80)</f>
        <v>181.55526315789476</v>
      </c>
      <c r="L94" s="29">
        <f>AVERAGEIF($R$24:$R$80, "manual", K$24:K$80)</f>
        <v>3.4178947368421051</v>
      </c>
      <c r="M94" s="29">
        <f>AVERAGEIF($R$24:$R$80, "manual", L$24:L$80)</f>
        <v>0.29894736842105263</v>
      </c>
      <c r="N94" s="29">
        <f>AVERAGEIF($R$24:$R$80, "manual", M$24:M$80)</f>
        <v>446.59700000000004</v>
      </c>
      <c r="O94" s="29">
        <f>AVERAGEIF($R$24:$R$80, "manual", N$24:N$80)</f>
        <v>134.35421052631574</v>
      </c>
    </row>
    <row r="95" spans="1:24" x14ac:dyDescent="0.35">
      <c r="B95" s="1" t="s">
        <v>161</v>
      </c>
      <c r="C95" s="29">
        <f>AVERAGEIF($R$24:$R$80, "auto", B$24:B$80)</f>
        <v>4.5199999999999987</v>
      </c>
      <c r="D95" s="29">
        <f>AVERAGEIF($R$24:$R$80, "auto", C$24:C$80)</f>
        <v>79.543157894736837</v>
      </c>
      <c r="E95" s="29">
        <f>AVERAGEIF($R$24:$R$80, "auto", D$24:D$80)</f>
        <v>9.2989473684210537</v>
      </c>
      <c r="F95" s="29">
        <f>AVERAGEIF($R$24:$R$80, "auto", E$24:E$80)</f>
        <v>17.475789473684213</v>
      </c>
      <c r="G95" s="29">
        <f>AVERAGEIF($R$24:$R$80, "auto", F$24:F$80)</f>
        <v>5.2457894736842103</v>
      </c>
      <c r="H95" s="29">
        <f>AVERAGEIF($R$24:$R$80, "auto", G$24:G$80)</f>
        <v>19.844736842105267</v>
      </c>
      <c r="I95" s="29">
        <f>AVERAGEIF($R$24:$R$80, "auto", H$24:H$80)</f>
        <v>37.320526315789472</v>
      </c>
      <c r="J95" s="29">
        <f>AVERAGEIF($R$24:$R$80, "auto", I$24:I$80)</f>
        <v>14.544736842105261</v>
      </c>
      <c r="K95" s="29">
        <f>AVERAGEIF($R$24:$R$80, "auto", J$24:J$80)</f>
        <v>186.05368421052628</v>
      </c>
      <c r="L95" s="29">
        <f>AVERAGEIF($R$24:$R$80, "auto", K$24:K$80)</f>
        <v>3.5105263157894733</v>
      </c>
      <c r="M95" s="29">
        <f>AVERAGEIF($R$24:$R$80, "auto", L$24:L$80)</f>
        <v>0.29368421052631577</v>
      </c>
      <c r="N95" s="29">
        <f>AVERAGEIF($R$24:$R$80, "auto", M$24:M$80)</f>
        <v>236.57857142857142</v>
      </c>
      <c r="O95" s="29">
        <f>AVERAGEIF($R$24:$R$80, "auto", N$24:N$80)</f>
        <v>140.43789473684208</v>
      </c>
    </row>
    <row r="97" spans="1:15" x14ac:dyDescent="0.35">
      <c r="A97" s="30"/>
      <c r="B97" s="30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</row>
    <row r="98" spans="1:15" x14ac:dyDescent="0.35">
      <c r="A98" s="26" t="s">
        <v>104</v>
      </c>
      <c r="B98" s="32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</row>
    <row r="99" spans="1:15" ht="15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</row>
    <row r="100" spans="1:15" ht="28.8" x14ac:dyDescent="0.35">
      <c r="B100" s="13" t="s">
        <v>110</v>
      </c>
      <c r="C100" s="13" t="s">
        <v>92</v>
      </c>
      <c r="D100" s="13" t="s">
        <v>93</v>
      </c>
      <c r="E100" s="13" t="s">
        <v>94</v>
      </c>
      <c r="F100" s="13" t="s">
        <v>23</v>
      </c>
      <c r="G100" s="13" t="s">
        <v>95</v>
      </c>
      <c r="H100" s="13" t="s">
        <v>25</v>
      </c>
      <c r="I100" s="13" t="s">
        <v>96</v>
      </c>
      <c r="J100" s="13" t="s">
        <v>97</v>
      </c>
      <c r="K100" s="13" t="s">
        <v>98</v>
      </c>
      <c r="L100" s="13" t="s">
        <v>99</v>
      </c>
      <c r="M100" s="13" t="s">
        <v>100</v>
      </c>
      <c r="N100" s="13" t="s">
        <v>101</v>
      </c>
      <c r="O100" s="13" t="s">
        <v>102</v>
      </c>
    </row>
    <row r="101" spans="1:15" x14ac:dyDescent="0.35">
      <c r="A101" s="1">
        <f>COUNTIFS($R$24:$R$80, "manual", $S$24:$S$80, "&lt;2")</f>
        <v>18</v>
      </c>
      <c r="B101" s="1" t="s">
        <v>134</v>
      </c>
      <c r="C101" s="29">
        <f>AVERAGEIFS(B$24:B$80, $R$24:$R$80, "manual", $S$24:$S$80, "&lt;2")</f>
        <v>4.4455555555555542</v>
      </c>
      <c r="D101" s="29">
        <f>AVERAGEIFS(C$24:C$80, $R$24:$R$80, "manual", $S$24:$S$80, "&lt;2")</f>
        <v>80.190555555555548</v>
      </c>
      <c r="E101" s="29">
        <f>AVERAGEIFS(D$24:D$80, $R$24:$R$80, "manual", $S$24:$S$80, "&lt;2")</f>
        <v>8.7322222222222248</v>
      </c>
      <c r="F101" s="29">
        <f>AVERAGEIFS(E$24:E$80, $R$24:$R$80, "manual", $S$24:$S$80, "&lt;2")</f>
        <v>15.93722222222222</v>
      </c>
      <c r="G101" s="29">
        <f>AVERAGEIFS(F$24:F$80, $R$24:$R$80, "manual", $S$24:$S$80, "&lt;2")</f>
        <v>5.007777777777779</v>
      </c>
      <c r="H101" s="29">
        <f>AVERAGEIFS(G$24:G$80, $R$24:$R$80, "manual", $S$24:$S$80, "&lt;2")</f>
        <v>18.323333333333334</v>
      </c>
      <c r="I101" s="29">
        <f>AVERAGEIFS(H$24:H$80, $R$24:$R$80, "manual", $S$24:$S$80, "&lt;2")</f>
        <v>34.259444444444433</v>
      </c>
      <c r="J101" s="29">
        <f>AVERAGEIFS(I$24:I$80, $R$24:$R$80, "manual", $S$24:$S$80, "&lt;2")</f>
        <v>13.738333333333337</v>
      </c>
      <c r="K101" s="29">
        <f>AVERAGEIFS(J$24:J$80, $R$24:$R$80, "manual", $S$24:$S$80, "&lt;2")</f>
        <v>167.3705555555556</v>
      </c>
      <c r="L101" s="29">
        <f>AVERAGEIFS(K$24:K$80, $R$24:$R$80, "manual", $S$24:$S$80, "&lt;2")</f>
        <v>3.244444444444444</v>
      </c>
      <c r="M101" s="29">
        <f>AVERAGEIFS(L$24:L$80, $R$24:$R$80, "manual", $S$24:$S$80, "&lt;2")</f>
        <v>0.30722222222222217</v>
      </c>
      <c r="N101" s="29">
        <f>AVERAGEIFS(M$24:M$80, $R$24:$R$80, "manual", $S$24:$S$80, "&lt;2")</f>
        <v>446.59700000000004</v>
      </c>
      <c r="O101" s="29">
        <f>AVERAGEIFS(N$24:N$80, $R$24:$R$80, "manual", $S$24:$S$80, "&lt;2")</f>
        <v>113.28888888888892</v>
      </c>
    </row>
    <row r="102" spans="1:15" x14ac:dyDescent="0.35">
      <c r="A102" s="1">
        <f>COUNTIFS($R$24:$R$80, "auto", $S$24:$S$80, "&lt;2")</f>
        <v>10</v>
      </c>
      <c r="B102" s="1" t="s">
        <v>162</v>
      </c>
      <c r="C102" s="29">
        <f>AVERAGEIFS(B$24:B$80, $R$24:$R$80, "auto", $S$24:$S$80, "&lt;2")</f>
        <v>3.8039999999999998</v>
      </c>
      <c r="D102" s="29">
        <f>AVERAGEIFS(C$24:C$80, $R$24:$R$80, "auto", $S$24:$S$80, "&lt;2")</f>
        <v>82.285999999999987</v>
      </c>
      <c r="E102" s="29">
        <f>AVERAGEIFS(D$24:D$80, $R$24:$R$80, "auto", $S$24:$S$80, "&lt;2")</f>
        <v>6.7560000000000002</v>
      </c>
      <c r="F102" s="29">
        <f>AVERAGEIFS(E$24:E$80, $R$24:$R$80, "auto", $S$24:$S$80, "&lt;2")</f>
        <v>11.491</v>
      </c>
      <c r="G102" s="29">
        <f>AVERAGEIFS(F$24:F$80, $R$24:$R$80, "auto", $S$24:$S$80, "&lt;2")</f>
        <v>4.2780000000000005</v>
      </c>
      <c r="H102" s="29">
        <f>AVERAGEIFS(G$24:G$80, $R$24:$R$80, "auto", $S$24:$S$80, "&lt;2")</f>
        <v>14.475</v>
      </c>
      <c r="I102" s="29">
        <f>AVERAGEIFS(H$24:H$80, $R$24:$R$80, "auto", $S$24:$S$80, "&lt;2")</f>
        <v>25.964999999999996</v>
      </c>
      <c r="J102" s="29">
        <f>AVERAGEIFS(I$24:I$80, $R$24:$R$80, "auto", $S$24:$S$80, "&lt;2")</f>
        <v>11.035</v>
      </c>
      <c r="K102" s="29">
        <f>AVERAGEIFS(J$24:J$80, $R$24:$R$80, "auto", $S$24:$S$80, "&lt;2")</f>
        <v>119.78000000000002</v>
      </c>
      <c r="L102" s="29">
        <f>AVERAGEIFS(K$24:K$80, $R$24:$R$80, "auto", $S$24:$S$80, "&lt;2")</f>
        <v>2.5160000000000005</v>
      </c>
      <c r="M102" s="29">
        <f>AVERAGEIFS(L$24:L$80, $R$24:$R$80, "auto", $S$24:$S$80, "&lt;2")</f>
        <v>0.26399999999999996</v>
      </c>
      <c r="N102" s="29">
        <f>AVERAGEIFS(M$24:M$80, $R$24:$R$80, "auto", $S$24:$S$80, "&lt;2")</f>
        <v>222.72799999999998</v>
      </c>
      <c r="O102" s="29">
        <f>AVERAGEIFS(N$24:N$80, $R$24:$R$80, "auto", $S$24:$S$80, "&lt;2")</f>
        <v>47.370000000000005</v>
      </c>
    </row>
    <row r="104" spans="1:15" ht="28.8" x14ac:dyDescent="0.35">
      <c r="B104" s="13" t="s">
        <v>110</v>
      </c>
      <c r="C104" s="13" t="s">
        <v>92</v>
      </c>
      <c r="D104" s="13" t="s">
        <v>93</v>
      </c>
      <c r="E104" s="13" t="s">
        <v>94</v>
      </c>
      <c r="F104" s="13" t="s">
        <v>23</v>
      </c>
      <c r="G104" s="13" t="s">
        <v>95</v>
      </c>
      <c r="H104" s="13" t="s">
        <v>25</v>
      </c>
      <c r="I104" s="13" t="s">
        <v>96</v>
      </c>
      <c r="J104" s="13" t="s">
        <v>97</v>
      </c>
      <c r="K104" s="13" t="s">
        <v>98</v>
      </c>
      <c r="L104" s="13" t="s">
        <v>99</v>
      </c>
      <c r="M104" s="13" t="s">
        <v>100</v>
      </c>
      <c r="N104" s="13" t="s">
        <v>101</v>
      </c>
      <c r="O104" s="13" t="s">
        <v>102</v>
      </c>
    </row>
    <row r="105" spans="1:15" x14ac:dyDescent="0.35">
      <c r="A105" s="1">
        <f>COUNTIFS($R$24:$R$80, "manual", $S$24:$S$80, "&gt;1")</f>
        <v>1</v>
      </c>
      <c r="B105" s="1" t="s">
        <v>135</v>
      </c>
      <c r="C105" s="29">
        <f>AVERAGEIFS(B$24:B$80, $R$24:$R$80, "manual", $S$24:$S$80, "&gt;1")</f>
        <v>5.42</v>
      </c>
      <c r="D105" s="29">
        <f>AVERAGEIFS(C$24:C$80, $R$24:$R$80, "manual", $S$24:$S$80, "&gt;1")</f>
        <v>69.06</v>
      </c>
      <c r="E105" s="29">
        <f>AVERAGEIFS(D$24:D$80, $R$24:$R$80, "manual", $S$24:$S$80, "&gt;1")</f>
        <v>17.03</v>
      </c>
      <c r="F105" s="29">
        <f>AVERAGEIFS(E$24:E$80, $R$24:$R$80, "manual", $S$24:$S$80, "&gt;1")</f>
        <v>39.14</v>
      </c>
      <c r="G105" s="29">
        <f>AVERAGEIFS(F$24:F$80, $R$24:$R$80, "manual", $S$24:$S$80, "&gt;1")</f>
        <v>7.4</v>
      </c>
      <c r="H105" s="29">
        <f>AVERAGEIFS(G$24:G$80, $R$24:$R$80, "manual", $S$24:$S$80, "&gt;1")</f>
        <v>39.700000000000003</v>
      </c>
      <c r="I105" s="29">
        <f>AVERAGEIFS(H$24:H$80, $R$24:$R$80, "manual", $S$24:$S$80, "&gt;1")</f>
        <v>78.84</v>
      </c>
      <c r="J105" s="29">
        <f>AVERAGEIFS(I$24:I$80, $R$24:$R$80, "manual", $S$24:$S$80, "&gt;1")</f>
        <v>24.43</v>
      </c>
      <c r="K105" s="29">
        <f>AVERAGEIFS(J$24:J$80, $R$24:$R$80, "manual", $S$24:$S$80, "&gt;1")</f>
        <v>436.88</v>
      </c>
      <c r="L105" s="29">
        <f>AVERAGEIFS(K$24:K$80, $R$24:$R$80, "manual", $S$24:$S$80, "&gt;1")</f>
        <v>6.54</v>
      </c>
      <c r="M105" s="29">
        <f>AVERAGEIFS(L$24:L$80, $R$24:$R$80, "manual", $S$24:$S$80, "&gt;1")</f>
        <v>0.15</v>
      </c>
      <c r="N105" s="29" t="e">
        <f>AVERAGEIFS(M$24:M$80, $R$24:$R$80, "manual", $S$24:$S$80, "&gt;1")</f>
        <v>#DIV/0!</v>
      </c>
      <c r="O105" s="29">
        <f>AVERAGEIFS(N$24:N$80, $R$24:$R$80, "manual", $S$24:$S$80, "&gt;1")</f>
        <v>513.53</v>
      </c>
    </row>
    <row r="106" spans="1:15" x14ac:dyDescent="0.35">
      <c r="A106" s="1">
        <f>COUNTIFS($R$24:$R$80, "auto", $S$24:$S$80, "&gt;1")</f>
        <v>9</v>
      </c>
      <c r="B106" s="1" t="s">
        <v>163</v>
      </c>
      <c r="C106" s="29">
        <f>AVERAGEIFS(B$24:B$80, $R$24:$R$80, "auto", $S$24:$S$80, "&gt;1")</f>
        <v>5.3155555555555551</v>
      </c>
      <c r="D106" s="29">
        <f>AVERAGEIFS(C$24:C$80, $R$24:$R$80, "auto", $S$24:$S$80, "&gt;1")</f>
        <v>76.495555555555555</v>
      </c>
      <c r="E106" s="29">
        <f>AVERAGEIFS(D$24:D$80, $R$24:$R$80, "auto", $S$24:$S$80, "&gt;1")</f>
        <v>12.124444444444443</v>
      </c>
      <c r="F106" s="29">
        <f>AVERAGEIFS(E$24:E$80, $R$24:$R$80, "auto", $S$24:$S$80, "&gt;1")</f>
        <v>24.125555555555554</v>
      </c>
      <c r="G106" s="29">
        <f>AVERAGEIFS(F$24:F$80, $R$24:$R$80, "auto", $S$24:$S$80, "&gt;1")</f>
        <v>6.3211111111111116</v>
      </c>
      <c r="H106" s="29">
        <f>AVERAGEIFS(G$24:G$80, $R$24:$R$80, "auto", $S$24:$S$80, "&gt;1")</f>
        <v>25.811111111111117</v>
      </c>
      <c r="I106" s="29">
        <f>AVERAGEIFS(H$24:H$80, $R$24:$R$80, "auto", $S$24:$S$80, "&gt;1")</f>
        <v>49.937777777777782</v>
      </c>
      <c r="J106" s="29">
        <f>AVERAGEIFS(I$24:I$80, $R$24:$R$80, "auto", $S$24:$S$80, "&gt;1")</f>
        <v>18.444444444444443</v>
      </c>
      <c r="K106" s="29">
        <f>AVERAGEIFS(J$24:J$80, $R$24:$R$80, "auto", $S$24:$S$80, "&gt;1")</f>
        <v>259.69111111111107</v>
      </c>
      <c r="L106" s="29">
        <f>AVERAGEIFS(K$24:K$80, $R$24:$R$80, "auto", $S$24:$S$80, "&gt;1")</f>
        <v>4.615555555555555</v>
      </c>
      <c r="M106" s="29">
        <f>AVERAGEIFS(L$24:L$80, $R$24:$R$80, "auto", $S$24:$S$80, "&gt;1")</f>
        <v>0.32666666666666672</v>
      </c>
      <c r="N106" s="29">
        <f>AVERAGEIFS(M$24:M$80, $R$24:$R$80, "auto", $S$24:$S$80, "&gt;1")</f>
        <v>271.20500000000004</v>
      </c>
      <c r="O106" s="29">
        <f>AVERAGEIFS(N$24:N$80, $R$24:$R$80, "auto", $S$24:$S$80, "&gt;1")</f>
        <v>243.84666666666666</v>
      </c>
    </row>
    <row r="107" spans="1:15" x14ac:dyDescent="0.35"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</row>
    <row r="108" spans="1:15" x14ac:dyDescent="0.35"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</row>
    <row r="109" spans="1:15" ht="28.8" x14ac:dyDescent="0.35">
      <c r="B109" s="13" t="s">
        <v>110</v>
      </c>
      <c r="C109" s="13" t="s">
        <v>92</v>
      </c>
      <c r="D109" s="13" t="s">
        <v>93</v>
      </c>
      <c r="E109" s="13" t="s">
        <v>94</v>
      </c>
      <c r="F109" s="13" t="s">
        <v>23</v>
      </c>
      <c r="G109" s="13" t="s">
        <v>95</v>
      </c>
      <c r="H109" s="13" t="s">
        <v>25</v>
      </c>
      <c r="I109" s="13" t="s">
        <v>96</v>
      </c>
      <c r="J109" s="13" t="s">
        <v>97</v>
      </c>
      <c r="K109" s="13" t="s">
        <v>98</v>
      </c>
      <c r="L109" s="13" t="s">
        <v>99</v>
      </c>
      <c r="M109" s="13" t="s">
        <v>100</v>
      </c>
      <c r="N109" s="13" t="s">
        <v>101</v>
      </c>
      <c r="O109" s="13" t="s">
        <v>102</v>
      </c>
    </row>
    <row r="110" spans="1:15" x14ac:dyDescent="0.35">
      <c r="A110" s="1">
        <f>COUNTIFS($R$24:$R$80, "manual", $V$24:$V$80, "&lt;2")</f>
        <v>18</v>
      </c>
      <c r="B110" s="1" t="s">
        <v>136</v>
      </c>
      <c r="C110" s="29">
        <f>AVERAGEIFS(B$24:B$80, $R$24:$R$80, "manual", $V$24:$V$80, "&lt;2")</f>
        <v>4.4455555555555542</v>
      </c>
      <c r="D110" s="29">
        <f>AVERAGEIFS(C$24:C$80, $R$24:$R$80, "manual", $V$24:$V$80, "&lt;2")</f>
        <v>80.190555555555548</v>
      </c>
      <c r="E110" s="29">
        <f>AVERAGEIFS(D$24:D$80, $R$24:$R$80, "manual", $V$24:$V$80, "&lt;2")</f>
        <v>8.7322222222222248</v>
      </c>
      <c r="F110" s="29">
        <f>AVERAGEIFS(E$24:E$80, $R$24:$R$80, "manual", $V$24:$V$80, "&lt;2")</f>
        <v>15.93722222222222</v>
      </c>
      <c r="G110" s="29">
        <f>AVERAGEIFS(F$24:F$80, $R$24:$R$80, "manual", $V$24:$V$80, "&lt;2")</f>
        <v>5.007777777777779</v>
      </c>
      <c r="H110" s="29">
        <f>AVERAGEIFS(G$24:G$80, $R$24:$R$80, "manual", $V$24:$V$80, "&lt;2")</f>
        <v>18.323333333333334</v>
      </c>
      <c r="I110" s="29">
        <f>AVERAGEIFS(H$24:H$80, $R$24:$R$80, "manual", $V$24:$V$80, "&lt;2")</f>
        <v>34.259444444444433</v>
      </c>
      <c r="J110" s="29">
        <f>AVERAGEIFS(I$24:I$80, $R$24:$R$80, "manual", $V$24:$V$80, "&lt;2")</f>
        <v>13.738333333333337</v>
      </c>
      <c r="K110" s="29">
        <f>AVERAGEIFS(J$24:J$80, $R$24:$R$80, "manual", $V$24:$V$80, "&lt;2")</f>
        <v>167.3705555555556</v>
      </c>
      <c r="L110" s="29">
        <f>AVERAGEIFS(K$24:K$80, $R$24:$R$80, "manual", $V$24:$V$80, "&lt;2")</f>
        <v>3.244444444444444</v>
      </c>
      <c r="M110" s="29">
        <f>AVERAGEIFS(L$24:L$80, $R$24:$R$80, "manual", $V$24:$V$80, "&lt;2")</f>
        <v>0.30722222222222217</v>
      </c>
      <c r="N110" s="29">
        <f>AVERAGEIFS(M$24:M$80, $R$24:$R$80, "manual", $V$24:$V$80, "&lt;2")</f>
        <v>446.59700000000004</v>
      </c>
      <c r="O110" s="29">
        <f>AVERAGEIFS(N$24:N$80, $R$24:$R$80, "manual", $V$24:$V$80, "&lt;2")</f>
        <v>113.28888888888892</v>
      </c>
    </row>
    <row r="111" spans="1:15" x14ac:dyDescent="0.35">
      <c r="A111" s="1">
        <f>COUNTIFS($R$24:$R$80, "auto", $V$24:$V$80, "&lt;2")</f>
        <v>9</v>
      </c>
      <c r="B111" s="1" t="s">
        <v>164</v>
      </c>
      <c r="C111" s="29">
        <f>AVERAGEIFS(B$24:B$80, $R$24:$R$80, "auto", $V$24:$V$80, "&lt;2")</f>
        <v>3.6555555555555554</v>
      </c>
      <c r="D111" s="29">
        <f>AVERAGEIFS(C$24:C$80, $R$24:$R$80, "auto", $V$24:$V$80, "&lt;2")</f>
        <v>82.952222222222218</v>
      </c>
      <c r="E111" s="29">
        <f>AVERAGEIFS(D$24:D$80, $R$24:$R$80, "auto", $V$24:$V$80, "&lt;2")</f>
        <v>6.4911111111111115</v>
      </c>
      <c r="F111" s="29">
        <f>AVERAGEIFS(E$24:E$80, $R$24:$R$80, "auto", $V$24:$V$80, "&lt;2")</f>
        <v>11.037777777777778</v>
      </c>
      <c r="G111" s="29">
        <f>AVERAGEIFS(F$24:F$80, $R$24:$R$80, "auto", $V$24:$V$80, "&lt;2")</f>
        <v>4.0711111111111116</v>
      </c>
      <c r="H111" s="29">
        <f>AVERAGEIFS(G$24:G$80, $R$24:$R$80, "auto", $V$24:$V$80, "&lt;2")</f>
        <v>13.606666666666667</v>
      </c>
      <c r="I111" s="29">
        <f>AVERAGEIFS(H$24:H$80, $R$24:$R$80, "auto", $V$24:$V$80, "&lt;2")</f>
        <v>24.643333333333331</v>
      </c>
      <c r="J111" s="29">
        <f>AVERAGEIFS(I$24:I$80, $R$24:$R$80, "auto", $V$24:$V$80, "&lt;2")</f>
        <v>10.562222222222223</v>
      </c>
      <c r="K111" s="29">
        <f>AVERAGEIFS(J$24:J$80, $R$24:$R$80, "auto", $V$24:$V$80, "&lt;2")</f>
        <v>113.95444444444446</v>
      </c>
      <c r="L111" s="29">
        <f>AVERAGEIFS(K$24:K$80, $R$24:$R$80, "auto", $V$24:$V$80, "&lt;2")</f>
        <v>2.3511111111111114</v>
      </c>
      <c r="M111" s="29">
        <f>AVERAGEIFS(L$24:L$80, $R$24:$R$80, "auto", $V$24:$V$80, "&lt;2")</f>
        <v>0.24444444444444441</v>
      </c>
      <c r="N111" s="29">
        <f>AVERAGEIFS(M$24:M$80, $R$24:$R$80, "auto", $V$24:$V$80, "&lt;2")</f>
        <v>222.72799999999998</v>
      </c>
      <c r="O111" s="29">
        <f>AVERAGEIFS(N$24:N$80, $R$24:$R$80, "auto", $V$24:$V$80, "&lt;2")</f>
        <v>43.851111111111116</v>
      </c>
    </row>
    <row r="113" spans="1:15" ht="28.8" x14ac:dyDescent="0.35">
      <c r="B113" s="13" t="s">
        <v>110</v>
      </c>
      <c r="C113" s="13" t="s">
        <v>92</v>
      </c>
      <c r="D113" s="13" t="s">
        <v>93</v>
      </c>
      <c r="E113" s="13" t="s">
        <v>94</v>
      </c>
      <c r="F113" s="13" t="s">
        <v>23</v>
      </c>
      <c r="G113" s="13" t="s">
        <v>95</v>
      </c>
      <c r="H113" s="13" t="s">
        <v>25</v>
      </c>
      <c r="I113" s="13" t="s">
        <v>96</v>
      </c>
      <c r="J113" s="13" t="s">
        <v>97</v>
      </c>
      <c r="K113" s="13" t="s">
        <v>98</v>
      </c>
      <c r="L113" s="13" t="s">
        <v>99</v>
      </c>
      <c r="M113" s="13" t="s">
        <v>100</v>
      </c>
      <c r="N113" s="13" t="s">
        <v>101</v>
      </c>
      <c r="O113" s="13" t="s">
        <v>102</v>
      </c>
    </row>
    <row r="114" spans="1:15" x14ac:dyDescent="0.35">
      <c r="A114" s="1">
        <f>COUNTIFS($R$24:$R$80, "manual", $V$24:$V$80, "&gt;1")</f>
        <v>1</v>
      </c>
      <c r="B114" s="1" t="s">
        <v>137</v>
      </c>
      <c r="C114" s="29">
        <f>AVERAGEIFS(B$24:B$80, $R$24:$R$80, "manual", $V$24:$V$80, "&gt;1")</f>
        <v>5.42</v>
      </c>
      <c r="D114" s="29">
        <f>AVERAGEIFS(C$24:C$80, $R$24:$R$80, "manual", $V$24:$V$80, "&gt;1")</f>
        <v>69.06</v>
      </c>
      <c r="E114" s="29">
        <f>AVERAGEIFS(D$24:D$80, $R$24:$R$80, "manual", $V$24:$V$80, "&gt;1")</f>
        <v>17.03</v>
      </c>
      <c r="F114" s="29">
        <f>AVERAGEIFS(E$24:E$80, $R$24:$R$80, "manual", $V$24:$V$80, "&gt;1")</f>
        <v>39.14</v>
      </c>
      <c r="G114" s="29">
        <f>AVERAGEIFS(F$24:F$80, $R$24:$R$80, "manual", $V$24:$V$80, "&gt;1")</f>
        <v>7.4</v>
      </c>
      <c r="H114" s="29">
        <f>AVERAGEIFS(G$24:G$80, $R$24:$R$80, "manual", $V$24:$V$80, "&gt;1")</f>
        <v>39.700000000000003</v>
      </c>
      <c r="I114" s="29">
        <f>AVERAGEIFS(H$24:H$80, $R$24:$R$80, "manual", $V$24:$V$80, "&gt;1")</f>
        <v>78.84</v>
      </c>
      <c r="J114" s="29">
        <f>AVERAGEIFS(I$24:I$80, $R$24:$R$80, "manual", $V$24:$V$80, "&gt;1")</f>
        <v>24.43</v>
      </c>
      <c r="K114" s="29">
        <f>AVERAGEIFS(J$24:J$80, $R$24:$R$80, "manual", $V$24:$V$80, "&gt;1")</f>
        <v>436.88</v>
      </c>
      <c r="L114" s="29">
        <f>AVERAGEIFS(K$24:K$80, $R$24:$R$80, "manual", $V$24:$V$80, "&gt;1")</f>
        <v>6.54</v>
      </c>
      <c r="M114" s="29">
        <f>AVERAGEIFS(L$24:L$80, $R$24:$R$80, "manual", $V$24:$V$80, "&gt;1")</f>
        <v>0.15</v>
      </c>
      <c r="N114" s="29" t="e">
        <f>AVERAGEIFS(M$24:M$80, $R$24:$R$80, "manual", $V$24:$V$80, "&gt;1")</f>
        <v>#DIV/0!</v>
      </c>
      <c r="O114" s="29">
        <f>AVERAGEIFS(N$24:N$80, $R$24:$R$80, "manual", $V$24:$V$80, "&gt;1")</f>
        <v>513.53</v>
      </c>
    </row>
    <row r="115" spans="1:15" x14ac:dyDescent="0.35">
      <c r="A115" s="1">
        <f>COUNTIFS($R$24:$R$80, "auto", $V$24:$V$80, "&gt;1")</f>
        <v>10</v>
      </c>
      <c r="B115" s="1" t="s">
        <v>165</v>
      </c>
      <c r="C115" s="29">
        <f>AVERAGEIFS(B$24:B$80, $R$24:$R$80, "auto", $V$24:$V$80, "&gt;1")</f>
        <v>5.298</v>
      </c>
      <c r="D115" s="29">
        <f>AVERAGEIFS(C$24:C$80, $R$24:$R$80, "auto", $V$24:$V$80, "&gt;1")</f>
        <v>76.474999999999994</v>
      </c>
      <c r="E115" s="29">
        <f>AVERAGEIFS(D$24:D$80, $R$24:$R$80, "auto", $V$24:$V$80, "&gt;1")</f>
        <v>11.825999999999999</v>
      </c>
      <c r="F115" s="29">
        <f>AVERAGEIFS(E$24:E$80, $R$24:$R$80, "auto", $V$24:$V$80, "&gt;1")</f>
        <v>23.27</v>
      </c>
      <c r="G115" s="29">
        <f>AVERAGEIFS(F$24:F$80, $R$24:$R$80, "auto", $V$24:$V$80, "&gt;1")</f>
        <v>6.3029999999999999</v>
      </c>
      <c r="H115" s="29">
        <f>AVERAGEIFS(G$24:G$80, $R$24:$R$80, "auto", $V$24:$V$80, "&gt;1")</f>
        <v>25.459000000000003</v>
      </c>
      <c r="I115" s="29">
        <f>AVERAGEIFS(H$24:H$80, $R$24:$R$80, "auto", $V$24:$V$80, "&gt;1")</f>
        <v>48.730000000000004</v>
      </c>
      <c r="J115" s="29">
        <f>AVERAGEIFS(I$24:I$80, $R$24:$R$80, "auto", $V$24:$V$80, "&gt;1")</f>
        <v>18.128999999999998</v>
      </c>
      <c r="K115" s="29">
        <f>AVERAGEIFS(J$24:J$80, $R$24:$R$80, "auto", $V$24:$V$80, "&gt;1")</f>
        <v>250.94299999999998</v>
      </c>
      <c r="L115" s="29">
        <f>AVERAGEIFS(K$24:K$80, $R$24:$R$80, "auto", $V$24:$V$80, "&gt;1")</f>
        <v>4.5539999999999994</v>
      </c>
      <c r="M115" s="29">
        <f>AVERAGEIFS(L$24:L$80, $R$24:$R$80, "auto", $V$24:$V$80, "&gt;1")</f>
        <v>0.33800000000000002</v>
      </c>
      <c r="N115" s="29">
        <f>AVERAGEIFS(M$24:M$80, $R$24:$R$80, "auto", $V$24:$V$80, "&gt;1")</f>
        <v>271.20500000000004</v>
      </c>
      <c r="O115" s="29">
        <f>AVERAGEIFS(N$24:N$80, $R$24:$R$80, "auto", $V$24:$V$80, "&gt;1")</f>
        <v>227.36599999999999</v>
      </c>
    </row>
    <row r="116" spans="1:15" x14ac:dyDescent="0.35"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</row>
    <row r="117" spans="1:15" x14ac:dyDescent="0.35"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</row>
    <row r="118" spans="1:15" x14ac:dyDescent="0.35">
      <c r="A118" s="26" t="s">
        <v>72</v>
      </c>
      <c r="B118" s="27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</row>
    <row r="119" spans="1:15" ht="15" x14ac:dyDescent="0.3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</row>
    <row r="120" spans="1:15" ht="28.8" x14ac:dyDescent="0.35">
      <c r="A120" s="13" t="s">
        <v>105</v>
      </c>
      <c r="B120" s="13" t="s">
        <v>110</v>
      </c>
      <c r="C120" s="13" t="s">
        <v>92</v>
      </c>
      <c r="D120" s="13" t="s">
        <v>93</v>
      </c>
      <c r="E120" s="13" t="s">
        <v>94</v>
      </c>
      <c r="F120" s="13" t="s">
        <v>23</v>
      </c>
      <c r="G120" s="13" t="s">
        <v>95</v>
      </c>
      <c r="H120" s="13" t="s">
        <v>25</v>
      </c>
      <c r="I120" s="13" t="s">
        <v>96</v>
      </c>
      <c r="J120" s="13" t="s">
        <v>97</v>
      </c>
      <c r="K120" s="13" t="s">
        <v>98</v>
      </c>
      <c r="L120" s="13" t="s">
        <v>99</v>
      </c>
      <c r="M120" s="13" t="s">
        <v>100</v>
      </c>
      <c r="N120" s="13" t="s">
        <v>101</v>
      </c>
      <c r="O120" s="13" t="s">
        <v>102</v>
      </c>
    </row>
    <row r="121" spans="1:15" x14ac:dyDescent="0.35">
      <c r="A121" s="1">
        <f>COUNTIF($A$24:$A$80, "angelix*manual")</f>
        <v>5</v>
      </c>
      <c r="B121" s="1" t="s">
        <v>138</v>
      </c>
      <c r="C121" s="29">
        <f>AVERAGEIF($A$24:$A$80, "angelix*manual", B$24:B$80)</f>
        <v>6.4539999999999988</v>
      </c>
      <c r="D121" s="29">
        <f>AVERAGEIF($A$24:$A$80, "angelix*manual", C$24:C$80)</f>
        <v>72.91</v>
      </c>
      <c r="E121" s="29">
        <f>AVERAGEIF($A$24:$A$80, "angelix*manual", D$24:D$80)</f>
        <v>13.334</v>
      </c>
      <c r="F121" s="29">
        <f>AVERAGEIF($A$24:$A$80, "angelix*manual", E$24:E$80)</f>
        <v>25.648000000000003</v>
      </c>
      <c r="G121" s="29">
        <f>AVERAGEIF($A$24:$A$80, "angelix*manual", F$24:F$80)</f>
        <v>6.9539999999999988</v>
      </c>
      <c r="H121" s="29">
        <f>AVERAGEIF($A$24:$A$80, "angelix*manual", G$24:G$80)</f>
        <v>30.229999999999997</v>
      </c>
      <c r="I121" s="29">
        <f>AVERAGEIF($A$24:$A$80, "angelix*manual", H$24:H$80)</f>
        <v>55.878</v>
      </c>
      <c r="J121" s="29">
        <f>AVERAGEIF($A$24:$A$80, "angelix*manual", I$24:I$80)</f>
        <v>20.288</v>
      </c>
      <c r="K121" s="29">
        <f>AVERAGEIF($A$24:$A$80, "angelix*manual", J$24:J$80)</f>
        <v>295.21600000000001</v>
      </c>
      <c r="L121" s="29">
        <f>AVERAGEIF($A$24:$A$80, "angelix*manual", K$24:K$80)</f>
        <v>4.7520000000000007</v>
      </c>
      <c r="M121" s="29">
        <f>AVERAGEIF($A$24:$A$80, "angelix*manual", L$24:L$80)</f>
        <v>0.29599999999999999</v>
      </c>
      <c r="N121" s="29" t="e">
        <f>AVERAGEIF($A$24:$A$80, "angelix*manual", M$24:M$80)</f>
        <v>#DIV/0!</v>
      </c>
      <c r="O121" s="29">
        <f>AVERAGEIF($A$24:$A$80, "angelix*manual", N$24:N$80)</f>
        <v>244.15600000000001</v>
      </c>
    </row>
    <row r="122" spans="1:15" ht="15" thickBot="1" x14ac:dyDescent="0.4">
      <c r="A122" s="33">
        <f>COUNTIF($A$24:$A$80, "angelix*auto")</f>
        <v>5</v>
      </c>
      <c r="B122" s="33" t="s">
        <v>166</v>
      </c>
      <c r="C122" s="34">
        <f>AVERAGEIF($A$24:$A$80, "angelix*auto", B$24:B$80)</f>
        <v>6.4539999999999988</v>
      </c>
      <c r="D122" s="34">
        <f>AVERAGEIF($A$24:$A$80, "angelix*auto", C$24:C$80)</f>
        <v>72.91</v>
      </c>
      <c r="E122" s="34">
        <f>AVERAGEIF($A$24:$A$80, "angelix*auto", D$24:D$80)</f>
        <v>13.367999999999999</v>
      </c>
      <c r="F122" s="34">
        <f>AVERAGEIF($A$24:$A$80, "angelix*auto", E$24:E$80)</f>
        <v>25.707999999999998</v>
      </c>
      <c r="G122" s="34">
        <f>AVERAGEIF($A$24:$A$80, "angelix*auto", F$24:F$80)</f>
        <v>6.9819999999999993</v>
      </c>
      <c r="H122" s="34">
        <f>AVERAGEIF($A$24:$A$80, "angelix*auto", G$24:G$80)</f>
        <v>30.318000000000001</v>
      </c>
      <c r="I122" s="34">
        <f>AVERAGEIF($A$24:$A$80, "angelix*auto", H$24:H$80)</f>
        <v>56.029999999999994</v>
      </c>
      <c r="J122" s="34">
        <f>AVERAGEIF($A$24:$A$80, "angelix*auto", I$24:I$80)</f>
        <v>20.350000000000001</v>
      </c>
      <c r="K122" s="34">
        <f>AVERAGEIF($A$24:$A$80, "angelix*auto", J$24:J$80)</f>
        <v>296.52600000000001</v>
      </c>
      <c r="L122" s="34">
        <f>AVERAGEIF($A$24:$A$80, "angelix*auto", K$24:K$80)</f>
        <v>4.8100000000000005</v>
      </c>
      <c r="M122" s="34">
        <f>AVERAGEIF($A$24:$A$80, "angelix*auto", L$24:L$80)</f>
        <v>0.29599999999999999</v>
      </c>
      <c r="N122" s="34" t="e">
        <f>AVERAGEIF($A$24:$A$80, "angelix*auto", M$24:M$80)</f>
        <v>#DIV/0!</v>
      </c>
      <c r="O122" s="34">
        <f>AVERAGEIF($A$24:$A$80, "angelix*auto", N$24:N$80)</f>
        <v>252.86999999999998</v>
      </c>
    </row>
    <row r="123" spans="1:15" x14ac:dyDescent="0.35">
      <c r="A123" s="1">
        <f>COUNTIF($A$24:$A$80, "prophet*manual")</f>
        <v>12</v>
      </c>
      <c r="B123" s="1" t="s">
        <v>139</v>
      </c>
      <c r="C123" s="29">
        <f>AVERAGEIF($A$24:$A$80, "prophet*manual", B$24:B$80)</f>
        <v>3.2774999999999999</v>
      </c>
      <c r="D123" s="29">
        <f>AVERAGEIF($A$24:$A$80, "prophet*manual", C$24:C$80)</f>
        <v>83.060833333333321</v>
      </c>
      <c r="E123" s="29">
        <f>AVERAGEIF($A$24:$A$80, "prophet*manual", D$24:D$80)</f>
        <v>6.7716666666666683</v>
      </c>
      <c r="F123" s="29">
        <f>AVERAGEIF($A$24:$A$80, "prophet*manual", E$24:E$80)</f>
        <v>12.272500000000001</v>
      </c>
      <c r="G123" s="29">
        <f>AVERAGEIF($A$24:$A$80, "prophet*manual", F$24:F$80)</f>
        <v>4.046666666666666</v>
      </c>
      <c r="H123" s="29">
        <f>AVERAGEIF($A$24:$A$80, "prophet*manual", G$24:G$80)</f>
        <v>13.409999999999998</v>
      </c>
      <c r="I123" s="29">
        <f>AVERAGEIF($A$24:$A$80, "prophet*manual", H$24:H$80)</f>
        <v>25.680833333333329</v>
      </c>
      <c r="J123" s="29">
        <f>AVERAGEIF($A$24:$A$80, "prophet*manual", I$24:I$80)</f>
        <v>10.815833333333332</v>
      </c>
      <c r="K123" s="29">
        <f>AVERAGEIF($A$24:$A$80, "prophet*manual", J$24:J$80)</f>
        <v>116.72083333333335</v>
      </c>
      <c r="L123" s="29">
        <f>AVERAGEIF($A$24:$A$80, "prophet*manual", K$24:K$80)</f>
        <v>2.5791666666666671</v>
      </c>
      <c r="M123" s="29">
        <f>AVERAGEIF($A$24:$A$80, "prophet*manual", L$24:L$80)</f>
        <v>0.3</v>
      </c>
      <c r="N123" s="29">
        <f>AVERAGEIF($A$24:$A$80, "prophet*manual", M$24:M$80)</f>
        <v>446.59700000000004</v>
      </c>
      <c r="O123" s="29">
        <f>AVERAGEIF($A$24:$A$80, "prophet*manual", N$24:N$80)</f>
        <v>68.569999999999979</v>
      </c>
    </row>
    <row r="124" spans="1:15" ht="15" thickBot="1" x14ac:dyDescent="0.4">
      <c r="A124" s="33">
        <f>COUNTIF($A$24:$A$80, "prophet*auto")</f>
        <v>12</v>
      </c>
      <c r="B124" s="33" t="s">
        <v>167</v>
      </c>
      <c r="C124" s="34">
        <f>AVERAGEIF($A$24:$A$80, "prophet*auto", B$24:B$80)</f>
        <v>3.3008333333333333</v>
      </c>
      <c r="D124" s="34">
        <f>AVERAGEIF($A$24:$A$80, "prophet*auto", C$24:C$80)</f>
        <v>82.963333333333324</v>
      </c>
      <c r="E124" s="34">
        <f>AVERAGEIF($A$24:$A$80, "prophet*auto", D$24:D$80)</f>
        <v>6.9375</v>
      </c>
      <c r="F124" s="34">
        <f>AVERAGEIF($A$24:$A$80, "prophet*auto", E$24:E$80)</f>
        <v>12.710833333333335</v>
      </c>
      <c r="G124" s="34">
        <f>AVERAGEIF($A$24:$A$80, "prophet*auto", F$24:F$80)</f>
        <v>4.2125000000000004</v>
      </c>
      <c r="H124" s="34">
        <f>AVERAGEIF($A$24:$A$80, "prophet*auto", G$24:G$80)</f>
        <v>13.925833333333335</v>
      </c>
      <c r="I124" s="34">
        <f>AVERAGEIF($A$24:$A$80, "prophet*auto", H$24:H$80)</f>
        <v>26.635833333333334</v>
      </c>
      <c r="J124" s="34">
        <f>AVERAGEIF($A$24:$A$80, "prophet*auto", I$24:I$80)</f>
        <v>11.15</v>
      </c>
      <c r="K124" s="34">
        <f>AVERAGEIF($A$24:$A$80, "prophet*auto", J$24:J$80)</f>
        <v>122.42333333333333</v>
      </c>
      <c r="L124" s="34">
        <f>AVERAGEIF($A$24:$A$80, "prophet*auto", K$24:K$80)</f>
        <v>2.7016666666666667</v>
      </c>
      <c r="M124" s="34">
        <f>AVERAGEIF($A$24:$A$80, "prophet*auto", L$24:L$80)</f>
        <v>0.29166666666666669</v>
      </c>
      <c r="N124" s="34">
        <f>AVERAGEIF($A$24:$A$80, "prophet*auto", M$24:M$80)</f>
        <v>236.57857142857142</v>
      </c>
      <c r="O124" s="34">
        <f>AVERAGEIF($A$24:$A$80, "prophet*auto", N$24:N$80)</f>
        <v>73.433333333333323</v>
      </c>
    </row>
    <row r="127" spans="1:15" ht="28.8" x14ac:dyDescent="0.35">
      <c r="A127" s="13" t="s">
        <v>105</v>
      </c>
      <c r="B127" s="13" t="s">
        <v>110</v>
      </c>
      <c r="C127" s="13" t="s">
        <v>92</v>
      </c>
      <c r="D127" s="13" t="s">
        <v>93</v>
      </c>
      <c r="E127" s="13" t="s">
        <v>94</v>
      </c>
      <c r="F127" s="13" t="s">
        <v>23</v>
      </c>
      <c r="G127" s="13" t="s">
        <v>95</v>
      </c>
      <c r="H127" s="13" t="s">
        <v>25</v>
      </c>
      <c r="I127" s="13" t="s">
        <v>96</v>
      </c>
      <c r="J127" s="13" t="s">
        <v>97</v>
      </c>
      <c r="K127" s="13" t="s">
        <v>98</v>
      </c>
      <c r="L127" s="13" t="s">
        <v>99</v>
      </c>
      <c r="M127" s="13" t="s">
        <v>100</v>
      </c>
      <c r="N127" s="13" t="s">
        <v>101</v>
      </c>
      <c r="O127" s="13" t="s">
        <v>102</v>
      </c>
    </row>
    <row r="128" spans="1:15" x14ac:dyDescent="0.35">
      <c r="A128" s="1">
        <f>COUNTIFS($P$24:$P$80, "True Semantic", $R$24:$R$80, "manual")</f>
        <v>6</v>
      </c>
      <c r="B128" s="1" t="s">
        <v>140</v>
      </c>
      <c r="C128" s="29">
        <f>AVERAGEIFS(B$24:B$80, $P$24:$P$80, "True Semantic", $R$24:$R$80, "manual")</f>
        <v>6.9733333333333336</v>
      </c>
      <c r="D128" s="29">
        <f>AVERAGEIFS(C$24:C$80, $P$24:$P$80, "True Semantic", $R$24:$R$80, "manual")</f>
        <v>72.806666666666672</v>
      </c>
      <c r="E128" s="29">
        <f>AVERAGEIFS(D$24:D$80, $P$24:$P$80, "True Semantic", $R$24:$R$80, "manual")</f>
        <v>13.635</v>
      </c>
      <c r="F128" s="29">
        <f>AVERAGEIFS(E$24:E$80, $P$24:$P$80, "True Semantic", $R$24:$R$80, "manual")</f>
        <v>26.183333333333334</v>
      </c>
      <c r="G128" s="29">
        <f>AVERAGEIFS(F$24:F$80, $P$24:$P$80, "True Semantic", $R$24:$R$80, "manual")</f>
        <v>7.2716666666666656</v>
      </c>
      <c r="H128" s="29">
        <f>AVERAGEIFS(G$24:G$80, $P$24:$P$80, "True Semantic", $R$24:$R$80, "manual")</f>
        <v>31.47666666666667</v>
      </c>
      <c r="I128" s="29">
        <f>AVERAGEIFS(H$24:H$80, $P$24:$P$80, "True Semantic", $R$24:$R$80, "manual")</f>
        <v>57.66</v>
      </c>
      <c r="J128" s="29">
        <f>AVERAGEIFS(I$24:I$80, $P$24:$P$80, "True Semantic", $R$24:$R$80, "manual")</f>
        <v>20.906666666666666</v>
      </c>
      <c r="K128" s="29">
        <f>AVERAGEIFS(J$24:J$80, $P$24:$P$80, "True Semantic", $R$24:$R$80, "manual")</f>
        <v>311.64833333333331</v>
      </c>
      <c r="L128" s="29">
        <f>AVERAGEIFS(K$24:K$80, $P$24:$P$80, "True Semantic", $R$24:$R$80, "manual")</f>
        <v>5.0550000000000006</v>
      </c>
      <c r="M128" s="29">
        <f>AVERAGEIFS(L$24:L$80, $P$24:$P$80, "True Semantic", $R$24:$R$80, "manual")</f>
        <v>0.28499999999999998</v>
      </c>
      <c r="N128" s="29" t="e">
        <f>AVERAGEIFS(M$24:M$80, $P$24:$P$80, "True Semantic", $R$24:$R$80, "manual")</f>
        <v>#DIV/0!</v>
      </c>
      <c r="O128" s="29">
        <f>AVERAGEIFS(N$24:N$80, $P$24:$P$80, "True Semantic", $R$24:$R$80, "manual")</f>
        <v>278.11499999999995</v>
      </c>
    </row>
    <row r="129" spans="1:15" ht="15" thickBot="1" x14ac:dyDescent="0.4">
      <c r="A129" s="33">
        <f>COUNTIFS( $P$24:$P$80, "True Semantic", $R$24:$R$80, "auto")</f>
        <v>6</v>
      </c>
      <c r="B129" s="33" t="s">
        <v>168</v>
      </c>
      <c r="C129" s="34">
        <f>AVERAGEIFS(B$24:B$80, $P$24:$P$80, "True Semantic", $R$24:$R$80, "auto")</f>
        <v>6.996666666666667</v>
      </c>
      <c r="D129" s="34">
        <f>AVERAGEIFS(C$24:C$80, $P$24:$P$80, "True Semantic", $R$24:$R$80, "auto")</f>
        <v>72.806666666666672</v>
      </c>
      <c r="E129" s="34">
        <f>AVERAGEIFS(D$24:D$80, $P$24:$P$80, "True Semantic", $R$24:$R$80, "auto")</f>
        <v>13.711666666666666</v>
      </c>
      <c r="F129" s="34">
        <f>AVERAGEIFS(E$24:E$80, $P$24:$P$80, "True Semantic", $R$24:$R$80, "auto")</f>
        <v>26.304999999999996</v>
      </c>
      <c r="G129" s="34">
        <f>AVERAGEIFS(F$24:F$80, $P$24:$P$80, "True Semantic", $R$24:$R$80, "auto")</f>
        <v>7.294999999999999</v>
      </c>
      <c r="H129" s="34">
        <f>AVERAGEIFS(G$24:G$80, $P$24:$P$80, "True Semantic", $R$24:$R$80, "auto")</f>
        <v>31.693333333333339</v>
      </c>
      <c r="I129" s="34">
        <f>AVERAGEIFS(H$24:H$80, $P$24:$P$80, "True Semantic", $R$24:$R$80, "auto")</f>
        <v>58.001666666666672</v>
      </c>
      <c r="J129" s="34">
        <f>AVERAGEIFS(I$24:I$80, $P$24:$P$80, "True Semantic", $R$24:$R$80, "auto")</f>
        <v>21.006666666666664</v>
      </c>
      <c r="K129" s="34">
        <f>AVERAGEIFS(J$24:J$80, $P$24:$P$80, "True Semantic", $R$24:$R$80, "auto")</f>
        <v>314.39</v>
      </c>
      <c r="L129" s="34">
        <f>AVERAGEIFS(K$24:K$80, $P$24:$P$80, "True Semantic", $R$24:$R$80, "auto")</f>
        <v>5.1033333333333335</v>
      </c>
      <c r="M129" s="34">
        <f>AVERAGEIFS(L$24:L$80, $P$24:$P$80, "True Semantic", $R$24:$R$80, "auto")</f>
        <v>0.28499999999999998</v>
      </c>
      <c r="N129" s="34" t="e">
        <f>AVERAGEIFS(M$24:M$80, $P$24:$P$80, "True Semantic", $R$24:$R$80, "auto")</f>
        <v>#DIV/0!</v>
      </c>
      <c r="O129" s="34">
        <f>AVERAGEIFS(N$24:N$80, $P$24:$P$80, "True Semantic", $R$24:$R$80, "auto")</f>
        <v>287.57666666666665</v>
      </c>
    </row>
    <row r="130" spans="1:15" x14ac:dyDescent="0.35">
      <c r="A130" s="1">
        <f>COUNTIFS( $P$24:$P$80, "Machine Learning", $R$24:$R$80, "manual")</f>
        <v>13</v>
      </c>
      <c r="B130" s="1" t="s">
        <v>141</v>
      </c>
      <c r="C130" s="29">
        <f>AVERAGEIFS(B$24:B$80, $P$24:$P$80, "Machine Learning", $R$24:$R$80, "manual")</f>
        <v>3.3538461538461539</v>
      </c>
      <c r="D130" s="29">
        <f>AVERAGEIFS(C$24:C$80, $P$24:$P$80, "Machine Learning", $R$24:$R$80, "manual")</f>
        <v>82.742307692307705</v>
      </c>
      <c r="E130" s="29">
        <f>AVERAGEIFS(D$24:D$80, $P$24:$P$80, "Machine Learning", $R$24:$R$80, "manual")</f>
        <v>7.1076923076923082</v>
      </c>
      <c r="F130" s="29">
        <f>AVERAGEIFS(E$24:E$80, $P$24:$P$80, "Machine Learning", $R$24:$R$80, "manual")</f>
        <v>12.993076923076924</v>
      </c>
      <c r="G130" s="29">
        <f>AVERAGEIFS(F$24:F$80, $P$24:$P$80, "Machine Learning", $R$24:$R$80, "manual")</f>
        <v>4.1469230769230769</v>
      </c>
      <c r="H130" s="29">
        <f>AVERAGEIFS(G$24:G$80, $P$24:$P$80, "Machine Learning", $R$24:$R$80, "manual")</f>
        <v>13.896923076923077</v>
      </c>
      <c r="I130" s="29">
        <f>AVERAGEIFS(H$24:H$80, $P$24:$P$80, "Machine Learning", $R$24:$R$80, "manual")</f>
        <v>26.888461538461534</v>
      </c>
      <c r="J130" s="29">
        <f>AVERAGEIFS(I$24:I$80, $P$24:$P$80, "Machine Learning", $R$24:$R$80, "manual")</f>
        <v>11.252307692307692</v>
      </c>
      <c r="K130" s="29">
        <f>AVERAGEIFS(J$24:J$80, $P$24:$P$80, "Machine Learning", $R$24:$R$80, "manual")</f>
        <v>121.5123076923077</v>
      </c>
      <c r="L130" s="29">
        <f>AVERAGEIFS(K$24:K$80, $P$24:$P$80, "Machine Learning", $R$24:$R$80, "manual")</f>
        <v>2.6623076923076923</v>
      </c>
      <c r="M130" s="29">
        <f>AVERAGEIFS(L$24:L$80, $P$24:$P$80, "Machine Learning", $R$24:$R$80, "manual")</f>
        <v>0.30538461538461542</v>
      </c>
      <c r="N130" s="29">
        <f>AVERAGEIFS(M$24:M$80, $P$24:$P$80, "Machine Learning", $R$24:$R$80, "manual")</f>
        <v>446.59700000000004</v>
      </c>
      <c r="O130" s="29">
        <f>AVERAGEIFS(N$24:N$80, $P$24:$P$80, "Machine Learning", $R$24:$R$80, "manual")</f>
        <v>68.003076923076918</v>
      </c>
    </row>
    <row r="131" spans="1:15" ht="15" thickBot="1" x14ac:dyDescent="0.4">
      <c r="A131" s="33">
        <f>COUNTIFS($P$24:$P$80, "Machine Learning", $R$24:$R$80, "auto")</f>
        <v>13</v>
      </c>
      <c r="B131" s="33" t="s">
        <v>169</v>
      </c>
      <c r="C131" s="34">
        <f>AVERAGEIFS(B$24:B$80, $P$24:$P$80, "Machine Learning", $R$24:$R$80, "auto")</f>
        <v>3.3769230769230774</v>
      </c>
      <c r="D131" s="34">
        <f>AVERAGEIFS(C$24:C$80, $P$24:$P$80, "Machine Learning", $R$24:$R$80, "auto")</f>
        <v>82.652307692307687</v>
      </c>
      <c r="E131" s="34">
        <f>AVERAGEIFS(D$24:D$80, $P$24:$P$80, "Machine Learning", $R$24:$R$80, "auto")</f>
        <v>7.2623076923076919</v>
      </c>
      <c r="F131" s="34">
        <f>AVERAGEIFS(E$24:E$80, $P$24:$P$80, "Machine Learning", $R$24:$R$80, "auto")</f>
        <v>13.40076923076923</v>
      </c>
      <c r="G131" s="34">
        <f>AVERAGEIFS(F$24:F$80, $P$24:$P$80, "Machine Learning", $R$24:$R$80, "auto")</f>
        <v>4.3000000000000007</v>
      </c>
      <c r="H131" s="34">
        <f>AVERAGEIFS(G$24:G$80, $P$24:$P$80, "Machine Learning", $R$24:$R$80, "auto")</f>
        <v>14.376153846153848</v>
      </c>
      <c r="I131" s="34">
        <f>AVERAGEIFS(H$24:H$80, $P$24:$P$80, "Machine Learning", $R$24:$R$80, "auto")</f>
        <v>27.775384615384613</v>
      </c>
      <c r="J131" s="34">
        <f>AVERAGEIFS(I$24:I$80, $P$24:$P$80, "Machine Learning", $R$24:$R$80, "auto")</f>
        <v>11.562307692307693</v>
      </c>
      <c r="K131" s="34">
        <f>AVERAGEIFS(J$24:J$80, $P$24:$P$80, "Machine Learning", $R$24:$R$80, "auto")</f>
        <v>126.82153846153847</v>
      </c>
      <c r="L131" s="34">
        <f>AVERAGEIFS(K$24:K$80, $P$24:$P$80, "Machine Learning", $R$24:$R$80, "auto")</f>
        <v>2.7753846153846151</v>
      </c>
      <c r="M131" s="34">
        <f>AVERAGEIFS(L$24:L$80, $P$24:$P$80, "Machine Learning", $R$24:$R$80, "auto")</f>
        <v>0.2976923076923077</v>
      </c>
      <c r="N131" s="34">
        <f>AVERAGEIFS(M$24:M$80, $P$24:$P$80, "Machine Learning", $R$24:$R$80, "auto")</f>
        <v>236.57857142857142</v>
      </c>
      <c r="O131" s="34">
        <f>AVERAGEIFS(N$24:N$80, $P$24:$P$80, "Machine Learning", $R$24:$R$80, "auto")</f>
        <v>72.527692307692305</v>
      </c>
    </row>
  </sheetData>
  <sortState ref="A27:R141">
    <sortCondition ref="R141"/>
  </sortState>
  <conditionalFormatting sqref="C94:O94 C101:O101 C105:O105 C110:O110 C114:O114 C121:O121 C123:O123">
    <cfRule type="cellIs" dxfId="7" priority="6" operator="equal">
      <formula>C95</formula>
    </cfRule>
    <cfRule type="cellIs" dxfId="6" priority="8" operator="greaterThan">
      <formula>C95</formula>
    </cfRule>
  </conditionalFormatting>
  <conditionalFormatting sqref="C95:O95 C102:O102 C106:O106 C111:O111 C115:O115 C122:O122 C124:O124">
    <cfRule type="cellIs" dxfId="5" priority="5" operator="equal">
      <formula>C94</formula>
    </cfRule>
    <cfRule type="cellIs" dxfId="4" priority="7" operator="greaterThan">
      <formula>C94</formula>
    </cfRule>
  </conditionalFormatting>
  <conditionalFormatting sqref="C128:O128 C130:O130">
    <cfRule type="cellIs" dxfId="3" priority="2" operator="equal">
      <formula>C129</formula>
    </cfRule>
    <cfRule type="cellIs" dxfId="2" priority="4" operator="greaterThan">
      <formula>C129</formula>
    </cfRule>
  </conditionalFormatting>
  <conditionalFormatting sqref="C129:O129 C131:O131">
    <cfRule type="cellIs" dxfId="1" priority="1" operator="equal">
      <formula>C128</formula>
    </cfRule>
    <cfRule type="cellIs" dxfId="0" priority="3" operator="greaterThan">
      <formula>C128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Code Query Report</dc:title>
  <dc:creator>John</dc:creator>
  <cp:lastModifiedBy>UROS</cp:lastModifiedBy>
  <dcterms:created xsi:type="dcterms:W3CDTF">2023-09-13T13:18:44Z</dcterms:created>
  <dcterms:modified xsi:type="dcterms:W3CDTF">2023-11-16T22:25:00Z</dcterms:modified>
</cp:coreProperties>
</file>