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V55" i="2" l="1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54" i="2"/>
  <c r="V117" i="2" l="1"/>
  <c r="V116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210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209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202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194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189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184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181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180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179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175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174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171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170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169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163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162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159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158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154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150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142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U117" i="2"/>
  <c r="T117" i="2"/>
  <c r="S117" i="2"/>
  <c r="R117" i="2"/>
  <c r="Q117" i="2"/>
  <c r="P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U116" i="2"/>
  <c r="T116" i="2"/>
  <c r="S116" i="2"/>
  <c r="R116" i="2"/>
  <c r="Q116" i="2"/>
  <c r="P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A113" i="2"/>
  <c r="Z113" i="2"/>
  <c r="Y113" i="2"/>
  <c r="X113" i="2"/>
  <c r="O113" i="2"/>
  <c r="AA112" i="2"/>
  <c r="Z112" i="2"/>
  <c r="Y112" i="2"/>
  <c r="X112" i="2"/>
  <c r="O112" i="2"/>
  <c r="AA111" i="2"/>
  <c r="Z111" i="2"/>
  <c r="Y111" i="2"/>
  <c r="X111" i="2"/>
  <c r="O111" i="2"/>
  <c r="AA110" i="2"/>
  <c r="Z110" i="2"/>
  <c r="Y110" i="2"/>
  <c r="X110" i="2"/>
  <c r="O110" i="2"/>
  <c r="AA109" i="2"/>
  <c r="Z109" i="2"/>
  <c r="Y109" i="2"/>
  <c r="X109" i="2"/>
  <c r="O109" i="2"/>
  <c r="AA108" i="2"/>
  <c r="Z108" i="2"/>
  <c r="Y108" i="2"/>
  <c r="X108" i="2"/>
  <c r="O108" i="2"/>
  <c r="AA107" i="2"/>
  <c r="Z107" i="2"/>
  <c r="Y107" i="2"/>
  <c r="X107" i="2"/>
  <c r="O107" i="2"/>
  <c r="AA106" i="2"/>
  <c r="Z106" i="2"/>
  <c r="Y106" i="2"/>
  <c r="X106" i="2"/>
  <c r="O106" i="2"/>
  <c r="AA105" i="2"/>
  <c r="Z105" i="2"/>
  <c r="Y105" i="2"/>
  <c r="X105" i="2"/>
  <c r="O105" i="2"/>
  <c r="AA104" i="2"/>
  <c r="Z104" i="2"/>
  <c r="Y104" i="2"/>
  <c r="X104" i="2"/>
  <c r="O104" i="2"/>
  <c r="AA103" i="2"/>
  <c r="Z103" i="2"/>
  <c r="Y103" i="2"/>
  <c r="X103" i="2"/>
  <c r="O103" i="2"/>
  <c r="AA102" i="2"/>
  <c r="Z102" i="2"/>
  <c r="Y102" i="2"/>
  <c r="X102" i="2"/>
  <c r="O102" i="2"/>
  <c r="AA101" i="2"/>
  <c r="Z101" i="2"/>
  <c r="Y101" i="2"/>
  <c r="X101" i="2"/>
  <c r="O101" i="2"/>
  <c r="AA100" i="2"/>
  <c r="Z100" i="2"/>
  <c r="Y100" i="2"/>
  <c r="X100" i="2"/>
  <c r="O100" i="2"/>
  <c r="AA99" i="2"/>
  <c r="Z99" i="2"/>
  <c r="Y99" i="2"/>
  <c r="X99" i="2"/>
  <c r="O99" i="2"/>
  <c r="AA98" i="2"/>
  <c r="Z98" i="2"/>
  <c r="Y98" i="2"/>
  <c r="X98" i="2"/>
  <c r="O98" i="2"/>
  <c r="AA97" i="2"/>
  <c r="Z97" i="2"/>
  <c r="Y97" i="2"/>
  <c r="X97" i="2"/>
  <c r="O97" i="2"/>
  <c r="AA96" i="2"/>
  <c r="Z96" i="2"/>
  <c r="Y96" i="2"/>
  <c r="X96" i="2"/>
  <c r="O96" i="2"/>
  <c r="AA95" i="2"/>
  <c r="Z95" i="2"/>
  <c r="Y95" i="2"/>
  <c r="X95" i="2"/>
  <c r="O95" i="2"/>
  <c r="AA94" i="2"/>
  <c r="Z94" i="2"/>
  <c r="Y94" i="2"/>
  <c r="X94" i="2"/>
  <c r="O94" i="2"/>
  <c r="AA93" i="2"/>
  <c r="Z93" i="2"/>
  <c r="Y93" i="2"/>
  <c r="X93" i="2"/>
  <c r="O93" i="2"/>
  <c r="AA92" i="2"/>
  <c r="Z92" i="2"/>
  <c r="Y92" i="2"/>
  <c r="X92" i="2"/>
  <c r="O92" i="2"/>
  <c r="AA91" i="2"/>
  <c r="Z91" i="2"/>
  <c r="Y91" i="2"/>
  <c r="X91" i="2"/>
  <c r="O91" i="2"/>
  <c r="AA90" i="2"/>
  <c r="Z90" i="2"/>
  <c r="Y90" i="2"/>
  <c r="X90" i="2"/>
  <c r="O90" i="2"/>
  <c r="AA89" i="2"/>
  <c r="Z89" i="2"/>
  <c r="Y89" i="2"/>
  <c r="X89" i="2"/>
  <c r="O89" i="2"/>
  <c r="AA88" i="2"/>
  <c r="Z88" i="2"/>
  <c r="Y88" i="2"/>
  <c r="X88" i="2"/>
  <c r="O88" i="2"/>
  <c r="AA87" i="2"/>
  <c r="Z87" i="2"/>
  <c r="Y87" i="2"/>
  <c r="X87" i="2"/>
  <c r="O87" i="2"/>
  <c r="AA86" i="2"/>
  <c r="Z86" i="2"/>
  <c r="Y86" i="2"/>
  <c r="X86" i="2"/>
  <c r="O86" i="2"/>
  <c r="AA85" i="2"/>
  <c r="Z85" i="2"/>
  <c r="Y85" i="2"/>
  <c r="X85" i="2"/>
  <c r="O85" i="2"/>
  <c r="AA84" i="2"/>
  <c r="Z84" i="2"/>
  <c r="Y84" i="2"/>
  <c r="X84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U150" i="2" l="1"/>
  <c r="V155" i="2"/>
  <c r="AC163" i="2"/>
  <c r="X159" i="2"/>
  <c r="AB163" i="2"/>
  <c r="AB151" i="2"/>
  <c r="AA151" i="2"/>
  <c r="W159" i="2"/>
  <c r="AA163" i="2"/>
  <c r="AF155" i="2"/>
  <c r="AC151" i="2"/>
  <c r="U155" i="2"/>
  <c r="AD151" i="2"/>
  <c r="Z154" i="2"/>
  <c r="AA154" i="2"/>
  <c r="W155" i="2"/>
  <c r="R158" i="2"/>
  <c r="AE158" i="2"/>
  <c r="AA159" i="2"/>
  <c r="R163" i="2"/>
  <c r="AE163" i="2"/>
  <c r="X150" i="2"/>
  <c r="T151" i="2"/>
  <c r="AF151" i="2"/>
  <c r="AB154" i="2"/>
  <c r="X155" i="2"/>
  <c r="T158" i="2"/>
  <c r="AF158" i="2"/>
  <c r="AB159" i="2"/>
  <c r="X162" i="2"/>
  <c r="T163" i="2"/>
  <c r="AF163" i="2"/>
  <c r="W150" i="2"/>
  <c r="R151" i="2"/>
  <c r="W162" i="2"/>
  <c r="Y150" i="2"/>
  <c r="U151" i="2"/>
  <c r="AC154" i="2"/>
  <c r="Y155" i="2"/>
  <c r="U158" i="2"/>
  <c r="AC159" i="2"/>
  <c r="Y162" i="2"/>
  <c r="U163" i="2"/>
  <c r="AE151" i="2"/>
  <c r="Z150" i="2"/>
  <c r="V151" i="2"/>
  <c r="AD154" i="2"/>
  <c r="Z155" i="2"/>
  <c r="V158" i="2"/>
  <c r="AD159" i="2"/>
  <c r="Z162" i="2"/>
  <c r="V163" i="2"/>
  <c r="Y154" i="2"/>
  <c r="AC158" i="2"/>
  <c r="Y159" i="2"/>
  <c r="U162" i="2"/>
  <c r="AA150" i="2"/>
  <c r="W151" i="2"/>
  <c r="R154" i="2"/>
  <c r="AE154" i="2"/>
  <c r="AA155" i="2"/>
  <c r="W158" i="2"/>
  <c r="R159" i="2"/>
  <c r="AE159" i="2"/>
  <c r="AA162" i="2"/>
  <c r="W163" i="2"/>
  <c r="AB150" i="2"/>
  <c r="X151" i="2"/>
  <c r="T154" i="2"/>
  <c r="AF154" i="2"/>
  <c r="AB155" i="2"/>
  <c r="X158" i="2"/>
  <c r="T159" i="2"/>
  <c r="AF159" i="2"/>
  <c r="AB162" i="2"/>
  <c r="X163" i="2"/>
  <c r="AC150" i="2"/>
  <c r="Y151" i="2"/>
  <c r="U154" i="2"/>
  <c r="AC155" i="2"/>
  <c r="Y158" i="2"/>
  <c r="U159" i="2"/>
  <c r="AC162" i="2"/>
  <c r="Y163" i="2"/>
  <c r="AD150" i="2"/>
  <c r="Z151" i="2"/>
  <c r="V154" i="2"/>
  <c r="AD155" i="2"/>
  <c r="Z158" i="2"/>
  <c r="V159" i="2"/>
  <c r="AD162" i="2"/>
  <c r="Z163" i="2"/>
  <c r="V150" i="2"/>
  <c r="AD158" i="2"/>
  <c r="Z159" i="2"/>
  <c r="V162" i="2"/>
  <c r="AD163" i="2"/>
  <c r="R150" i="2"/>
  <c r="AE150" i="2"/>
  <c r="W154" i="2"/>
  <c r="R155" i="2"/>
  <c r="AE155" i="2"/>
  <c r="AA158" i="2"/>
  <c r="R162" i="2"/>
  <c r="AE162" i="2"/>
  <c r="T150" i="2"/>
  <c r="AF150" i="2"/>
  <c r="X154" i="2"/>
  <c r="T155" i="2"/>
  <c r="AB158" i="2"/>
  <c r="T162" i="2"/>
  <c r="AF162" i="2"/>
</calcChain>
</file>

<file path=xl/sharedStrings.xml><?xml version="1.0" encoding="utf-8"?>
<sst xmlns="http://schemas.openxmlformats.org/spreadsheetml/2006/main" count="459" uniqueCount="210">
  <si>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</si>
  <si>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</si>
  <si>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</si>
  <si>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</si>
  <si>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</si>
  <si>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</si>
  <si>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</si>
  <si>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</si>
  <si>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</si>
  <si>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</si>
  <si>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</si>
  <si>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</si>
  <si>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</si>
  <si>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</si>
  <si>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</si>
  <si>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</si>
  <si>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</si>
  <si>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</si>
  <si>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</si>
  <si>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</si>
  <si>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</si>
  <si>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</si>
  <si>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</si>
  <si>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</si>
  <si>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</si>
  <si>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</si>
  <si>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</si>
  <si>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</si>
  <si>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</si>
  <si>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</si>
  <si>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</si>
  <si>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</si>
  <si>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</si>
  <si>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</si>
  <si>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</si>
  <si>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</si>
  <si>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</si>
  <si>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</si>
  <si>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</si>
  <si>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</si>
  <si>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</si>
  <si>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</si>
  <si>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</si>
  <si>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</si>
  <si>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Source Version</t>
  </si>
  <si>
    <t>Cyclomatic Complexity</t>
  </si>
  <si>
    <t>Project Type</t>
  </si>
  <si>
    <t>Tool Type</t>
  </si>
  <si>
    <t>Count</t>
  </si>
  <si>
    <t>Avg-albfernandez-GDS-PMD-Security-Buggy</t>
  </si>
  <si>
    <t>Avg-dungba88-libra-Buggy</t>
  </si>
  <si>
    <t>Avg-julianps-modelmapper-module-Buggy</t>
  </si>
  <si>
    <t>Avg-opentracing-contrib-java-p6sp-Buggy</t>
  </si>
  <si>
    <t>Avg-SzFMV2018-Tavasz-AutomatedCar-Buggy</t>
  </si>
  <si>
    <t>Avg-traccar-traccar-Buggy</t>
  </si>
  <si>
    <t>Lines</t>
  </si>
  <si>
    <t>MC-SL Comm</t>
  </si>
  <si>
    <t>MC-ML Comm</t>
  </si>
  <si>
    <t>SC-SL Comm</t>
  </si>
  <si>
    <t>SC-ML Comm</t>
  </si>
  <si>
    <t>Two-Factor Common</t>
  </si>
  <si>
    <t>Chunks &amp; Lines Common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</si>
  <si>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</si>
  <si>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</si>
  <si>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</si>
  <si>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</si>
  <si>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</si>
  <si>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</si>
  <si>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</si>
  <si>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</si>
  <si>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</si>
  <si>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Avg-albfernandez-GDS-PMD-Security-Manual</t>
  </si>
  <si>
    <t>Avg-dungba88-libra-Manual</t>
  </si>
  <si>
    <t>Avg-julianps-modelmapper-module-Manual</t>
  </si>
  <si>
    <t>Avg-opentracing-contrib-java-p6sp-Manual</t>
  </si>
  <si>
    <t>Avg-SzFMV2018-Tavasz-AutomatedCar-Manual</t>
  </si>
  <si>
    <t>Avg-traccar-traccar-Manual</t>
  </si>
  <si>
    <t>Avg-Arja-Manual</t>
  </si>
  <si>
    <t>Avg-GenProg-Manual</t>
  </si>
  <si>
    <t>Avg-Kali-Manual</t>
  </si>
  <si>
    <t>Avg-Nopol-Manual</t>
  </si>
  <si>
    <t>Avg-RSRepair-Manual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</si>
  <si>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</si>
  <si>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</si>
  <si>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</si>
  <si>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</si>
  <si>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</si>
  <si>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</si>
  <si>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</si>
  <si>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</si>
  <si>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</si>
  <si>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Avg-albfernandez-GDS-PMD-Security-Auto</t>
  </si>
  <si>
    <t>Avg-dungba88-libra-Auto</t>
  </si>
  <si>
    <t>Avg-julianps-modelmapper-module-Auto</t>
  </si>
  <si>
    <t>Avg-opentracing-contrib-java-p6sp-Auto</t>
  </si>
  <si>
    <t>Avg-SzFMV2018-Tavasz-AutomatedCar-Auto</t>
  </si>
  <si>
    <t>Avg-traccar-traccar-Auto</t>
  </si>
  <si>
    <t>Avg-Arja-Auto</t>
  </si>
  <si>
    <t>Avg-GenProg-Auto</t>
  </si>
  <si>
    <t>Avg-Kali-Auto</t>
  </si>
  <si>
    <t>Avg-Nopol-Auto</t>
  </si>
  <si>
    <t>Avg-RSRepair-Auto</t>
  </si>
  <si>
    <t>Update</t>
  </si>
  <si>
    <t>Move</t>
  </si>
  <si>
    <t>Error Samples (Deleted):</t>
  </si>
  <si>
    <t>Arja-Bears-albfernandez-GDS-PMD-Security-Rules-451155169-455669767_2_Buggy</t>
  </si>
  <si>
    <t>Arja-Bears-opentracing-contrib-java-p6spy-390188323-431527545_0_Buggy</t>
  </si>
  <si>
    <t>Arja-Bears-opentracing-contrib-java-p6spy-390188323-431527545_1_Buggy</t>
  </si>
  <si>
    <t>Arja-Bears-opentracing-contrib-java-p6spy-390188323-431527545_2_Buggy</t>
  </si>
  <si>
    <t>Arja-Bears-opentracing-contrib-java-p6spy-390188323-431527545_3_Buggy</t>
  </si>
  <si>
    <t>Arja-Bears-opentracing-contrib-java-p6spy-390188323-431527545_4_Buggy</t>
  </si>
  <si>
    <t>Arja-Bears-SzFMV2018-Tavasz-AutomatedCar-351742666-351759763_0_Buggy</t>
  </si>
  <si>
    <t>Arja-Bears-SzFMV2018-Tavasz-AutomatedCar-351742666-351759763_1_Buggy</t>
  </si>
  <si>
    <t>Arja-Bears-SzFMV2018-Tavasz-AutomatedCar-351742666-351759763_2_Buggy</t>
  </si>
  <si>
    <t>Arja-Bears-SzFMV2018-Tavasz-AutomatedCar-351742666-351759763_3_Buggy</t>
  </si>
  <si>
    <t>Arja-Bears-SzFMV2018-Tavasz-AutomatedCar-351742666-351759763_4_Buggy</t>
  </si>
  <si>
    <t>Arja-Bears-traccar-traccar-255051210-255052458_0_Buggy</t>
  </si>
  <si>
    <t>Arja-Bears-traccar-traccar-255051210-255052458_1_Buggy</t>
  </si>
  <si>
    <t>Arja-Bears-traccar-traccar-255051210-255052458_2_Buggy</t>
  </si>
  <si>
    <t>Arja-Bears-traccar-traccar-255051210-255052458_3_Buggy</t>
  </si>
  <si>
    <t>Arja-Bears-traccar-traccar-255051210-255052458_4_Buggy</t>
  </si>
  <si>
    <t>GenProg-Bears-SzFMV2018-Tavasz-AutomatedCar-351742666-351759763_0_Buggy</t>
  </si>
  <si>
    <t>GenProg-Bears-SzFMV2018-Tavasz-AutomatedCar-351742666-351759763_1_Buggy</t>
  </si>
  <si>
    <t>GenProg-Bears-SzFMV2018-Tavasz-AutomatedCar-351742666-351759763_2_Buggy</t>
  </si>
  <si>
    <t>GenProg-Bears-SzFMV2018-Tavasz-AutomatedCar-351742666-351759763_3_Buggy</t>
  </si>
  <si>
    <t>GenProg-Bears-SzFMV2018-Tavasz-AutomatedCar-351742666-351759763_4_Buggy</t>
  </si>
  <si>
    <t>Kali-Bears-albfernandez-GDS-PMD-Security-Rules-451155169-455669767_0_Buggy</t>
  </si>
  <si>
    <t>Kali-Bears-dungba88-libra-436514153-436524727_0_Buggy</t>
  </si>
  <si>
    <t>Kali-Bears-SzFMV2018-Tavasz-AutomatedCar-351742666-351759763_0_Buggy</t>
  </si>
  <si>
    <t>Kali-Bears-traccar-traccar-255051210-255052458_0_Buggy</t>
  </si>
  <si>
    <t>RSRepair-Bears-SzFMV2018-Tavasz-AutomatedCar-351742666-351759763_0_Buggy</t>
  </si>
  <si>
    <t>RSRepair-Bears-SzFMV2018-Tavasz-AutomatedCar-351742666-351759763_1_Buggy</t>
  </si>
  <si>
    <t>RSRepair-Bears-SzFMV2018-Tavasz-AutomatedCar-351742666-351759763_2_Buggy</t>
  </si>
  <si>
    <t>RSRepair-Bears-SzFMV2018-Tavasz-AutomatedCar-351742666-351759763_3_Buggy</t>
  </si>
  <si>
    <t>RSRepair-Bears-SzFMV2018-Tavasz-AutomatedCar-351742666-351759763_4_Buggy</t>
  </si>
  <si>
    <t>Arja-Bears-albfernandez-GDS-PMD-Security-Rules-451155169-455669767_2_Manual</t>
  </si>
  <si>
    <t>Arja-Bears-opentracing-contrib-java-p6spy-390188323-431527545_0_Manual</t>
  </si>
  <si>
    <t>Arja-Bears-opentracing-contrib-java-p6spy-390188323-431527545_1_Manual</t>
  </si>
  <si>
    <t>Arja-Bears-opentracing-contrib-java-p6spy-390188323-431527545_2_Manual</t>
  </si>
  <si>
    <t>Arja-Bears-opentracing-contrib-java-p6spy-390188323-431527545_3_Manual</t>
  </si>
  <si>
    <t>Arja-Bears-opentracing-contrib-java-p6spy-390188323-431527545_4_Manual</t>
  </si>
  <si>
    <t>Arja-Bears-SzFMV2018-Tavasz-AutomatedCar-351742666-351759763_0_Manual</t>
  </si>
  <si>
    <t>Arja-Bears-SzFMV2018-Tavasz-AutomatedCar-351742666-351759763_1_Manual</t>
  </si>
  <si>
    <t>Arja-Bears-SzFMV2018-Tavasz-AutomatedCar-351742666-351759763_2_Manual</t>
  </si>
  <si>
    <t>Arja-Bears-SzFMV2018-Tavasz-AutomatedCar-351742666-351759763_3_Manual</t>
  </si>
  <si>
    <t>Arja-Bears-SzFMV2018-Tavasz-AutomatedCar-351742666-351759763_4_Manual</t>
  </si>
  <si>
    <t>Arja-Bears-traccar-traccar-255051210-255052458_0_Manual</t>
  </si>
  <si>
    <t>Arja-Bears-traccar-traccar-255051210-255052458_1_Manual</t>
  </si>
  <si>
    <t>Arja-Bears-traccar-traccar-255051210-255052458_2_Manual</t>
  </si>
  <si>
    <t>Arja-Bears-traccar-traccar-255051210-255052458_3_Manual</t>
  </si>
  <si>
    <t>Arja-Bears-traccar-traccar-255051210-255052458_4_Manual</t>
  </si>
  <si>
    <t>GenProg-Bears-SzFMV2018-Tavasz-AutomatedCar-351742666-351759763_0_Manual</t>
  </si>
  <si>
    <t>GenProg-Bears-SzFMV2018-Tavasz-AutomatedCar-351742666-351759763_1_Manual</t>
  </si>
  <si>
    <t>GenProg-Bears-SzFMV2018-Tavasz-AutomatedCar-351742666-351759763_2_Manual</t>
  </si>
  <si>
    <t>GenProg-Bears-SzFMV2018-Tavasz-AutomatedCar-351742666-351759763_3_Manual</t>
  </si>
  <si>
    <t>GenProg-Bears-SzFMV2018-Tavasz-AutomatedCar-351742666-351759763_4_Manual</t>
  </si>
  <si>
    <t>Kali-Bears-albfernandez-GDS-PMD-Security-Rules-451155169-455669767_0_Manual</t>
  </si>
  <si>
    <t>Kali-Bears-dungba88-libra-436514153-436524727_0_Manual</t>
  </si>
  <si>
    <t>Kali-Bears-SzFMV2018-Tavasz-AutomatedCar-351742666-351759763_0_Manual</t>
  </si>
  <si>
    <t>Kali-Bears-traccar-traccar-255051210-255052458_0_Manual</t>
  </si>
  <si>
    <t>RSRepair-Bears-SzFMV2018-Tavasz-AutomatedCar-351742666-351759763_0_Manual</t>
  </si>
  <si>
    <t>RSRepair-Bears-SzFMV2018-Tavasz-AutomatedCar-351742666-351759763_1_Manual</t>
  </si>
  <si>
    <t>RSRepair-Bears-SzFMV2018-Tavasz-AutomatedCar-351742666-351759763_2_Manual</t>
  </si>
  <si>
    <t>RSRepair-Bears-SzFMV2018-Tavasz-AutomatedCar-351742666-351759763_3_Manual</t>
  </si>
  <si>
    <t>RSRepair-Bears-SzFMV2018-Tavasz-AutomatedCar-351742666-351759763_4_Manual</t>
  </si>
  <si>
    <t>Arja-Bears-albfernandez-GDS-PMD-Security-Rules-451155169-455669767_2_Auto</t>
  </si>
  <si>
    <t>Arja-Bears-opentracing-contrib-java-p6spy-390188323-431527545_0_Auto</t>
  </si>
  <si>
    <t>Arja-Bears-opentracing-contrib-java-p6spy-390188323-431527545_1_Auto</t>
  </si>
  <si>
    <t>Arja-Bears-opentracing-contrib-java-p6spy-390188323-431527545_2_Auto</t>
  </si>
  <si>
    <t>Arja-Bears-opentracing-contrib-java-p6spy-390188323-431527545_3_Auto</t>
  </si>
  <si>
    <t>Arja-Bears-opentracing-contrib-java-p6spy-390188323-431527545_4_Auto</t>
  </si>
  <si>
    <t>Arja-Bears-SzFMV2018-Tavasz-AutomatedCar-351742666-351759763_0_Auto</t>
  </si>
  <si>
    <t>Arja-Bears-SzFMV2018-Tavasz-AutomatedCar-351742666-351759763_1_Auto</t>
  </si>
  <si>
    <t>Arja-Bears-SzFMV2018-Tavasz-AutomatedCar-351742666-351759763_2_Auto</t>
  </si>
  <si>
    <t>Arja-Bears-SzFMV2018-Tavasz-AutomatedCar-351742666-351759763_3_Auto</t>
  </si>
  <si>
    <t>Arja-Bears-SzFMV2018-Tavasz-AutomatedCar-351742666-351759763_4_Auto</t>
  </si>
  <si>
    <t>Arja-Bears-traccar-traccar-255051210-255052458_0_Auto</t>
  </si>
  <si>
    <t>Arja-Bears-traccar-traccar-255051210-255052458_1_Auto</t>
  </si>
  <si>
    <t>Arja-Bears-traccar-traccar-255051210-255052458_2_Auto</t>
  </si>
  <si>
    <t>Arja-Bears-traccar-traccar-255051210-255052458_3_Auto</t>
  </si>
  <si>
    <t>Arja-Bears-traccar-traccar-255051210-255052458_4_Auto</t>
  </si>
  <si>
    <t>GenProg-Bears-SzFMV2018-Tavasz-AutomatedCar-351742666-351759763_0_Auto</t>
  </si>
  <si>
    <t>GenProg-Bears-SzFMV2018-Tavasz-AutomatedCar-351742666-351759763_1_Auto</t>
  </si>
  <si>
    <t>GenProg-Bears-SzFMV2018-Tavasz-AutomatedCar-351742666-351759763_2_Auto</t>
  </si>
  <si>
    <t>GenProg-Bears-SzFMV2018-Tavasz-AutomatedCar-351742666-351759763_3_Auto</t>
  </si>
  <si>
    <t>GenProg-Bears-SzFMV2018-Tavasz-AutomatedCar-351742666-351759763_4_Auto</t>
  </si>
  <si>
    <t>Kali-Bears-albfernandez-GDS-PMD-Security-Rules-451155169-455669767_0_Auto</t>
  </si>
  <si>
    <t>Kali-Bears-dungba88-libra-436514153-436524727_0_Auto</t>
  </si>
  <si>
    <t>Kali-Bears-SzFMV2018-Tavasz-AutomatedCar-351742666-351759763_0_Auto</t>
  </si>
  <si>
    <t>Kali-Bears-traccar-traccar-255051210-255052458_0_Auto</t>
  </si>
  <si>
    <t>RSRepair-Bears-SzFMV2018-Tavasz-AutomatedCar-351742666-351759763_0_Auto</t>
  </si>
  <si>
    <t>RSRepair-Bears-SzFMV2018-Tavasz-AutomatedCar-351742666-351759763_1_Auto</t>
  </si>
  <si>
    <t>RSRepair-Bears-SzFMV2018-Tavasz-AutomatedCar-351742666-351759763_2_Auto</t>
  </si>
  <si>
    <t>RSRepair-Bears-SzFMV2018-Tavasz-AutomatedCar-351742666-351759763_3_Auto</t>
  </si>
  <si>
    <t>RSRepair-Bears-SzFMV2018-Tavasz-AutomatedCar-351742666-351759763_4_Auto</t>
  </si>
  <si>
    <t>Edits</t>
  </si>
  <si>
    <t>Arja-Bears-albfernandez-GDS-PMD-Security-Rules-451155169-455669767_0</t>
  </si>
  <si>
    <t>Arja-Bears-albfernandez-GDS-PMD-Security-Rules-451155169-455669767_1</t>
  </si>
  <si>
    <t>Arja-Bears-albfernandez-GDS-PMD-Security-Rules-451155169-455669767_4</t>
  </si>
  <si>
    <t>Arja-Bears-dungba88-libra-436514153-436524727_0</t>
  </si>
  <si>
    <t>Arja-Bears-dungba88-libra-436514153-436524727_1</t>
  </si>
  <si>
    <t>Arja-Bears-julianps-modelmapper-module-vavr-441307573-461240331_0</t>
  </si>
  <si>
    <t>Arja-Bears-julianps-modelmapper-module-vavr-441307573-461240331_1</t>
  </si>
  <si>
    <t>Arja-Bears-julianps-modelmapper-module-vavr-441307573-461240331_2</t>
  </si>
  <si>
    <t>Arja-Bears-julianps-modelmapper-module-vavr-441307573-461240331_3</t>
  </si>
  <si>
    <t>Arja-Bears-julianps-modelmapper-module-vavr-441307573-461240331_4</t>
  </si>
  <si>
    <t>Kali-Bears-julianps-modelmapper-module-vavr-441307573-461240331_0</t>
  </si>
  <si>
    <t>Nopol-Bears-vkostyukov-la4j-414793864-436911083_0</t>
  </si>
  <si>
    <t>30 projects</t>
  </si>
  <si>
    <t>90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</si>
</sst>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0"/>
      <color theme="1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left" wrapText="1"/>
    </xf>
    <xf numFmtId="0" fontId="24" fillId="36" borderId="11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2" xfId="0" applyFont="1" applyBorder="1"/>
    <xf numFmtId="164" fontId="18" fillId="0" borderId="12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vertical="center"/>
    </xf>
    <xf numFmtId="2" fontId="18" fillId="0" borderId="0" xfId="0" applyNumberFormat="1" applyFont="1"/>
    <xf numFmtId="0" fontId="24" fillId="35" borderId="10" xfId="0" applyFont="1" applyFill="1" applyBorder="1" applyAlignment="1">
      <alignment horizontal="center" wrapText="1"/>
    </xf>
    <xf numFmtId="0" fontId="24" fillId="35" borderId="11" xfId="0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/>
    <xf numFmtId="0" fontId="24" fillId="35" borderId="13" xfId="0" applyFont="1" applyFill="1" applyBorder="1" applyAlignment="1">
      <alignment horizontal="center" wrapText="1"/>
    </xf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5"/>
  <sheetViews>
    <sheetView showGridLines="0" tabSelected="1" topLeftCell="R76" zoomScale="55" zoomScaleNormal="55" workbookViewId="0">
      <selection activeCell="A114" sqref="A114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20" width="11.33203125" style="1" customWidth="1"/>
    <col min="21" max="21" width="12.77734375" style="1" bestFit="1" customWidth="1"/>
    <col min="22" max="22" width="10.77734375" style="1" customWidth="1"/>
    <col min="23" max="23" width="11.6640625" style="1" bestFit="1" customWidth="1"/>
    <col min="24" max="24" width="11.21875" style="1" customWidth="1"/>
    <col min="25" max="25" width="12.21875" style="1" bestFit="1" customWidth="1"/>
    <col min="26" max="26" width="10.88671875" style="1" customWidth="1"/>
    <col min="27" max="27" width="11.88671875" style="1" customWidth="1"/>
    <col min="28" max="28" width="10.21875" style="1" customWidth="1"/>
    <col min="29" max="29" width="11.21875" style="1" customWidth="1"/>
    <col min="30" max="32" width="11.1093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2" x14ac:dyDescent="0.35">
      <c r="A17" s="4" t="s">
        <v>15</v>
      </c>
    </row>
    <row r="18" spans="1:22" x14ac:dyDescent="0.35">
      <c r="A18" s="4" t="s">
        <v>16</v>
      </c>
    </row>
    <row r="19" spans="1:22" x14ac:dyDescent="0.35">
      <c r="A19" s="4" t="s">
        <v>17</v>
      </c>
    </row>
    <row r="20" spans="1:22" x14ac:dyDescent="0.35">
      <c r="A20" s="4" t="s">
        <v>18</v>
      </c>
    </row>
    <row r="21" spans="1:22" x14ac:dyDescent="0.35">
      <c r="A21" s="4" t="s">
        <v>19</v>
      </c>
    </row>
    <row r="23" spans="1:22" ht="28.8" x14ac:dyDescent="0.35">
      <c r="A23" s="13" t="s">
        <v>209</v>
      </c>
      <c r="B23" s="13" t="s">
        <v>20</v>
      </c>
      <c r="C23" s="13" t="s">
        <v>31</v>
      </c>
      <c r="D23" s="13" t="s">
        <v>32</v>
      </c>
      <c r="E23" s="13" t="s">
        <v>21</v>
      </c>
      <c r="F23" s="13" t="s">
        <v>33</v>
      </c>
      <c r="G23" s="13" t="s">
        <v>22</v>
      </c>
      <c r="H23" s="13" t="s">
        <v>34</v>
      </c>
      <c r="I23" s="13" t="s">
        <v>35</v>
      </c>
      <c r="J23" s="13" t="s">
        <v>36</v>
      </c>
      <c r="K23" s="13" t="s">
        <v>37</v>
      </c>
      <c r="L23" s="13" t="s">
        <v>38</v>
      </c>
      <c r="M23" s="13" t="s">
        <v>39</v>
      </c>
      <c r="N23" s="13" t="s">
        <v>40</v>
      </c>
      <c r="O23" s="13" t="s">
        <v>29</v>
      </c>
      <c r="P23" s="13" t="s">
        <v>41</v>
      </c>
      <c r="Q23" s="13" t="s">
        <v>42</v>
      </c>
      <c r="R23" s="13" t="s">
        <v>43</v>
      </c>
      <c r="S23" s="13" t="s">
        <v>102</v>
      </c>
      <c r="T23" s="13" t="s">
        <v>103</v>
      </c>
      <c r="U23" s="13" t="s">
        <v>55</v>
      </c>
      <c r="V23" s="13" t="s">
        <v>195</v>
      </c>
    </row>
    <row r="24" spans="1:22" x14ac:dyDescent="0.35">
      <c r="A24" s="7" t="s">
        <v>105</v>
      </c>
      <c r="B24" s="8">
        <v>4.58</v>
      </c>
      <c r="C24" s="8">
        <v>72.25</v>
      </c>
      <c r="D24" s="8">
        <v>16.25</v>
      </c>
      <c r="E24" s="8">
        <v>6.73</v>
      </c>
      <c r="F24" s="8">
        <v>15.13</v>
      </c>
      <c r="G24" s="8">
        <v>4.63</v>
      </c>
      <c r="H24" s="8">
        <v>11.37</v>
      </c>
      <c r="I24" s="8">
        <v>31.38</v>
      </c>
      <c r="J24" s="8">
        <v>56.97</v>
      </c>
      <c r="K24" s="8">
        <v>0.57999999999999996</v>
      </c>
      <c r="L24" s="8">
        <v>1.4999999999999999E-2</v>
      </c>
      <c r="M24" s="8">
        <v>13.41</v>
      </c>
      <c r="N24" s="8">
        <v>0.75</v>
      </c>
      <c r="O24" s="12" t="str">
        <f t="shared" ref="O24:O45" si="0">IF(NOT(ISERR(SEARCH("*_Buggy",$A24))), "Buggy", IF(NOT(ISERR(SEARCH("*_Manual",$A24))), "Manual", IF(NOT(ISERR(SEARCH("*_Auto",$A24))), "Auto", "")))</f>
        <v>Buggy</v>
      </c>
      <c r="P24" s="12"/>
      <c r="Q24" s="12"/>
      <c r="R24" s="12"/>
      <c r="S24" s="12"/>
      <c r="T24" s="12"/>
      <c r="U24" s="12"/>
      <c r="V24" s="12"/>
    </row>
    <row r="25" spans="1:22" x14ac:dyDescent="0.35">
      <c r="A25" s="7" t="s">
        <v>106</v>
      </c>
      <c r="B25" s="8">
        <v>2.62</v>
      </c>
      <c r="C25" s="8">
        <v>79.849999999999994</v>
      </c>
      <c r="D25" s="8">
        <v>10.31</v>
      </c>
      <c r="E25" s="8">
        <v>5.54</v>
      </c>
      <c r="F25" s="8">
        <v>8.69</v>
      </c>
      <c r="G25" s="8">
        <v>3.31</v>
      </c>
      <c r="H25" s="8">
        <v>8.85</v>
      </c>
      <c r="I25" s="8">
        <v>19</v>
      </c>
      <c r="J25" s="8">
        <v>37.72</v>
      </c>
      <c r="K25" s="8">
        <v>0</v>
      </c>
      <c r="L25" s="8">
        <v>0</v>
      </c>
      <c r="M25" s="8">
        <v>0</v>
      </c>
      <c r="N25" s="8">
        <v>0</v>
      </c>
      <c r="O25" s="12" t="str">
        <f t="shared" si="0"/>
        <v>Buggy</v>
      </c>
      <c r="P25" s="12"/>
      <c r="Q25" s="12"/>
      <c r="R25" s="12"/>
      <c r="S25" s="12"/>
      <c r="T25" s="12"/>
      <c r="U25" s="12"/>
      <c r="V25" s="12"/>
    </row>
    <row r="26" spans="1:22" x14ac:dyDescent="0.35">
      <c r="A26" s="7" t="s">
        <v>107</v>
      </c>
      <c r="B26" s="8">
        <v>2.62</v>
      </c>
      <c r="C26" s="8">
        <v>79.849999999999994</v>
      </c>
      <c r="D26" s="8">
        <v>10.31</v>
      </c>
      <c r="E26" s="8">
        <v>5.54</v>
      </c>
      <c r="F26" s="8">
        <v>8.69</v>
      </c>
      <c r="G26" s="8">
        <v>3.31</v>
      </c>
      <c r="H26" s="8">
        <v>8.85</v>
      </c>
      <c r="I26" s="8">
        <v>19</v>
      </c>
      <c r="J26" s="8">
        <v>37.72</v>
      </c>
      <c r="K26" s="8">
        <v>0</v>
      </c>
      <c r="L26" s="8">
        <v>0</v>
      </c>
      <c r="M26" s="8">
        <v>0</v>
      </c>
      <c r="N26" s="8">
        <v>0</v>
      </c>
      <c r="O26" s="12" t="str">
        <f t="shared" si="0"/>
        <v>Buggy</v>
      </c>
      <c r="P26" s="12"/>
      <c r="Q26" s="12"/>
      <c r="R26" s="12"/>
      <c r="S26" s="12"/>
      <c r="T26" s="12"/>
      <c r="U26" s="12"/>
      <c r="V26" s="12"/>
    </row>
    <row r="27" spans="1:22" x14ac:dyDescent="0.35">
      <c r="A27" s="7" t="s">
        <v>108</v>
      </c>
      <c r="B27" s="8">
        <v>2.62</v>
      </c>
      <c r="C27" s="8">
        <v>79.849999999999994</v>
      </c>
      <c r="D27" s="8">
        <v>10.31</v>
      </c>
      <c r="E27" s="8">
        <v>5.54</v>
      </c>
      <c r="F27" s="8">
        <v>8.69</v>
      </c>
      <c r="G27" s="8">
        <v>3.31</v>
      </c>
      <c r="H27" s="8">
        <v>8.85</v>
      </c>
      <c r="I27" s="8">
        <v>19</v>
      </c>
      <c r="J27" s="8">
        <v>37.72</v>
      </c>
      <c r="K27" s="8">
        <v>0</v>
      </c>
      <c r="L27" s="8">
        <v>0</v>
      </c>
      <c r="M27" s="8">
        <v>0</v>
      </c>
      <c r="N27" s="8">
        <v>0</v>
      </c>
      <c r="O27" s="12" t="str">
        <f t="shared" si="0"/>
        <v>Buggy</v>
      </c>
      <c r="P27" s="12"/>
      <c r="Q27" s="12"/>
      <c r="R27" s="12"/>
      <c r="S27" s="12"/>
      <c r="T27" s="12"/>
      <c r="U27" s="12"/>
      <c r="V27" s="12"/>
    </row>
    <row r="28" spans="1:22" x14ac:dyDescent="0.35">
      <c r="A28" s="7" t="s">
        <v>109</v>
      </c>
      <c r="B28" s="8">
        <v>2.62</v>
      </c>
      <c r="C28" s="8">
        <v>79.849999999999994</v>
      </c>
      <c r="D28" s="8">
        <v>10.31</v>
      </c>
      <c r="E28" s="8">
        <v>5.54</v>
      </c>
      <c r="F28" s="8">
        <v>8.69</v>
      </c>
      <c r="G28" s="8">
        <v>3.31</v>
      </c>
      <c r="H28" s="8">
        <v>8.85</v>
      </c>
      <c r="I28" s="8">
        <v>19</v>
      </c>
      <c r="J28" s="8">
        <v>37.72</v>
      </c>
      <c r="K28" s="8">
        <v>0</v>
      </c>
      <c r="L28" s="8">
        <v>0</v>
      </c>
      <c r="M28" s="8">
        <v>0</v>
      </c>
      <c r="N28" s="8">
        <v>0</v>
      </c>
      <c r="O28" s="12" t="str">
        <f t="shared" si="0"/>
        <v>Buggy</v>
      </c>
      <c r="P28" s="12"/>
      <c r="Q28" s="12"/>
      <c r="R28" s="12"/>
      <c r="S28" s="12"/>
      <c r="T28" s="12"/>
      <c r="U28" s="12"/>
      <c r="V28" s="12"/>
    </row>
    <row r="29" spans="1:22" x14ac:dyDescent="0.35">
      <c r="A29" s="7" t="s">
        <v>110</v>
      </c>
      <c r="B29" s="8">
        <v>2.62</v>
      </c>
      <c r="C29" s="8">
        <v>79.849999999999994</v>
      </c>
      <c r="D29" s="8">
        <v>10.31</v>
      </c>
      <c r="E29" s="8">
        <v>5.54</v>
      </c>
      <c r="F29" s="8">
        <v>8.69</v>
      </c>
      <c r="G29" s="8">
        <v>3.31</v>
      </c>
      <c r="H29" s="8">
        <v>8.85</v>
      </c>
      <c r="I29" s="8">
        <v>19</v>
      </c>
      <c r="J29" s="8">
        <v>37.72</v>
      </c>
      <c r="K29" s="8">
        <v>0</v>
      </c>
      <c r="L29" s="8">
        <v>0</v>
      </c>
      <c r="M29" s="8">
        <v>0</v>
      </c>
      <c r="N29" s="8">
        <v>0</v>
      </c>
      <c r="O29" s="12" t="str">
        <f t="shared" si="0"/>
        <v>Buggy</v>
      </c>
      <c r="P29" s="12"/>
      <c r="Q29" s="12"/>
      <c r="R29" s="12"/>
      <c r="S29" s="12"/>
      <c r="T29" s="12"/>
      <c r="U29" s="12"/>
      <c r="V29" s="12"/>
    </row>
    <row r="30" spans="1:22" x14ac:dyDescent="0.35">
      <c r="A30" s="5" t="s">
        <v>111</v>
      </c>
      <c r="B30" s="6">
        <v>1</v>
      </c>
      <c r="C30" s="6">
        <v>74.569999999999993</v>
      </c>
      <c r="D30" s="6">
        <v>11</v>
      </c>
      <c r="E30" s="6">
        <v>9.86</v>
      </c>
      <c r="F30" s="6">
        <v>6.86</v>
      </c>
      <c r="G30" s="6">
        <v>2</v>
      </c>
      <c r="H30" s="6">
        <v>11.86</v>
      </c>
      <c r="I30" s="6">
        <v>17.86</v>
      </c>
      <c r="J30" s="6">
        <v>52.87</v>
      </c>
      <c r="K30" s="6">
        <v>2</v>
      </c>
      <c r="L30" s="6">
        <v>0.05</v>
      </c>
      <c r="M30" s="6">
        <v>30.41</v>
      </c>
      <c r="N30" s="6">
        <v>1.69</v>
      </c>
      <c r="O30" s="12" t="str">
        <f t="shared" si="0"/>
        <v>Buggy</v>
      </c>
      <c r="P30" s="12"/>
      <c r="Q30" s="12"/>
      <c r="R30" s="12"/>
      <c r="S30" s="12"/>
      <c r="T30" s="12"/>
      <c r="U30" s="12"/>
      <c r="V30" s="12"/>
    </row>
    <row r="31" spans="1:22" x14ac:dyDescent="0.35">
      <c r="A31" s="7" t="s">
        <v>112</v>
      </c>
      <c r="B31" s="8">
        <v>1</v>
      </c>
      <c r="C31" s="8">
        <v>74.569999999999993</v>
      </c>
      <c r="D31" s="8">
        <v>11</v>
      </c>
      <c r="E31" s="8">
        <v>9.86</v>
      </c>
      <c r="F31" s="8">
        <v>6.86</v>
      </c>
      <c r="G31" s="8">
        <v>2</v>
      </c>
      <c r="H31" s="8">
        <v>11.86</v>
      </c>
      <c r="I31" s="8">
        <v>17.86</v>
      </c>
      <c r="J31" s="8">
        <v>52.87</v>
      </c>
      <c r="K31" s="8">
        <v>2</v>
      </c>
      <c r="L31" s="8">
        <v>0.05</v>
      </c>
      <c r="M31" s="8">
        <v>30.41</v>
      </c>
      <c r="N31" s="8">
        <v>1.69</v>
      </c>
      <c r="O31" s="12" t="str">
        <f t="shared" si="0"/>
        <v>Buggy</v>
      </c>
      <c r="P31" s="12"/>
      <c r="Q31" s="12"/>
      <c r="R31" s="12"/>
      <c r="S31" s="12"/>
      <c r="T31" s="12"/>
      <c r="U31" s="12"/>
      <c r="V31" s="12"/>
    </row>
    <row r="32" spans="1:22" x14ac:dyDescent="0.35">
      <c r="A32" s="5" t="s">
        <v>113</v>
      </c>
      <c r="B32" s="6">
        <v>1</v>
      </c>
      <c r="C32" s="6">
        <v>74.569999999999993</v>
      </c>
      <c r="D32" s="6">
        <v>11</v>
      </c>
      <c r="E32" s="6">
        <v>9.86</v>
      </c>
      <c r="F32" s="6">
        <v>6.86</v>
      </c>
      <c r="G32" s="6">
        <v>2</v>
      </c>
      <c r="H32" s="6">
        <v>11.86</v>
      </c>
      <c r="I32" s="6">
        <v>17.86</v>
      </c>
      <c r="J32" s="6">
        <v>52.87</v>
      </c>
      <c r="K32" s="6">
        <v>2</v>
      </c>
      <c r="L32" s="6">
        <v>0.05</v>
      </c>
      <c r="M32" s="6">
        <v>30.41</v>
      </c>
      <c r="N32" s="6">
        <v>1.69</v>
      </c>
      <c r="O32" s="12" t="str">
        <f t="shared" si="0"/>
        <v>Buggy</v>
      </c>
      <c r="P32" s="12"/>
      <c r="Q32" s="12"/>
      <c r="R32" s="12"/>
      <c r="S32" s="12"/>
      <c r="T32" s="12"/>
      <c r="U32" s="12"/>
      <c r="V32" s="12"/>
    </row>
    <row r="33" spans="1:22" x14ac:dyDescent="0.35">
      <c r="A33" s="7" t="s">
        <v>114</v>
      </c>
      <c r="B33" s="8">
        <v>1</v>
      </c>
      <c r="C33" s="8">
        <v>74.569999999999993</v>
      </c>
      <c r="D33" s="8">
        <v>11</v>
      </c>
      <c r="E33" s="8">
        <v>9.86</v>
      </c>
      <c r="F33" s="8">
        <v>6.86</v>
      </c>
      <c r="G33" s="8">
        <v>2</v>
      </c>
      <c r="H33" s="8">
        <v>11.86</v>
      </c>
      <c r="I33" s="8">
        <v>17.86</v>
      </c>
      <c r="J33" s="8">
        <v>52.87</v>
      </c>
      <c r="K33" s="8">
        <v>2</v>
      </c>
      <c r="L33" s="8">
        <v>0.05</v>
      </c>
      <c r="M33" s="8">
        <v>30.41</v>
      </c>
      <c r="N33" s="8">
        <v>1.69</v>
      </c>
      <c r="O33" s="12" t="str">
        <f t="shared" si="0"/>
        <v>Buggy</v>
      </c>
      <c r="P33" s="12"/>
      <c r="Q33" s="12"/>
      <c r="R33" s="12"/>
      <c r="S33" s="12"/>
      <c r="T33" s="12"/>
      <c r="U33" s="12"/>
      <c r="V33" s="12"/>
    </row>
    <row r="34" spans="1:22" x14ac:dyDescent="0.35">
      <c r="A34" s="5" t="s">
        <v>115</v>
      </c>
      <c r="B34" s="6">
        <v>1</v>
      </c>
      <c r="C34" s="6">
        <v>74.569999999999993</v>
      </c>
      <c r="D34" s="6">
        <v>11</v>
      </c>
      <c r="E34" s="6">
        <v>9.86</v>
      </c>
      <c r="F34" s="6">
        <v>6.86</v>
      </c>
      <c r="G34" s="6">
        <v>2</v>
      </c>
      <c r="H34" s="6">
        <v>11.86</v>
      </c>
      <c r="I34" s="6">
        <v>17.86</v>
      </c>
      <c r="J34" s="6">
        <v>52.87</v>
      </c>
      <c r="K34" s="6">
        <v>2</v>
      </c>
      <c r="L34" s="6">
        <v>0.05</v>
      </c>
      <c r="M34" s="6">
        <v>30.41</v>
      </c>
      <c r="N34" s="6">
        <v>1.69</v>
      </c>
      <c r="O34" s="12" t="str">
        <f t="shared" si="0"/>
        <v>Buggy</v>
      </c>
      <c r="P34" s="12"/>
      <c r="Q34" s="12"/>
      <c r="R34" s="12"/>
      <c r="S34" s="12"/>
      <c r="T34" s="12"/>
      <c r="U34" s="12"/>
      <c r="V34" s="12"/>
    </row>
    <row r="35" spans="1:22" x14ac:dyDescent="0.35">
      <c r="A35" s="7" t="s">
        <v>116</v>
      </c>
      <c r="B35" s="8">
        <v>5.75</v>
      </c>
      <c r="C35" s="8">
        <v>68.5</v>
      </c>
      <c r="D35" s="8">
        <v>22.25</v>
      </c>
      <c r="E35" s="8">
        <v>7.62</v>
      </c>
      <c r="F35" s="8">
        <v>21.62</v>
      </c>
      <c r="G35" s="8">
        <v>4.38</v>
      </c>
      <c r="H35" s="8">
        <v>12</v>
      </c>
      <c r="I35" s="8">
        <v>43.88</v>
      </c>
      <c r="J35" s="8">
        <v>66.92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  <c r="T35" s="12"/>
      <c r="U35" s="12"/>
      <c r="V35" s="12"/>
    </row>
    <row r="36" spans="1:22" x14ac:dyDescent="0.35">
      <c r="A36" s="5" t="s">
        <v>117</v>
      </c>
      <c r="B36" s="6">
        <v>5.75</v>
      </c>
      <c r="C36" s="6">
        <v>68.5</v>
      </c>
      <c r="D36" s="6">
        <v>22.25</v>
      </c>
      <c r="E36" s="6">
        <v>7.62</v>
      </c>
      <c r="F36" s="6">
        <v>21.62</v>
      </c>
      <c r="G36" s="6">
        <v>4.38</v>
      </c>
      <c r="H36" s="6">
        <v>12</v>
      </c>
      <c r="I36" s="6">
        <v>43.88</v>
      </c>
      <c r="J36" s="6">
        <v>66.92</v>
      </c>
      <c r="K36" s="6">
        <v>0</v>
      </c>
      <c r="L36" s="6">
        <v>0</v>
      </c>
      <c r="M36" s="6">
        <v>0</v>
      </c>
      <c r="N36" s="6">
        <v>0</v>
      </c>
      <c r="O36" s="12" t="str">
        <f t="shared" si="0"/>
        <v>Buggy</v>
      </c>
      <c r="P36" s="12"/>
      <c r="Q36" s="12"/>
      <c r="R36" s="12"/>
      <c r="S36" s="12"/>
      <c r="T36" s="12"/>
      <c r="U36" s="12"/>
      <c r="V36" s="12"/>
    </row>
    <row r="37" spans="1:22" x14ac:dyDescent="0.35">
      <c r="A37" s="7" t="s">
        <v>118</v>
      </c>
      <c r="B37" s="8">
        <v>5.75</v>
      </c>
      <c r="C37" s="8">
        <v>68.5</v>
      </c>
      <c r="D37" s="8">
        <v>22.25</v>
      </c>
      <c r="E37" s="8">
        <v>7.62</v>
      </c>
      <c r="F37" s="8">
        <v>21.62</v>
      </c>
      <c r="G37" s="8">
        <v>4.38</v>
      </c>
      <c r="H37" s="8">
        <v>12</v>
      </c>
      <c r="I37" s="8">
        <v>43.88</v>
      </c>
      <c r="J37" s="8">
        <v>66.92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  <c r="T37" s="12"/>
      <c r="U37" s="12"/>
      <c r="V37" s="12"/>
    </row>
    <row r="38" spans="1:22" x14ac:dyDescent="0.35">
      <c r="A38" s="5" t="s">
        <v>119</v>
      </c>
      <c r="B38" s="6">
        <v>5.75</v>
      </c>
      <c r="C38" s="6">
        <v>68.5</v>
      </c>
      <c r="D38" s="6">
        <v>22.25</v>
      </c>
      <c r="E38" s="6">
        <v>7.62</v>
      </c>
      <c r="F38" s="6">
        <v>21.62</v>
      </c>
      <c r="G38" s="6">
        <v>4.38</v>
      </c>
      <c r="H38" s="6">
        <v>12</v>
      </c>
      <c r="I38" s="6">
        <v>43.88</v>
      </c>
      <c r="J38" s="6">
        <v>66.92</v>
      </c>
      <c r="K38" s="6">
        <v>0</v>
      </c>
      <c r="L38" s="6">
        <v>0</v>
      </c>
      <c r="M38" s="6">
        <v>0</v>
      </c>
      <c r="N38" s="6">
        <v>0</v>
      </c>
      <c r="O38" s="12" t="str">
        <f t="shared" si="0"/>
        <v>Buggy</v>
      </c>
      <c r="P38" s="12"/>
      <c r="Q38" s="12"/>
      <c r="R38" s="12"/>
      <c r="S38" s="12"/>
      <c r="T38" s="12"/>
      <c r="U38" s="12"/>
      <c r="V38" s="12"/>
    </row>
    <row r="39" spans="1:22" x14ac:dyDescent="0.35">
      <c r="A39" s="5" t="s">
        <v>120</v>
      </c>
      <c r="B39" s="6">
        <v>5.75</v>
      </c>
      <c r="C39" s="6">
        <v>68.5</v>
      </c>
      <c r="D39" s="6">
        <v>22.25</v>
      </c>
      <c r="E39" s="6">
        <v>7.62</v>
      </c>
      <c r="F39" s="6">
        <v>21.62</v>
      </c>
      <c r="G39" s="6">
        <v>4.38</v>
      </c>
      <c r="H39" s="6">
        <v>12</v>
      </c>
      <c r="I39" s="6">
        <v>43.88</v>
      </c>
      <c r="J39" s="6">
        <v>66.92</v>
      </c>
      <c r="K39" s="6">
        <v>0</v>
      </c>
      <c r="L39" s="6">
        <v>0</v>
      </c>
      <c r="M39" s="6">
        <v>0</v>
      </c>
      <c r="N39" s="6">
        <v>0</v>
      </c>
      <c r="O39" s="12" t="str">
        <f t="shared" si="0"/>
        <v>Buggy</v>
      </c>
      <c r="P39" s="12"/>
      <c r="Q39" s="12"/>
      <c r="R39" s="12"/>
      <c r="S39" s="12"/>
      <c r="T39" s="12"/>
      <c r="U39" s="12"/>
      <c r="V39" s="12"/>
    </row>
    <row r="40" spans="1:22" x14ac:dyDescent="0.35">
      <c r="A40" s="7" t="s">
        <v>121</v>
      </c>
      <c r="B40" s="8">
        <v>1</v>
      </c>
      <c r="C40" s="8">
        <v>74.569999999999993</v>
      </c>
      <c r="D40" s="8">
        <v>11</v>
      </c>
      <c r="E40" s="8">
        <v>9.86</v>
      </c>
      <c r="F40" s="8">
        <v>6.86</v>
      </c>
      <c r="G40" s="8">
        <v>2</v>
      </c>
      <c r="H40" s="8">
        <v>11.86</v>
      </c>
      <c r="I40" s="8">
        <v>17.86</v>
      </c>
      <c r="J40" s="8">
        <v>52.87</v>
      </c>
      <c r="K40" s="8">
        <v>2</v>
      </c>
      <c r="L40" s="8">
        <v>0.05</v>
      </c>
      <c r="M40" s="8">
        <v>30.41</v>
      </c>
      <c r="N40" s="8">
        <v>1.69</v>
      </c>
      <c r="O40" s="12" t="str">
        <f t="shared" si="0"/>
        <v>Buggy</v>
      </c>
      <c r="P40" s="12"/>
      <c r="Q40" s="12"/>
      <c r="R40" s="12"/>
      <c r="S40" s="12"/>
      <c r="T40" s="12"/>
      <c r="U40" s="12"/>
      <c r="V40" s="12"/>
    </row>
    <row r="41" spans="1:22" x14ac:dyDescent="0.35">
      <c r="A41" s="5" t="s">
        <v>122</v>
      </c>
      <c r="B41" s="6">
        <v>1</v>
      </c>
      <c r="C41" s="6">
        <v>74.569999999999993</v>
      </c>
      <c r="D41" s="6">
        <v>11</v>
      </c>
      <c r="E41" s="6">
        <v>9.86</v>
      </c>
      <c r="F41" s="6">
        <v>6.86</v>
      </c>
      <c r="G41" s="6">
        <v>2</v>
      </c>
      <c r="H41" s="6">
        <v>11.86</v>
      </c>
      <c r="I41" s="6">
        <v>17.86</v>
      </c>
      <c r="J41" s="6">
        <v>52.87</v>
      </c>
      <c r="K41" s="6">
        <v>2</v>
      </c>
      <c r="L41" s="6">
        <v>0.05</v>
      </c>
      <c r="M41" s="6">
        <v>30.41</v>
      </c>
      <c r="N41" s="6">
        <v>1.69</v>
      </c>
      <c r="O41" s="12" t="str">
        <f t="shared" si="0"/>
        <v>Buggy</v>
      </c>
      <c r="P41" s="12"/>
      <c r="Q41" s="12"/>
      <c r="R41" s="12"/>
      <c r="S41" s="12"/>
      <c r="T41" s="12"/>
      <c r="U41" s="12"/>
      <c r="V41" s="12"/>
    </row>
    <row r="42" spans="1:22" x14ac:dyDescent="0.35">
      <c r="A42" s="7" t="s">
        <v>123</v>
      </c>
      <c r="B42" s="8">
        <v>1</v>
      </c>
      <c r="C42" s="8">
        <v>74.569999999999993</v>
      </c>
      <c r="D42" s="8">
        <v>11</v>
      </c>
      <c r="E42" s="8">
        <v>9.86</v>
      </c>
      <c r="F42" s="8">
        <v>6.86</v>
      </c>
      <c r="G42" s="8">
        <v>2</v>
      </c>
      <c r="H42" s="8">
        <v>11.86</v>
      </c>
      <c r="I42" s="8">
        <v>17.86</v>
      </c>
      <c r="J42" s="8">
        <v>52.87</v>
      </c>
      <c r="K42" s="8">
        <v>2</v>
      </c>
      <c r="L42" s="8">
        <v>0.05</v>
      </c>
      <c r="M42" s="8">
        <v>30.41</v>
      </c>
      <c r="N42" s="8">
        <v>1.69</v>
      </c>
      <c r="O42" s="12" t="str">
        <f t="shared" si="0"/>
        <v>Buggy</v>
      </c>
      <c r="P42" s="12"/>
      <c r="Q42" s="12"/>
      <c r="R42" s="12"/>
      <c r="S42" s="12"/>
      <c r="T42" s="12"/>
      <c r="U42" s="12"/>
      <c r="V42" s="12"/>
    </row>
    <row r="43" spans="1:22" x14ac:dyDescent="0.35">
      <c r="A43" s="5" t="s">
        <v>124</v>
      </c>
      <c r="B43" s="6">
        <v>1</v>
      </c>
      <c r="C43" s="6">
        <v>74.569999999999993</v>
      </c>
      <c r="D43" s="6">
        <v>11</v>
      </c>
      <c r="E43" s="6">
        <v>9.86</v>
      </c>
      <c r="F43" s="6">
        <v>6.86</v>
      </c>
      <c r="G43" s="6">
        <v>2</v>
      </c>
      <c r="H43" s="6">
        <v>11.86</v>
      </c>
      <c r="I43" s="6">
        <v>17.86</v>
      </c>
      <c r="J43" s="6">
        <v>52.87</v>
      </c>
      <c r="K43" s="6">
        <v>2</v>
      </c>
      <c r="L43" s="6">
        <v>0.05</v>
      </c>
      <c r="M43" s="6">
        <v>30.41</v>
      </c>
      <c r="N43" s="6">
        <v>1.69</v>
      </c>
      <c r="O43" s="12" t="str">
        <f t="shared" si="0"/>
        <v>Buggy</v>
      </c>
      <c r="P43" s="12"/>
      <c r="Q43" s="12"/>
      <c r="R43" s="12"/>
      <c r="S43" s="12"/>
      <c r="T43" s="12"/>
      <c r="U43" s="12"/>
      <c r="V43" s="12"/>
    </row>
    <row r="44" spans="1:22" x14ac:dyDescent="0.35">
      <c r="A44" s="5" t="s">
        <v>125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  <c r="T44" s="12"/>
      <c r="U44" s="12"/>
      <c r="V44" s="12"/>
    </row>
    <row r="45" spans="1:22" x14ac:dyDescent="0.35">
      <c r="A45" s="7" t="s">
        <v>126</v>
      </c>
      <c r="B45" s="8">
        <v>4.58</v>
      </c>
      <c r="C45" s="8">
        <v>72.25</v>
      </c>
      <c r="D45" s="8">
        <v>16.25</v>
      </c>
      <c r="E45" s="8">
        <v>6.73</v>
      </c>
      <c r="F45" s="8">
        <v>15.13</v>
      </c>
      <c r="G45" s="8">
        <v>4.63</v>
      </c>
      <c r="H45" s="8">
        <v>11.37</v>
      </c>
      <c r="I45" s="8">
        <v>31.38</v>
      </c>
      <c r="J45" s="8">
        <v>56.97</v>
      </c>
      <c r="K45" s="8">
        <v>0.57999999999999996</v>
      </c>
      <c r="L45" s="8">
        <v>1.4999999999999999E-2</v>
      </c>
      <c r="M45" s="8">
        <v>13.41</v>
      </c>
      <c r="N45" s="8">
        <v>0.75</v>
      </c>
      <c r="O45" s="12" t="str">
        <f t="shared" si="0"/>
        <v>Buggy</v>
      </c>
      <c r="P45" s="12"/>
      <c r="Q45" s="12"/>
      <c r="R45" s="12"/>
      <c r="S45" s="12"/>
      <c r="T45" s="12"/>
      <c r="U45" s="12"/>
      <c r="V45" s="12"/>
    </row>
    <row r="46" spans="1:22" x14ac:dyDescent="0.35">
      <c r="A46" s="5" t="s">
        <v>127</v>
      </c>
      <c r="B46" s="6">
        <v>2.33</v>
      </c>
      <c r="C46" s="6">
        <v>84.67</v>
      </c>
      <c r="D46" s="6">
        <v>5.33</v>
      </c>
      <c r="E46" s="6">
        <v>4.33</v>
      </c>
      <c r="F46" s="6">
        <v>4.33</v>
      </c>
      <c r="G46" s="6">
        <v>2.33</v>
      </c>
      <c r="H46" s="6">
        <v>6.67</v>
      </c>
      <c r="I46" s="6">
        <v>9.67</v>
      </c>
      <c r="J46" s="6">
        <v>22.35</v>
      </c>
      <c r="K46" s="6">
        <v>0</v>
      </c>
      <c r="L46" s="6">
        <v>0</v>
      </c>
      <c r="M46" s="6">
        <v>0</v>
      </c>
      <c r="N46" s="6">
        <v>0</v>
      </c>
      <c r="O46" s="12" t="str">
        <f t="shared" ref="O46:O65" si="1">IF(NOT(ISERR(SEARCH("*_Buggy",$A46))), "Buggy", IF(NOT(ISERR(SEARCH("*_Manual",$A46))), "Manual", IF(NOT(ISERR(SEARCH("*_Auto",$A46))), "Auto", "")))</f>
        <v>Buggy</v>
      </c>
      <c r="P46" s="12"/>
      <c r="Q46" s="12"/>
      <c r="R46" s="12"/>
      <c r="S46" s="12"/>
      <c r="T46" s="12"/>
      <c r="U46" s="12"/>
      <c r="V46" s="12"/>
    </row>
    <row r="47" spans="1:22" x14ac:dyDescent="0.35">
      <c r="A47" s="5" t="s">
        <v>128</v>
      </c>
      <c r="B47" s="6">
        <v>1</v>
      </c>
      <c r="C47" s="6">
        <v>74.569999999999993</v>
      </c>
      <c r="D47" s="6">
        <v>11</v>
      </c>
      <c r="E47" s="6">
        <v>9.86</v>
      </c>
      <c r="F47" s="6">
        <v>6.86</v>
      </c>
      <c r="G47" s="6">
        <v>2</v>
      </c>
      <c r="H47" s="6">
        <v>11.86</v>
      </c>
      <c r="I47" s="6">
        <v>17.86</v>
      </c>
      <c r="J47" s="6">
        <v>52.87</v>
      </c>
      <c r="K47" s="6">
        <v>2</v>
      </c>
      <c r="L47" s="6">
        <v>0.05</v>
      </c>
      <c r="M47" s="6">
        <v>30.41</v>
      </c>
      <c r="N47" s="6">
        <v>1.69</v>
      </c>
      <c r="O47" s="12" t="str">
        <f t="shared" si="1"/>
        <v>Buggy</v>
      </c>
      <c r="P47" s="12"/>
      <c r="Q47" s="12"/>
      <c r="R47" s="12"/>
      <c r="S47" s="12"/>
      <c r="T47" s="12"/>
      <c r="U47" s="12"/>
      <c r="V47" s="12"/>
    </row>
    <row r="48" spans="1:22" x14ac:dyDescent="0.35">
      <c r="A48" s="5" t="s">
        <v>129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1"/>
        <v>Buggy</v>
      </c>
      <c r="P48" s="12"/>
      <c r="Q48" s="12"/>
      <c r="R48" s="12"/>
      <c r="S48" s="12"/>
      <c r="T48" s="12"/>
      <c r="U48" s="12"/>
      <c r="V48" s="12"/>
    </row>
    <row r="49" spans="1:22" x14ac:dyDescent="0.35">
      <c r="A49" s="7" t="s">
        <v>130</v>
      </c>
      <c r="B49" s="8">
        <v>1</v>
      </c>
      <c r="C49" s="8">
        <v>74.569999999999993</v>
      </c>
      <c r="D49" s="8">
        <v>11</v>
      </c>
      <c r="E49" s="8">
        <v>9.86</v>
      </c>
      <c r="F49" s="8">
        <v>6.86</v>
      </c>
      <c r="G49" s="8">
        <v>2</v>
      </c>
      <c r="H49" s="8">
        <v>11.86</v>
      </c>
      <c r="I49" s="8">
        <v>17.86</v>
      </c>
      <c r="J49" s="8">
        <v>52.87</v>
      </c>
      <c r="K49" s="8">
        <v>2</v>
      </c>
      <c r="L49" s="8">
        <v>0.05</v>
      </c>
      <c r="M49" s="8">
        <v>30.41</v>
      </c>
      <c r="N49" s="8">
        <v>1.69</v>
      </c>
      <c r="O49" s="12" t="str">
        <f t="shared" si="1"/>
        <v>Buggy</v>
      </c>
      <c r="P49" s="12"/>
      <c r="Q49" s="12"/>
      <c r="R49" s="12"/>
      <c r="S49" s="12"/>
      <c r="T49" s="12"/>
      <c r="U49" s="12"/>
      <c r="V49" s="12"/>
    </row>
    <row r="50" spans="1:22" x14ac:dyDescent="0.35">
      <c r="A50" s="5" t="s">
        <v>131</v>
      </c>
      <c r="B50" s="6">
        <v>1</v>
      </c>
      <c r="C50" s="6">
        <v>74.569999999999993</v>
      </c>
      <c r="D50" s="6">
        <v>11</v>
      </c>
      <c r="E50" s="6">
        <v>9.86</v>
      </c>
      <c r="F50" s="6">
        <v>6.86</v>
      </c>
      <c r="G50" s="6">
        <v>2</v>
      </c>
      <c r="H50" s="6">
        <v>11.86</v>
      </c>
      <c r="I50" s="6">
        <v>17.86</v>
      </c>
      <c r="J50" s="6">
        <v>52.87</v>
      </c>
      <c r="K50" s="6">
        <v>2</v>
      </c>
      <c r="L50" s="6">
        <v>0.05</v>
      </c>
      <c r="M50" s="6">
        <v>30.41</v>
      </c>
      <c r="N50" s="6">
        <v>1.69</v>
      </c>
      <c r="O50" s="12" t="str">
        <f t="shared" si="1"/>
        <v>Buggy</v>
      </c>
      <c r="P50" s="12"/>
      <c r="Q50" s="12"/>
      <c r="R50" s="12"/>
      <c r="S50" s="12"/>
      <c r="T50" s="12"/>
      <c r="U50" s="12"/>
      <c r="V50" s="12"/>
    </row>
    <row r="51" spans="1:22" x14ac:dyDescent="0.35">
      <c r="A51" s="5" t="s">
        <v>132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1"/>
        <v>Buggy</v>
      </c>
      <c r="P51" s="12"/>
      <c r="Q51" s="12"/>
      <c r="R51" s="12"/>
      <c r="S51" s="12"/>
      <c r="T51" s="12"/>
      <c r="U51" s="12"/>
      <c r="V51" s="12"/>
    </row>
    <row r="52" spans="1:22" x14ac:dyDescent="0.35">
      <c r="A52" s="7" t="s">
        <v>133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1"/>
        <v>Buggy</v>
      </c>
      <c r="P52" s="12"/>
      <c r="Q52" s="12"/>
      <c r="R52" s="12"/>
      <c r="S52" s="12"/>
      <c r="T52" s="12"/>
      <c r="U52" s="12"/>
      <c r="V52" s="12"/>
    </row>
    <row r="53" spans="1:22" ht="15" thickBot="1" x14ac:dyDescent="0.4">
      <c r="A53" s="17" t="s">
        <v>134</v>
      </c>
      <c r="B53" s="18">
        <v>1</v>
      </c>
      <c r="C53" s="18">
        <v>74.569999999999993</v>
      </c>
      <c r="D53" s="18">
        <v>11</v>
      </c>
      <c r="E53" s="18">
        <v>9.86</v>
      </c>
      <c r="F53" s="18">
        <v>6.86</v>
      </c>
      <c r="G53" s="18">
        <v>2</v>
      </c>
      <c r="H53" s="18">
        <v>11.86</v>
      </c>
      <c r="I53" s="18">
        <v>17.86</v>
      </c>
      <c r="J53" s="18">
        <v>52.87</v>
      </c>
      <c r="K53" s="18">
        <v>2</v>
      </c>
      <c r="L53" s="18">
        <v>0.05</v>
      </c>
      <c r="M53" s="18">
        <v>30.41</v>
      </c>
      <c r="N53" s="18">
        <v>1.69</v>
      </c>
      <c r="O53" s="16" t="str">
        <f t="shared" si="1"/>
        <v>Buggy</v>
      </c>
      <c r="P53" s="16"/>
      <c r="Q53" s="16"/>
      <c r="R53" s="16"/>
      <c r="S53" s="16"/>
      <c r="T53" s="16"/>
      <c r="U53" s="16"/>
      <c r="V53" s="16"/>
    </row>
    <row r="54" spans="1:22" x14ac:dyDescent="0.35">
      <c r="A54" s="7" t="s">
        <v>135</v>
      </c>
      <c r="B54" s="8">
        <v>4.5999999999999996</v>
      </c>
      <c r="C54" s="8">
        <v>72</v>
      </c>
      <c r="D54" s="8">
        <v>16.420000000000002</v>
      </c>
      <c r="E54" s="8">
        <v>6.79</v>
      </c>
      <c r="F54" s="8">
        <v>15.15</v>
      </c>
      <c r="G54" s="8">
        <v>4.62</v>
      </c>
      <c r="H54" s="8">
        <v>11.42</v>
      </c>
      <c r="I54" s="8">
        <v>31.57</v>
      </c>
      <c r="J54" s="8">
        <v>57.34</v>
      </c>
      <c r="K54" s="8">
        <v>0.56999999999999995</v>
      </c>
      <c r="L54" s="8">
        <v>1.4999999999999999E-2</v>
      </c>
      <c r="M54" s="8">
        <v>13.16</v>
      </c>
      <c r="N54" s="8">
        <v>0.73</v>
      </c>
      <c r="O54" s="12" t="str">
        <f t="shared" si="1"/>
        <v>Manual</v>
      </c>
      <c r="P54" s="12">
        <v>2</v>
      </c>
      <c r="Q54" s="12">
        <v>23</v>
      </c>
      <c r="R54" s="12">
        <v>0</v>
      </c>
      <c r="S54" s="12">
        <v>0</v>
      </c>
      <c r="T54" s="12">
        <v>0</v>
      </c>
      <c r="U54" s="33">
        <v>23</v>
      </c>
      <c r="V54" s="33">
        <f>P54-1+Q54+R54+2*S54+2*T54</f>
        <v>24</v>
      </c>
    </row>
    <row r="55" spans="1:22" x14ac:dyDescent="0.35">
      <c r="A55" s="7" t="s">
        <v>136</v>
      </c>
      <c r="B55" s="8">
        <v>2.57</v>
      </c>
      <c r="C55" s="8">
        <v>80.36</v>
      </c>
      <c r="D55" s="8">
        <v>9.7899999999999991</v>
      </c>
      <c r="E55" s="8">
        <v>5.43</v>
      </c>
      <c r="F55" s="8">
        <v>8.43</v>
      </c>
      <c r="G55" s="8">
        <v>3.36</v>
      </c>
      <c r="H55" s="8">
        <v>8.7899999999999991</v>
      </c>
      <c r="I55" s="8">
        <v>18.21</v>
      </c>
      <c r="J55" s="8">
        <v>36.97</v>
      </c>
      <c r="K55" s="8">
        <v>0</v>
      </c>
      <c r="L55" s="8">
        <v>0</v>
      </c>
      <c r="M55" s="8">
        <v>0</v>
      </c>
      <c r="N55" s="8">
        <v>0</v>
      </c>
      <c r="O55" s="12" t="str">
        <f t="shared" si="1"/>
        <v>Manual</v>
      </c>
      <c r="P55" s="12">
        <v>4</v>
      </c>
      <c r="Q55" s="12">
        <v>7</v>
      </c>
      <c r="R55" s="12">
        <v>0</v>
      </c>
      <c r="S55" s="12">
        <v>8</v>
      </c>
      <c r="T55" s="12">
        <v>6</v>
      </c>
      <c r="U55" s="33">
        <v>17</v>
      </c>
      <c r="V55" s="33">
        <f t="shared" ref="V55:V113" si="2">P55-1+Q55+R55+2*S55+2*T55</f>
        <v>38</v>
      </c>
    </row>
    <row r="56" spans="1:22" x14ac:dyDescent="0.35">
      <c r="A56" s="7" t="s">
        <v>137</v>
      </c>
      <c r="B56" s="8">
        <v>2.57</v>
      </c>
      <c r="C56" s="8">
        <v>80.36</v>
      </c>
      <c r="D56" s="8">
        <v>9.7899999999999991</v>
      </c>
      <c r="E56" s="8">
        <v>5.43</v>
      </c>
      <c r="F56" s="8">
        <v>8.43</v>
      </c>
      <c r="G56" s="8">
        <v>3.36</v>
      </c>
      <c r="H56" s="8">
        <v>8.7899999999999991</v>
      </c>
      <c r="I56" s="8">
        <v>18.21</v>
      </c>
      <c r="J56" s="8">
        <v>36.97</v>
      </c>
      <c r="K56" s="8">
        <v>0</v>
      </c>
      <c r="L56" s="8">
        <v>0</v>
      </c>
      <c r="M56" s="8">
        <v>0</v>
      </c>
      <c r="N56" s="8">
        <v>0</v>
      </c>
      <c r="O56" s="12" t="str">
        <f t="shared" si="1"/>
        <v>Manual</v>
      </c>
      <c r="P56" s="12">
        <v>4</v>
      </c>
      <c r="Q56" s="12">
        <v>7</v>
      </c>
      <c r="R56" s="12">
        <v>0</v>
      </c>
      <c r="S56" s="12">
        <v>8</v>
      </c>
      <c r="T56" s="12">
        <v>6</v>
      </c>
      <c r="U56" s="33">
        <v>17</v>
      </c>
      <c r="V56" s="33">
        <f t="shared" si="2"/>
        <v>38</v>
      </c>
    </row>
    <row r="57" spans="1:22" x14ac:dyDescent="0.35">
      <c r="A57" s="7" t="s">
        <v>138</v>
      </c>
      <c r="B57" s="8">
        <v>2.57</v>
      </c>
      <c r="C57" s="8">
        <v>80.36</v>
      </c>
      <c r="D57" s="8">
        <v>9.7899999999999991</v>
      </c>
      <c r="E57" s="8">
        <v>5.43</v>
      </c>
      <c r="F57" s="8">
        <v>8.43</v>
      </c>
      <c r="G57" s="8">
        <v>3.36</v>
      </c>
      <c r="H57" s="8">
        <v>8.7899999999999991</v>
      </c>
      <c r="I57" s="8">
        <v>18.21</v>
      </c>
      <c r="J57" s="8">
        <v>36.97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Manual</v>
      </c>
      <c r="P57" s="12">
        <v>4</v>
      </c>
      <c r="Q57" s="12">
        <v>7</v>
      </c>
      <c r="R57" s="12">
        <v>0</v>
      </c>
      <c r="S57" s="12">
        <v>8</v>
      </c>
      <c r="T57" s="12">
        <v>6</v>
      </c>
      <c r="U57" s="33">
        <v>17</v>
      </c>
      <c r="V57" s="33">
        <f t="shared" si="2"/>
        <v>38</v>
      </c>
    </row>
    <row r="58" spans="1:22" x14ac:dyDescent="0.35">
      <c r="A58" s="5" t="s">
        <v>139</v>
      </c>
      <c r="B58" s="6">
        <v>2.57</v>
      </c>
      <c r="C58" s="6">
        <v>80.36</v>
      </c>
      <c r="D58" s="6">
        <v>9.7899999999999991</v>
      </c>
      <c r="E58" s="6">
        <v>5.43</v>
      </c>
      <c r="F58" s="6">
        <v>8.43</v>
      </c>
      <c r="G58" s="6">
        <v>3.36</v>
      </c>
      <c r="H58" s="6">
        <v>8.7899999999999991</v>
      </c>
      <c r="I58" s="6">
        <v>18.21</v>
      </c>
      <c r="J58" s="6">
        <v>36.97</v>
      </c>
      <c r="K58" s="6">
        <v>0</v>
      </c>
      <c r="L58" s="6">
        <v>0</v>
      </c>
      <c r="M58" s="6">
        <v>0</v>
      </c>
      <c r="N58" s="6">
        <v>0</v>
      </c>
      <c r="O58" s="12" t="str">
        <f t="shared" si="1"/>
        <v>Manual</v>
      </c>
      <c r="P58" s="12">
        <v>4</v>
      </c>
      <c r="Q58" s="12">
        <v>7</v>
      </c>
      <c r="R58" s="12">
        <v>0</v>
      </c>
      <c r="S58" s="12">
        <v>8</v>
      </c>
      <c r="T58" s="12">
        <v>6</v>
      </c>
      <c r="U58" s="33">
        <v>17</v>
      </c>
      <c r="V58" s="33">
        <f t="shared" si="2"/>
        <v>38</v>
      </c>
    </row>
    <row r="59" spans="1:22" x14ac:dyDescent="0.35">
      <c r="A59" s="5" t="s">
        <v>140</v>
      </c>
      <c r="B59" s="6">
        <v>2.57</v>
      </c>
      <c r="C59" s="6">
        <v>80.36</v>
      </c>
      <c r="D59" s="6">
        <v>9.7899999999999991</v>
      </c>
      <c r="E59" s="6">
        <v>5.43</v>
      </c>
      <c r="F59" s="6">
        <v>8.43</v>
      </c>
      <c r="G59" s="6">
        <v>3.36</v>
      </c>
      <c r="H59" s="6">
        <v>8.7899999999999991</v>
      </c>
      <c r="I59" s="6">
        <v>18.21</v>
      </c>
      <c r="J59" s="6">
        <v>36.97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Manual</v>
      </c>
      <c r="P59" s="12">
        <v>4</v>
      </c>
      <c r="Q59" s="12">
        <v>7</v>
      </c>
      <c r="R59" s="12">
        <v>0</v>
      </c>
      <c r="S59" s="12">
        <v>8</v>
      </c>
      <c r="T59" s="12">
        <v>6</v>
      </c>
      <c r="U59" s="33">
        <v>17</v>
      </c>
      <c r="V59" s="33">
        <f t="shared" si="2"/>
        <v>38</v>
      </c>
    </row>
    <row r="60" spans="1:22" x14ac:dyDescent="0.35">
      <c r="A60" s="5" t="s">
        <v>141</v>
      </c>
      <c r="B60" s="6">
        <v>1</v>
      </c>
      <c r="C60" s="6">
        <v>74.569999999999993</v>
      </c>
      <c r="D60" s="6">
        <v>11</v>
      </c>
      <c r="E60" s="6">
        <v>9.86</v>
      </c>
      <c r="F60" s="6">
        <v>6.71</v>
      </c>
      <c r="G60" s="6">
        <v>2</v>
      </c>
      <c r="H60" s="6">
        <v>11.86</v>
      </c>
      <c r="I60" s="6">
        <v>17.71</v>
      </c>
      <c r="J60" s="6">
        <v>52.8</v>
      </c>
      <c r="K60" s="6">
        <v>2</v>
      </c>
      <c r="L60" s="6">
        <v>0.05</v>
      </c>
      <c r="M60" s="6">
        <v>30.41</v>
      </c>
      <c r="N60" s="6">
        <v>1.69</v>
      </c>
      <c r="O60" s="12" t="str">
        <f t="shared" si="1"/>
        <v>Manual</v>
      </c>
      <c r="P60" s="12">
        <v>1</v>
      </c>
      <c r="Q60" s="12">
        <v>0</v>
      </c>
      <c r="R60" s="12">
        <v>0</v>
      </c>
      <c r="S60" s="12">
        <v>1</v>
      </c>
      <c r="T60" s="12">
        <v>0</v>
      </c>
      <c r="U60" s="33">
        <v>1</v>
      </c>
      <c r="V60" s="33">
        <f t="shared" si="2"/>
        <v>2</v>
      </c>
    </row>
    <row r="61" spans="1:22" x14ac:dyDescent="0.35">
      <c r="A61" s="5" t="s">
        <v>142</v>
      </c>
      <c r="B61" s="6">
        <v>1</v>
      </c>
      <c r="C61" s="6">
        <v>74.569999999999993</v>
      </c>
      <c r="D61" s="6">
        <v>11</v>
      </c>
      <c r="E61" s="6">
        <v>9.86</v>
      </c>
      <c r="F61" s="6">
        <v>6.71</v>
      </c>
      <c r="G61" s="6">
        <v>2</v>
      </c>
      <c r="H61" s="6">
        <v>11.86</v>
      </c>
      <c r="I61" s="6">
        <v>17.71</v>
      </c>
      <c r="J61" s="6">
        <v>52.8</v>
      </c>
      <c r="K61" s="6">
        <v>2</v>
      </c>
      <c r="L61" s="6">
        <v>0.05</v>
      </c>
      <c r="M61" s="6">
        <v>30.41</v>
      </c>
      <c r="N61" s="6">
        <v>1.69</v>
      </c>
      <c r="O61" s="12" t="str">
        <f t="shared" si="1"/>
        <v>Manual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33">
        <v>1</v>
      </c>
      <c r="V61" s="33">
        <f t="shared" si="2"/>
        <v>2</v>
      </c>
    </row>
    <row r="62" spans="1:22" x14ac:dyDescent="0.35">
      <c r="A62" s="5" t="s">
        <v>143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6.71</v>
      </c>
      <c r="G62" s="6">
        <v>2</v>
      </c>
      <c r="H62" s="6">
        <v>11.86</v>
      </c>
      <c r="I62" s="6">
        <v>17.71</v>
      </c>
      <c r="J62" s="6">
        <v>52.8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Manual</v>
      </c>
      <c r="P62" s="12">
        <v>1</v>
      </c>
      <c r="Q62" s="12">
        <v>0</v>
      </c>
      <c r="R62" s="12">
        <v>0</v>
      </c>
      <c r="S62" s="12">
        <v>1</v>
      </c>
      <c r="T62" s="12">
        <v>0</v>
      </c>
      <c r="U62" s="33">
        <v>1</v>
      </c>
      <c r="V62" s="33">
        <f t="shared" si="2"/>
        <v>2</v>
      </c>
    </row>
    <row r="63" spans="1:22" x14ac:dyDescent="0.35">
      <c r="A63" s="7" t="s">
        <v>144</v>
      </c>
      <c r="B63" s="8">
        <v>1</v>
      </c>
      <c r="C63" s="8">
        <v>74.569999999999993</v>
      </c>
      <c r="D63" s="8">
        <v>11</v>
      </c>
      <c r="E63" s="8">
        <v>9.86</v>
      </c>
      <c r="F63" s="8">
        <v>6.71</v>
      </c>
      <c r="G63" s="8">
        <v>2</v>
      </c>
      <c r="H63" s="8">
        <v>11.86</v>
      </c>
      <c r="I63" s="8">
        <v>17.71</v>
      </c>
      <c r="J63" s="8">
        <v>52.8</v>
      </c>
      <c r="K63" s="8">
        <v>2</v>
      </c>
      <c r="L63" s="8">
        <v>0.05</v>
      </c>
      <c r="M63" s="8">
        <v>30.41</v>
      </c>
      <c r="N63" s="8">
        <v>1.69</v>
      </c>
      <c r="O63" s="12" t="str">
        <f t="shared" si="1"/>
        <v>Manual</v>
      </c>
      <c r="P63" s="12">
        <v>1</v>
      </c>
      <c r="Q63" s="12">
        <v>0</v>
      </c>
      <c r="R63" s="12">
        <v>0</v>
      </c>
      <c r="S63" s="12">
        <v>1</v>
      </c>
      <c r="T63" s="12">
        <v>0</v>
      </c>
      <c r="U63" s="33">
        <v>1</v>
      </c>
      <c r="V63" s="33">
        <f t="shared" si="2"/>
        <v>2</v>
      </c>
    </row>
    <row r="64" spans="1:22" x14ac:dyDescent="0.35">
      <c r="A64" s="5" t="s">
        <v>145</v>
      </c>
      <c r="B64" s="6">
        <v>1</v>
      </c>
      <c r="C64" s="6">
        <v>74.569999999999993</v>
      </c>
      <c r="D64" s="6">
        <v>11</v>
      </c>
      <c r="E64" s="6">
        <v>9.86</v>
      </c>
      <c r="F64" s="6">
        <v>6.71</v>
      </c>
      <c r="G64" s="6">
        <v>2</v>
      </c>
      <c r="H64" s="6">
        <v>11.86</v>
      </c>
      <c r="I64" s="6">
        <v>17.71</v>
      </c>
      <c r="J64" s="6">
        <v>52.8</v>
      </c>
      <c r="K64" s="6">
        <v>2</v>
      </c>
      <c r="L64" s="6">
        <v>0.05</v>
      </c>
      <c r="M64" s="6">
        <v>30.41</v>
      </c>
      <c r="N64" s="6">
        <v>1.69</v>
      </c>
      <c r="O64" s="12" t="str">
        <f t="shared" si="1"/>
        <v>Manual</v>
      </c>
      <c r="P64" s="12">
        <v>1</v>
      </c>
      <c r="Q64" s="12">
        <v>0</v>
      </c>
      <c r="R64" s="12">
        <v>0</v>
      </c>
      <c r="S64" s="12">
        <v>1</v>
      </c>
      <c r="T64" s="12">
        <v>0</v>
      </c>
      <c r="U64" s="33">
        <v>1</v>
      </c>
      <c r="V64" s="33">
        <f t="shared" si="2"/>
        <v>2</v>
      </c>
    </row>
    <row r="65" spans="1:22" x14ac:dyDescent="0.35">
      <c r="A65" s="5" t="s">
        <v>146</v>
      </c>
      <c r="B65" s="6">
        <v>5.88</v>
      </c>
      <c r="C65" s="6">
        <v>68.5</v>
      </c>
      <c r="D65" s="6">
        <v>22.5</v>
      </c>
      <c r="E65" s="6">
        <v>7.62</v>
      </c>
      <c r="F65" s="6">
        <v>22</v>
      </c>
      <c r="G65" s="6">
        <v>4.38</v>
      </c>
      <c r="H65" s="6">
        <v>12</v>
      </c>
      <c r="I65" s="6">
        <v>44.5</v>
      </c>
      <c r="J65" s="6">
        <v>67.08</v>
      </c>
      <c r="K65" s="6">
        <v>0</v>
      </c>
      <c r="L65" s="6">
        <v>0</v>
      </c>
      <c r="M65" s="6">
        <v>0</v>
      </c>
      <c r="N65" s="6">
        <v>0</v>
      </c>
      <c r="O65" s="12" t="str">
        <f t="shared" si="1"/>
        <v>Manual</v>
      </c>
      <c r="P65" s="12">
        <v>1</v>
      </c>
      <c r="Q65" s="12">
        <v>0</v>
      </c>
      <c r="R65" s="12">
        <v>0</v>
      </c>
      <c r="S65" s="12">
        <v>1</v>
      </c>
      <c r="T65" s="12">
        <v>0</v>
      </c>
      <c r="U65" s="33">
        <v>1</v>
      </c>
      <c r="V65" s="33">
        <f t="shared" si="2"/>
        <v>2</v>
      </c>
    </row>
    <row r="66" spans="1:22" x14ac:dyDescent="0.35">
      <c r="A66" s="5" t="s">
        <v>147</v>
      </c>
      <c r="B66" s="6">
        <v>5.88</v>
      </c>
      <c r="C66" s="6">
        <v>68.5</v>
      </c>
      <c r="D66" s="6">
        <v>22.5</v>
      </c>
      <c r="E66" s="6">
        <v>7.62</v>
      </c>
      <c r="F66" s="6">
        <v>22</v>
      </c>
      <c r="G66" s="6">
        <v>4.38</v>
      </c>
      <c r="H66" s="6">
        <v>12</v>
      </c>
      <c r="I66" s="6">
        <v>44.5</v>
      </c>
      <c r="J66" s="6">
        <v>67.08</v>
      </c>
      <c r="K66" s="6">
        <v>0</v>
      </c>
      <c r="L66" s="6">
        <v>0</v>
      </c>
      <c r="M66" s="6">
        <v>0</v>
      </c>
      <c r="N66" s="6">
        <v>0</v>
      </c>
      <c r="O66" s="12" t="str">
        <f t="shared" ref="O66:O85" si="3">IF(NOT(ISERR(SEARCH("*_Buggy",$A66))), "Buggy", IF(NOT(ISERR(SEARCH("*_Manual",$A66))), "Manual", IF(NOT(ISERR(SEARCH("*_Auto",$A66))), "Auto", "")))</f>
        <v>Manual</v>
      </c>
      <c r="P66" s="12">
        <v>1</v>
      </c>
      <c r="Q66" s="12">
        <v>0</v>
      </c>
      <c r="R66" s="12">
        <v>0</v>
      </c>
      <c r="S66" s="12">
        <v>1</v>
      </c>
      <c r="T66" s="12">
        <v>0</v>
      </c>
      <c r="U66" s="33">
        <v>1</v>
      </c>
      <c r="V66" s="33">
        <f t="shared" si="2"/>
        <v>2</v>
      </c>
    </row>
    <row r="67" spans="1:22" x14ac:dyDescent="0.35">
      <c r="A67" s="5" t="s">
        <v>148</v>
      </c>
      <c r="B67" s="6">
        <v>5.88</v>
      </c>
      <c r="C67" s="6">
        <v>68.5</v>
      </c>
      <c r="D67" s="6">
        <v>22.5</v>
      </c>
      <c r="E67" s="6">
        <v>7.62</v>
      </c>
      <c r="F67" s="6">
        <v>22</v>
      </c>
      <c r="G67" s="6">
        <v>4.38</v>
      </c>
      <c r="H67" s="6">
        <v>12</v>
      </c>
      <c r="I67" s="6">
        <v>44.5</v>
      </c>
      <c r="J67" s="6">
        <v>67.08</v>
      </c>
      <c r="K67" s="6">
        <v>0</v>
      </c>
      <c r="L67" s="6">
        <v>0</v>
      </c>
      <c r="M67" s="6">
        <v>0</v>
      </c>
      <c r="N67" s="6">
        <v>0</v>
      </c>
      <c r="O67" s="12" t="str">
        <f t="shared" si="3"/>
        <v>Manual</v>
      </c>
      <c r="P67" s="12">
        <v>1</v>
      </c>
      <c r="Q67" s="12">
        <v>0</v>
      </c>
      <c r="R67" s="12">
        <v>0</v>
      </c>
      <c r="S67" s="12">
        <v>1</v>
      </c>
      <c r="T67" s="12">
        <v>0</v>
      </c>
      <c r="U67" s="33">
        <v>1</v>
      </c>
      <c r="V67" s="33">
        <f t="shared" si="2"/>
        <v>2</v>
      </c>
    </row>
    <row r="68" spans="1:22" x14ac:dyDescent="0.35">
      <c r="A68" s="7" t="s">
        <v>149</v>
      </c>
      <c r="B68" s="8">
        <v>5.88</v>
      </c>
      <c r="C68" s="8">
        <v>68.5</v>
      </c>
      <c r="D68" s="8">
        <v>22.5</v>
      </c>
      <c r="E68" s="8">
        <v>7.62</v>
      </c>
      <c r="F68" s="8">
        <v>22</v>
      </c>
      <c r="G68" s="8">
        <v>4.38</v>
      </c>
      <c r="H68" s="8">
        <v>12</v>
      </c>
      <c r="I68" s="8">
        <v>44.5</v>
      </c>
      <c r="J68" s="8">
        <v>67.08</v>
      </c>
      <c r="K68" s="8">
        <v>0</v>
      </c>
      <c r="L68" s="8">
        <v>0</v>
      </c>
      <c r="M68" s="8">
        <v>0</v>
      </c>
      <c r="N68" s="8">
        <v>0</v>
      </c>
      <c r="O68" s="12" t="str">
        <f t="shared" si="3"/>
        <v>Manual</v>
      </c>
      <c r="P68" s="12">
        <v>1</v>
      </c>
      <c r="Q68" s="12">
        <v>0</v>
      </c>
      <c r="R68" s="12">
        <v>0</v>
      </c>
      <c r="S68" s="12">
        <v>1</v>
      </c>
      <c r="T68" s="12">
        <v>0</v>
      </c>
      <c r="U68" s="33">
        <v>1</v>
      </c>
      <c r="V68" s="33">
        <f t="shared" si="2"/>
        <v>2</v>
      </c>
    </row>
    <row r="69" spans="1:22" x14ac:dyDescent="0.35">
      <c r="A69" s="7" t="s">
        <v>150</v>
      </c>
      <c r="B69" s="8">
        <v>5.88</v>
      </c>
      <c r="C69" s="8">
        <v>68.5</v>
      </c>
      <c r="D69" s="8">
        <v>22.5</v>
      </c>
      <c r="E69" s="8">
        <v>7.62</v>
      </c>
      <c r="F69" s="8">
        <v>22</v>
      </c>
      <c r="G69" s="8">
        <v>4.38</v>
      </c>
      <c r="H69" s="8">
        <v>12</v>
      </c>
      <c r="I69" s="8">
        <v>44.5</v>
      </c>
      <c r="J69" s="8">
        <v>67.08</v>
      </c>
      <c r="K69" s="8">
        <v>0</v>
      </c>
      <c r="L69" s="8">
        <v>0</v>
      </c>
      <c r="M69" s="8">
        <v>0</v>
      </c>
      <c r="N69" s="8">
        <v>0</v>
      </c>
      <c r="O69" s="12" t="str">
        <f t="shared" si="3"/>
        <v>Manual</v>
      </c>
      <c r="P69" s="12">
        <v>1</v>
      </c>
      <c r="Q69" s="12">
        <v>0</v>
      </c>
      <c r="R69" s="12">
        <v>0</v>
      </c>
      <c r="S69" s="12">
        <v>1</v>
      </c>
      <c r="T69" s="12">
        <v>0</v>
      </c>
      <c r="U69" s="33">
        <v>1</v>
      </c>
      <c r="V69" s="33">
        <f t="shared" si="2"/>
        <v>2</v>
      </c>
    </row>
    <row r="70" spans="1:22" x14ac:dyDescent="0.35">
      <c r="A70" s="7" t="s">
        <v>151</v>
      </c>
      <c r="B70" s="8">
        <v>1</v>
      </c>
      <c r="C70" s="8">
        <v>74.569999999999993</v>
      </c>
      <c r="D70" s="8">
        <v>11</v>
      </c>
      <c r="E70" s="8">
        <v>9.86</v>
      </c>
      <c r="F70" s="8">
        <v>6.71</v>
      </c>
      <c r="G70" s="8">
        <v>2</v>
      </c>
      <c r="H70" s="8">
        <v>11.86</v>
      </c>
      <c r="I70" s="8">
        <v>17.71</v>
      </c>
      <c r="J70" s="8">
        <v>52.8</v>
      </c>
      <c r="K70" s="8">
        <v>2</v>
      </c>
      <c r="L70" s="8">
        <v>0.05</v>
      </c>
      <c r="M70" s="8">
        <v>30.41</v>
      </c>
      <c r="N70" s="8">
        <v>1.69</v>
      </c>
      <c r="O70" s="12" t="str">
        <f t="shared" si="3"/>
        <v>Manual</v>
      </c>
      <c r="P70" s="12">
        <v>1</v>
      </c>
      <c r="Q70" s="12">
        <v>0</v>
      </c>
      <c r="R70" s="12">
        <v>0</v>
      </c>
      <c r="S70" s="12">
        <v>1</v>
      </c>
      <c r="T70" s="12">
        <v>0</v>
      </c>
      <c r="U70" s="33">
        <v>1</v>
      </c>
      <c r="V70" s="33">
        <f t="shared" si="2"/>
        <v>2</v>
      </c>
    </row>
    <row r="71" spans="1:22" x14ac:dyDescent="0.35">
      <c r="A71" s="5" t="s">
        <v>152</v>
      </c>
      <c r="B71" s="6">
        <v>1</v>
      </c>
      <c r="C71" s="6">
        <v>74.569999999999993</v>
      </c>
      <c r="D71" s="6">
        <v>11</v>
      </c>
      <c r="E71" s="6">
        <v>9.86</v>
      </c>
      <c r="F71" s="6">
        <v>6.71</v>
      </c>
      <c r="G71" s="6">
        <v>2</v>
      </c>
      <c r="H71" s="6">
        <v>11.86</v>
      </c>
      <c r="I71" s="6">
        <v>17.71</v>
      </c>
      <c r="J71" s="6">
        <v>52.8</v>
      </c>
      <c r="K71" s="6">
        <v>2</v>
      </c>
      <c r="L71" s="6">
        <v>0.05</v>
      </c>
      <c r="M71" s="6">
        <v>30.41</v>
      </c>
      <c r="N71" s="6">
        <v>1.69</v>
      </c>
      <c r="O71" s="12" t="str">
        <f t="shared" si="3"/>
        <v>Manual</v>
      </c>
      <c r="P71" s="12">
        <v>1</v>
      </c>
      <c r="Q71" s="12">
        <v>0</v>
      </c>
      <c r="R71" s="12">
        <v>0</v>
      </c>
      <c r="S71" s="12">
        <v>1</v>
      </c>
      <c r="T71" s="12">
        <v>0</v>
      </c>
      <c r="U71" s="33">
        <v>1</v>
      </c>
      <c r="V71" s="33">
        <f t="shared" si="2"/>
        <v>2</v>
      </c>
    </row>
    <row r="72" spans="1:22" x14ac:dyDescent="0.35">
      <c r="A72" s="7" t="s">
        <v>153</v>
      </c>
      <c r="B72" s="8">
        <v>1</v>
      </c>
      <c r="C72" s="8">
        <v>74.569999999999993</v>
      </c>
      <c r="D72" s="8">
        <v>11</v>
      </c>
      <c r="E72" s="8">
        <v>9.86</v>
      </c>
      <c r="F72" s="8">
        <v>6.71</v>
      </c>
      <c r="G72" s="8">
        <v>2</v>
      </c>
      <c r="H72" s="8">
        <v>11.86</v>
      </c>
      <c r="I72" s="8">
        <v>17.71</v>
      </c>
      <c r="J72" s="8">
        <v>52.8</v>
      </c>
      <c r="K72" s="8">
        <v>2</v>
      </c>
      <c r="L72" s="8">
        <v>0.05</v>
      </c>
      <c r="M72" s="8">
        <v>30.41</v>
      </c>
      <c r="N72" s="8">
        <v>1.69</v>
      </c>
      <c r="O72" s="12" t="str">
        <f t="shared" si="3"/>
        <v>Manual</v>
      </c>
      <c r="P72" s="12">
        <v>1</v>
      </c>
      <c r="Q72" s="12">
        <v>0</v>
      </c>
      <c r="R72" s="12">
        <v>0</v>
      </c>
      <c r="S72" s="12">
        <v>1</v>
      </c>
      <c r="T72" s="12">
        <v>0</v>
      </c>
      <c r="U72" s="33">
        <v>1</v>
      </c>
      <c r="V72" s="33">
        <f t="shared" si="2"/>
        <v>2</v>
      </c>
    </row>
    <row r="73" spans="1:22" x14ac:dyDescent="0.35">
      <c r="A73" s="5" t="s">
        <v>154</v>
      </c>
      <c r="B73" s="6">
        <v>1</v>
      </c>
      <c r="C73" s="6">
        <v>74.569999999999993</v>
      </c>
      <c r="D73" s="6">
        <v>11</v>
      </c>
      <c r="E73" s="6">
        <v>9.86</v>
      </c>
      <c r="F73" s="6">
        <v>6.71</v>
      </c>
      <c r="G73" s="6">
        <v>2</v>
      </c>
      <c r="H73" s="6">
        <v>11.86</v>
      </c>
      <c r="I73" s="6">
        <v>17.71</v>
      </c>
      <c r="J73" s="6">
        <v>52.8</v>
      </c>
      <c r="K73" s="6">
        <v>2</v>
      </c>
      <c r="L73" s="6">
        <v>0.05</v>
      </c>
      <c r="M73" s="6">
        <v>30.41</v>
      </c>
      <c r="N73" s="6">
        <v>1.69</v>
      </c>
      <c r="O73" s="12" t="str">
        <f t="shared" si="3"/>
        <v>Manual</v>
      </c>
      <c r="P73" s="12">
        <v>1</v>
      </c>
      <c r="Q73" s="12">
        <v>0</v>
      </c>
      <c r="R73" s="12">
        <v>0</v>
      </c>
      <c r="S73" s="12">
        <v>1</v>
      </c>
      <c r="T73" s="12">
        <v>0</v>
      </c>
      <c r="U73" s="33">
        <v>1</v>
      </c>
      <c r="V73" s="33">
        <f t="shared" si="2"/>
        <v>2</v>
      </c>
    </row>
    <row r="74" spans="1:22" x14ac:dyDescent="0.35">
      <c r="A74" s="5" t="s">
        <v>155</v>
      </c>
      <c r="B74" s="6">
        <v>1</v>
      </c>
      <c r="C74" s="6">
        <v>74.569999999999993</v>
      </c>
      <c r="D74" s="6">
        <v>11</v>
      </c>
      <c r="E74" s="6">
        <v>9.86</v>
      </c>
      <c r="F74" s="6">
        <v>6.71</v>
      </c>
      <c r="G74" s="6">
        <v>2</v>
      </c>
      <c r="H74" s="6">
        <v>11.86</v>
      </c>
      <c r="I74" s="6">
        <v>17.71</v>
      </c>
      <c r="J74" s="6">
        <v>52.8</v>
      </c>
      <c r="K74" s="6">
        <v>2</v>
      </c>
      <c r="L74" s="6">
        <v>0.05</v>
      </c>
      <c r="M74" s="6">
        <v>30.41</v>
      </c>
      <c r="N74" s="6">
        <v>1.69</v>
      </c>
      <c r="O74" s="12" t="str">
        <f t="shared" si="3"/>
        <v>Manual</v>
      </c>
      <c r="P74" s="12">
        <v>1</v>
      </c>
      <c r="Q74" s="12">
        <v>0</v>
      </c>
      <c r="R74" s="12">
        <v>0</v>
      </c>
      <c r="S74" s="12">
        <v>1</v>
      </c>
      <c r="T74" s="12">
        <v>0</v>
      </c>
      <c r="U74" s="33">
        <v>1</v>
      </c>
      <c r="V74" s="33">
        <f t="shared" si="2"/>
        <v>2</v>
      </c>
    </row>
    <row r="75" spans="1:22" x14ac:dyDescent="0.35">
      <c r="A75" s="7" t="s">
        <v>156</v>
      </c>
      <c r="B75" s="8">
        <v>4.5999999999999996</v>
      </c>
      <c r="C75" s="8">
        <v>72</v>
      </c>
      <c r="D75" s="8">
        <v>16.420000000000002</v>
      </c>
      <c r="E75" s="8">
        <v>6.79</v>
      </c>
      <c r="F75" s="8">
        <v>15.15</v>
      </c>
      <c r="G75" s="8">
        <v>4.62</v>
      </c>
      <c r="H75" s="8">
        <v>11.42</v>
      </c>
      <c r="I75" s="8">
        <v>31.57</v>
      </c>
      <c r="J75" s="8">
        <v>57.34</v>
      </c>
      <c r="K75" s="8">
        <v>0.56999999999999995</v>
      </c>
      <c r="L75" s="8">
        <v>1.4999999999999999E-2</v>
      </c>
      <c r="M75" s="8">
        <v>13.16</v>
      </c>
      <c r="N75" s="8">
        <v>0.73</v>
      </c>
      <c r="O75" s="12" t="str">
        <f t="shared" si="3"/>
        <v>Manual</v>
      </c>
      <c r="P75" s="12">
        <v>2</v>
      </c>
      <c r="Q75" s="12">
        <v>23</v>
      </c>
      <c r="R75" s="12">
        <v>0</v>
      </c>
      <c r="S75" s="12">
        <v>0</v>
      </c>
      <c r="T75" s="12">
        <v>0</v>
      </c>
      <c r="U75" s="33">
        <v>23</v>
      </c>
      <c r="V75" s="33">
        <f t="shared" si="2"/>
        <v>24</v>
      </c>
    </row>
    <row r="76" spans="1:22" x14ac:dyDescent="0.35">
      <c r="A76" s="5" t="s">
        <v>157</v>
      </c>
      <c r="B76" s="6">
        <v>3</v>
      </c>
      <c r="C76" s="6">
        <v>83.33</v>
      </c>
      <c r="D76" s="6">
        <v>6.67</v>
      </c>
      <c r="E76" s="6">
        <v>4.67</v>
      </c>
      <c r="F76" s="6">
        <v>6</v>
      </c>
      <c r="G76" s="6">
        <v>2.33</v>
      </c>
      <c r="H76" s="6">
        <v>7</v>
      </c>
      <c r="I76" s="6">
        <v>12.67</v>
      </c>
      <c r="J76" s="6">
        <v>26.04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3"/>
        <v>Manual</v>
      </c>
      <c r="P76" s="12">
        <v>1</v>
      </c>
      <c r="Q76" s="12">
        <v>3</v>
      </c>
      <c r="R76" s="12">
        <v>0</v>
      </c>
      <c r="S76" s="12">
        <v>36</v>
      </c>
      <c r="T76" s="12">
        <v>36</v>
      </c>
      <c r="U76" s="33">
        <v>47</v>
      </c>
      <c r="V76" s="33">
        <f t="shared" si="2"/>
        <v>147</v>
      </c>
    </row>
    <row r="77" spans="1:22" x14ac:dyDescent="0.35">
      <c r="A77" s="7" t="s">
        <v>158</v>
      </c>
      <c r="B77" s="8">
        <v>1</v>
      </c>
      <c r="C77" s="8">
        <v>74.569999999999993</v>
      </c>
      <c r="D77" s="8">
        <v>11</v>
      </c>
      <c r="E77" s="8">
        <v>9.86</v>
      </c>
      <c r="F77" s="8">
        <v>6.71</v>
      </c>
      <c r="G77" s="8">
        <v>2</v>
      </c>
      <c r="H77" s="8">
        <v>11.86</v>
      </c>
      <c r="I77" s="8">
        <v>17.71</v>
      </c>
      <c r="J77" s="8">
        <v>52.8</v>
      </c>
      <c r="K77" s="8">
        <v>2</v>
      </c>
      <c r="L77" s="8">
        <v>0.05</v>
      </c>
      <c r="M77" s="8">
        <v>30.41</v>
      </c>
      <c r="N77" s="8">
        <v>1.69</v>
      </c>
      <c r="O77" s="12" t="str">
        <f t="shared" si="3"/>
        <v>Manual</v>
      </c>
      <c r="P77" s="12">
        <v>1</v>
      </c>
      <c r="Q77" s="12">
        <v>0</v>
      </c>
      <c r="R77" s="12">
        <v>0</v>
      </c>
      <c r="S77" s="12">
        <v>1</v>
      </c>
      <c r="T77" s="12">
        <v>0</v>
      </c>
      <c r="U77" s="33">
        <v>1</v>
      </c>
      <c r="V77" s="33">
        <f t="shared" si="2"/>
        <v>2</v>
      </c>
    </row>
    <row r="78" spans="1:22" x14ac:dyDescent="0.35">
      <c r="A78" s="7" t="s">
        <v>159</v>
      </c>
      <c r="B78" s="8">
        <v>5.88</v>
      </c>
      <c r="C78" s="8">
        <v>68.5</v>
      </c>
      <c r="D78" s="8">
        <v>22.5</v>
      </c>
      <c r="E78" s="8">
        <v>7.62</v>
      </c>
      <c r="F78" s="8">
        <v>22</v>
      </c>
      <c r="G78" s="8">
        <v>4.38</v>
      </c>
      <c r="H78" s="8">
        <v>12</v>
      </c>
      <c r="I78" s="8">
        <v>44.5</v>
      </c>
      <c r="J78" s="8">
        <v>67.08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3"/>
        <v>Manual</v>
      </c>
      <c r="P78" s="12">
        <v>1</v>
      </c>
      <c r="Q78" s="12">
        <v>0</v>
      </c>
      <c r="R78" s="12">
        <v>0</v>
      </c>
      <c r="S78" s="12">
        <v>1</v>
      </c>
      <c r="T78" s="12">
        <v>0</v>
      </c>
      <c r="U78" s="33">
        <v>1</v>
      </c>
      <c r="V78" s="33">
        <f t="shared" si="2"/>
        <v>2</v>
      </c>
    </row>
    <row r="79" spans="1:22" x14ac:dyDescent="0.35">
      <c r="A79" s="7" t="s">
        <v>160</v>
      </c>
      <c r="B79" s="8">
        <v>1</v>
      </c>
      <c r="C79" s="8">
        <v>74.569999999999993</v>
      </c>
      <c r="D79" s="8">
        <v>11</v>
      </c>
      <c r="E79" s="8">
        <v>9.86</v>
      </c>
      <c r="F79" s="8">
        <v>6.71</v>
      </c>
      <c r="G79" s="8">
        <v>2</v>
      </c>
      <c r="H79" s="8">
        <v>11.86</v>
      </c>
      <c r="I79" s="8">
        <v>17.71</v>
      </c>
      <c r="J79" s="8">
        <v>52.8</v>
      </c>
      <c r="K79" s="8">
        <v>2</v>
      </c>
      <c r="L79" s="8">
        <v>0.05</v>
      </c>
      <c r="M79" s="8">
        <v>30.41</v>
      </c>
      <c r="N79" s="8">
        <v>1.69</v>
      </c>
      <c r="O79" s="12" t="str">
        <f t="shared" si="3"/>
        <v>Manual</v>
      </c>
      <c r="P79" s="12">
        <v>1</v>
      </c>
      <c r="Q79" s="12">
        <v>0</v>
      </c>
      <c r="R79" s="12">
        <v>0</v>
      </c>
      <c r="S79" s="12">
        <v>1</v>
      </c>
      <c r="T79" s="12">
        <v>0</v>
      </c>
      <c r="U79" s="33">
        <v>1</v>
      </c>
      <c r="V79" s="33">
        <f t="shared" si="2"/>
        <v>2</v>
      </c>
    </row>
    <row r="80" spans="1:22" x14ac:dyDescent="0.35">
      <c r="A80" s="5" t="s">
        <v>161</v>
      </c>
      <c r="B80" s="6">
        <v>1</v>
      </c>
      <c r="C80" s="6">
        <v>74.569999999999993</v>
      </c>
      <c r="D80" s="6">
        <v>11</v>
      </c>
      <c r="E80" s="6">
        <v>9.86</v>
      </c>
      <c r="F80" s="6">
        <v>6.71</v>
      </c>
      <c r="G80" s="6">
        <v>2</v>
      </c>
      <c r="H80" s="6">
        <v>11.86</v>
      </c>
      <c r="I80" s="6">
        <v>17.71</v>
      </c>
      <c r="J80" s="6">
        <v>52.8</v>
      </c>
      <c r="K80" s="6">
        <v>2</v>
      </c>
      <c r="L80" s="6">
        <v>0.05</v>
      </c>
      <c r="M80" s="6">
        <v>30.41</v>
      </c>
      <c r="N80" s="6">
        <v>1.69</v>
      </c>
      <c r="O80" s="12" t="str">
        <f t="shared" si="3"/>
        <v>Manual</v>
      </c>
      <c r="P80" s="12">
        <v>1</v>
      </c>
      <c r="Q80" s="12">
        <v>0</v>
      </c>
      <c r="R80" s="12">
        <v>0</v>
      </c>
      <c r="S80" s="12">
        <v>1</v>
      </c>
      <c r="T80" s="12">
        <v>0</v>
      </c>
      <c r="U80" s="33">
        <v>1</v>
      </c>
      <c r="V80" s="33">
        <f t="shared" si="2"/>
        <v>2</v>
      </c>
    </row>
    <row r="81" spans="1:28" x14ac:dyDescent="0.35">
      <c r="A81" s="5" t="s">
        <v>162</v>
      </c>
      <c r="B81" s="6">
        <v>1</v>
      </c>
      <c r="C81" s="6">
        <v>74.569999999999993</v>
      </c>
      <c r="D81" s="6">
        <v>11</v>
      </c>
      <c r="E81" s="6">
        <v>9.86</v>
      </c>
      <c r="F81" s="6">
        <v>6.71</v>
      </c>
      <c r="G81" s="6">
        <v>2</v>
      </c>
      <c r="H81" s="6">
        <v>11.86</v>
      </c>
      <c r="I81" s="6">
        <v>17.71</v>
      </c>
      <c r="J81" s="6">
        <v>52.8</v>
      </c>
      <c r="K81" s="6">
        <v>2</v>
      </c>
      <c r="L81" s="6">
        <v>0.05</v>
      </c>
      <c r="M81" s="6">
        <v>30.41</v>
      </c>
      <c r="N81" s="6">
        <v>1.69</v>
      </c>
      <c r="O81" s="12" t="str">
        <f t="shared" si="3"/>
        <v>Manual</v>
      </c>
      <c r="P81" s="12">
        <v>1</v>
      </c>
      <c r="Q81" s="12">
        <v>0</v>
      </c>
      <c r="R81" s="12">
        <v>0</v>
      </c>
      <c r="S81" s="12">
        <v>1</v>
      </c>
      <c r="T81" s="12">
        <v>0</v>
      </c>
      <c r="U81" s="33">
        <v>1</v>
      </c>
      <c r="V81" s="33">
        <f t="shared" si="2"/>
        <v>2</v>
      </c>
    </row>
    <row r="82" spans="1:28" x14ac:dyDescent="0.35">
      <c r="A82" s="7" t="s">
        <v>163</v>
      </c>
      <c r="B82" s="8">
        <v>1</v>
      </c>
      <c r="C82" s="8">
        <v>74.569999999999993</v>
      </c>
      <c r="D82" s="8">
        <v>11</v>
      </c>
      <c r="E82" s="8">
        <v>9.86</v>
      </c>
      <c r="F82" s="8">
        <v>6.71</v>
      </c>
      <c r="G82" s="8">
        <v>2</v>
      </c>
      <c r="H82" s="8">
        <v>11.86</v>
      </c>
      <c r="I82" s="8">
        <v>17.71</v>
      </c>
      <c r="J82" s="8">
        <v>52.8</v>
      </c>
      <c r="K82" s="8">
        <v>2</v>
      </c>
      <c r="L82" s="8">
        <v>0.05</v>
      </c>
      <c r="M82" s="8">
        <v>30.41</v>
      </c>
      <c r="N82" s="8">
        <v>1.69</v>
      </c>
      <c r="O82" s="12" t="str">
        <f t="shared" si="3"/>
        <v>Manual</v>
      </c>
      <c r="P82" s="12">
        <v>1</v>
      </c>
      <c r="Q82" s="12">
        <v>0</v>
      </c>
      <c r="R82" s="12">
        <v>0</v>
      </c>
      <c r="S82" s="12">
        <v>1</v>
      </c>
      <c r="T82" s="12">
        <v>0</v>
      </c>
      <c r="U82" s="33">
        <v>1</v>
      </c>
      <c r="V82" s="33">
        <f t="shared" si="2"/>
        <v>2</v>
      </c>
    </row>
    <row r="83" spans="1:28" ht="29.4" thickBot="1" x14ac:dyDescent="0.4">
      <c r="A83" s="14" t="s">
        <v>164</v>
      </c>
      <c r="B83" s="15">
        <v>1</v>
      </c>
      <c r="C83" s="15">
        <v>74.569999999999993</v>
      </c>
      <c r="D83" s="15">
        <v>11</v>
      </c>
      <c r="E83" s="15">
        <v>9.86</v>
      </c>
      <c r="F83" s="15">
        <v>6.71</v>
      </c>
      <c r="G83" s="15">
        <v>2</v>
      </c>
      <c r="H83" s="15">
        <v>11.86</v>
      </c>
      <c r="I83" s="15">
        <v>17.71</v>
      </c>
      <c r="J83" s="15">
        <v>52.8</v>
      </c>
      <c r="K83" s="15">
        <v>2</v>
      </c>
      <c r="L83" s="15">
        <v>0.05</v>
      </c>
      <c r="M83" s="15">
        <v>30.41</v>
      </c>
      <c r="N83" s="15">
        <v>1.69</v>
      </c>
      <c r="O83" s="16" t="str">
        <f t="shared" si="3"/>
        <v>Manual</v>
      </c>
      <c r="P83" s="16">
        <v>1</v>
      </c>
      <c r="Q83" s="16">
        <v>0</v>
      </c>
      <c r="R83" s="16">
        <v>0</v>
      </c>
      <c r="S83" s="16">
        <v>1</v>
      </c>
      <c r="T83" s="16">
        <v>0</v>
      </c>
      <c r="U83" s="34">
        <v>1</v>
      </c>
      <c r="V83" s="34">
        <f t="shared" si="2"/>
        <v>2</v>
      </c>
      <c r="X83" s="28" t="s">
        <v>58</v>
      </c>
      <c r="Y83" s="28" t="s">
        <v>59</v>
      </c>
      <c r="Z83" s="28" t="s">
        <v>56</v>
      </c>
      <c r="AA83" s="28" t="s">
        <v>57</v>
      </c>
      <c r="AB83"/>
    </row>
    <row r="84" spans="1:28" ht="15" x14ac:dyDescent="0.35">
      <c r="A84" s="7" t="s">
        <v>165</v>
      </c>
      <c r="B84" s="8">
        <v>4.58</v>
      </c>
      <c r="C84" s="8">
        <v>72.27</v>
      </c>
      <c r="D84" s="8">
        <v>16.25</v>
      </c>
      <c r="E84" s="8">
        <v>6.73</v>
      </c>
      <c r="F84" s="8">
        <v>15.1</v>
      </c>
      <c r="G84" s="8">
        <v>4.63</v>
      </c>
      <c r="H84" s="8">
        <v>11.37</v>
      </c>
      <c r="I84" s="8">
        <v>31.35</v>
      </c>
      <c r="J84" s="8">
        <v>56.96</v>
      </c>
      <c r="K84" s="8">
        <v>0.52</v>
      </c>
      <c r="L84" s="8">
        <v>1.4999999999999999E-2</v>
      </c>
      <c r="M84" s="8">
        <v>11.87</v>
      </c>
      <c r="N84" s="8">
        <v>0.66</v>
      </c>
      <c r="O84" s="12" t="str">
        <f t="shared" si="3"/>
        <v>Auto</v>
      </c>
      <c r="P84" s="12">
        <v>1</v>
      </c>
      <c r="Q84" s="12">
        <v>0</v>
      </c>
      <c r="R84" s="12">
        <v>1</v>
      </c>
      <c r="S84" s="12">
        <v>0</v>
      </c>
      <c r="T84" s="12">
        <v>0</v>
      </c>
      <c r="U84" s="33">
        <v>1</v>
      </c>
      <c r="V84" s="37">
        <f t="shared" si="2"/>
        <v>1</v>
      </c>
      <c r="X84" t="str">
        <f>IF(AND($P54=1,$P84=1,$U54=1,$U84=1), "YES", "NO")</f>
        <v>NO</v>
      </c>
      <c r="Y84" t="str">
        <f>IF(AND($P54=1,$P84=1,$U54&gt;1,$U84&gt;1), "YES", "NO")</f>
        <v>NO</v>
      </c>
      <c r="Z84" t="str">
        <f>IF(AND(P54&gt;1,P84&gt;1,P54=U54,P84=U84), "YES", "NO")</f>
        <v>NO</v>
      </c>
      <c r="AA84" t="str">
        <f>IF(AND(P54&gt;1,P84&gt;1,P54&lt;U54,P84&lt;U84), "YES", "NO")</f>
        <v>NO</v>
      </c>
      <c r="AB84"/>
    </row>
    <row r="85" spans="1:28" ht="15" x14ac:dyDescent="0.35">
      <c r="A85" s="5" t="s">
        <v>166</v>
      </c>
      <c r="B85" s="6">
        <v>2.62</v>
      </c>
      <c r="C85" s="6">
        <v>79.92</v>
      </c>
      <c r="D85" s="6">
        <v>10.15</v>
      </c>
      <c r="E85" s="6">
        <v>5.54</v>
      </c>
      <c r="F85" s="6">
        <v>8.5399999999999991</v>
      </c>
      <c r="G85" s="6">
        <v>3.31</v>
      </c>
      <c r="H85" s="6">
        <v>8.85</v>
      </c>
      <c r="I85" s="6">
        <v>18.690000000000001</v>
      </c>
      <c r="J85" s="6">
        <v>37.54</v>
      </c>
      <c r="K85" s="6">
        <v>0</v>
      </c>
      <c r="L85" s="6">
        <v>0</v>
      </c>
      <c r="M85" s="6">
        <v>0</v>
      </c>
      <c r="N85" s="6">
        <v>0</v>
      </c>
      <c r="O85" s="12" t="str">
        <f t="shared" si="3"/>
        <v>Auto</v>
      </c>
      <c r="P85" s="12">
        <v>1</v>
      </c>
      <c r="Q85" s="12">
        <v>0</v>
      </c>
      <c r="R85" s="12">
        <v>1</v>
      </c>
      <c r="S85" s="12">
        <v>0</v>
      </c>
      <c r="T85" s="12">
        <v>0</v>
      </c>
      <c r="U85" s="33">
        <v>1</v>
      </c>
      <c r="V85" s="33">
        <f t="shared" si="2"/>
        <v>1</v>
      </c>
      <c r="X85" t="str">
        <f>IF(AND($P55=1,$P85=1,$U55=1,$U85=1), "YES", "NO")</f>
        <v>NO</v>
      </c>
      <c r="Y85" t="str">
        <f>IF(AND($P55=1,$P85=1,$U55&gt;1,$U85&gt;1), "YES", "NO")</f>
        <v>NO</v>
      </c>
      <c r="Z85" t="str">
        <f>IF(AND(P55&gt;1,P85&gt;1,P55=U55,P85=U85), "YES", "NO")</f>
        <v>NO</v>
      </c>
      <c r="AA85" t="str">
        <f>IF(AND(P55&gt;1,P85&gt;1,P55&lt;U55,P85&lt;U85), "YES", "NO")</f>
        <v>NO</v>
      </c>
      <c r="AB85"/>
    </row>
    <row r="86" spans="1:28" ht="15" x14ac:dyDescent="0.35">
      <c r="A86" s="5" t="s">
        <v>167</v>
      </c>
      <c r="B86" s="6">
        <v>2.62</v>
      </c>
      <c r="C86" s="6">
        <v>79.92</v>
      </c>
      <c r="D86" s="6">
        <v>10.15</v>
      </c>
      <c r="E86" s="6">
        <v>5.54</v>
      </c>
      <c r="F86" s="6">
        <v>8.5399999999999991</v>
      </c>
      <c r="G86" s="6">
        <v>3.31</v>
      </c>
      <c r="H86" s="6">
        <v>8.85</v>
      </c>
      <c r="I86" s="6">
        <v>18.690000000000001</v>
      </c>
      <c r="J86" s="6">
        <v>37.54</v>
      </c>
      <c r="K86" s="6">
        <v>0</v>
      </c>
      <c r="L86" s="6">
        <v>0</v>
      </c>
      <c r="M86" s="6">
        <v>0</v>
      </c>
      <c r="N86" s="6">
        <v>0</v>
      </c>
      <c r="O86" s="12" t="str">
        <f t="shared" ref="O86:O113" si="4">IF(NOT(ISERR(SEARCH("*_Buggy",$A86))), "Buggy", IF(NOT(ISERR(SEARCH("*_Manual",$A86))), "Manual", IF(NOT(ISERR(SEARCH("*_Auto",$A86))), "Auto", "")))</f>
        <v>Auto</v>
      </c>
      <c r="P86" s="12">
        <v>2</v>
      </c>
      <c r="Q86" s="12">
        <v>1</v>
      </c>
      <c r="R86" s="12">
        <v>1</v>
      </c>
      <c r="S86" s="12">
        <v>1</v>
      </c>
      <c r="T86" s="12">
        <v>0</v>
      </c>
      <c r="U86" s="33">
        <v>3</v>
      </c>
      <c r="V86" s="33">
        <f t="shared" si="2"/>
        <v>5</v>
      </c>
      <c r="X86" t="str">
        <f>IF(AND($P56=1,$P86=1,$U56=1,$U86=1), "YES", "NO")</f>
        <v>NO</v>
      </c>
      <c r="Y86" t="str">
        <f>IF(AND($P56=1,$P86=1,$U56&gt;1,$U86&gt;1), "YES", "NO")</f>
        <v>NO</v>
      </c>
      <c r="Z86" t="str">
        <f>IF(AND(P56&gt;1,P86&gt;1,P56=U56,P86=U86), "YES", "NO")</f>
        <v>NO</v>
      </c>
      <c r="AA86" t="str">
        <f>IF(AND(P56&gt;1,P86&gt;1,P56&lt;U56,P86&lt;U86), "YES", "NO")</f>
        <v>YES</v>
      </c>
      <c r="AB86"/>
    </row>
    <row r="87" spans="1:28" ht="15" x14ac:dyDescent="0.35">
      <c r="A87" s="7" t="s">
        <v>168</v>
      </c>
      <c r="B87" s="8">
        <v>2.46</v>
      </c>
      <c r="C87" s="8">
        <v>80.23</v>
      </c>
      <c r="D87" s="8">
        <v>9.92</v>
      </c>
      <c r="E87" s="8">
        <v>5.54</v>
      </c>
      <c r="F87" s="8">
        <v>8.08</v>
      </c>
      <c r="G87" s="8">
        <v>3</v>
      </c>
      <c r="H87" s="8">
        <v>8.5399999999999991</v>
      </c>
      <c r="I87" s="8">
        <v>18</v>
      </c>
      <c r="J87" s="8">
        <v>35.54</v>
      </c>
      <c r="K87" s="8">
        <v>0</v>
      </c>
      <c r="L87" s="8">
        <v>0</v>
      </c>
      <c r="M87" s="8">
        <v>0</v>
      </c>
      <c r="N87" s="8">
        <v>0</v>
      </c>
      <c r="O87" s="12" t="str">
        <f t="shared" si="4"/>
        <v>Auto</v>
      </c>
      <c r="P87" s="12">
        <v>3</v>
      </c>
      <c r="Q87" s="12">
        <v>0</v>
      </c>
      <c r="R87" s="12">
        <v>6</v>
      </c>
      <c r="S87" s="12">
        <v>0</v>
      </c>
      <c r="T87" s="12">
        <v>0</v>
      </c>
      <c r="U87" s="33">
        <v>6</v>
      </c>
      <c r="V87" s="33">
        <f t="shared" si="2"/>
        <v>8</v>
      </c>
      <c r="X87" t="str">
        <f>IF(AND($P57=1,$P87=1,$U57=1,$U87=1), "YES", "NO")</f>
        <v>NO</v>
      </c>
      <c r="Y87" t="str">
        <f>IF(AND($P57=1,$P87=1,$U57&gt;1,$U87&gt;1), "YES", "NO")</f>
        <v>NO</v>
      </c>
      <c r="Z87" t="str">
        <f>IF(AND(P57&gt;1,P87&gt;1,P57=U57,P87=U87), "YES", "NO")</f>
        <v>NO</v>
      </c>
      <c r="AA87" t="str">
        <f>IF(AND(P57&gt;1,P87&gt;1,P57&lt;U57,P87&lt;U87), "YES", "NO")</f>
        <v>YES</v>
      </c>
      <c r="AB87"/>
    </row>
    <row r="88" spans="1:28" ht="15" x14ac:dyDescent="0.35">
      <c r="A88" s="7" t="s">
        <v>169</v>
      </c>
      <c r="B88" s="8">
        <v>2.54</v>
      </c>
      <c r="C88" s="8">
        <v>80.38</v>
      </c>
      <c r="D88" s="8">
        <v>10.08</v>
      </c>
      <c r="E88" s="8">
        <v>5.46</v>
      </c>
      <c r="F88" s="8">
        <v>8.3800000000000008</v>
      </c>
      <c r="G88" s="8">
        <v>3.15</v>
      </c>
      <c r="H88" s="8">
        <v>8.6199999999999992</v>
      </c>
      <c r="I88" s="8">
        <v>18.46</v>
      </c>
      <c r="J88" s="8">
        <v>36.49</v>
      </c>
      <c r="K88" s="8">
        <v>0</v>
      </c>
      <c r="L88" s="8">
        <v>0</v>
      </c>
      <c r="M88" s="8">
        <v>0</v>
      </c>
      <c r="N88" s="8">
        <v>0</v>
      </c>
      <c r="O88" s="12" t="str">
        <f t="shared" si="4"/>
        <v>Auto</v>
      </c>
      <c r="P88" s="12">
        <v>2</v>
      </c>
      <c r="Q88" s="12">
        <v>0</v>
      </c>
      <c r="R88" s="12">
        <v>2</v>
      </c>
      <c r="S88" s="12">
        <v>0</v>
      </c>
      <c r="T88" s="12">
        <v>0</v>
      </c>
      <c r="U88" s="33">
        <v>2</v>
      </c>
      <c r="V88" s="33">
        <f t="shared" si="2"/>
        <v>3</v>
      </c>
      <c r="X88" t="str">
        <f>IF(AND($P58=1,$P88=1,$U58=1,$U88=1), "YES", "NO")</f>
        <v>NO</v>
      </c>
      <c r="Y88" t="str">
        <f>IF(AND($P58=1,$P88=1,$U58&gt;1,$U88&gt;1), "YES", "NO")</f>
        <v>NO</v>
      </c>
      <c r="Z88" t="str">
        <f>IF(AND(P58&gt;1,P88&gt;1,P58=U58,P88=U88), "YES", "NO")</f>
        <v>NO</v>
      </c>
      <c r="AA88" t="str">
        <f>IF(AND(P58&gt;1,P88&gt;1,P58&lt;U58,P88&lt;U88), "YES", "NO")</f>
        <v>NO</v>
      </c>
      <c r="AB88"/>
    </row>
    <row r="89" spans="1:28" ht="15" x14ac:dyDescent="0.35">
      <c r="A89" s="7" t="s">
        <v>170</v>
      </c>
      <c r="B89" s="8">
        <v>2.46</v>
      </c>
      <c r="C89" s="8">
        <v>80.150000000000006</v>
      </c>
      <c r="D89" s="8">
        <v>9.92</v>
      </c>
      <c r="E89" s="8">
        <v>5.54</v>
      </c>
      <c r="F89" s="8">
        <v>8.08</v>
      </c>
      <c r="G89" s="8">
        <v>3</v>
      </c>
      <c r="H89" s="8">
        <v>8.5399999999999991</v>
      </c>
      <c r="I89" s="8">
        <v>18</v>
      </c>
      <c r="J89" s="8">
        <v>35.54</v>
      </c>
      <c r="K89" s="8">
        <v>0</v>
      </c>
      <c r="L89" s="8">
        <v>0</v>
      </c>
      <c r="M89" s="8">
        <v>0</v>
      </c>
      <c r="N89" s="8">
        <v>0</v>
      </c>
      <c r="O89" s="12" t="str">
        <f t="shared" si="4"/>
        <v>Auto</v>
      </c>
      <c r="P89" s="12">
        <v>2</v>
      </c>
      <c r="Q89" s="12">
        <v>0</v>
      </c>
      <c r="R89" s="12">
        <v>5</v>
      </c>
      <c r="S89" s="12">
        <v>0</v>
      </c>
      <c r="T89" s="12">
        <v>0</v>
      </c>
      <c r="U89" s="33">
        <v>5</v>
      </c>
      <c r="V89" s="33">
        <f t="shared" si="2"/>
        <v>6</v>
      </c>
      <c r="X89" t="str">
        <f>IF(AND($P59=1,$P89=1,$U59=1,$U89=1), "YES", "NO")</f>
        <v>NO</v>
      </c>
      <c r="Y89" t="str">
        <f>IF(AND($P59=1,$P89=1,$U59&gt;1,$U89&gt;1), "YES", "NO")</f>
        <v>NO</v>
      </c>
      <c r="Z89" t="str">
        <f>IF(AND(P59&gt;1,P89&gt;1,P59=U59,P89=U89), "YES", "NO")</f>
        <v>NO</v>
      </c>
      <c r="AA89" t="str">
        <f>IF(AND(P59&gt;1,P89&gt;1,P59&lt;U59,P89&lt;U89), "YES", "NO")</f>
        <v>YES</v>
      </c>
      <c r="AB89"/>
    </row>
    <row r="90" spans="1:28" ht="15" x14ac:dyDescent="0.35">
      <c r="A90" s="5" t="s">
        <v>171</v>
      </c>
      <c r="B90" s="6">
        <v>1</v>
      </c>
      <c r="C90" s="6">
        <v>74.290000000000006</v>
      </c>
      <c r="D90" s="6">
        <v>11</v>
      </c>
      <c r="E90" s="6">
        <v>9.86</v>
      </c>
      <c r="F90" s="6">
        <v>6.86</v>
      </c>
      <c r="G90" s="6">
        <v>2.14</v>
      </c>
      <c r="H90" s="6">
        <v>12</v>
      </c>
      <c r="I90" s="6">
        <v>17.86</v>
      </c>
      <c r="J90" s="6">
        <v>53.59</v>
      </c>
      <c r="K90" s="6">
        <v>2</v>
      </c>
      <c r="L90" s="6">
        <v>0.05</v>
      </c>
      <c r="M90" s="6">
        <v>30.41</v>
      </c>
      <c r="N90" s="6">
        <v>1.69</v>
      </c>
      <c r="O90" s="12" t="str">
        <f t="shared" si="4"/>
        <v>Auto</v>
      </c>
      <c r="P90" s="12">
        <v>2</v>
      </c>
      <c r="Q90" s="12">
        <v>0</v>
      </c>
      <c r="R90" s="12">
        <v>0</v>
      </c>
      <c r="S90" s="12">
        <v>2</v>
      </c>
      <c r="T90" s="12">
        <v>1</v>
      </c>
      <c r="U90" s="33">
        <v>3</v>
      </c>
      <c r="V90" s="33">
        <f t="shared" si="2"/>
        <v>7</v>
      </c>
      <c r="X90" t="str">
        <f>IF(AND($P60=1,$P90=1,$U60=1,$U90=1), "YES", "NO")</f>
        <v>NO</v>
      </c>
      <c r="Y90" t="str">
        <f>IF(AND($P60=1,$P90=1,$U60&gt;1,$U90&gt;1), "YES", "NO")</f>
        <v>NO</v>
      </c>
      <c r="Z90" t="str">
        <f>IF(AND(P60&gt;1,P90&gt;1,P60=U60,P90=U90), "YES", "NO")</f>
        <v>NO</v>
      </c>
      <c r="AA90" t="str">
        <f>IF(AND(P60&gt;1,P90&gt;1,P60&lt;U60,P90&lt;U90), "YES", "NO")</f>
        <v>NO</v>
      </c>
      <c r="AB90"/>
    </row>
    <row r="91" spans="1:28" ht="15" x14ac:dyDescent="0.35">
      <c r="A91" s="5" t="s">
        <v>172</v>
      </c>
      <c r="B91" s="6">
        <v>1</v>
      </c>
      <c r="C91" s="6">
        <v>74.709999999999994</v>
      </c>
      <c r="D91" s="6">
        <v>10.71</v>
      </c>
      <c r="E91" s="6">
        <v>10</v>
      </c>
      <c r="F91" s="6">
        <v>6.86</v>
      </c>
      <c r="G91" s="6">
        <v>2</v>
      </c>
      <c r="H91" s="6">
        <v>12</v>
      </c>
      <c r="I91" s="6">
        <v>17.57</v>
      </c>
      <c r="J91" s="6">
        <v>53.31</v>
      </c>
      <c r="K91" s="6">
        <v>2.29</v>
      </c>
      <c r="L91" s="6">
        <v>4.8000000000000001E-2</v>
      </c>
      <c r="M91" s="6">
        <v>43.14</v>
      </c>
      <c r="N91" s="6">
        <v>2.4</v>
      </c>
      <c r="O91" s="12" t="str">
        <f t="shared" si="4"/>
        <v>Auto</v>
      </c>
      <c r="P91" s="12">
        <v>3</v>
      </c>
      <c r="Q91" s="12">
        <v>0</v>
      </c>
      <c r="R91" s="12">
        <v>1</v>
      </c>
      <c r="S91" s="12">
        <v>2</v>
      </c>
      <c r="T91" s="12">
        <v>1</v>
      </c>
      <c r="U91" s="33">
        <v>4</v>
      </c>
      <c r="V91" s="33">
        <f t="shared" si="2"/>
        <v>9</v>
      </c>
      <c r="X91" t="str">
        <f>IF(AND($P61=1,$P91=1,$U61=1,$U91=1), "YES", "NO")</f>
        <v>NO</v>
      </c>
      <c r="Y91" t="str">
        <f>IF(AND($P61=1,$P91=1,$U61&gt;1,$U91&gt;1), "YES", "NO")</f>
        <v>NO</v>
      </c>
      <c r="Z91" t="str">
        <f>IF(AND(P61&gt;1,P91&gt;1,P61=U61,P91=U91), "YES", "NO")</f>
        <v>NO</v>
      </c>
      <c r="AA91" t="str">
        <f>IF(AND(P61&gt;1,P91&gt;1,P61&lt;U61,P91&lt;U91), "YES", "NO")</f>
        <v>NO</v>
      </c>
      <c r="AB91"/>
    </row>
    <row r="92" spans="1:28" ht="15" x14ac:dyDescent="0.35">
      <c r="A92" s="5" t="s">
        <v>173</v>
      </c>
      <c r="B92" s="6">
        <v>1</v>
      </c>
      <c r="C92" s="6">
        <v>74.14</v>
      </c>
      <c r="D92" s="6">
        <v>11.14</v>
      </c>
      <c r="E92" s="6">
        <v>9.86</v>
      </c>
      <c r="F92" s="6">
        <v>6.86</v>
      </c>
      <c r="G92" s="6">
        <v>2</v>
      </c>
      <c r="H92" s="6">
        <v>11.86</v>
      </c>
      <c r="I92" s="6">
        <v>18</v>
      </c>
      <c r="J92" s="6">
        <v>53.01</v>
      </c>
      <c r="K92" s="6">
        <v>1.71</v>
      </c>
      <c r="L92" s="6">
        <v>8.5999999999999993E-2</v>
      </c>
      <c r="M92" s="6">
        <v>28.84</v>
      </c>
      <c r="N92" s="6">
        <v>1.6</v>
      </c>
      <c r="O92" s="12" t="str">
        <f t="shared" si="4"/>
        <v>Auto</v>
      </c>
      <c r="P92" s="12">
        <v>2</v>
      </c>
      <c r="Q92" s="12">
        <v>0</v>
      </c>
      <c r="R92" s="12">
        <v>0</v>
      </c>
      <c r="S92" s="12">
        <v>2</v>
      </c>
      <c r="T92" s="12">
        <v>1</v>
      </c>
      <c r="U92" s="33">
        <v>3</v>
      </c>
      <c r="V92" s="33">
        <f t="shared" si="2"/>
        <v>7</v>
      </c>
      <c r="X92" t="str">
        <f>IF(AND($P62=1,$P92=1,$U62=1,$U92=1), "YES", "NO")</f>
        <v>NO</v>
      </c>
      <c r="Y92" t="str">
        <f>IF(AND($P62=1,$P92=1,$U62&gt;1,$U92&gt;1), "YES", "NO")</f>
        <v>NO</v>
      </c>
      <c r="Z92" t="str">
        <f>IF(AND(P62&gt;1,P92&gt;1,P62=U62,P92=U92), "YES", "NO")</f>
        <v>NO</v>
      </c>
      <c r="AA92" t="str">
        <f>IF(AND(P62&gt;1,P92&gt;1,P62&lt;U62,P92&lt;U92), "YES", "NO")</f>
        <v>NO</v>
      </c>
      <c r="AB92"/>
    </row>
    <row r="93" spans="1:28" ht="15" x14ac:dyDescent="0.35">
      <c r="A93" s="5" t="s">
        <v>174</v>
      </c>
      <c r="B93" s="6">
        <v>1</v>
      </c>
      <c r="C93" s="6">
        <v>74.290000000000006</v>
      </c>
      <c r="D93" s="6">
        <v>11.14</v>
      </c>
      <c r="E93" s="6">
        <v>10</v>
      </c>
      <c r="F93" s="6">
        <v>7</v>
      </c>
      <c r="G93" s="6">
        <v>2</v>
      </c>
      <c r="H93" s="6">
        <v>12</v>
      </c>
      <c r="I93" s="6">
        <v>18.14</v>
      </c>
      <c r="J93" s="6">
        <v>53.58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4"/>
        <v>Auto</v>
      </c>
      <c r="P93" s="12">
        <v>2</v>
      </c>
      <c r="Q93" s="12">
        <v>0</v>
      </c>
      <c r="R93" s="12">
        <v>0</v>
      </c>
      <c r="S93" s="12">
        <v>2</v>
      </c>
      <c r="T93" s="12">
        <v>1</v>
      </c>
      <c r="U93" s="33">
        <v>3</v>
      </c>
      <c r="V93" s="33">
        <f t="shared" si="2"/>
        <v>7</v>
      </c>
      <c r="X93" t="str">
        <f>IF(AND($P63=1,$P93=1,$U63=1,$U93=1), "YES", "NO")</f>
        <v>NO</v>
      </c>
      <c r="Y93" t="str">
        <f>IF(AND($P63=1,$P93=1,$U63&gt;1,$U93&gt;1), "YES", "NO")</f>
        <v>NO</v>
      </c>
      <c r="Z93" t="str">
        <f>IF(AND(P63&gt;1,P93&gt;1,P63=U63,P93=U93), "YES", "NO")</f>
        <v>NO</v>
      </c>
      <c r="AA93" t="str">
        <f>IF(AND(P63&gt;1,P93&gt;1,P63&lt;U63,P93&lt;U93), "YES", "NO")</f>
        <v>NO</v>
      </c>
      <c r="AB93"/>
    </row>
    <row r="94" spans="1:28" ht="15" x14ac:dyDescent="0.35">
      <c r="A94" s="7" t="s">
        <v>175</v>
      </c>
      <c r="B94" s="8">
        <v>1</v>
      </c>
      <c r="C94" s="8">
        <v>74.290000000000006</v>
      </c>
      <c r="D94" s="8">
        <v>11</v>
      </c>
      <c r="E94" s="8">
        <v>10</v>
      </c>
      <c r="F94" s="8">
        <v>7</v>
      </c>
      <c r="G94" s="8">
        <v>2.29</v>
      </c>
      <c r="H94" s="8">
        <v>12.29</v>
      </c>
      <c r="I94" s="8">
        <v>18</v>
      </c>
      <c r="J94" s="8">
        <v>54.77</v>
      </c>
      <c r="K94" s="8">
        <v>2.29</v>
      </c>
      <c r="L94" s="8">
        <v>4.8000000000000001E-2</v>
      </c>
      <c r="M94" s="8">
        <v>50.86</v>
      </c>
      <c r="N94" s="8">
        <v>2.83</v>
      </c>
      <c r="O94" s="12" t="str">
        <f t="shared" si="4"/>
        <v>Auto</v>
      </c>
      <c r="P94" s="12">
        <v>4</v>
      </c>
      <c r="Q94" s="12">
        <v>0</v>
      </c>
      <c r="R94" s="12">
        <v>1</v>
      </c>
      <c r="S94" s="12">
        <v>3</v>
      </c>
      <c r="T94" s="12">
        <v>2</v>
      </c>
      <c r="U94" s="33">
        <v>6</v>
      </c>
      <c r="V94" s="33">
        <f t="shared" si="2"/>
        <v>14</v>
      </c>
      <c r="X94" t="str">
        <f>IF(AND($P64=1,$P94=1,$U64=1,$U94=1), "YES", "NO")</f>
        <v>NO</v>
      </c>
      <c r="Y94" t="str">
        <f>IF(AND($P64=1,$P94=1,$U64&gt;1,$U94&gt;1), "YES", "NO")</f>
        <v>NO</v>
      </c>
      <c r="Z94" t="str">
        <f>IF(AND(P64&gt;1,P94&gt;1,P64=U64,P94=U94), "YES", "NO")</f>
        <v>NO</v>
      </c>
      <c r="AA94" t="str">
        <f>IF(AND(P64&gt;1,P94&gt;1,P64&lt;U64,P94&lt;U94), "YES", "NO")</f>
        <v>NO</v>
      </c>
      <c r="AB94"/>
    </row>
    <row r="95" spans="1:28" ht="15" x14ac:dyDescent="0.35">
      <c r="A95" s="7" t="s">
        <v>176</v>
      </c>
      <c r="B95" s="8">
        <v>5.25</v>
      </c>
      <c r="C95" s="8">
        <v>69</v>
      </c>
      <c r="D95" s="8">
        <v>20.5</v>
      </c>
      <c r="E95" s="8">
        <v>7.5</v>
      </c>
      <c r="F95" s="8">
        <v>19.62</v>
      </c>
      <c r="G95" s="8">
        <v>4.38</v>
      </c>
      <c r="H95" s="8">
        <v>11.88</v>
      </c>
      <c r="I95" s="8">
        <v>40.119999999999997</v>
      </c>
      <c r="J95" s="8">
        <v>65.010000000000005</v>
      </c>
      <c r="K95" s="8">
        <v>0</v>
      </c>
      <c r="L95" s="8">
        <v>0</v>
      </c>
      <c r="M95" s="8">
        <v>0</v>
      </c>
      <c r="N95" s="8">
        <v>0</v>
      </c>
      <c r="O95" s="12" t="str">
        <f t="shared" si="4"/>
        <v>Auto</v>
      </c>
      <c r="P95" s="12">
        <v>1</v>
      </c>
      <c r="Q95" s="12">
        <v>0</v>
      </c>
      <c r="R95" s="12">
        <v>12</v>
      </c>
      <c r="S95" s="12">
        <v>0</v>
      </c>
      <c r="T95" s="12">
        <v>0</v>
      </c>
      <c r="U95" s="33">
        <v>12</v>
      </c>
      <c r="V95" s="33">
        <f t="shared" si="2"/>
        <v>12</v>
      </c>
      <c r="X95" t="str">
        <f>IF(AND($P65=1,$P95=1,$U65=1,$U95=1), "YES", "NO")</f>
        <v>NO</v>
      </c>
      <c r="Y95" t="str">
        <f>IF(AND($P65=1,$P95=1,$U65&gt;1,$U95&gt;1), "YES", "NO")</f>
        <v>NO</v>
      </c>
      <c r="Z95" t="str">
        <f>IF(AND(P65&gt;1,P95&gt;1,P65=U65,P95=U95), "YES", "NO")</f>
        <v>NO</v>
      </c>
      <c r="AA95" t="str">
        <f>IF(AND(P65&gt;1,P95&gt;1,P65&lt;U65,P95&lt;U95), "YES", "NO")</f>
        <v>NO</v>
      </c>
      <c r="AB95"/>
    </row>
    <row r="96" spans="1:28" ht="15" x14ac:dyDescent="0.35">
      <c r="A96" s="7" t="s">
        <v>177</v>
      </c>
      <c r="B96" s="8">
        <v>5.25</v>
      </c>
      <c r="C96" s="8">
        <v>69</v>
      </c>
      <c r="D96" s="8">
        <v>20.5</v>
      </c>
      <c r="E96" s="8">
        <v>7.5</v>
      </c>
      <c r="F96" s="8">
        <v>19.62</v>
      </c>
      <c r="G96" s="8">
        <v>4.38</v>
      </c>
      <c r="H96" s="8">
        <v>11.88</v>
      </c>
      <c r="I96" s="8">
        <v>40.119999999999997</v>
      </c>
      <c r="J96" s="8">
        <v>65.010000000000005</v>
      </c>
      <c r="K96" s="8">
        <v>0</v>
      </c>
      <c r="L96" s="8">
        <v>0</v>
      </c>
      <c r="M96" s="8">
        <v>0</v>
      </c>
      <c r="N96" s="8">
        <v>0</v>
      </c>
      <c r="O96" s="12" t="str">
        <f t="shared" si="4"/>
        <v>Auto</v>
      </c>
      <c r="P96" s="12">
        <v>1</v>
      </c>
      <c r="Q96" s="12">
        <v>0</v>
      </c>
      <c r="R96" s="12">
        <v>12</v>
      </c>
      <c r="S96" s="12">
        <v>0</v>
      </c>
      <c r="T96" s="12">
        <v>0</v>
      </c>
      <c r="U96" s="33">
        <v>12</v>
      </c>
      <c r="V96" s="33">
        <f t="shared" si="2"/>
        <v>12</v>
      </c>
      <c r="X96" t="str">
        <f>IF(AND($P66=1,$P96=1,$U66=1,$U96=1), "YES", "NO")</f>
        <v>NO</v>
      </c>
      <c r="Y96" t="str">
        <f>IF(AND($P66=1,$P96=1,$U66&gt;1,$U96&gt;1), "YES", "NO")</f>
        <v>NO</v>
      </c>
      <c r="Z96" t="str">
        <f>IF(AND(P66&gt;1,P96&gt;1,P66=U66,P96=U96), "YES", "NO")</f>
        <v>NO</v>
      </c>
      <c r="AA96" t="str">
        <f>IF(AND(P66&gt;1,P96&gt;1,P66&lt;U66,P96&lt;U96), "YES", "NO")</f>
        <v>NO</v>
      </c>
      <c r="AB96"/>
    </row>
    <row r="97" spans="1:28" ht="15" x14ac:dyDescent="0.35">
      <c r="A97" s="7" t="s">
        <v>178</v>
      </c>
      <c r="B97" s="8">
        <v>5.25</v>
      </c>
      <c r="C97" s="8">
        <v>69</v>
      </c>
      <c r="D97" s="8">
        <v>20.5</v>
      </c>
      <c r="E97" s="8">
        <v>7.5</v>
      </c>
      <c r="F97" s="8">
        <v>19.62</v>
      </c>
      <c r="G97" s="8">
        <v>4.38</v>
      </c>
      <c r="H97" s="8">
        <v>11.88</v>
      </c>
      <c r="I97" s="8">
        <v>40.119999999999997</v>
      </c>
      <c r="J97" s="8">
        <v>65.010000000000005</v>
      </c>
      <c r="K97" s="8">
        <v>0</v>
      </c>
      <c r="L97" s="8">
        <v>0</v>
      </c>
      <c r="M97" s="8">
        <v>0</v>
      </c>
      <c r="N97" s="8">
        <v>0</v>
      </c>
      <c r="O97" s="12" t="str">
        <f t="shared" si="4"/>
        <v>Auto</v>
      </c>
      <c r="P97" s="12">
        <v>1</v>
      </c>
      <c r="Q97" s="12">
        <v>0</v>
      </c>
      <c r="R97" s="12">
        <v>12</v>
      </c>
      <c r="S97" s="12">
        <v>0</v>
      </c>
      <c r="T97" s="12">
        <v>0</v>
      </c>
      <c r="U97" s="33">
        <v>12</v>
      </c>
      <c r="V97" s="33">
        <f t="shared" si="2"/>
        <v>12</v>
      </c>
      <c r="X97" t="str">
        <f>IF(AND($P67=1,$P97=1,$U67=1,$U97=1), "YES", "NO")</f>
        <v>NO</v>
      </c>
      <c r="Y97" t="str">
        <f>IF(AND($P67=1,$P97=1,$U67&gt;1,$U97&gt;1), "YES", "NO")</f>
        <v>NO</v>
      </c>
      <c r="Z97" t="str">
        <f>IF(AND(P67&gt;1,P97&gt;1,P67=U67,P97=U97), "YES", "NO")</f>
        <v>NO</v>
      </c>
      <c r="AA97" t="str">
        <f>IF(AND(P67&gt;1,P97&gt;1,P67&lt;U67,P97&lt;U97), "YES", "NO")</f>
        <v>NO</v>
      </c>
      <c r="AB97"/>
    </row>
    <row r="98" spans="1:28" ht="15" x14ac:dyDescent="0.35">
      <c r="A98" s="7" t="s">
        <v>179</v>
      </c>
      <c r="B98" s="8">
        <v>5.25</v>
      </c>
      <c r="C98" s="8">
        <v>69</v>
      </c>
      <c r="D98" s="8">
        <v>20.5</v>
      </c>
      <c r="E98" s="8">
        <v>7.5</v>
      </c>
      <c r="F98" s="8">
        <v>19.62</v>
      </c>
      <c r="G98" s="8">
        <v>4.38</v>
      </c>
      <c r="H98" s="8">
        <v>11.88</v>
      </c>
      <c r="I98" s="8">
        <v>40.119999999999997</v>
      </c>
      <c r="J98" s="8">
        <v>65.010000000000005</v>
      </c>
      <c r="K98" s="8">
        <v>0</v>
      </c>
      <c r="L98" s="8">
        <v>0</v>
      </c>
      <c r="M98" s="8">
        <v>0</v>
      </c>
      <c r="N98" s="8">
        <v>0</v>
      </c>
      <c r="O98" s="12" t="str">
        <f t="shared" si="4"/>
        <v>Auto</v>
      </c>
      <c r="P98" s="12">
        <v>1</v>
      </c>
      <c r="Q98" s="12">
        <v>0</v>
      </c>
      <c r="R98" s="12">
        <v>12</v>
      </c>
      <c r="S98" s="12">
        <v>0</v>
      </c>
      <c r="T98" s="12">
        <v>0</v>
      </c>
      <c r="U98" s="33">
        <v>12</v>
      </c>
      <c r="V98" s="33">
        <f t="shared" si="2"/>
        <v>12</v>
      </c>
      <c r="X98" t="str">
        <f>IF(AND($P68=1,$P98=1,$U68=1,$U98=1), "YES", "NO")</f>
        <v>NO</v>
      </c>
      <c r="Y98" t="str">
        <f>IF(AND($P68=1,$P98=1,$U68&gt;1,$U98&gt;1), "YES", "NO")</f>
        <v>NO</v>
      </c>
      <c r="Z98" t="str">
        <f>IF(AND(P68&gt;1,P98&gt;1,P68=U68,P98=U98), "YES", "NO")</f>
        <v>NO</v>
      </c>
      <c r="AA98" t="str">
        <f>IF(AND(P68&gt;1,P98&gt;1,P68&lt;U68,P98&lt;U98), "YES", "NO")</f>
        <v>NO</v>
      </c>
      <c r="AB98"/>
    </row>
    <row r="99" spans="1:28" ht="15" x14ac:dyDescent="0.35">
      <c r="A99" s="7" t="s">
        <v>180</v>
      </c>
      <c r="B99" s="8">
        <v>5.25</v>
      </c>
      <c r="C99" s="8">
        <v>69</v>
      </c>
      <c r="D99" s="8">
        <v>20.5</v>
      </c>
      <c r="E99" s="8">
        <v>7.5</v>
      </c>
      <c r="F99" s="8">
        <v>19.62</v>
      </c>
      <c r="G99" s="8">
        <v>4.38</v>
      </c>
      <c r="H99" s="8">
        <v>11.88</v>
      </c>
      <c r="I99" s="8">
        <v>40.119999999999997</v>
      </c>
      <c r="J99" s="8">
        <v>65.010000000000005</v>
      </c>
      <c r="K99" s="8">
        <v>0</v>
      </c>
      <c r="L99" s="8">
        <v>0</v>
      </c>
      <c r="M99" s="8">
        <v>0</v>
      </c>
      <c r="N99" s="8">
        <v>0</v>
      </c>
      <c r="O99" s="12" t="str">
        <f t="shared" si="4"/>
        <v>Auto</v>
      </c>
      <c r="P99" s="12">
        <v>1</v>
      </c>
      <c r="Q99" s="12">
        <v>0</v>
      </c>
      <c r="R99" s="12">
        <v>12</v>
      </c>
      <c r="S99" s="12">
        <v>0</v>
      </c>
      <c r="T99" s="12">
        <v>0</v>
      </c>
      <c r="U99" s="33">
        <v>12</v>
      </c>
      <c r="V99" s="33">
        <f t="shared" si="2"/>
        <v>12</v>
      </c>
      <c r="X99" t="str">
        <f>IF(AND($P69=1,$P99=1,$U69=1,$U99=1), "YES", "NO")</f>
        <v>NO</v>
      </c>
      <c r="Y99" t="str">
        <f>IF(AND($P69=1,$P99=1,$U69&gt;1,$U99&gt;1), "YES", "NO")</f>
        <v>NO</v>
      </c>
      <c r="Z99" t="str">
        <f>IF(AND(P69&gt;1,P99&gt;1,P69=U69,P99=U99), "YES", "NO")</f>
        <v>NO</v>
      </c>
      <c r="AA99" t="str">
        <f>IF(AND(P69&gt;1,P99&gt;1,P69&lt;U69,P99&lt;U99), "YES", "NO")</f>
        <v>NO</v>
      </c>
      <c r="AB99"/>
    </row>
    <row r="100" spans="1:28" ht="15" x14ac:dyDescent="0.35">
      <c r="A100" s="7" t="s">
        <v>181</v>
      </c>
      <c r="B100" s="8">
        <v>1</v>
      </c>
      <c r="C100" s="8">
        <v>73.290000000000006</v>
      </c>
      <c r="D100" s="8">
        <v>11.14</v>
      </c>
      <c r="E100" s="8">
        <v>10.57</v>
      </c>
      <c r="F100" s="8">
        <v>7</v>
      </c>
      <c r="G100" s="8">
        <v>2.14</v>
      </c>
      <c r="H100" s="8">
        <v>12.71</v>
      </c>
      <c r="I100" s="8">
        <v>18.14</v>
      </c>
      <c r="J100" s="8">
        <v>56.64</v>
      </c>
      <c r="K100" s="8">
        <v>2</v>
      </c>
      <c r="L100" s="8">
        <v>9.5000000000000001E-2</v>
      </c>
      <c r="M100" s="8">
        <v>44.15</v>
      </c>
      <c r="N100" s="8">
        <v>2.4500000000000002</v>
      </c>
      <c r="O100" s="12" t="str">
        <f t="shared" si="4"/>
        <v>Auto</v>
      </c>
      <c r="P100" s="12">
        <v>8</v>
      </c>
      <c r="Q100" s="12">
        <v>1</v>
      </c>
      <c r="R100" s="12">
        <v>1</v>
      </c>
      <c r="S100" s="12">
        <v>11</v>
      </c>
      <c r="T100" s="12">
        <v>6</v>
      </c>
      <c r="U100" s="33">
        <v>16</v>
      </c>
      <c r="V100" s="33">
        <f t="shared" si="2"/>
        <v>43</v>
      </c>
      <c r="X100" t="str">
        <f>IF(AND($P70=1,$P100=1,$U70=1,$U100=1), "YES", "NO")</f>
        <v>NO</v>
      </c>
      <c r="Y100" t="str">
        <f>IF(AND($P70=1,$P100=1,$U70&gt;1,$U100&gt;1), "YES", "NO")</f>
        <v>NO</v>
      </c>
      <c r="Z100" t="str">
        <f>IF(AND(P70&gt;1,P100&gt;1,P70=U70,P100=U100), "YES", "NO")</f>
        <v>NO</v>
      </c>
      <c r="AA100" t="str">
        <f>IF(AND(P70&gt;1,P100&gt;1,P70&lt;U70,P100&lt;U100), "YES", "NO")</f>
        <v>NO</v>
      </c>
      <c r="AB100"/>
    </row>
    <row r="101" spans="1:28" ht="15" x14ac:dyDescent="0.35">
      <c r="A101" s="5" t="s">
        <v>182</v>
      </c>
      <c r="B101" s="6">
        <v>1</v>
      </c>
      <c r="C101" s="6">
        <v>74</v>
      </c>
      <c r="D101" s="6">
        <v>11.43</v>
      </c>
      <c r="E101" s="6">
        <v>10.14</v>
      </c>
      <c r="F101" s="6">
        <v>8</v>
      </c>
      <c r="G101" s="6">
        <v>2.29</v>
      </c>
      <c r="H101" s="6">
        <v>12.43</v>
      </c>
      <c r="I101" s="6">
        <v>19.43</v>
      </c>
      <c r="J101" s="6">
        <v>57.32</v>
      </c>
      <c r="K101" s="6">
        <v>0.86</v>
      </c>
      <c r="L101" s="6">
        <v>0.17</v>
      </c>
      <c r="M101" s="6">
        <v>25.05</v>
      </c>
      <c r="N101" s="6">
        <v>1.39</v>
      </c>
      <c r="O101" s="12" t="str">
        <f t="shared" si="4"/>
        <v>Auto</v>
      </c>
      <c r="P101" s="12">
        <v>11</v>
      </c>
      <c r="Q101" s="12">
        <v>16</v>
      </c>
      <c r="R101" s="12">
        <v>9</v>
      </c>
      <c r="S101" s="12">
        <v>9</v>
      </c>
      <c r="T101" s="12">
        <v>9</v>
      </c>
      <c r="U101" s="33">
        <v>39</v>
      </c>
      <c r="V101" s="33">
        <f t="shared" si="2"/>
        <v>71</v>
      </c>
      <c r="X101" t="str">
        <f>IF(AND($P71=1,$P101=1,$U71=1,$U101=1), "YES", "NO")</f>
        <v>NO</v>
      </c>
      <c r="Y101" t="str">
        <f>IF(AND($P71=1,$P101=1,$U71&gt;1,$U101&gt;1), "YES", "NO")</f>
        <v>NO</v>
      </c>
      <c r="Z101" t="str">
        <f>IF(AND(P71&gt;1,P101&gt;1,P71=U71,P101=U101), "YES", "NO")</f>
        <v>NO</v>
      </c>
      <c r="AA101" t="str">
        <f>IF(AND(P71&gt;1,P101&gt;1,P71&lt;U71,P101&lt;U101), "YES", "NO")</f>
        <v>NO</v>
      </c>
      <c r="AB101"/>
    </row>
    <row r="102" spans="1:28" ht="15" x14ac:dyDescent="0.35">
      <c r="A102" s="5" t="s">
        <v>183</v>
      </c>
      <c r="B102" s="6">
        <v>1</v>
      </c>
      <c r="C102" s="6">
        <v>73.709999999999994</v>
      </c>
      <c r="D102" s="6">
        <v>10.86</v>
      </c>
      <c r="E102" s="6">
        <v>10.29</v>
      </c>
      <c r="F102" s="6">
        <v>6.86</v>
      </c>
      <c r="G102" s="6">
        <v>2.14</v>
      </c>
      <c r="H102" s="6">
        <v>12.43</v>
      </c>
      <c r="I102" s="6">
        <v>17.71</v>
      </c>
      <c r="J102" s="6">
        <v>55.03</v>
      </c>
      <c r="K102" s="6">
        <v>2.4300000000000002</v>
      </c>
      <c r="L102" s="6">
        <v>9.1999999999999998E-2</v>
      </c>
      <c r="M102" s="6">
        <v>38.79</v>
      </c>
      <c r="N102" s="6">
        <v>2.16</v>
      </c>
      <c r="O102" s="12" t="str">
        <f t="shared" si="4"/>
        <v>Auto</v>
      </c>
      <c r="P102" s="12">
        <v>8</v>
      </c>
      <c r="Q102" s="12">
        <v>2</v>
      </c>
      <c r="R102" s="12">
        <v>2</v>
      </c>
      <c r="S102" s="12">
        <v>7</v>
      </c>
      <c r="T102" s="12">
        <v>3</v>
      </c>
      <c r="U102" s="33">
        <v>13</v>
      </c>
      <c r="V102" s="33">
        <f t="shared" si="2"/>
        <v>31</v>
      </c>
      <c r="X102" t="str">
        <f>IF(AND($P72=1,$P102=1,$U72=1,$U102=1), "YES", "NO")</f>
        <v>NO</v>
      </c>
      <c r="Y102" t="str">
        <f>IF(AND($P72=1,$P102=1,$U72&gt;1,$U102&gt;1), "YES", "NO")</f>
        <v>NO</v>
      </c>
      <c r="Z102" t="str">
        <f>IF(AND(P72&gt;1,P102&gt;1,P72=U72,P102=U102), "YES", "NO")</f>
        <v>NO</v>
      </c>
      <c r="AA102" t="str">
        <f>IF(AND(P72&gt;1,P102&gt;1,P72&lt;U72,P102&lt;U102), "YES", "NO")</f>
        <v>NO</v>
      </c>
      <c r="AB102"/>
    </row>
    <row r="103" spans="1:28" ht="15" x14ac:dyDescent="0.35">
      <c r="A103" s="7" t="s">
        <v>184</v>
      </c>
      <c r="B103" s="8">
        <v>1</v>
      </c>
      <c r="C103" s="8">
        <v>74</v>
      </c>
      <c r="D103" s="8">
        <v>11.14</v>
      </c>
      <c r="E103" s="8">
        <v>10.14</v>
      </c>
      <c r="F103" s="8">
        <v>6.86</v>
      </c>
      <c r="G103" s="8">
        <v>2.4300000000000002</v>
      </c>
      <c r="H103" s="8">
        <v>12.57</v>
      </c>
      <c r="I103" s="8">
        <v>18</v>
      </c>
      <c r="J103" s="8">
        <v>56.19</v>
      </c>
      <c r="K103" s="8">
        <v>1.29</v>
      </c>
      <c r="L103" s="8">
        <v>6.4000000000000001E-2</v>
      </c>
      <c r="M103" s="8">
        <v>14.22</v>
      </c>
      <c r="N103" s="8">
        <v>0.79</v>
      </c>
      <c r="O103" s="12" t="str">
        <f t="shared" si="4"/>
        <v>Auto</v>
      </c>
      <c r="P103" s="12">
        <v>6</v>
      </c>
      <c r="Q103" s="12">
        <v>0</v>
      </c>
      <c r="R103" s="12">
        <v>2</v>
      </c>
      <c r="S103" s="12">
        <v>4</v>
      </c>
      <c r="T103" s="12">
        <v>3</v>
      </c>
      <c r="U103" s="33">
        <v>9</v>
      </c>
      <c r="V103" s="33">
        <f t="shared" si="2"/>
        <v>21</v>
      </c>
      <c r="X103" t="str">
        <f>IF(AND($P73=1,$P103=1,$U73=1,$U103=1), "YES", "NO")</f>
        <v>NO</v>
      </c>
      <c r="Y103" t="str">
        <f>IF(AND($P73=1,$P103=1,$U73&gt;1,$U103&gt;1), "YES", "NO")</f>
        <v>NO</v>
      </c>
      <c r="Z103" t="str">
        <f>IF(AND(P73&gt;1,P103&gt;1,P73=U73,P103=U103), "YES", "NO")</f>
        <v>NO</v>
      </c>
      <c r="AA103" t="str">
        <f>IF(AND(P73&gt;1,P103&gt;1,P73&lt;U73,P103&lt;U103), "YES", "NO")</f>
        <v>NO</v>
      </c>
      <c r="AB103"/>
    </row>
    <row r="104" spans="1:28" ht="15" x14ac:dyDescent="0.35">
      <c r="A104" s="7" t="s">
        <v>185</v>
      </c>
      <c r="B104" s="8">
        <v>1</v>
      </c>
      <c r="C104" s="8">
        <v>72.430000000000007</v>
      </c>
      <c r="D104" s="8">
        <v>11.43</v>
      </c>
      <c r="E104" s="8">
        <v>10.71</v>
      </c>
      <c r="F104" s="8">
        <v>7.29</v>
      </c>
      <c r="G104" s="8">
        <v>2.14</v>
      </c>
      <c r="H104" s="8">
        <v>12.86</v>
      </c>
      <c r="I104" s="8">
        <v>18.71</v>
      </c>
      <c r="J104" s="8">
        <v>57.52</v>
      </c>
      <c r="K104" s="8">
        <v>3.14</v>
      </c>
      <c r="L104" s="8">
        <v>6.9000000000000006E-2</v>
      </c>
      <c r="M104" s="8">
        <v>60.82</v>
      </c>
      <c r="N104" s="8">
        <v>3.38</v>
      </c>
      <c r="O104" s="12" t="str">
        <f t="shared" si="4"/>
        <v>Auto</v>
      </c>
      <c r="P104" s="12">
        <v>7</v>
      </c>
      <c r="Q104" s="12">
        <v>5</v>
      </c>
      <c r="R104" s="12">
        <v>2</v>
      </c>
      <c r="S104" s="12">
        <v>9</v>
      </c>
      <c r="T104" s="12">
        <v>5</v>
      </c>
      <c r="U104" s="33">
        <v>20</v>
      </c>
      <c r="V104" s="33">
        <f t="shared" si="2"/>
        <v>41</v>
      </c>
      <c r="X104" t="str">
        <f>IF(AND($P74=1,$P104=1,$U74=1,$U104=1), "YES", "NO")</f>
        <v>NO</v>
      </c>
      <c r="Y104" t="str">
        <f>IF(AND($P74=1,$P104=1,$U74&gt;1,$U104&gt;1), "YES", "NO")</f>
        <v>NO</v>
      </c>
      <c r="Z104" t="str">
        <f>IF(AND(P74&gt;1,P104&gt;1,P74=U74,P104=U104), "YES", "NO")</f>
        <v>NO</v>
      </c>
      <c r="AA104" t="str">
        <f>IF(AND(P74&gt;1,P104&gt;1,P74&lt;U74,P104&lt;U104), "YES", "NO")</f>
        <v>NO</v>
      </c>
      <c r="AB104"/>
    </row>
    <row r="105" spans="1:28" ht="15" x14ac:dyDescent="0.35">
      <c r="A105" s="7" t="s">
        <v>186</v>
      </c>
      <c r="B105" s="8">
        <v>4.58</v>
      </c>
      <c r="C105" s="8">
        <v>72.27</v>
      </c>
      <c r="D105" s="8">
        <v>16.27</v>
      </c>
      <c r="E105" s="8">
        <v>6.73</v>
      </c>
      <c r="F105" s="8">
        <v>15.12</v>
      </c>
      <c r="G105" s="8">
        <v>4.62</v>
      </c>
      <c r="H105" s="8">
        <v>11.35</v>
      </c>
      <c r="I105" s="8">
        <v>31.38</v>
      </c>
      <c r="J105" s="8">
        <v>56.92</v>
      </c>
      <c r="K105" s="8">
        <v>0.54</v>
      </c>
      <c r="L105" s="8">
        <v>5.5999999999999999E-3</v>
      </c>
      <c r="M105" s="8">
        <v>12.82</v>
      </c>
      <c r="N105" s="8">
        <v>0.71</v>
      </c>
      <c r="O105" s="12" t="str">
        <f t="shared" si="4"/>
        <v>Auto</v>
      </c>
      <c r="P105" s="12">
        <v>1</v>
      </c>
      <c r="Q105" s="12">
        <v>0</v>
      </c>
      <c r="R105" s="12">
        <v>0</v>
      </c>
      <c r="S105" s="12">
        <v>1</v>
      </c>
      <c r="T105" s="12">
        <v>0</v>
      </c>
      <c r="U105" s="33">
        <v>1</v>
      </c>
      <c r="V105" s="33">
        <f t="shared" si="2"/>
        <v>2</v>
      </c>
      <c r="X105" t="str">
        <f>IF(AND($P75=1,$P105=1,$U75=1,$U105=1), "YES", "NO")</f>
        <v>NO</v>
      </c>
      <c r="Y105" t="str">
        <f>IF(AND($P75=1,$P105=1,$U75&gt;1,$U105&gt;1), "YES", "NO")</f>
        <v>NO</v>
      </c>
      <c r="Z105" t="str">
        <f>IF(AND(P75&gt;1,P105&gt;1,P75=U75,P105=U105), "YES", "NO")</f>
        <v>NO</v>
      </c>
      <c r="AA105" t="str">
        <f>IF(AND(P75&gt;1,P105&gt;1,P75&lt;U75,P105&lt;U105), "YES", "NO")</f>
        <v>NO</v>
      </c>
      <c r="AB105"/>
    </row>
    <row r="106" spans="1:28" ht="15" x14ac:dyDescent="0.35">
      <c r="A106" s="7" t="s">
        <v>187</v>
      </c>
      <c r="B106" s="8">
        <v>2.33</v>
      </c>
      <c r="C106" s="8">
        <v>84.67</v>
      </c>
      <c r="D106" s="8">
        <v>5.33</v>
      </c>
      <c r="E106" s="8">
        <v>4.33</v>
      </c>
      <c r="F106" s="8">
        <v>4.33</v>
      </c>
      <c r="G106" s="8">
        <v>2.33</v>
      </c>
      <c r="H106" s="8">
        <v>6.67</v>
      </c>
      <c r="I106" s="8">
        <v>9.67</v>
      </c>
      <c r="J106" s="8">
        <v>22.35</v>
      </c>
      <c r="K106" s="8">
        <v>0</v>
      </c>
      <c r="L106" s="8">
        <v>0</v>
      </c>
      <c r="M106" s="8">
        <v>0</v>
      </c>
      <c r="N106" s="8">
        <v>0</v>
      </c>
      <c r="O106" s="12" t="str">
        <f t="shared" si="4"/>
        <v>Auto</v>
      </c>
      <c r="P106" s="12">
        <v>1</v>
      </c>
      <c r="Q106" s="12">
        <v>0</v>
      </c>
      <c r="R106" s="12">
        <v>0</v>
      </c>
      <c r="S106" s="12">
        <v>1</v>
      </c>
      <c r="T106" s="12">
        <v>0</v>
      </c>
      <c r="U106" s="33">
        <v>1</v>
      </c>
      <c r="V106" s="33">
        <f t="shared" si="2"/>
        <v>2</v>
      </c>
      <c r="X106" t="str">
        <f>IF(AND($P76=1,$P106=1,$U76=1,$U106=1), "YES", "NO")</f>
        <v>NO</v>
      </c>
      <c r="Y106" t="str">
        <f>IF(AND($P76=1,$P106=1,$U76&gt;1,$U106&gt;1), "YES", "NO")</f>
        <v>NO</v>
      </c>
      <c r="Z106" t="str">
        <f>IF(AND(P76&gt;1,P106&gt;1,P76=U76,P106=U106), "YES", "NO")</f>
        <v>NO</v>
      </c>
      <c r="AA106" t="str">
        <f>IF(AND(P76&gt;1,P106&gt;1,P76&lt;U76,P106&lt;U106), "YES", "NO")</f>
        <v>NO</v>
      </c>
      <c r="AB106"/>
    </row>
    <row r="107" spans="1:28" ht="15" x14ac:dyDescent="0.35">
      <c r="A107" s="7" t="s">
        <v>188</v>
      </c>
      <c r="B107" s="8">
        <v>1.1399999999999999</v>
      </c>
      <c r="C107" s="8">
        <v>73.86</v>
      </c>
      <c r="D107" s="8">
        <v>11</v>
      </c>
      <c r="E107" s="8">
        <v>10</v>
      </c>
      <c r="F107" s="8">
        <v>7</v>
      </c>
      <c r="G107" s="8">
        <v>2.14</v>
      </c>
      <c r="H107" s="8">
        <v>12.14</v>
      </c>
      <c r="I107" s="8">
        <v>18</v>
      </c>
      <c r="J107" s="8">
        <v>54.08</v>
      </c>
      <c r="K107" s="8">
        <v>2</v>
      </c>
      <c r="L107" s="8">
        <v>0.05</v>
      </c>
      <c r="M107" s="8">
        <v>30.41</v>
      </c>
      <c r="N107" s="8">
        <v>1.69</v>
      </c>
      <c r="O107" s="12" t="str">
        <f t="shared" si="4"/>
        <v>Auto</v>
      </c>
      <c r="P107" s="12">
        <v>1</v>
      </c>
      <c r="Q107" s="12">
        <v>1</v>
      </c>
      <c r="R107" s="12">
        <v>0</v>
      </c>
      <c r="S107" s="12">
        <v>1</v>
      </c>
      <c r="T107" s="12">
        <v>1</v>
      </c>
      <c r="U107" s="33">
        <v>3</v>
      </c>
      <c r="V107" s="33">
        <f t="shared" si="2"/>
        <v>5</v>
      </c>
      <c r="X107" t="str">
        <f>IF(AND($P77=1,$P107=1,$U77=1,$U107=1), "YES", "NO")</f>
        <v>NO</v>
      </c>
      <c r="Y107" t="str">
        <f>IF(AND($P77=1,$P107=1,$U77&gt;1,$U107&gt;1), "YES", "NO")</f>
        <v>NO</v>
      </c>
      <c r="Z107" t="str">
        <f>IF(AND(P77&gt;1,P107&gt;1,P77=U77,P107=U107), "YES", "NO")</f>
        <v>NO</v>
      </c>
      <c r="AA107" t="str">
        <f>IF(AND(P77&gt;1,P107&gt;1,P77&lt;U77,P107&lt;U107), "YES", "NO")</f>
        <v>NO</v>
      </c>
      <c r="AB107"/>
    </row>
    <row r="108" spans="1:28" ht="15" x14ac:dyDescent="0.35">
      <c r="A108" s="5" t="s">
        <v>189</v>
      </c>
      <c r="B108" s="6">
        <v>5.62</v>
      </c>
      <c r="C108" s="6">
        <v>68.5</v>
      </c>
      <c r="D108" s="6">
        <v>22</v>
      </c>
      <c r="E108" s="6">
        <v>7.62</v>
      </c>
      <c r="F108" s="6">
        <v>20.75</v>
      </c>
      <c r="G108" s="6">
        <v>4.38</v>
      </c>
      <c r="H108" s="6">
        <v>12</v>
      </c>
      <c r="I108" s="6">
        <v>42.75</v>
      </c>
      <c r="J108" s="6">
        <v>66.62</v>
      </c>
      <c r="K108" s="6">
        <v>0</v>
      </c>
      <c r="L108" s="6">
        <v>0</v>
      </c>
      <c r="M108" s="6">
        <v>0</v>
      </c>
      <c r="N108" s="6">
        <v>0</v>
      </c>
      <c r="O108" s="12" t="str">
        <f t="shared" si="4"/>
        <v>Auto</v>
      </c>
      <c r="P108" s="12">
        <v>1</v>
      </c>
      <c r="Q108" s="12">
        <v>0</v>
      </c>
      <c r="R108" s="12">
        <v>1</v>
      </c>
      <c r="S108" s="12">
        <v>1</v>
      </c>
      <c r="T108" s="12">
        <v>0</v>
      </c>
      <c r="U108" s="33">
        <v>2</v>
      </c>
      <c r="V108" s="33">
        <f t="shared" si="2"/>
        <v>3</v>
      </c>
      <c r="X108" t="str">
        <f>IF(AND($P78=1,$P108=1,$U78=1,$U108=1), "YES", "NO")</f>
        <v>NO</v>
      </c>
      <c r="Y108" t="str">
        <f>IF(AND($P78=1,$P108=1,$U78&gt;1,$U108&gt;1), "YES", "NO")</f>
        <v>NO</v>
      </c>
      <c r="Z108" t="str">
        <f>IF(AND(P78&gt;1,P108&gt;1,P78=U78,P108=U108), "YES", "NO")</f>
        <v>NO</v>
      </c>
      <c r="AA108" t="str">
        <f>IF(AND(P78&gt;1,P108&gt;1,P78&lt;U78,P108&lt;U108), "YES", "NO")</f>
        <v>NO</v>
      </c>
      <c r="AB108"/>
    </row>
    <row r="109" spans="1:28" ht="15" x14ac:dyDescent="0.35">
      <c r="A109" s="5" t="s">
        <v>190</v>
      </c>
      <c r="B109" s="6">
        <v>1</v>
      </c>
      <c r="C109" s="6">
        <v>75.14</v>
      </c>
      <c r="D109" s="6">
        <v>10.71</v>
      </c>
      <c r="E109" s="6">
        <v>10.14</v>
      </c>
      <c r="F109" s="6">
        <v>6.29</v>
      </c>
      <c r="G109" s="6">
        <v>2</v>
      </c>
      <c r="H109" s="6">
        <v>12.14</v>
      </c>
      <c r="I109" s="6">
        <v>17</v>
      </c>
      <c r="J109" s="6">
        <v>53.54</v>
      </c>
      <c r="K109" s="6">
        <v>2</v>
      </c>
      <c r="L109" s="6">
        <v>0.05</v>
      </c>
      <c r="M109" s="6">
        <v>30.41</v>
      </c>
      <c r="N109" s="6">
        <v>1.69</v>
      </c>
      <c r="O109" s="12" t="str">
        <f t="shared" si="4"/>
        <v>Auto</v>
      </c>
      <c r="P109" s="12">
        <v>3</v>
      </c>
      <c r="Q109" s="12">
        <v>0</v>
      </c>
      <c r="R109" s="12">
        <v>2</v>
      </c>
      <c r="S109" s="12">
        <v>1</v>
      </c>
      <c r="T109" s="12">
        <v>0</v>
      </c>
      <c r="U109" s="33">
        <v>3</v>
      </c>
      <c r="V109" s="33">
        <f t="shared" si="2"/>
        <v>6</v>
      </c>
      <c r="X109" t="str">
        <f>IF(AND($P79=1,$P109=1,$U79=1,$U109=1), "YES", "NO")</f>
        <v>NO</v>
      </c>
      <c r="Y109" t="str">
        <f>IF(AND($P79=1,$P109=1,$U79&gt;1,$U109&gt;1), "YES", "NO")</f>
        <v>NO</v>
      </c>
      <c r="Z109" t="str">
        <f>IF(AND(P79&gt;1,P109&gt;1,P79=U79,P109=U109), "YES", "NO")</f>
        <v>NO</v>
      </c>
      <c r="AA109" t="str">
        <f>IF(AND(P79&gt;1,P109&gt;1,P79&lt;U79,P109&lt;U109), "YES", "NO")</f>
        <v>NO</v>
      </c>
      <c r="AB109"/>
    </row>
    <row r="110" spans="1:28" ht="15" x14ac:dyDescent="0.35">
      <c r="A110" s="7" t="s">
        <v>191</v>
      </c>
      <c r="B110" s="8">
        <v>1</v>
      </c>
      <c r="C110" s="8">
        <v>74.569999999999993</v>
      </c>
      <c r="D110" s="8">
        <v>11.14</v>
      </c>
      <c r="E110" s="8">
        <v>9.86</v>
      </c>
      <c r="F110" s="8">
        <v>6.86</v>
      </c>
      <c r="G110" s="8">
        <v>2</v>
      </c>
      <c r="H110" s="8">
        <v>11.86</v>
      </c>
      <c r="I110" s="8">
        <v>18</v>
      </c>
      <c r="J110" s="8">
        <v>52.93</v>
      </c>
      <c r="K110" s="8">
        <v>2</v>
      </c>
      <c r="L110" s="8">
        <v>0.05</v>
      </c>
      <c r="M110" s="8">
        <v>30.41</v>
      </c>
      <c r="N110" s="8">
        <v>1.69</v>
      </c>
      <c r="O110" s="12" t="str">
        <f t="shared" si="4"/>
        <v>Auto</v>
      </c>
      <c r="P110" s="12">
        <v>3</v>
      </c>
      <c r="Q110" s="12">
        <v>1</v>
      </c>
      <c r="R110" s="12">
        <v>1</v>
      </c>
      <c r="S110" s="12">
        <v>1</v>
      </c>
      <c r="T110" s="12">
        <v>0</v>
      </c>
      <c r="U110" s="33">
        <v>3</v>
      </c>
      <c r="V110" s="33">
        <f t="shared" si="2"/>
        <v>6</v>
      </c>
      <c r="X110" t="str">
        <f>IF(AND($P80=1,$P110=1,$U80=1,$U110=1), "YES", "NO")</f>
        <v>NO</v>
      </c>
      <c r="Y110" t="str">
        <f>IF(AND($P80=1,$P110=1,$U80&gt;1,$U110&gt;1), "YES", "NO")</f>
        <v>NO</v>
      </c>
      <c r="Z110" t="str">
        <f>IF(AND(P80&gt;1,P110&gt;1,P80=U80,P110=U110), "YES", "NO")</f>
        <v>NO</v>
      </c>
      <c r="AA110" t="str">
        <f>IF(AND(P80&gt;1,P110&gt;1,P80&lt;U80,P110&lt;U110), "YES", "NO")</f>
        <v>NO</v>
      </c>
      <c r="AB110"/>
    </row>
    <row r="111" spans="1:28" ht="15" x14ac:dyDescent="0.35">
      <c r="A111" s="5" t="s">
        <v>192</v>
      </c>
      <c r="B111" s="6">
        <v>1</v>
      </c>
      <c r="C111" s="6">
        <v>74.14</v>
      </c>
      <c r="D111" s="6">
        <v>11.14</v>
      </c>
      <c r="E111" s="6">
        <v>10.14</v>
      </c>
      <c r="F111" s="6">
        <v>6.71</v>
      </c>
      <c r="G111" s="6">
        <v>2.14</v>
      </c>
      <c r="H111" s="6">
        <v>12.29</v>
      </c>
      <c r="I111" s="6">
        <v>17.86</v>
      </c>
      <c r="J111" s="6">
        <v>54.67</v>
      </c>
      <c r="K111" s="6">
        <v>2</v>
      </c>
      <c r="L111" s="6">
        <v>0.05</v>
      </c>
      <c r="M111" s="6">
        <v>30.41</v>
      </c>
      <c r="N111" s="6">
        <v>1.69</v>
      </c>
      <c r="O111" s="12" t="str">
        <f t="shared" si="4"/>
        <v>Auto</v>
      </c>
      <c r="P111" s="12">
        <v>2</v>
      </c>
      <c r="Q111" s="12">
        <v>0</v>
      </c>
      <c r="R111" s="12">
        <v>0</v>
      </c>
      <c r="S111" s="12">
        <v>2</v>
      </c>
      <c r="T111" s="12">
        <v>1</v>
      </c>
      <c r="U111" s="33">
        <v>3</v>
      </c>
      <c r="V111" s="33">
        <f t="shared" si="2"/>
        <v>7</v>
      </c>
      <c r="X111" t="str">
        <f>IF(AND($P81=1,$P111=1,$U81=1,$U111=1), "YES", "NO")</f>
        <v>NO</v>
      </c>
      <c r="Y111" t="str">
        <f>IF(AND($P81=1,$P111=1,$U81&gt;1,$U111&gt;1), "YES", "NO")</f>
        <v>NO</v>
      </c>
      <c r="Z111" t="str">
        <f>IF(AND(P81&gt;1,P111&gt;1,P81=U81,P111=U111), "YES", "NO")</f>
        <v>NO</v>
      </c>
      <c r="AA111" t="str">
        <f>IF(AND(P81&gt;1,P111&gt;1,P81&lt;U81,P111&lt;U111), "YES", "NO")</f>
        <v>NO</v>
      </c>
      <c r="AB111"/>
    </row>
    <row r="112" spans="1:28" ht="15" x14ac:dyDescent="0.35">
      <c r="A112" s="5" t="s">
        <v>193</v>
      </c>
      <c r="B112" s="6">
        <v>1</v>
      </c>
      <c r="C112" s="6">
        <v>74.14</v>
      </c>
      <c r="D112" s="6">
        <v>11.57</v>
      </c>
      <c r="E112" s="6">
        <v>10.14</v>
      </c>
      <c r="F112" s="6">
        <v>6.71</v>
      </c>
      <c r="G112" s="6">
        <v>2</v>
      </c>
      <c r="H112" s="6">
        <v>12.14</v>
      </c>
      <c r="I112" s="6">
        <v>18.29</v>
      </c>
      <c r="J112" s="6">
        <v>54.47</v>
      </c>
      <c r="K112" s="6">
        <v>2</v>
      </c>
      <c r="L112" s="6">
        <v>0.05</v>
      </c>
      <c r="M112" s="6">
        <v>30.41</v>
      </c>
      <c r="N112" s="6">
        <v>1.69</v>
      </c>
      <c r="O112" s="12" t="str">
        <f t="shared" si="4"/>
        <v>Auto</v>
      </c>
      <c r="P112" s="12">
        <v>3</v>
      </c>
      <c r="Q112" s="12">
        <v>0</v>
      </c>
      <c r="R112" s="12">
        <v>1</v>
      </c>
      <c r="S112" s="12">
        <v>2</v>
      </c>
      <c r="T112" s="12">
        <v>2</v>
      </c>
      <c r="U112" s="33">
        <v>5</v>
      </c>
      <c r="V112" s="33">
        <f t="shared" si="2"/>
        <v>11</v>
      </c>
      <c r="X112" t="str">
        <f>IF(AND($P82=1,$P112=1,$U82=1,$U112=1), "YES", "NO")</f>
        <v>NO</v>
      </c>
      <c r="Y112" t="str">
        <f>IF(AND($P82=1,$P112=1,$U82&gt;1,$U112&gt;1), "YES", "NO")</f>
        <v>NO</v>
      </c>
      <c r="Z112" t="str">
        <f>IF(AND(P82&gt;1,P112&gt;1,P82=U82,P112=U112), "YES", "NO")</f>
        <v>NO</v>
      </c>
      <c r="AA112" t="str">
        <f>IF(AND(P82&gt;1,P112&gt;1,P82&lt;U82,P112&lt;U112), "YES", "NO")</f>
        <v>NO</v>
      </c>
      <c r="AB112"/>
    </row>
    <row r="113" spans="1:28" ht="15" x14ac:dyDescent="0.35">
      <c r="A113" s="7" t="s">
        <v>194</v>
      </c>
      <c r="B113" s="8">
        <v>1</v>
      </c>
      <c r="C113" s="8">
        <v>74.709999999999994</v>
      </c>
      <c r="D113" s="8">
        <v>11.14</v>
      </c>
      <c r="E113" s="8">
        <v>10</v>
      </c>
      <c r="F113" s="8">
        <v>6.57</v>
      </c>
      <c r="G113" s="8">
        <v>2.14</v>
      </c>
      <c r="H113" s="8">
        <v>12.14</v>
      </c>
      <c r="I113" s="8">
        <v>17.71</v>
      </c>
      <c r="J113" s="8">
        <v>53.88</v>
      </c>
      <c r="K113" s="8">
        <v>1.29</v>
      </c>
      <c r="L113" s="8">
        <v>6.4000000000000001E-2</v>
      </c>
      <c r="M113" s="8">
        <v>23.02</v>
      </c>
      <c r="N113" s="8">
        <v>1.28</v>
      </c>
      <c r="O113" s="12" t="str">
        <f t="shared" si="4"/>
        <v>Auto</v>
      </c>
      <c r="P113" s="12">
        <v>2</v>
      </c>
      <c r="Q113" s="12">
        <v>0</v>
      </c>
      <c r="R113" s="12">
        <v>1</v>
      </c>
      <c r="S113" s="12">
        <v>1</v>
      </c>
      <c r="T113" s="12">
        <v>0</v>
      </c>
      <c r="U113" s="33">
        <v>2</v>
      </c>
      <c r="V113" s="33">
        <f t="shared" si="2"/>
        <v>4</v>
      </c>
      <c r="X113" t="str">
        <f>IF(AND($P83=1,$P113=1,$U83=1,$U113=1), "YES", "NO")</f>
        <v>NO</v>
      </c>
      <c r="Y113" t="str">
        <f>IF(AND($P83=1,$P113=1,$U83&gt;1,$U113&gt;1), "YES", "NO")</f>
        <v>NO</v>
      </c>
      <c r="Z113" s="29" t="str">
        <f>IF(AND(P83&gt;1,P113&gt;1,P83=U83,P113=U113), "YES", "NO")</f>
        <v>NO</v>
      </c>
      <c r="AA113" s="29" t="str">
        <f>IF(AND(P83&gt;1,P113&gt;1,P83&lt;U83,P113&lt;U113), "YES", "NO")</f>
        <v>NO</v>
      </c>
      <c r="AB113"/>
    </row>
    <row r="114" spans="1:28" ht="28.8" x14ac:dyDescent="0.35">
      <c r="A114" s="13" t="s">
        <v>209</v>
      </c>
      <c r="B114" s="13" t="s">
        <v>20</v>
      </c>
      <c r="C114" s="13" t="s">
        <v>31</v>
      </c>
      <c r="D114" s="13" t="s">
        <v>32</v>
      </c>
      <c r="E114" s="13" t="s">
        <v>21</v>
      </c>
      <c r="F114" s="13" t="s">
        <v>33</v>
      </c>
      <c r="G114" s="13" t="s">
        <v>22</v>
      </c>
      <c r="H114" s="13" t="s">
        <v>34</v>
      </c>
      <c r="I114" s="13" t="s">
        <v>35</v>
      </c>
      <c r="J114" s="13" t="s">
        <v>36</v>
      </c>
      <c r="K114" s="13" t="s">
        <v>37</v>
      </c>
      <c r="L114" s="13" t="s">
        <v>38</v>
      </c>
      <c r="M114" s="13" t="s">
        <v>39</v>
      </c>
      <c r="N114" s="13" t="s">
        <v>40</v>
      </c>
      <c r="O114" s="13" t="s">
        <v>29</v>
      </c>
      <c r="P114" s="13" t="s">
        <v>41</v>
      </c>
      <c r="Q114" s="13" t="s">
        <v>42</v>
      </c>
      <c r="R114" s="13" t="s">
        <v>43</v>
      </c>
      <c r="S114" s="13" t="s">
        <v>102</v>
      </c>
      <c r="T114" s="13" t="s">
        <v>103</v>
      </c>
      <c r="U114" s="13" t="s">
        <v>55</v>
      </c>
      <c r="V114" s="13" t="s">
        <v>195</v>
      </c>
      <c r="X114" s="28" t="s">
        <v>58</v>
      </c>
      <c r="Y114" s="28" t="s">
        <v>59</v>
      </c>
      <c r="Z114" s="28" t="s">
        <v>56</v>
      </c>
      <c r="AA114" s="28" t="s">
        <v>57</v>
      </c>
      <c r="AB114"/>
    </row>
    <row r="115" spans="1:28" x14ac:dyDescent="0.35">
      <c r="A115" s="9" t="s">
        <v>23</v>
      </c>
      <c r="B115" s="26">
        <f>SUM(B24:B113)</f>
        <v>223.61999999999998</v>
      </c>
      <c r="C115" s="26">
        <f>SUM(C24:C113)</f>
        <v>6694.8100000000022</v>
      </c>
      <c r="D115" s="26">
        <f>SUM(D24:D113)</f>
        <v>1188.6000000000004</v>
      </c>
      <c r="E115" s="26">
        <f>SUM(E24:E113)</f>
        <v>750.23000000000047</v>
      </c>
      <c r="F115" s="26">
        <f>SUM(F24:F113)</f>
        <v>941.08000000000072</v>
      </c>
      <c r="G115" s="26">
        <f>SUM(G24:G113)</f>
        <v>260.68999999999988</v>
      </c>
      <c r="H115" s="26">
        <f>SUM(H24:H113)</f>
        <v>1011.0200000000002</v>
      </c>
      <c r="I115" s="26">
        <f>SUM(I24:I113)</f>
        <v>2129.7000000000012</v>
      </c>
      <c r="J115" s="26">
        <f>SUM(J24:J113)</f>
        <v>4730.2600000000029</v>
      </c>
      <c r="K115" s="26">
        <f>SUM(K24:K113)</f>
        <v>98.660000000000025</v>
      </c>
      <c r="L115" s="26">
        <f>SUM(L24:L113)</f>
        <v>2.7665999999999999</v>
      </c>
      <c r="M115" s="26">
        <f>SUM(M24:M113)</f>
        <v>1592.71</v>
      </c>
      <c r="N115" s="26">
        <f>SUM(N24:N113)</f>
        <v>88.519999999999953</v>
      </c>
      <c r="O115" s="10"/>
    </row>
    <row r="116" spans="1:28" x14ac:dyDescent="0.35">
      <c r="A116" s="11" t="s">
        <v>24</v>
      </c>
      <c r="B116" s="27">
        <f>AVERAGE(B24:B113)</f>
        <v>2.4846666666666666</v>
      </c>
      <c r="C116" s="27">
        <f>AVERAGE(C24:C113)</f>
        <v>74.386777777777809</v>
      </c>
      <c r="D116" s="27">
        <f>AVERAGE(D24:D113)</f>
        <v>13.206666666666671</v>
      </c>
      <c r="E116" s="27">
        <f>AVERAGE(E24:E113)</f>
        <v>8.3358888888888938</v>
      </c>
      <c r="F116" s="27">
        <f>AVERAGE(F24:F113)</f>
        <v>10.456444444444452</v>
      </c>
      <c r="G116" s="27">
        <f>AVERAGE(G24:G113)</f>
        <v>2.8965555555555542</v>
      </c>
      <c r="H116" s="27">
        <f>AVERAGE(H24:H113)</f>
        <v>11.233555555555558</v>
      </c>
      <c r="I116" s="27">
        <f>AVERAGE(I24:I113)</f>
        <v>23.663333333333348</v>
      </c>
      <c r="J116" s="27">
        <f>AVERAGE(J24:J113)</f>
        <v>52.558444444444476</v>
      </c>
      <c r="K116" s="27">
        <f>AVERAGE(K24:K113)</f>
        <v>1.0962222222222224</v>
      </c>
      <c r="L116" s="27">
        <f>AVERAGE(L24:L113)</f>
        <v>3.074E-2</v>
      </c>
      <c r="M116" s="27">
        <f>AVERAGE(M24:M113)</f>
        <v>17.696777777777779</v>
      </c>
      <c r="N116" s="27">
        <f>AVERAGE(N24:N113)</f>
        <v>0.98355555555555507</v>
      </c>
      <c r="O116" s="10"/>
      <c r="P116" s="32">
        <f>AVERAGE(P54:P83)</f>
        <v>1.5666666666666667</v>
      </c>
      <c r="Q116" s="32">
        <f>AVERAGE(Q54:Q83)</f>
        <v>2.8</v>
      </c>
      <c r="R116" s="32">
        <f>AVERAGE(R54:R83)</f>
        <v>0</v>
      </c>
      <c r="S116" s="32">
        <f>AVERAGE(S54:S83)</f>
        <v>3.2666666666666666</v>
      </c>
      <c r="T116" s="32">
        <f>AVERAGE(T54:T83)</f>
        <v>2.2000000000000002</v>
      </c>
      <c r="U116" s="32">
        <f>AVERAGE(U54:U83)</f>
        <v>6.666666666666667</v>
      </c>
      <c r="V116" s="32">
        <f>AVERAGE(V54:V83)</f>
        <v>14.3</v>
      </c>
    </row>
    <row r="117" spans="1:28" x14ac:dyDescent="0.35">
      <c r="A117" s="9" t="s">
        <v>25</v>
      </c>
      <c r="B117" s="26">
        <f>MIN(B24:B113)</f>
        <v>1</v>
      </c>
      <c r="C117" s="26">
        <f>MIN(C24:C113)</f>
        <v>68.5</v>
      </c>
      <c r="D117" s="26">
        <f>MIN(D24:D113)</f>
        <v>5.33</v>
      </c>
      <c r="E117" s="26">
        <f>MIN(E24:E113)</f>
        <v>4.33</v>
      </c>
      <c r="F117" s="26">
        <f>MIN(F24:F113)</f>
        <v>4.33</v>
      </c>
      <c r="G117" s="26">
        <f>MIN(G24:G113)</f>
        <v>2</v>
      </c>
      <c r="H117" s="26">
        <f>MIN(H24:H113)</f>
        <v>6.67</v>
      </c>
      <c r="I117" s="26">
        <f>MIN(I24:I113)</f>
        <v>9.67</v>
      </c>
      <c r="J117" s="26">
        <f>MIN(J24:J113)</f>
        <v>22.35</v>
      </c>
      <c r="K117" s="26">
        <f>MIN(K24:K113)</f>
        <v>0</v>
      </c>
      <c r="L117" s="26">
        <f>MIN(L24:L113)</f>
        <v>0</v>
      </c>
      <c r="M117" s="26">
        <f>MIN(M24:M113)</f>
        <v>0</v>
      </c>
      <c r="N117" s="26">
        <f>MIN(N24:N113)</f>
        <v>0</v>
      </c>
      <c r="O117" s="10"/>
      <c r="P117" s="32">
        <f>AVERAGE(P84:P113)</f>
        <v>2.8666666666666667</v>
      </c>
      <c r="Q117" s="32">
        <f>AVERAGE(Q84:Q113)</f>
        <v>0.9</v>
      </c>
      <c r="R117" s="32">
        <f>AVERAGE(R84:R113)</f>
        <v>3.3333333333333335</v>
      </c>
      <c r="S117" s="32">
        <f>AVERAGE(S84:S113)</f>
        <v>2.1</v>
      </c>
      <c r="T117" s="32">
        <f>AVERAGE(T84:T113)</f>
        <v>1.2</v>
      </c>
      <c r="U117" s="32">
        <f>AVERAGE(U84:U113)</f>
        <v>7.2333333333333334</v>
      </c>
      <c r="V117" s="32">
        <f>AVERAGE(V84:V113)</f>
        <v>12.7</v>
      </c>
    </row>
    <row r="118" spans="1:28" x14ac:dyDescent="0.35">
      <c r="A118" s="11" t="s">
        <v>26</v>
      </c>
      <c r="B118" s="27">
        <f>MAX(B24:B113)</f>
        <v>5.88</v>
      </c>
      <c r="C118" s="27">
        <f>MAX(C24:C113)</f>
        <v>84.67</v>
      </c>
      <c r="D118" s="27">
        <f>MAX(D24:D113)</f>
        <v>22.5</v>
      </c>
      <c r="E118" s="27">
        <f>MAX(E24:E113)</f>
        <v>10.71</v>
      </c>
      <c r="F118" s="27">
        <f>MAX(F24:F113)</f>
        <v>22</v>
      </c>
      <c r="G118" s="27">
        <f>MAX(G24:G113)</f>
        <v>4.63</v>
      </c>
      <c r="H118" s="27">
        <f>MAX(H24:H113)</f>
        <v>12.86</v>
      </c>
      <c r="I118" s="27">
        <f>MAX(I24:I113)</f>
        <v>44.5</v>
      </c>
      <c r="J118" s="27">
        <f>MAX(J24:J113)</f>
        <v>67.08</v>
      </c>
      <c r="K118" s="27">
        <f>MAX(K24:K113)</f>
        <v>3.14</v>
      </c>
      <c r="L118" s="27">
        <f>MAX(L24:L113)</f>
        <v>0.17</v>
      </c>
      <c r="M118" s="27">
        <f>MAX(M24:M113)</f>
        <v>60.82</v>
      </c>
      <c r="N118" s="27">
        <f>MAX(N24:N113)</f>
        <v>3.38</v>
      </c>
      <c r="O118" s="10"/>
    </row>
    <row r="119" spans="1:28" x14ac:dyDescent="0.35">
      <c r="A119" s="9" t="s">
        <v>27</v>
      </c>
      <c r="B119" s="26">
        <f>_xlfn.STDEV.S(B24:B113)</f>
        <v>1.8771549115077724</v>
      </c>
      <c r="C119" s="26">
        <f>_xlfn.STDEV.S(C24:C113)</f>
        <v>3.989945460971001</v>
      </c>
      <c r="D119" s="26">
        <f>_xlfn.STDEV.S(D24:D113)</f>
        <v>4.6862047124236339</v>
      </c>
      <c r="E119" s="26">
        <f>_xlfn.STDEV.S(E24:E113)</f>
        <v>1.8887525723742533</v>
      </c>
      <c r="F119" s="26">
        <f>_xlfn.STDEV.S(F24:F113)</f>
        <v>5.7977762709413012</v>
      </c>
      <c r="G119" s="26">
        <f>_xlfn.STDEV.S(G24:G113)</f>
        <v>1.0405283458185761</v>
      </c>
      <c r="H119" s="26">
        <f>_xlfn.STDEV.S(H24:H113)</f>
        <v>1.4630407853424721</v>
      </c>
      <c r="I119" s="26">
        <f>_xlfn.STDEV.S(I24:I113)</f>
        <v>10.422242959872211</v>
      </c>
      <c r="J119" s="26">
        <f>_xlfn.STDEV.S(J24:J113)</f>
        <v>10.513936915502503</v>
      </c>
      <c r="K119" s="26">
        <f>_xlfn.STDEV.S(K24:K113)</f>
        <v>0.98856334048573169</v>
      </c>
      <c r="L119" s="26">
        <f>_xlfn.STDEV.S(L24:L113)</f>
        <v>3.0896179175432841E-2</v>
      </c>
      <c r="M119" s="26">
        <f>_xlfn.STDEV.S(M24:M113)</f>
        <v>15.964684609135373</v>
      </c>
      <c r="N119" s="26">
        <f>_xlfn.STDEV.S(N24:N113)</f>
        <v>0.88730156649958047</v>
      </c>
      <c r="O119" s="10"/>
    </row>
    <row r="120" spans="1:28" x14ac:dyDescent="0.35">
      <c r="A120" s="11" t="s">
        <v>28</v>
      </c>
      <c r="B120" s="27">
        <f>_xlfn.VAR.S(B24:B113)</f>
        <v>3.5237105617977527</v>
      </c>
      <c r="C120" s="27">
        <f>_xlfn.VAR.S(C24:C113)</f>
        <v>15.919664781523094</v>
      </c>
      <c r="D120" s="27">
        <f>_xlfn.VAR.S(D24:D113)</f>
        <v>21.960514606741476</v>
      </c>
      <c r="E120" s="27">
        <f>_xlfn.VAR.S(E24:E113)</f>
        <v>3.5673862796503588</v>
      </c>
      <c r="F120" s="27">
        <f>_xlfn.VAR.S(F24:F113)</f>
        <v>33.614209687890025</v>
      </c>
      <c r="G120" s="27">
        <f>_xlfn.VAR.S(G24:G113)</f>
        <v>1.0826992384519423</v>
      </c>
      <c r="H120" s="27">
        <f>_xlfn.VAR.S(H24:H113)</f>
        <v>2.1404883395755174</v>
      </c>
      <c r="I120" s="27">
        <f>_xlfn.VAR.S(I24:I113)</f>
        <v>108.62314831460586</v>
      </c>
      <c r="J120" s="27">
        <f>_xlfn.VAR.S(J24:J113)</f>
        <v>110.5428694631663</v>
      </c>
      <c r="K120" s="27">
        <f>_xlfn.VAR.S(K24:K113)</f>
        <v>0.97725747815230868</v>
      </c>
      <c r="L120" s="27">
        <f>_xlfn.VAR.S(L24:L113)</f>
        <v>9.5457388764044998E-4</v>
      </c>
      <c r="M120" s="27">
        <f>_xlfn.VAR.S(M24:M113)</f>
        <v>254.87115466916387</v>
      </c>
      <c r="N120" s="27">
        <f>_xlfn.VAR.S(N24:N113)</f>
        <v>0.78730406991260937</v>
      </c>
      <c r="O120" s="10"/>
    </row>
    <row r="123" spans="1:28" x14ac:dyDescent="0.35">
      <c r="A123" s="36" t="s">
        <v>104</v>
      </c>
    </row>
    <row r="124" spans="1:28" customFormat="1" x14ac:dyDescent="0.3">
      <c r="A124" s="35" t="s">
        <v>196</v>
      </c>
    </row>
    <row r="125" spans="1:28" customFormat="1" x14ac:dyDescent="0.3">
      <c r="A125" s="35" t="s">
        <v>197</v>
      </c>
    </row>
    <row r="126" spans="1:28" customFormat="1" x14ac:dyDescent="0.3">
      <c r="A126" s="35" t="s">
        <v>198</v>
      </c>
    </row>
    <row r="127" spans="1:28" customFormat="1" x14ac:dyDescent="0.3">
      <c r="A127" t="s">
        <v>199</v>
      </c>
    </row>
    <row r="128" spans="1:28" customFormat="1" x14ac:dyDescent="0.3">
      <c r="A128" t="s">
        <v>200</v>
      </c>
    </row>
    <row r="129" spans="1:15" customFormat="1" x14ac:dyDescent="0.3">
      <c r="A129" s="35" t="s">
        <v>201</v>
      </c>
    </row>
    <row r="130" spans="1:15" customFormat="1" x14ac:dyDescent="0.3">
      <c r="A130" s="35" t="s">
        <v>202</v>
      </c>
    </row>
    <row r="131" spans="1:15" customFormat="1" x14ac:dyDescent="0.3">
      <c r="A131" s="35" t="s">
        <v>203</v>
      </c>
    </row>
    <row r="132" spans="1:15" customFormat="1" x14ac:dyDescent="0.3">
      <c r="A132" s="35" t="s">
        <v>204</v>
      </c>
    </row>
    <row r="133" spans="1:15" customFormat="1" x14ac:dyDescent="0.3">
      <c r="A133" s="35" t="s">
        <v>205</v>
      </c>
    </row>
    <row r="134" spans="1:15" customFormat="1" x14ac:dyDescent="0.3">
      <c r="A134" s="35" t="s">
        <v>206</v>
      </c>
    </row>
    <row r="135" spans="1:15" customFormat="1" x14ac:dyDescent="0.3">
      <c r="A135" s="35" t="s">
        <v>207</v>
      </c>
    </row>
    <row r="139" spans="1:15" x14ac:dyDescent="0.35">
      <c r="A139" s="19" t="s">
        <v>44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1" spans="1:15" ht="28.8" x14ac:dyDescent="0.35">
      <c r="B141" s="13" t="s">
        <v>208</v>
      </c>
      <c r="C141" s="13" t="s">
        <v>20</v>
      </c>
      <c r="D141" s="13" t="s">
        <v>31</v>
      </c>
      <c r="E141" s="13" t="s">
        <v>32</v>
      </c>
      <c r="F141" s="13" t="s">
        <v>21</v>
      </c>
      <c r="G141" s="13" t="s">
        <v>33</v>
      </c>
      <c r="H141" s="13" t="s">
        <v>22</v>
      </c>
      <c r="I141" s="13" t="s">
        <v>34</v>
      </c>
      <c r="J141" s="13" t="s">
        <v>35</v>
      </c>
      <c r="K141" s="13" t="s">
        <v>36</v>
      </c>
      <c r="L141" s="13" t="s">
        <v>37</v>
      </c>
      <c r="M141" s="13" t="s">
        <v>38</v>
      </c>
      <c r="N141" s="13" t="s">
        <v>39</v>
      </c>
      <c r="O141" s="13" t="s">
        <v>40</v>
      </c>
    </row>
    <row r="142" spans="1:15" x14ac:dyDescent="0.35">
      <c r="A142" s="1">
        <f>COUNTIF($A$24:$A$113, "*Buggy")</f>
        <v>30</v>
      </c>
      <c r="B142" s="1" t="s">
        <v>30</v>
      </c>
      <c r="C142" s="32">
        <f xml:space="preserve"> AVERAGEIF($A$24:$A$113, "*Buggy",B$24:B$113)</f>
        <v>2.5030000000000001</v>
      </c>
      <c r="D142" s="32">
        <f xml:space="preserve"> AVERAGEIF($A$24:$A$113, "*Buggy",C$24:C$113)</f>
        <v>74.417999999999978</v>
      </c>
      <c r="E142" s="32">
        <f xml:space="preserve"> AVERAGEIF($A$24:$A$113, "*Buggy",D$24:D$113)</f>
        <v>13.295999999999999</v>
      </c>
      <c r="F142" s="32">
        <f xml:space="preserve"> AVERAGEIF($A$24:$A$113, "*Buggy",E$24:E$113)</f>
        <v>8.2990000000000048</v>
      </c>
      <c r="G142" s="32">
        <f xml:space="preserve"> AVERAGEIF($A$24:$A$113, "*Buggy",F$24:F$113)</f>
        <v>10.584000000000005</v>
      </c>
      <c r="H142" s="32">
        <f xml:space="preserve"> AVERAGEIF($A$24:$A$113, "*Buggy",G$24:G$113)</f>
        <v>2.8806666666666669</v>
      </c>
      <c r="I142" s="32">
        <f xml:space="preserve"> AVERAGEIF($A$24:$A$113, "*Buggy",H$24:H$113)</f>
        <v>11.180666666666671</v>
      </c>
      <c r="J142" s="32">
        <f xml:space="preserve"> AVERAGEIF($A$24:$A$113, "*Buggy",I$24:I$113)</f>
        <v>23.882333333333339</v>
      </c>
      <c r="K142" s="32">
        <f xml:space="preserve"> AVERAGEIF($A$24:$A$113, "*Buggy",J$24:J$113)</f>
        <v>52.410999999999966</v>
      </c>
      <c r="L142" s="32">
        <f xml:space="preserve"> AVERAGEIF($A$24:$A$113, "*Buggy",K$24:K$113)</f>
        <v>1.1053333333333333</v>
      </c>
      <c r="M142" s="32">
        <f xml:space="preserve"> AVERAGEIF($A$24:$A$113, "*Buggy",L$24:L$113)</f>
        <v>2.7666666666666676E-2</v>
      </c>
      <c r="N142" s="32">
        <f xml:space="preserve"> AVERAGEIF($A$24:$A$113, "*Buggy",M$24:M$113)</f>
        <v>17.112666666666673</v>
      </c>
      <c r="O142" s="32">
        <f xml:space="preserve"> AVERAGEIF($A$24:$A$113, "*Buggy",N$24:N$113)</f>
        <v>0.95133333333333359</v>
      </c>
    </row>
    <row r="143" spans="1:15" x14ac:dyDescent="0.35">
      <c r="A143" s="1">
        <f>COUNTIF($A$24:$A$113, "*Manual")</f>
        <v>30</v>
      </c>
      <c r="B143" s="1" t="s">
        <v>62</v>
      </c>
      <c r="C143" s="32">
        <f xml:space="preserve"> AVERAGEIF($A$24:$A$113, "*Manual",B$24:B$113)</f>
        <v>2.5443333333333338</v>
      </c>
      <c r="D143" s="32">
        <f xml:space="preserve"> AVERAGEIF($A$24:$A$113, "*Manual",C$24:C$113)</f>
        <v>74.441666666666649</v>
      </c>
      <c r="E143" s="32">
        <f xml:space="preserve"> AVERAGEIF($A$24:$A$113, "*Manual",D$24:D$113)</f>
        <v>13.315333333333335</v>
      </c>
      <c r="F143" s="32">
        <f xml:space="preserve"> AVERAGEIF($A$24:$A$113, "*Manual",E$24:E$113)</f>
        <v>8.2960000000000029</v>
      </c>
      <c r="G143" s="32">
        <f xml:space="preserve"> AVERAGEIF($A$24:$A$113, "*Manual",F$24:F$113)</f>
        <v>10.593666666666662</v>
      </c>
      <c r="H143" s="32">
        <f xml:space="preserve"> AVERAGEIF($A$24:$A$113, "*Manual",G$24:G$113)</f>
        <v>2.8883333333333336</v>
      </c>
      <c r="I143" s="32">
        <f xml:space="preserve"> AVERAGEIF($A$24:$A$113, "*Manual",H$24:H$113)</f>
        <v>11.185000000000002</v>
      </c>
      <c r="J143" s="32">
        <f xml:space="preserve"> AVERAGEIF($A$24:$A$113, "*Manual",I$24:I$113)</f>
        <v>23.907333333333341</v>
      </c>
      <c r="K143" s="32">
        <f xml:space="preserve"> AVERAGEIF($A$24:$A$113, "*Manual",J$24:J$113)</f>
        <v>52.42833333333332</v>
      </c>
      <c r="L143" s="32">
        <f xml:space="preserve"> AVERAGEIF($A$24:$A$113, "*Manual",K$24:K$113)</f>
        <v>1.1046666666666667</v>
      </c>
      <c r="M143" s="32">
        <f xml:space="preserve"> AVERAGEIF($A$24:$A$113, "*Manual",L$24:L$113)</f>
        <v>2.7666666666666676E-2</v>
      </c>
      <c r="N143" s="32">
        <f xml:space="preserve"> AVERAGEIF($A$24:$A$113, "*Manual",M$24:M$113)</f>
        <v>17.096000000000007</v>
      </c>
      <c r="O143" s="32">
        <f xml:space="preserve"> AVERAGEIF($A$24:$A$113, "*Manual",N$24:N$113)</f>
        <v>0.95000000000000007</v>
      </c>
    </row>
    <row r="144" spans="1:15" x14ac:dyDescent="0.35">
      <c r="A144" s="1">
        <f>COUNTIF($A$24:$A$113, "*Auto")</f>
        <v>30</v>
      </c>
      <c r="B144" s="1" t="s">
        <v>82</v>
      </c>
      <c r="C144" s="32">
        <f xml:space="preserve"> AVERAGEIF($A$24:$A$113, "*Auto",B$24:B$113)</f>
        <v>2.4066666666666667</v>
      </c>
      <c r="D144" s="32">
        <f xml:space="preserve"> AVERAGEIF($A$24:$A$113, "*Auto",C$24:C$113)</f>
        <v>74.300666666666672</v>
      </c>
      <c r="E144" s="32">
        <f xml:space="preserve"> AVERAGEIF($A$24:$A$113, "*Auto",D$24:D$113)</f>
        <v>13.008666666666665</v>
      </c>
      <c r="F144" s="32">
        <f xml:space="preserve"> AVERAGEIF($A$24:$A$113, "*Auto",E$24:E$113)</f>
        <v>8.4126666666666665</v>
      </c>
      <c r="G144" s="32">
        <f xml:space="preserve"> AVERAGEIF($A$24:$A$113, "*Auto",F$24:F$113)</f>
        <v>10.191666666666666</v>
      </c>
      <c r="H144" s="32">
        <f xml:space="preserve"> AVERAGEIF($A$24:$A$113, "*Auto",G$24:G$113)</f>
        <v>2.920666666666667</v>
      </c>
      <c r="I144" s="32">
        <f xml:space="preserve"> AVERAGEIF($A$24:$A$113, "*Auto",H$24:H$113)</f>
        <v>11.334999999999999</v>
      </c>
      <c r="J144" s="32">
        <f xml:space="preserve"> AVERAGEIF($A$24:$A$113, "*Auto",I$24:I$113)</f>
        <v>23.200333333333333</v>
      </c>
      <c r="K144" s="32">
        <f xml:space="preserve"> AVERAGEIF($A$24:$A$113, "*Auto",J$24:J$113)</f>
        <v>52.835999999999999</v>
      </c>
      <c r="L144" s="32">
        <f xml:space="preserve"> AVERAGEIF($A$24:$A$113, "*Auto",K$24:K$113)</f>
        <v>1.0786666666666667</v>
      </c>
      <c r="M144" s="32">
        <f xml:space="preserve"> AVERAGEIF($A$24:$A$113, "*Auto",L$24:L$113)</f>
        <v>3.6886666666666672E-2</v>
      </c>
      <c r="N144" s="32">
        <f xml:space="preserve"> AVERAGEIF($A$24:$A$113, "*Auto",M$24:M$113)</f>
        <v>18.881666666666668</v>
      </c>
      <c r="O144" s="32">
        <f xml:space="preserve"> AVERAGEIF($A$24:$A$113, "*Auto",N$24:N$113)</f>
        <v>1.0493333333333337</v>
      </c>
    </row>
    <row r="147" spans="1:34" ht="15" x14ac:dyDescent="0.35">
      <c r="A147" s="19" t="s">
        <v>61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R147" s="38" t="s">
        <v>60</v>
      </c>
      <c r="S147" s="38"/>
      <c r="T147" s="38"/>
      <c r="U147" s="31"/>
      <c r="V147" s="31"/>
      <c r="W147" s="31"/>
      <c r="X147" s="20"/>
      <c r="Y147" s="20"/>
      <c r="Z147" s="20"/>
      <c r="AA147" s="20"/>
      <c r="AB147" s="20"/>
      <c r="AC147" s="20"/>
      <c r="AD147" s="20"/>
      <c r="AE147" s="20"/>
      <c r="AF147" s="20"/>
      <c r="AG147"/>
      <c r="AH147"/>
    </row>
    <row r="149" spans="1:34" ht="33.6" customHeight="1" x14ac:dyDescent="0.35">
      <c r="B149" s="13" t="s">
        <v>208</v>
      </c>
      <c r="C149" s="13" t="s">
        <v>45</v>
      </c>
      <c r="D149" s="13" t="s">
        <v>31</v>
      </c>
      <c r="E149" s="13" t="s">
        <v>32</v>
      </c>
      <c r="F149" s="13" t="s">
        <v>21</v>
      </c>
      <c r="G149" s="13" t="s">
        <v>33</v>
      </c>
      <c r="H149" s="13" t="s">
        <v>22</v>
      </c>
      <c r="I149" s="13" t="s">
        <v>34</v>
      </c>
      <c r="J149" s="13" t="s">
        <v>35</v>
      </c>
      <c r="K149" s="13" t="s">
        <v>36</v>
      </c>
      <c r="L149" s="13" t="s">
        <v>37</v>
      </c>
      <c r="M149" s="13" t="s">
        <v>38</v>
      </c>
      <c r="N149" s="13" t="s">
        <v>39</v>
      </c>
      <c r="O149" s="13" t="s">
        <v>40</v>
      </c>
      <c r="S149" s="13" t="s">
        <v>208</v>
      </c>
      <c r="T149" s="13" t="s">
        <v>45</v>
      </c>
      <c r="U149" s="13" t="s">
        <v>31</v>
      </c>
      <c r="V149" s="13" t="s">
        <v>32</v>
      </c>
      <c r="W149" s="13" t="s">
        <v>21</v>
      </c>
      <c r="X149" s="13" t="s">
        <v>33</v>
      </c>
      <c r="Y149" s="13" t="s">
        <v>22</v>
      </c>
      <c r="Z149" s="13" t="s">
        <v>34</v>
      </c>
      <c r="AA149" s="13" t="s">
        <v>35</v>
      </c>
      <c r="AB149" s="13" t="s">
        <v>36</v>
      </c>
      <c r="AC149" s="13" t="s">
        <v>37</v>
      </c>
      <c r="AD149" s="13" t="s">
        <v>38</v>
      </c>
      <c r="AE149" s="13" t="s">
        <v>39</v>
      </c>
      <c r="AF149" s="13" t="s">
        <v>40</v>
      </c>
    </row>
    <row r="150" spans="1:34" x14ac:dyDescent="0.35">
      <c r="A150" s="1">
        <f>COUNTIFS($P$54:$P$83, "=1", $P$84:$P$113, "=1")</f>
        <v>8</v>
      </c>
      <c r="B150" s="1" t="s">
        <v>63</v>
      </c>
      <c r="C150" s="21">
        <f>AVERAGEIFS(B$54:B$83, $P$54:$P$83, "=1", $P$84:$P$113, "=1")</f>
        <v>4.91</v>
      </c>
      <c r="D150" s="21">
        <f>AVERAGEIFS(C$54:C$83, $P$54:$P$83, "=1", $P$84:$P$113, "=1")</f>
        <v>71.112499999999997</v>
      </c>
      <c r="E150" s="21">
        <f>AVERAGEIFS(D$54:D$83, $P$54:$P$83, "=1", $P$84:$P$113, "=1")</f>
        <v>19.083750000000002</v>
      </c>
      <c r="F150" s="21">
        <f>AVERAGEIFS(E$54:E$83, $P$54:$P$83, "=1", $P$84:$P$113, "=1")</f>
        <v>7.53125</v>
      </c>
      <c r="G150" s="21">
        <f>AVERAGEIFS(F$54:F$83, $P$54:$P$83, "=1", $P$84:$P$113, "=1")</f>
        <v>18.088749999999997</v>
      </c>
      <c r="H150" s="21">
        <f>AVERAGEIFS(G$54:G$83, $P$54:$P$83, "=1", $P$84:$P$113, "=1")</f>
        <v>3.8262499999999995</v>
      </c>
      <c r="I150" s="21">
        <f>AVERAGEIFS(H$54:H$83, $P$54:$P$83, "=1", $P$84:$P$113, "=1")</f>
        <v>11.3575</v>
      </c>
      <c r="J150" s="21">
        <f>AVERAGEIFS(I$54:I$83, $P$54:$P$83, "=1", $P$84:$P$113, "=1")</f>
        <v>37.172499999999999</v>
      </c>
      <c r="K150" s="21">
        <f>AVERAGEIFS(J$54:J$83, $P$54:$P$83, "=1", $P$84:$P$113, "=1")</f>
        <v>60.164999999999999</v>
      </c>
      <c r="L150" s="21">
        <f>AVERAGEIFS(K$54:K$83, $P$54:$P$83, "=1", $P$84:$P$113, "=1")</f>
        <v>0.25</v>
      </c>
      <c r="M150" s="21">
        <f>AVERAGEIFS(L$54:L$83, $P$54:$P$83, "=1", $P$84:$P$113, "=1")</f>
        <v>6.2500000000000003E-3</v>
      </c>
      <c r="N150" s="21">
        <f>AVERAGEIFS(M$54:M$83, $P$54:$P$83, "=1", $P$84:$P$113, "=1")</f>
        <v>3.80125</v>
      </c>
      <c r="O150" s="21">
        <f>AVERAGEIFS(N$54:N$83, $P$54:$P$83, "=1", $P$84:$P$113, "=1")</f>
        <v>0.21124999999999999</v>
      </c>
      <c r="R150" s="1">
        <f>COUNTIFS($X$84:$X$113, "YES")</f>
        <v>0</v>
      </c>
      <c r="S150" s="1" t="s">
        <v>64</v>
      </c>
      <c r="T150" s="21" t="e">
        <f>AVERAGEIFS(B$54:B$83, $X$84:$X$113, "YES")</f>
        <v>#DIV/0!</v>
      </c>
      <c r="U150" s="21" t="e">
        <f>AVERAGEIFS(C$54:C$83, $X$84:$X$113, "YES")</f>
        <v>#DIV/0!</v>
      </c>
      <c r="V150" s="21" t="e">
        <f>AVERAGEIFS(D$54:D$83, $X$84:$X$113, "YES")</f>
        <v>#DIV/0!</v>
      </c>
      <c r="W150" s="21" t="e">
        <f>AVERAGEIFS(E$54:E$83, $X$84:$X$113, "YES")</f>
        <v>#DIV/0!</v>
      </c>
      <c r="X150" s="21" t="e">
        <f>AVERAGEIFS(F$54:F$83, $X$84:$X$113, "YES")</f>
        <v>#DIV/0!</v>
      </c>
      <c r="Y150" s="21" t="e">
        <f>AVERAGEIFS(G$54:G$83, $X$84:$X$113, "YES")</f>
        <v>#DIV/0!</v>
      </c>
      <c r="Z150" s="21" t="e">
        <f>AVERAGEIFS(H$54:H$83, $X$84:$X$113, "YES")</f>
        <v>#DIV/0!</v>
      </c>
      <c r="AA150" s="21" t="e">
        <f>AVERAGEIFS(I$54:I$83, $X$84:$X$113, "YES")</f>
        <v>#DIV/0!</v>
      </c>
      <c r="AB150" s="21" t="e">
        <f>AVERAGEIFS(J$54:J$83, $X$84:$X$113, "YES")</f>
        <v>#DIV/0!</v>
      </c>
      <c r="AC150" s="21" t="e">
        <f>AVERAGEIFS(K$54:K$83, $X$84:$X$113, "YES")</f>
        <v>#DIV/0!</v>
      </c>
      <c r="AD150" s="21" t="e">
        <f>AVERAGEIFS(L$54:L$83, $X$84:$X$113, "YES")</f>
        <v>#DIV/0!</v>
      </c>
      <c r="AE150" s="21" t="e">
        <f>AVERAGEIFS(M$54:M$83, $X$84:$X$113, "YES")</f>
        <v>#DIV/0!</v>
      </c>
      <c r="AF150" s="21" t="e">
        <f>AVERAGEIFS(N$54:N$83, $X$84:$X$113, "YES")</f>
        <v>#DIV/0!</v>
      </c>
    </row>
    <row r="151" spans="1:34" x14ac:dyDescent="0.35">
      <c r="A151" s="1">
        <f>COUNTIFS($P$54:$P$83, "=1", $P$84:$P$113, "=1")</f>
        <v>8</v>
      </c>
      <c r="B151" s="1" t="s">
        <v>83</v>
      </c>
      <c r="C151" s="21">
        <f>AVERAGEIFS(B$84:B$113, $P$54:$P$83, "=1", $P$84:$P$113, "=1")</f>
        <v>4.4174999999999995</v>
      </c>
      <c r="D151" s="21">
        <f>AVERAGEIFS(C$84:C$113, $P$54:$P$83, "=1", $P$84:$P$113, "=1")</f>
        <v>71.503749999999997</v>
      </c>
      <c r="E151" s="21">
        <f>AVERAGEIFS(D$84:D$113, $P$54:$P$83, "=1", $P$84:$P$113, "=1")</f>
        <v>17.603749999999998</v>
      </c>
      <c r="F151" s="21">
        <f>AVERAGEIFS(E$84:E$113, $P$54:$P$83, "=1", $P$84:$P$113, "=1")</f>
        <v>7.4312499999999995</v>
      </c>
      <c r="G151" s="21">
        <f>AVERAGEIFS(F$84:F$113, $P$54:$P$83, "=1", $P$84:$P$113, "=1")</f>
        <v>16.272500000000001</v>
      </c>
      <c r="H151" s="21">
        <f>AVERAGEIFS(G$84:G$113, $P$54:$P$83, "=1", $P$84:$P$113, "=1")</f>
        <v>3.8437499999999996</v>
      </c>
      <c r="I151" s="21">
        <f>AVERAGEIFS(H$84:H$113, $P$54:$P$83, "=1", $P$84:$P$113, "=1")</f>
        <v>11.276250000000001</v>
      </c>
      <c r="J151" s="21">
        <f>AVERAGEIFS(I$84:I$113, $P$54:$P$83, "=1", $P$84:$P$113, "=1")</f>
        <v>33.877499999999998</v>
      </c>
      <c r="K151" s="21">
        <f>AVERAGEIFS(J$84:J$113, $P$54:$P$83, "=1", $P$84:$P$113, "=1")</f>
        <v>58.512500000000003</v>
      </c>
      <c r="L151" s="21">
        <f>AVERAGEIFS(K$84:K$113, $P$54:$P$83, "=1", $P$84:$P$113, "=1")</f>
        <v>0.25</v>
      </c>
      <c r="M151" s="21">
        <f>AVERAGEIFS(L$84:L$113, $P$54:$P$83, "=1", $P$84:$P$113, "=1")</f>
        <v>6.2500000000000003E-3</v>
      </c>
      <c r="N151" s="21">
        <f>AVERAGEIFS(M$84:M$113, $P$54:$P$83, "=1", $P$84:$P$113, "=1")</f>
        <v>3.80125</v>
      </c>
      <c r="O151" s="21">
        <f>AVERAGEIFS(N$84:N$113, $P$54:$P$83, "=1", $P$84:$P$113, "=1")</f>
        <v>0.21124999999999999</v>
      </c>
      <c r="R151" s="1">
        <f>COUNTIFS($X$84:$X$113, "YES")</f>
        <v>0</v>
      </c>
      <c r="S151" s="1" t="s">
        <v>84</v>
      </c>
      <c r="T151" s="21" t="e">
        <f>AVERAGEIFS(B$84:B$113, $X$84:$X$113, "YES")</f>
        <v>#DIV/0!</v>
      </c>
      <c r="U151" s="21" t="e">
        <f>AVERAGEIFS(C$84:C$113, $X$84:$X$113, "YES")</f>
        <v>#DIV/0!</v>
      </c>
      <c r="V151" s="21" t="e">
        <f>AVERAGEIFS(D$84:D$113, $X$84:$X$113, "YES")</f>
        <v>#DIV/0!</v>
      </c>
      <c r="W151" s="21" t="e">
        <f>AVERAGEIFS(E$84:E$113, $X$84:$X$113, "YES")</f>
        <v>#DIV/0!</v>
      </c>
      <c r="X151" s="21" t="e">
        <f>AVERAGEIFS(F$84:F$113, $X$84:$X$113, "YES")</f>
        <v>#DIV/0!</v>
      </c>
      <c r="Y151" s="21" t="e">
        <f>AVERAGEIFS(G$84:G$113, $X$84:$X$113, "YES")</f>
        <v>#DIV/0!</v>
      </c>
      <c r="Z151" s="21" t="e">
        <f>AVERAGEIFS(H$84:H$113, $X$84:$X$113, "YES")</f>
        <v>#DIV/0!</v>
      </c>
      <c r="AA151" s="21" t="e">
        <f>AVERAGEIFS(I$84:I$113, $X$84:$X$113, "YES")</f>
        <v>#DIV/0!</v>
      </c>
      <c r="AB151" s="21" t="e">
        <f>AVERAGEIFS(J$84:J$113, $X$84:$X$113, "YES")</f>
        <v>#DIV/0!</v>
      </c>
      <c r="AC151" s="21" t="e">
        <f>AVERAGEIFS(K$84:K$113, $X$84:$X$113, "YES")</f>
        <v>#DIV/0!</v>
      </c>
      <c r="AD151" s="21" t="e">
        <f>AVERAGEIFS(L$84:L$113, $X$84:$X$113, "YES")</f>
        <v>#DIV/0!</v>
      </c>
      <c r="AE151" s="21" t="e">
        <f>AVERAGEIFS(M$84:M$113, $X$84:$X$113, "YES")</f>
        <v>#DIV/0!</v>
      </c>
      <c r="AF151" s="21" t="e">
        <f>AVERAGEIFS(N$84:N$113, $X$84:$X$113, "YES")</f>
        <v>#DIV/0!</v>
      </c>
    </row>
    <row r="152" spans="1:34" x14ac:dyDescent="0.35">
      <c r="R152" s="30"/>
    </row>
    <row r="153" spans="1:34" ht="36" customHeight="1" x14ac:dyDescent="0.35">
      <c r="B153" s="13" t="s">
        <v>208</v>
      </c>
      <c r="C153" s="13" t="s">
        <v>45</v>
      </c>
      <c r="D153" s="13" t="s">
        <v>31</v>
      </c>
      <c r="E153" s="13" t="s">
        <v>32</v>
      </c>
      <c r="F153" s="13" t="s">
        <v>21</v>
      </c>
      <c r="G153" s="13" t="s">
        <v>33</v>
      </c>
      <c r="H153" s="13" t="s">
        <v>22</v>
      </c>
      <c r="I153" s="13" t="s">
        <v>34</v>
      </c>
      <c r="J153" s="13" t="s">
        <v>35</v>
      </c>
      <c r="K153" s="13" t="s">
        <v>36</v>
      </c>
      <c r="L153" s="13" t="s">
        <v>37</v>
      </c>
      <c r="M153" s="13" t="s">
        <v>38</v>
      </c>
      <c r="N153" s="13" t="s">
        <v>39</v>
      </c>
      <c r="O153" s="13" t="s">
        <v>40</v>
      </c>
      <c r="S153" s="13" t="s">
        <v>208</v>
      </c>
      <c r="T153" s="13" t="s">
        <v>45</v>
      </c>
      <c r="U153" s="13" t="s">
        <v>31</v>
      </c>
      <c r="V153" s="13" t="s">
        <v>32</v>
      </c>
      <c r="W153" s="13" t="s">
        <v>21</v>
      </c>
      <c r="X153" s="13" t="s">
        <v>33</v>
      </c>
      <c r="Y153" s="13" t="s">
        <v>22</v>
      </c>
      <c r="Z153" s="13" t="s">
        <v>34</v>
      </c>
      <c r="AA153" s="13" t="s">
        <v>35</v>
      </c>
      <c r="AB153" s="13" t="s">
        <v>36</v>
      </c>
      <c r="AC153" s="13" t="s">
        <v>37</v>
      </c>
      <c r="AD153" s="13" t="s">
        <v>38</v>
      </c>
      <c r="AE153" s="13" t="s">
        <v>39</v>
      </c>
      <c r="AF153" s="13" t="s">
        <v>40</v>
      </c>
    </row>
    <row r="154" spans="1:34" x14ac:dyDescent="0.35">
      <c r="A154" s="1">
        <f>COUNTIFS($P$54:$P$83, "&gt;1", $P$84:$P$113, "&gt;1")</f>
        <v>4</v>
      </c>
      <c r="B154" s="1" t="s">
        <v>65</v>
      </c>
      <c r="C154" s="21">
        <f>AVERAGEIFS(B$54:B$83, $P$54:$P$83, "&gt;1", $P$84:$P$113, "&gt;1")</f>
        <v>2.57</v>
      </c>
      <c r="D154" s="21">
        <f>AVERAGEIFS(C$54:C$83, $P$54:$P$83, "&gt;1", $P$84:$P$113, "&gt;1")</f>
        <v>80.36</v>
      </c>
      <c r="E154" s="21">
        <f>AVERAGEIFS(D$54:D$83, $P$54:$P$83, "&gt;1", $P$84:$P$113, "&gt;1")</f>
        <v>9.7899999999999991</v>
      </c>
      <c r="F154" s="21">
        <f>AVERAGEIFS(E$54:E$83, $P$54:$P$83, "&gt;1", $P$84:$P$113, "&gt;1")</f>
        <v>5.43</v>
      </c>
      <c r="G154" s="21">
        <f>AVERAGEIFS(F$54:F$83, $P$54:$P$83, "&gt;1", $P$84:$P$113, "&gt;1")</f>
        <v>8.43</v>
      </c>
      <c r="H154" s="21">
        <f>AVERAGEIFS(G$54:G$83, $P$54:$P$83, "&gt;1", $P$84:$P$113, "&gt;1")</f>
        <v>3.36</v>
      </c>
      <c r="I154" s="21">
        <f>AVERAGEIFS(H$54:H$83, $P$54:$P$83, "&gt;1", $P$84:$P$113, "&gt;1")</f>
        <v>8.7899999999999991</v>
      </c>
      <c r="J154" s="21">
        <f>AVERAGEIFS(I$54:I$83, $P$54:$P$83, "&gt;1", $P$84:$P$113, "&gt;1")</f>
        <v>18.21</v>
      </c>
      <c r="K154" s="21">
        <f>AVERAGEIFS(J$54:J$83, $P$54:$P$83, "&gt;1", $P$84:$P$113, "&gt;1")</f>
        <v>36.97</v>
      </c>
      <c r="L154" s="21">
        <f>AVERAGEIFS(K$54:K$83, $P$54:$P$83, "&gt;1", $P$84:$P$113, "&gt;1")</f>
        <v>0</v>
      </c>
      <c r="M154" s="21">
        <f>AVERAGEIFS(L$54:L$83, $P$54:$P$83, "&gt;1", $P$84:$P$113, "&gt;1")</f>
        <v>0</v>
      </c>
      <c r="N154" s="21">
        <f>AVERAGEIFS(M$54:M$83, $P$54:$P$83, "&gt;1", $P$84:$P$113, "&gt;1")</f>
        <v>0</v>
      </c>
      <c r="O154" s="21">
        <f>AVERAGEIFS(N$54:N$83, $P$54:$P$83, "&gt;1", $P$84:$P$113, "&gt;1")</f>
        <v>0</v>
      </c>
      <c r="R154" s="1">
        <f>COUNTIFS($Y$84:$Y$113, "YES")</f>
        <v>0</v>
      </c>
      <c r="S154" s="1" t="s">
        <v>66</v>
      </c>
      <c r="T154" s="21" t="e">
        <f>AVERAGEIFS(B$54:B$83, $Y$84:$Y$113, "YES")</f>
        <v>#DIV/0!</v>
      </c>
      <c r="U154" s="21" t="e">
        <f>AVERAGEIFS(C$54:C$83, $Y$84:$Y$113, "YES")</f>
        <v>#DIV/0!</v>
      </c>
      <c r="V154" s="21" t="e">
        <f>AVERAGEIFS(D$54:D$83, $Y$84:$Y$113, "YES")</f>
        <v>#DIV/0!</v>
      </c>
      <c r="W154" s="21" t="e">
        <f>AVERAGEIFS(E$54:E$83, $Y$84:$Y$113, "YES")</f>
        <v>#DIV/0!</v>
      </c>
      <c r="X154" s="21" t="e">
        <f>AVERAGEIFS(F$54:F$83, $Y$84:$Y$113, "YES")</f>
        <v>#DIV/0!</v>
      </c>
      <c r="Y154" s="21" t="e">
        <f>AVERAGEIFS(G$54:G$83, $Y$84:$Y$113, "YES")</f>
        <v>#DIV/0!</v>
      </c>
      <c r="Z154" s="21" t="e">
        <f>AVERAGEIFS(H$54:H$83, $Y$84:$Y$113, "YES")</f>
        <v>#DIV/0!</v>
      </c>
      <c r="AA154" s="21" t="e">
        <f>AVERAGEIFS(I$54:I$83, $Y$84:$Y$113, "YES")</f>
        <v>#DIV/0!</v>
      </c>
      <c r="AB154" s="21" t="e">
        <f>AVERAGEIFS(J$54:J$83, $Y$84:$Y$113, "YES")</f>
        <v>#DIV/0!</v>
      </c>
      <c r="AC154" s="21" t="e">
        <f>AVERAGEIFS(K$54:K$83, $Y$84:$Y$113, "YES")</f>
        <v>#DIV/0!</v>
      </c>
      <c r="AD154" s="21" t="e">
        <f>AVERAGEIFS(L$54:L$83, $Y$84:$Y$113, "YES")</f>
        <v>#DIV/0!</v>
      </c>
      <c r="AE154" s="21" t="e">
        <f>AVERAGEIFS(M$54:M$83, $Y$84:$Y$113, "YES")</f>
        <v>#DIV/0!</v>
      </c>
      <c r="AF154" s="21" t="e">
        <f>AVERAGEIFS(N$54:N$83, $Y$84:$Y$113, "YES")</f>
        <v>#DIV/0!</v>
      </c>
    </row>
    <row r="155" spans="1:34" x14ac:dyDescent="0.35">
      <c r="A155" s="1">
        <f>COUNTIFS($P$54:$P$83, "&gt;1", $P$84:$P$113, "&gt;1")</f>
        <v>4</v>
      </c>
      <c r="B155" s="1" t="s">
        <v>85</v>
      </c>
      <c r="C155" s="21">
        <f>AVERAGEIFS(B$84:B$113, $P$54:$P$83, "&gt;1", $P$84:$P$113, "&gt;1")</f>
        <v>2.52</v>
      </c>
      <c r="D155" s="21">
        <f>AVERAGEIFS(C$84:C$113, $P$54:$P$83, "&gt;1", $P$84:$P$113, "&gt;1")</f>
        <v>80.17</v>
      </c>
      <c r="E155" s="21">
        <f>AVERAGEIFS(D$84:D$113, $P$54:$P$83, "&gt;1", $P$84:$P$113, "&gt;1")</f>
        <v>10.0175</v>
      </c>
      <c r="F155" s="21">
        <f>AVERAGEIFS(E$84:E$113, $P$54:$P$83, "&gt;1", $P$84:$P$113, "&gt;1")</f>
        <v>5.52</v>
      </c>
      <c r="G155" s="21">
        <f>AVERAGEIFS(F$84:F$113, $P$54:$P$83, "&gt;1", $P$84:$P$113, "&gt;1")</f>
        <v>8.27</v>
      </c>
      <c r="H155" s="21">
        <f>AVERAGEIFS(G$84:G$113, $P$54:$P$83, "&gt;1", $P$84:$P$113, "&gt;1")</f>
        <v>3.1150000000000002</v>
      </c>
      <c r="I155" s="21">
        <f>AVERAGEIFS(H$84:H$113, $P$54:$P$83, "&gt;1", $P$84:$P$113, "&gt;1")</f>
        <v>8.6374999999999993</v>
      </c>
      <c r="J155" s="21">
        <f>AVERAGEIFS(I$84:I$113, $P$54:$P$83, "&gt;1", $P$84:$P$113, "&gt;1")</f>
        <v>18.287500000000001</v>
      </c>
      <c r="K155" s="21">
        <f>AVERAGEIFS(J$84:J$113, $P$54:$P$83, "&gt;1", $P$84:$P$113, "&gt;1")</f>
        <v>36.277499999999996</v>
      </c>
      <c r="L155" s="21">
        <f>AVERAGEIFS(K$84:K$113, $P$54:$P$83, "&gt;1", $P$84:$P$113, "&gt;1")</f>
        <v>0</v>
      </c>
      <c r="M155" s="21">
        <f>AVERAGEIFS(L$84:L$113, $P$54:$P$83, "&gt;1", $P$84:$P$113, "&gt;1")</f>
        <v>0</v>
      </c>
      <c r="N155" s="21">
        <f>AVERAGEIFS(M$84:M$113, $P$54:$P$83, "&gt;1", $P$84:$P$113, "&gt;1")</f>
        <v>0</v>
      </c>
      <c r="O155" s="21">
        <f>AVERAGEIFS(N$84:N$113, $P$54:$P$83, "&gt;1", $P$84:$P$113, "&gt;1")</f>
        <v>0</v>
      </c>
      <c r="R155" s="1">
        <f>COUNTIFS($Y$84:$Y$113, "YES")</f>
        <v>0</v>
      </c>
      <c r="S155" s="1" t="s">
        <v>86</v>
      </c>
      <c r="T155" s="21" t="e">
        <f>AVERAGEIFS(B$84:B$113, $Y$84:$Y$113, "YES")</f>
        <v>#DIV/0!</v>
      </c>
      <c r="U155" s="21" t="e">
        <f>AVERAGEIFS(C$84:C$113, $Y$84:$Y$113, "YES")</f>
        <v>#DIV/0!</v>
      </c>
      <c r="V155" s="21" t="e">
        <f>AVERAGEIFS(D$84:D$113, $Y$84:$Y$113, "YES")</f>
        <v>#DIV/0!</v>
      </c>
      <c r="W155" s="21" t="e">
        <f>AVERAGEIFS(E$84:E$113, $Y$84:$Y$113, "YES")</f>
        <v>#DIV/0!</v>
      </c>
      <c r="X155" s="21" t="e">
        <f>AVERAGEIFS(F$84:F$113, $Y$84:$Y$113, "YES")</f>
        <v>#DIV/0!</v>
      </c>
      <c r="Y155" s="21" t="e">
        <f>AVERAGEIFS(G$84:G$113, $Y$84:$Y$113, "YES")</f>
        <v>#DIV/0!</v>
      </c>
      <c r="Z155" s="21" t="e">
        <f>AVERAGEIFS(H$84:H$113, $Y$84:$Y$113, "YES")</f>
        <v>#DIV/0!</v>
      </c>
      <c r="AA155" s="21" t="e">
        <f>AVERAGEIFS(I$84:I$113, $Y$84:$Y$113, "YES")</f>
        <v>#DIV/0!</v>
      </c>
      <c r="AB155" s="21" t="e">
        <f>AVERAGEIFS(J$84:J$113, $Y$84:$Y$113, "YES")</f>
        <v>#DIV/0!</v>
      </c>
      <c r="AC155" s="21" t="e">
        <f>AVERAGEIFS(K$84:K$113, $Y$84:$Y$113, "YES")</f>
        <v>#DIV/0!</v>
      </c>
      <c r="AD155" s="21" t="e">
        <f>AVERAGEIFS(L$84:L$113, $Y$84:$Y$113, "YES")</f>
        <v>#DIV/0!</v>
      </c>
      <c r="AE155" s="21" t="e">
        <f>AVERAGEIFS(M$84:M$113, $Y$84:$Y$113, "YES")</f>
        <v>#DIV/0!</v>
      </c>
      <c r="AF155" s="21" t="e">
        <f>AVERAGEIFS(N$84:N$113, $Y$84:$Y$113, "YES")</f>
        <v>#DIV/0!</v>
      </c>
    </row>
    <row r="156" spans="1:34" x14ac:dyDescent="0.3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R156" s="30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4" ht="32.4" customHeight="1" x14ac:dyDescent="0.35">
      <c r="B157" s="13" t="s">
        <v>208</v>
      </c>
      <c r="C157" s="13" t="s">
        <v>45</v>
      </c>
      <c r="D157" s="13" t="s">
        <v>31</v>
      </c>
      <c r="E157" s="13" t="s">
        <v>32</v>
      </c>
      <c r="F157" s="13" t="s">
        <v>21</v>
      </c>
      <c r="G157" s="13" t="s">
        <v>33</v>
      </c>
      <c r="H157" s="13" t="s">
        <v>22</v>
      </c>
      <c r="I157" s="13" t="s">
        <v>34</v>
      </c>
      <c r="J157" s="13" t="s">
        <v>35</v>
      </c>
      <c r="K157" s="13" t="s">
        <v>36</v>
      </c>
      <c r="L157" s="13" t="s">
        <v>37</v>
      </c>
      <c r="M157" s="13" t="s">
        <v>38</v>
      </c>
      <c r="N157" s="13" t="s">
        <v>39</v>
      </c>
      <c r="O157" s="13" t="s">
        <v>40</v>
      </c>
      <c r="S157" s="13" t="s">
        <v>208</v>
      </c>
      <c r="T157" s="13" t="s">
        <v>45</v>
      </c>
      <c r="U157" s="13" t="s">
        <v>31</v>
      </c>
      <c r="V157" s="13" t="s">
        <v>32</v>
      </c>
      <c r="W157" s="13" t="s">
        <v>21</v>
      </c>
      <c r="X157" s="13" t="s">
        <v>33</v>
      </c>
      <c r="Y157" s="13" t="s">
        <v>22</v>
      </c>
      <c r="Z157" s="13" t="s">
        <v>34</v>
      </c>
      <c r="AA157" s="13" t="s">
        <v>35</v>
      </c>
      <c r="AB157" s="13" t="s">
        <v>36</v>
      </c>
      <c r="AC157" s="13" t="s">
        <v>37</v>
      </c>
      <c r="AD157" s="13" t="s">
        <v>38</v>
      </c>
      <c r="AE157" s="13" t="s">
        <v>39</v>
      </c>
      <c r="AF157" s="13" t="s">
        <v>40</v>
      </c>
    </row>
    <row r="158" spans="1:34" x14ac:dyDescent="0.35">
      <c r="A158" s="1">
        <f>COUNTIFS($U$54:$U$83, "=1", $U$84:$U$113, "=1")</f>
        <v>0</v>
      </c>
      <c r="B158" s="1" t="s">
        <v>67</v>
      </c>
      <c r="C158" s="21" t="e">
        <f>AVERAGEIFS(B$54:B$83, $U$54:$U$83, "=1", $U$84:$U$113, "=1")</f>
        <v>#DIV/0!</v>
      </c>
      <c r="D158" s="21" t="e">
        <f>AVERAGEIFS(C$54:C$83, $U$54:$U$83, "=1", $U$84:$U$113, "=1")</f>
        <v>#DIV/0!</v>
      </c>
      <c r="E158" s="21" t="e">
        <f>AVERAGEIFS(D$54:D$83, $U$54:$U$83, "=1", $U$84:$U$113, "=1")</f>
        <v>#DIV/0!</v>
      </c>
      <c r="F158" s="21" t="e">
        <f>AVERAGEIFS(E$54:E$83, $U$54:$U$83, "=1", $U$84:$U$113, "=1")</f>
        <v>#DIV/0!</v>
      </c>
      <c r="G158" s="21" t="e">
        <f>AVERAGEIFS(F$54:F$83, $U$54:$U$83, "=1", $U$84:$U$113, "=1")</f>
        <v>#DIV/0!</v>
      </c>
      <c r="H158" s="21" t="e">
        <f>AVERAGEIFS(G$54:G$83, $U$54:$U$83, "=1", $U$84:$U$113, "=1")</f>
        <v>#DIV/0!</v>
      </c>
      <c r="I158" s="21" t="e">
        <f>AVERAGEIFS(H$54:H$83, $U$54:$U$83, "=1", $U$84:$U$113, "=1")</f>
        <v>#DIV/0!</v>
      </c>
      <c r="J158" s="21" t="e">
        <f>AVERAGEIFS(I$54:I$83, $U$54:$U$83, "=1", $U$84:$U$113, "=1")</f>
        <v>#DIV/0!</v>
      </c>
      <c r="K158" s="21" t="e">
        <f>AVERAGEIFS(J$54:J$83, $U$54:$U$83, "=1", $U$84:$U$113, "=1")</f>
        <v>#DIV/0!</v>
      </c>
      <c r="L158" s="21" t="e">
        <f>AVERAGEIFS(K$54:K$83, $U$54:$U$83, "=1", $U$84:$U$113, "=1")</f>
        <v>#DIV/0!</v>
      </c>
      <c r="M158" s="21" t="e">
        <f>AVERAGEIFS(L$54:L$83, $U$54:$U$83, "=1", $U$84:$U$113, "=1")</f>
        <v>#DIV/0!</v>
      </c>
      <c r="N158" s="21" t="e">
        <f>AVERAGEIFS(M$54:M$83, $U$54:$U$83, "=1", $U$84:$U$113, "=1")</f>
        <v>#DIV/0!</v>
      </c>
      <c r="O158" s="21" t="e">
        <f>AVERAGEIFS(N$54:N$83, $U$54:$U$83, "=1", $U$84:$U$113, "=1")</f>
        <v>#DIV/0!</v>
      </c>
      <c r="R158" s="1">
        <f>COUNTIFS($Z$84:$Z$113, "YES")</f>
        <v>0</v>
      </c>
      <c r="S158" s="1" t="s">
        <v>68</v>
      </c>
      <c r="T158" s="21" t="e">
        <f>AVERAGEIFS(B$54:B$83, $Z$84:$Z$113, "YES")</f>
        <v>#DIV/0!</v>
      </c>
      <c r="U158" s="21" t="e">
        <f>AVERAGEIFS(C$54:C$83, $Z$84:$Z$113, "YES")</f>
        <v>#DIV/0!</v>
      </c>
      <c r="V158" s="21" t="e">
        <f>AVERAGEIFS(D$54:D$83, $Z$84:$Z$113, "YES")</f>
        <v>#DIV/0!</v>
      </c>
      <c r="W158" s="21" t="e">
        <f>AVERAGEIFS(E$54:E$83, $Z$84:$Z$113, "YES")</f>
        <v>#DIV/0!</v>
      </c>
      <c r="X158" s="21" t="e">
        <f>AVERAGEIFS(F$54:F$83, $Z$84:$Z$113, "YES")</f>
        <v>#DIV/0!</v>
      </c>
      <c r="Y158" s="21" t="e">
        <f>AVERAGEIFS(G$54:G$83, $Z$84:$Z$113, "YES")</f>
        <v>#DIV/0!</v>
      </c>
      <c r="Z158" s="21" t="e">
        <f>AVERAGEIFS(H$54:H$83, $Z$84:$Z$113, "YES")</f>
        <v>#DIV/0!</v>
      </c>
      <c r="AA158" s="21" t="e">
        <f>AVERAGEIFS(I$54:I$83, $Z$84:$Z$113, "YES")</f>
        <v>#DIV/0!</v>
      </c>
      <c r="AB158" s="21" t="e">
        <f>AVERAGEIFS(J$54:J$83, $Z$84:$Z$113, "YES")</f>
        <v>#DIV/0!</v>
      </c>
      <c r="AC158" s="21" t="e">
        <f>AVERAGEIFS(K$54:K$83, $Z$84:$Z$113, "YES")</f>
        <v>#DIV/0!</v>
      </c>
      <c r="AD158" s="21" t="e">
        <f>AVERAGEIFS(L$54:L$83, $Z$84:$Z$113, "YES")</f>
        <v>#DIV/0!</v>
      </c>
      <c r="AE158" s="21" t="e">
        <f>AVERAGEIFS(M$54:M$83, $Z$84:$Z$113, "YES")</f>
        <v>#DIV/0!</v>
      </c>
      <c r="AF158" s="21" t="e">
        <f>AVERAGEIFS(N$54:N$83, $Z$84:$Z$113, "YES")</f>
        <v>#DIV/0!</v>
      </c>
    </row>
    <row r="159" spans="1:34" x14ac:dyDescent="0.35">
      <c r="A159" s="1">
        <f>COUNTIFS($U$54:$U$83, "=1", $U$84:$U$113, "=1")</f>
        <v>0</v>
      </c>
      <c r="B159" s="1" t="s">
        <v>87</v>
      </c>
      <c r="C159" s="21" t="e">
        <f>AVERAGEIFS(B$84:B$113, $U$54:$U$83, "=1", $U$84:$U$113, "=1")</f>
        <v>#DIV/0!</v>
      </c>
      <c r="D159" s="21" t="e">
        <f>AVERAGEIFS(C$84:C$113, $U$54:$U$83, "=1", $U$84:$U$113, "=1")</f>
        <v>#DIV/0!</v>
      </c>
      <c r="E159" s="21" t="e">
        <f>AVERAGEIFS(D$84:D$113, $U$54:$U$83, "=1", $U$84:$U$113, "=1")</f>
        <v>#DIV/0!</v>
      </c>
      <c r="F159" s="21" t="e">
        <f>AVERAGEIFS(E$84:E$113, $U$54:$U$83, "=1", $U$84:$U$113, "=1")</f>
        <v>#DIV/0!</v>
      </c>
      <c r="G159" s="21" t="e">
        <f>AVERAGEIFS(F$84:F$113, $U$54:$U$83, "=1", $U$84:$U$113, "=1")</f>
        <v>#DIV/0!</v>
      </c>
      <c r="H159" s="21" t="e">
        <f>AVERAGEIFS(G$84:G$113, $U$54:$U$83, "=1", $U$84:$U$113, "=1")</f>
        <v>#DIV/0!</v>
      </c>
      <c r="I159" s="21" t="e">
        <f>AVERAGEIFS(H$84:H$113, $U$54:$U$83, "=1", $U$84:$U$113, "=1")</f>
        <v>#DIV/0!</v>
      </c>
      <c r="J159" s="21" t="e">
        <f>AVERAGEIFS(I$84:I$113, $U$54:$U$83, "=1", $U$84:$U$113, "=1")</f>
        <v>#DIV/0!</v>
      </c>
      <c r="K159" s="21" t="e">
        <f>AVERAGEIFS(J$84:J$113, $U$54:$U$83, "=1", $U$84:$U$113, "=1")</f>
        <v>#DIV/0!</v>
      </c>
      <c r="L159" s="21" t="e">
        <f>AVERAGEIFS(K$84:K$113, $U$54:$U$83, "=1", $U$84:$U$113, "=1")</f>
        <v>#DIV/0!</v>
      </c>
      <c r="M159" s="21" t="e">
        <f>AVERAGEIFS(L$84:L$113, $U$54:$U$83, "=1", $U$84:$U$113, "=1")</f>
        <v>#DIV/0!</v>
      </c>
      <c r="N159" s="21" t="e">
        <f>AVERAGEIFS(M$84:M$113, $U$54:$U$83, "=1", $U$84:$U$113, "=1")</f>
        <v>#DIV/0!</v>
      </c>
      <c r="O159" s="21" t="e">
        <f>AVERAGEIFS(N$84:N$113, $U$54:$U$83, "=1", $U$84:$U$113, "=1")</f>
        <v>#DIV/0!</v>
      </c>
      <c r="R159" s="1">
        <f>COUNTIFS($Z$84:$Z$113, "YES")</f>
        <v>0</v>
      </c>
      <c r="S159" s="1" t="s">
        <v>88</v>
      </c>
      <c r="T159" s="21" t="e">
        <f>AVERAGEIFS(B$84:B$113, $Z$84:$Z$113, "YES")</f>
        <v>#DIV/0!</v>
      </c>
      <c r="U159" s="21" t="e">
        <f>AVERAGEIFS(C$84:C$113, $Z$84:$Z$113, "YES")</f>
        <v>#DIV/0!</v>
      </c>
      <c r="V159" s="21" t="e">
        <f>AVERAGEIFS(D$84:D$113, $Z$84:$Z$113, "YES")</f>
        <v>#DIV/0!</v>
      </c>
      <c r="W159" s="21" t="e">
        <f>AVERAGEIFS(E$84:E$113, $Z$84:$Z$113, "YES")</f>
        <v>#DIV/0!</v>
      </c>
      <c r="X159" s="21" t="e">
        <f>AVERAGEIFS(F$84:F$113, $Z$84:$Z$113, "YES")</f>
        <v>#DIV/0!</v>
      </c>
      <c r="Y159" s="21" t="e">
        <f>AVERAGEIFS(G$84:G$113, $Z$84:$Z$113, "YES")</f>
        <v>#DIV/0!</v>
      </c>
      <c r="Z159" s="21" t="e">
        <f>AVERAGEIFS(H$84:H$113, $Z$84:$Z$113, "YES")</f>
        <v>#DIV/0!</v>
      </c>
      <c r="AA159" s="21" t="e">
        <f>AVERAGEIFS(I$84:I$113, $Z$84:$Z$113, "YES")</f>
        <v>#DIV/0!</v>
      </c>
      <c r="AB159" s="21" t="e">
        <f>AVERAGEIFS(J$84:J$113, $Z$84:$Z$113, "YES")</f>
        <v>#DIV/0!</v>
      </c>
      <c r="AC159" s="21" t="e">
        <f>AVERAGEIFS(K$84:K$113, $Z$84:$Z$113, "YES")</f>
        <v>#DIV/0!</v>
      </c>
      <c r="AD159" s="21" t="e">
        <f>AVERAGEIFS(L$84:L$113, $Z$84:$Z$113, "YES")</f>
        <v>#DIV/0!</v>
      </c>
      <c r="AE159" s="21" t="e">
        <f>AVERAGEIFS(M$84:M$113, $Z$84:$Z$113, "YES")</f>
        <v>#DIV/0!</v>
      </c>
      <c r="AF159" s="21" t="e">
        <f>AVERAGEIFS(N$84:N$113, $Z$84:$Z$113, "YES")</f>
        <v>#DIV/0!</v>
      </c>
    </row>
    <row r="160" spans="1:34" x14ac:dyDescent="0.3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ht="34.200000000000003" customHeight="1" x14ac:dyDescent="0.35">
      <c r="B161" s="13" t="s">
        <v>208</v>
      </c>
      <c r="C161" s="13" t="s">
        <v>45</v>
      </c>
      <c r="D161" s="13" t="s">
        <v>31</v>
      </c>
      <c r="E161" s="13" t="s">
        <v>32</v>
      </c>
      <c r="F161" s="13" t="s">
        <v>21</v>
      </c>
      <c r="G161" s="13" t="s">
        <v>33</v>
      </c>
      <c r="H161" s="13" t="s">
        <v>22</v>
      </c>
      <c r="I161" s="13" t="s">
        <v>34</v>
      </c>
      <c r="J161" s="13" t="s">
        <v>35</v>
      </c>
      <c r="K161" s="13" t="s">
        <v>36</v>
      </c>
      <c r="L161" s="13" t="s">
        <v>37</v>
      </c>
      <c r="M161" s="13" t="s">
        <v>38</v>
      </c>
      <c r="N161" s="13" t="s">
        <v>39</v>
      </c>
      <c r="O161" s="13" t="s">
        <v>40</v>
      </c>
      <c r="R161" s="30"/>
      <c r="S161" s="13" t="s">
        <v>208</v>
      </c>
      <c r="T161" s="13" t="s">
        <v>45</v>
      </c>
      <c r="U161" s="13" t="s">
        <v>31</v>
      </c>
      <c r="V161" s="13" t="s">
        <v>32</v>
      </c>
      <c r="W161" s="13" t="s">
        <v>21</v>
      </c>
      <c r="X161" s="13" t="s">
        <v>33</v>
      </c>
      <c r="Y161" s="13" t="s">
        <v>22</v>
      </c>
      <c r="Z161" s="13" t="s">
        <v>34</v>
      </c>
      <c r="AA161" s="13" t="s">
        <v>35</v>
      </c>
      <c r="AB161" s="13" t="s">
        <v>36</v>
      </c>
      <c r="AC161" s="13" t="s">
        <v>37</v>
      </c>
      <c r="AD161" s="13" t="s">
        <v>38</v>
      </c>
      <c r="AE161" s="13" t="s">
        <v>39</v>
      </c>
      <c r="AF161" s="13" t="s">
        <v>40</v>
      </c>
    </row>
    <row r="162" spans="1:32" x14ac:dyDescent="0.35">
      <c r="A162" s="1">
        <f>COUNTIFS($U$54:$U$83, "&gt;1", $U$84:$U$113, "&gt;1")</f>
        <v>4</v>
      </c>
      <c r="B162" s="1" t="s">
        <v>69</v>
      </c>
      <c r="C162" s="21">
        <f>AVERAGEIFS(B$54:B$83, $U$54:$U$83, "&gt;1", $U$84:$U$113, "&gt;1")</f>
        <v>2.57</v>
      </c>
      <c r="D162" s="21">
        <f>AVERAGEIFS(C$54:C$83, $U$54:$U$83, "&gt;1", $U$84:$U$113, "&gt;1")</f>
        <v>80.36</v>
      </c>
      <c r="E162" s="21">
        <f>AVERAGEIFS(D$54:D$83, $U$54:$U$83, "&gt;1", $U$84:$U$113, "&gt;1")</f>
        <v>9.7899999999999991</v>
      </c>
      <c r="F162" s="21">
        <f>AVERAGEIFS(E$54:E$83, $U$54:$U$83, "&gt;1", $U$84:$U$113, "&gt;1")</f>
        <v>5.43</v>
      </c>
      <c r="G162" s="21">
        <f>AVERAGEIFS(F$54:F$83, $U$54:$U$83, "&gt;1", $U$84:$U$113, "&gt;1")</f>
        <v>8.43</v>
      </c>
      <c r="H162" s="21">
        <f>AVERAGEIFS(G$54:G$83, $U$54:$U$83, "&gt;1", $U$84:$U$113, "&gt;1")</f>
        <v>3.36</v>
      </c>
      <c r="I162" s="21">
        <f>AVERAGEIFS(H$54:H$83, $U$54:$U$83, "&gt;1", $U$84:$U$113, "&gt;1")</f>
        <v>8.7899999999999991</v>
      </c>
      <c r="J162" s="21">
        <f>AVERAGEIFS(I$54:I$83, $U$54:$U$83, "&gt;1", $U$84:$U$113, "&gt;1")</f>
        <v>18.21</v>
      </c>
      <c r="K162" s="21">
        <f>AVERAGEIFS(J$54:J$83, $U$54:$U$83, "&gt;1", $U$84:$U$113, "&gt;1")</f>
        <v>36.97</v>
      </c>
      <c r="L162" s="21">
        <f>AVERAGEIFS(K$54:K$83, $U$54:$U$83, "&gt;1", $U$84:$U$113, "&gt;1")</f>
        <v>0</v>
      </c>
      <c r="M162" s="21">
        <f>AVERAGEIFS(L$54:L$83, $U$54:$U$83, "&gt;1", $U$84:$U$113, "&gt;1")</f>
        <v>0</v>
      </c>
      <c r="N162" s="21">
        <f>AVERAGEIFS(M$54:M$83, $U$54:$U$83, "&gt;1", $U$84:$U$113, "&gt;1")</f>
        <v>0</v>
      </c>
      <c r="O162" s="21">
        <f>AVERAGEIFS(N$54:N$83, $U$54:$U$83, "&gt;1", $U$84:$U$113, "&gt;1")</f>
        <v>0</v>
      </c>
      <c r="R162" s="1">
        <f>COUNTIFS($AA$84:$AA$113, "YES")</f>
        <v>3</v>
      </c>
      <c r="S162" s="1" t="s">
        <v>70</v>
      </c>
      <c r="T162" s="21">
        <f>AVERAGEIFS(B$54:B$83, $AA$84:$AA$113, "YES")</f>
        <v>2.57</v>
      </c>
      <c r="U162" s="21">
        <f>AVERAGEIFS(C$54:C$83, $AA$84:$AA$113, "YES")</f>
        <v>80.36</v>
      </c>
      <c r="V162" s="21">
        <f>AVERAGEIFS(D$54:D$83, $AA$84:$AA$113, "YES")</f>
        <v>9.7899999999999991</v>
      </c>
      <c r="W162" s="21">
        <f>AVERAGEIFS(E$54:E$83, $AA$84:$AA$113, "YES")</f>
        <v>5.43</v>
      </c>
      <c r="X162" s="21">
        <f>AVERAGEIFS(F$54:F$83, $AA$84:$AA$113, "YES")</f>
        <v>8.43</v>
      </c>
      <c r="Y162" s="21">
        <f>AVERAGEIFS(G$54:G$83, $AA$84:$AA$113, "YES")</f>
        <v>3.36</v>
      </c>
      <c r="Z162" s="21">
        <f>AVERAGEIFS(H$54:H$83, $AA$84:$AA$113, "YES")</f>
        <v>8.7899999999999991</v>
      </c>
      <c r="AA162" s="21">
        <f>AVERAGEIFS(I$54:I$83, $AA$84:$AA$113, "YES")</f>
        <v>18.21</v>
      </c>
      <c r="AB162" s="21">
        <f>AVERAGEIFS(J$54:J$83, $AA$84:$AA$113, "YES")</f>
        <v>36.97</v>
      </c>
      <c r="AC162" s="21">
        <f>AVERAGEIFS(K$54:K$83, $AA$84:$AA$113, "YES")</f>
        <v>0</v>
      </c>
      <c r="AD162" s="21">
        <f>AVERAGEIFS(L$54:L$83, $AA$84:$AA$113, "YES")</f>
        <v>0</v>
      </c>
      <c r="AE162" s="21">
        <f>AVERAGEIFS(M$54:M$83, $AA$84:$AA$113, "YES")</f>
        <v>0</v>
      </c>
      <c r="AF162" s="21">
        <f>AVERAGEIFS(N$54:N$83, $AA$84:$AA$113, "YES")</f>
        <v>0</v>
      </c>
    </row>
    <row r="163" spans="1:32" x14ac:dyDescent="0.35">
      <c r="A163" s="1">
        <f>COUNTIFS($U$54:$U$83, "&gt;1", $U$84:$U$113, "&gt;1")</f>
        <v>4</v>
      </c>
      <c r="B163" s="1" t="s">
        <v>89</v>
      </c>
      <c r="C163" s="21">
        <f>AVERAGEIFS(B$84:B$113, $U$54:$U$83, "&gt;1", $U$84:$U$113, "&gt;1")</f>
        <v>2.52</v>
      </c>
      <c r="D163" s="21">
        <f>AVERAGEIFS(C$84:C$113, $U$54:$U$83, "&gt;1", $U$84:$U$113, "&gt;1")</f>
        <v>80.17</v>
      </c>
      <c r="E163" s="21">
        <f>AVERAGEIFS(D$84:D$113, $U$54:$U$83, "&gt;1", $U$84:$U$113, "&gt;1")</f>
        <v>10.0175</v>
      </c>
      <c r="F163" s="21">
        <f>AVERAGEIFS(E$84:E$113, $U$54:$U$83, "&gt;1", $U$84:$U$113, "&gt;1")</f>
        <v>5.52</v>
      </c>
      <c r="G163" s="21">
        <f>AVERAGEIFS(F$84:F$113, $U$54:$U$83, "&gt;1", $U$84:$U$113, "&gt;1")</f>
        <v>8.27</v>
      </c>
      <c r="H163" s="21">
        <f>AVERAGEIFS(G$84:G$113, $U$54:$U$83, "&gt;1", $U$84:$U$113, "&gt;1")</f>
        <v>3.1150000000000002</v>
      </c>
      <c r="I163" s="21">
        <f>AVERAGEIFS(H$84:H$113, $U$54:$U$83, "&gt;1", $U$84:$U$113, "&gt;1")</f>
        <v>8.6374999999999993</v>
      </c>
      <c r="J163" s="21">
        <f>AVERAGEIFS(I$84:I$113, $U$54:$U$83, "&gt;1", $U$84:$U$113, "&gt;1")</f>
        <v>18.287500000000001</v>
      </c>
      <c r="K163" s="21">
        <f>AVERAGEIFS(J$84:J$113, $U$54:$U$83, "&gt;1", $U$84:$U$113, "&gt;1")</f>
        <v>36.277499999999996</v>
      </c>
      <c r="L163" s="21">
        <f>AVERAGEIFS(K$84:K$113, $U$54:$U$83, "&gt;1", $U$84:$U$113, "&gt;1")</f>
        <v>0</v>
      </c>
      <c r="M163" s="21">
        <f>AVERAGEIFS(L$84:L$113, $U$54:$U$83, "&gt;1", $U$84:$U$113, "&gt;1")</f>
        <v>0</v>
      </c>
      <c r="N163" s="21">
        <f>AVERAGEIFS(M$84:M$113, $U$54:$U$83, "&gt;1", $U$84:$U$113, "&gt;1")</f>
        <v>0</v>
      </c>
      <c r="O163" s="21">
        <f>AVERAGEIFS(N$84:N$113, $U$54:$U$83, "&gt;1", $U$84:$U$113, "&gt;1")</f>
        <v>0</v>
      </c>
      <c r="R163" s="1">
        <f>COUNTIFS($AA$84:$AA$113, "YES")</f>
        <v>3</v>
      </c>
      <c r="S163" s="1" t="s">
        <v>90</v>
      </c>
      <c r="T163" s="21">
        <f>AVERAGEIFS(B$84:B$113, $AA$84:$AA$113, "YES")</f>
        <v>2.5133333333333332</v>
      </c>
      <c r="U163" s="21">
        <f>AVERAGEIFS(C$84:C$113, $AA$84:$AA$113, "YES")</f>
        <v>80.100000000000009</v>
      </c>
      <c r="V163" s="21">
        <f>AVERAGEIFS(D$84:D$113, $AA$84:$AA$113, "YES")</f>
        <v>9.9966666666666679</v>
      </c>
      <c r="W163" s="21">
        <f>AVERAGEIFS(E$84:E$113, $AA$84:$AA$113, "YES")</f>
        <v>5.54</v>
      </c>
      <c r="X163" s="21">
        <f>AVERAGEIFS(F$84:F$113, $AA$84:$AA$113, "YES")</f>
        <v>8.2333333333333325</v>
      </c>
      <c r="Y163" s="21">
        <f>AVERAGEIFS(G$84:G$113, $AA$84:$AA$113, "YES")</f>
        <v>3.1033333333333335</v>
      </c>
      <c r="Z163" s="21">
        <f>AVERAGEIFS(H$84:H$113, $AA$84:$AA$113, "YES")</f>
        <v>8.6433333333333326</v>
      </c>
      <c r="AA163" s="21">
        <f>AVERAGEIFS(I$84:I$113, $AA$84:$AA$113, "YES")</f>
        <v>18.23</v>
      </c>
      <c r="AB163" s="21">
        <f>AVERAGEIFS(J$84:J$113, $AA$84:$AA$113, "YES")</f>
        <v>36.206666666666671</v>
      </c>
      <c r="AC163" s="21">
        <f>AVERAGEIFS(K$84:K$113, $AA$84:$AA$113, "YES")</f>
        <v>0</v>
      </c>
      <c r="AD163" s="21">
        <f>AVERAGEIFS(L$84:L$113, $AA$84:$AA$113, "YES")</f>
        <v>0</v>
      </c>
      <c r="AE163" s="21">
        <f>AVERAGEIFS(M$84:M$113, $AA$84:$AA$113, "YES")</f>
        <v>0</v>
      </c>
      <c r="AF163" s="21">
        <f>AVERAGEIFS(N$84:N$113, $AA$84:$AA$113, "YES")</f>
        <v>0</v>
      </c>
    </row>
    <row r="165" spans="1:32" ht="15" customHeight="1" x14ac:dyDescent="0.35"/>
    <row r="166" spans="1:32" x14ac:dyDescent="0.35">
      <c r="A166" s="19" t="s">
        <v>46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32" ht="15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32" ht="28.8" x14ac:dyDescent="0.35">
      <c r="A168" s="13" t="s">
        <v>48</v>
      </c>
      <c r="B168" s="13" t="s">
        <v>208</v>
      </c>
      <c r="C168" s="13" t="s">
        <v>45</v>
      </c>
      <c r="D168" s="13" t="s">
        <v>31</v>
      </c>
      <c r="E168" s="13" t="s">
        <v>32</v>
      </c>
      <c r="F168" s="13" t="s">
        <v>21</v>
      </c>
      <c r="G168" s="13" t="s">
        <v>33</v>
      </c>
      <c r="H168" s="13" t="s">
        <v>22</v>
      </c>
      <c r="I168" s="13" t="s">
        <v>34</v>
      </c>
      <c r="J168" s="13" t="s">
        <v>35</v>
      </c>
      <c r="K168" s="13" t="s">
        <v>36</v>
      </c>
      <c r="L168" s="13" t="s">
        <v>37</v>
      </c>
      <c r="M168" s="13" t="s">
        <v>38</v>
      </c>
      <c r="N168" s="13" t="s">
        <v>39</v>
      </c>
      <c r="O168" s="13" t="s">
        <v>40</v>
      </c>
    </row>
    <row r="169" spans="1:32" x14ac:dyDescent="0.35">
      <c r="A169" s="1">
        <f>COUNTIF($A$24:$A$113, "*albfernandez-GDS-PMD-Security*Buggy")</f>
        <v>2</v>
      </c>
      <c r="B169" s="1" t="s">
        <v>49</v>
      </c>
      <c r="C169" s="21">
        <f>AVERAGEIF($A$24:$A$113, "*albfernandez-GDS-PMD-Security*_Buggy", B$24:B$113)</f>
        <v>4.58</v>
      </c>
      <c r="D169" s="21">
        <f>AVERAGEIF($A$24:$A$113, "*albfernandez-GDS-PMD-Security*_Buggy", C$24:C$113)</f>
        <v>72.25</v>
      </c>
      <c r="E169" s="21">
        <f>AVERAGEIF($A$24:$A$113, "*albfernandez-GDS-PMD-Security*_Buggy", D$24:D$113)</f>
        <v>16.25</v>
      </c>
      <c r="F169" s="21">
        <f>AVERAGEIF($A$24:$A$113, "*albfernandez-GDS-PMD-Security*_Buggy", E$24:E$113)</f>
        <v>6.73</v>
      </c>
      <c r="G169" s="21">
        <f>AVERAGEIF($A$24:$A$113, "*albfernandez-GDS-PMD-Security*_Buggy", F$24:F$113)</f>
        <v>15.13</v>
      </c>
      <c r="H169" s="21">
        <f>AVERAGEIF($A$24:$A$113, "*albfernandez-GDS-PMD-Security*_Buggy", G$24:G$113)</f>
        <v>4.63</v>
      </c>
      <c r="I169" s="21">
        <f>AVERAGEIF($A$24:$A$113, "*albfernandez-GDS-PMD-Security*_Buggy", H$24:H$113)</f>
        <v>11.37</v>
      </c>
      <c r="J169" s="21">
        <f>AVERAGEIF($A$24:$A$113, "*albfernandez-GDS-PMD-Security*_Buggy", I$24:I$113)</f>
        <v>31.38</v>
      </c>
      <c r="K169" s="21">
        <f>AVERAGEIF($A$24:$A$113, "*albfernandez-GDS-PMD-Security*_Buggy", J$24:J$113)</f>
        <v>56.97</v>
      </c>
      <c r="L169" s="21">
        <f>AVERAGEIF($A$24:$A$113, "*albfernandez-GDS-PMD-Security*_Buggy", K$24:K$113)</f>
        <v>0.57999999999999996</v>
      </c>
      <c r="M169" s="21">
        <f>AVERAGEIF($A$24:$A$113, "*albfernandez-GDS-PMD-Security*_Buggy", L$24:L$113)</f>
        <v>1.4999999999999999E-2</v>
      </c>
      <c r="N169" s="21">
        <f>AVERAGEIF($A$24:$A$113, "*albfernandez-GDS-PMD-Security*_Buggy", M$24:M$113)</f>
        <v>13.41</v>
      </c>
      <c r="O169" s="21">
        <f>AVERAGEIF($A$24:$A$113, "*albfernandez-GDS-PMD-Security*_Buggy", N$24:N$113)</f>
        <v>0.75</v>
      </c>
    </row>
    <row r="170" spans="1:32" x14ac:dyDescent="0.35">
      <c r="A170" s="1">
        <f>COUNTIF($A$24:$A$113, "*albfernandez-GDS-PMD-Security*Manual")</f>
        <v>2</v>
      </c>
      <c r="B170" s="1" t="s">
        <v>71</v>
      </c>
      <c r="C170" s="21">
        <f>AVERAGEIF($A$24:$A$113, "*albfernandez-GDS-PMD-Security*_Manual", B$24:B$113)</f>
        <v>4.5999999999999996</v>
      </c>
      <c r="D170" s="21">
        <f>AVERAGEIF($A$24:$A$113, "*albfernandez-GDS-PMD-Security*_Manual", C$24:C$113)</f>
        <v>72</v>
      </c>
      <c r="E170" s="21">
        <f>AVERAGEIF($A$24:$A$113, "*albfernandez-GDS-PMD-Security*_Manual", D$24:D$113)</f>
        <v>16.420000000000002</v>
      </c>
      <c r="F170" s="21">
        <f>AVERAGEIF($A$24:$A$113, "*albfernandez-GDS-PMD-Security*_Manual", E$24:E$113)</f>
        <v>6.79</v>
      </c>
      <c r="G170" s="21">
        <f>AVERAGEIF($A$24:$A$113, "*albfernandez-GDS-PMD-Security*_Manual", F$24:F$113)</f>
        <v>15.15</v>
      </c>
      <c r="H170" s="21">
        <f>AVERAGEIF($A$24:$A$113, "*albfernandez-GDS-PMD-Security*_Manual", G$24:G$113)</f>
        <v>4.62</v>
      </c>
      <c r="I170" s="21">
        <f>AVERAGEIF($A$24:$A$113, "*albfernandez-GDS-PMD-Security*_Manual", H$24:H$113)</f>
        <v>11.42</v>
      </c>
      <c r="J170" s="21">
        <f>AVERAGEIF($A$24:$A$113, "*albfernandez-GDS-PMD-Security*_Manual", I$24:I$113)</f>
        <v>31.57</v>
      </c>
      <c r="K170" s="21">
        <f>AVERAGEIF($A$24:$A$113, "*albfernandez-GDS-PMD-Security*_Manual", J$24:J$113)</f>
        <v>57.34</v>
      </c>
      <c r="L170" s="21">
        <f>AVERAGEIF($A$24:$A$113, "*albfernandez-GDS-PMD-Security*_Manual", K$24:K$113)</f>
        <v>0.56999999999999995</v>
      </c>
      <c r="M170" s="21">
        <f>AVERAGEIF($A$24:$A$113, "*albfernandez-GDS-PMD-Security*_Manual", L$24:L$113)</f>
        <v>1.4999999999999999E-2</v>
      </c>
      <c r="N170" s="21">
        <f>AVERAGEIF($A$24:$A$113, "*albfernandez-GDS-PMD-Security*_Manual", M$24:M$113)</f>
        <v>13.16</v>
      </c>
      <c r="O170" s="21">
        <f>AVERAGEIF($A$24:$A$113, "*albfernandez-GDS-PMD-Security*_Manual", N$24:N$113)</f>
        <v>0.73</v>
      </c>
    </row>
    <row r="171" spans="1:32" x14ac:dyDescent="0.35">
      <c r="A171" s="1">
        <f>COUNTIF($A$24:$A$113, "*albfernandez-GDS-PMD-Security*Auto")</f>
        <v>2</v>
      </c>
      <c r="B171" s="1" t="s">
        <v>91</v>
      </c>
      <c r="C171" s="21">
        <f>AVERAGEIF($A$24:$A$113, "*albfernandez-GDS-PMD-Security*_Auto", B$24:B$113)</f>
        <v>4.58</v>
      </c>
      <c r="D171" s="21">
        <f>AVERAGEIF($A$24:$A$113, "*albfernandez-GDS-PMD-Security*_Auto", C$24:C$113)</f>
        <v>72.27</v>
      </c>
      <c r="E171" s="21">
        <f>AVERAGEIF($A$24:$A$113, "*albfernandez-GDS-PMD-Security*_Auto", D$24:D$113)</f>
        <v>16.259999999999998</v>
      </c>
      <c r="F171" s="21">
        <f>AVERAGEIF($A$24:$A$113, "*albfernandez-GDS-PMD-Security*_Auto", E$24:E$113)</f>
        <v>6.73</v>
      </c>
      <c r="G171" s="21">
        <f>AVERAGEIF($A$24:$A$113, "*albfernandez-GDS-PMD-Security*_Auto", F$24:F$113)</f>
        <v>15.11</v>
      </c>
      <c r="H171" s="21">
        <f>AVERAGEIF($A$24:$A$113, "*albfernandez-GDS-PMD-Security*_Auto", G$24:G$113)</f>
        <v>4.625</v>
      </c>
      <c r="I171" s="21">
        <f>AVERAGEIF($A$24:$A$113, "*albfernandez-GDS-PMD-Security*_Auto", H$24:H$113)</f>
        <v>11.36</v>
      </c>
      <c r="J171" s="21">
        <f>AVERAGEIF($A$24:$A$113, "*albfernandez-GDS-PMD-Security*_Auto", I$24:I$113)</f>
        <v>31.365000000000002</v>
      </c>
      <c r="K171" s="21">
        <f>AVERAGEIF($A$24:$A$113, "*albfernandez-GDS-PMD-Security*_Auto", J$24:J$113)</f>
        <v>56.94</v>
      </c>
      <c r="L171" s="21">
        <f>AVERAGEIF($A$24:$A$113, "*albfernandez-GDS-PMD-Security*_Auto", K$24:K$113)</f>
        <v>0.53</v>
      </c>
      <c r="M171" s="21">
        <f>AVERAGEIF($A$24:$A$113, "*albfernandez-GDS-PMD-Security*_Auto", L$24:L$113)</f>
        <v>1.03E-2</v>
      </c>
      <c r="N171" s="21">
        <f>AVERAGEIF($A$24:$A$113, "*albfernandez-GDS-PMD-Security*_Auto", M$24:M$113)</f>
        <v>12.344999999999999</v>
      </c>
      <c r="O171" s="21">
        <f>AVERAGEIF($A$24:$A$113, "*albfernandez-GDS-PMD-Security*_Auto", N$24:N$113)</f>
        <v>0.68500000000000005</v>
      </c>
    </row>
    <row r="173" spans="1:32" ht="28.8" x14ac:dyDescent="0.35">
      <c r="B173" s="13" t="s">
        <v>208</v>
      </c>
      <c r="C173" s="13" t="s">
        <v>45</v>
      </c>
      <c r="D173" s="13" t="s">
        <v>31</v>
      </c>
      <c r="E173" s="13" t="s">
        <v>32</v>
      </c>
      <c r="F173" s="13" t="s">
        <v>21</v>
      </c>
      <c r="G173" s="13" t="s">
        <v>33</v>
      </c>
      <c r="H173" s="13" t="s">
        <v>22</v>
      </c>
      <c r="I173" s="13" t="s">
        <v>34</v>
      </c>
      <c r="J173" s="13" t="s">
        <v>35</v>
      </c>
      <c r="K173" s="13" t="s">
        <v>36</v>
      </c>
      <c r="L173" s="13" t="s">
        <v>37</v>
      </c>
      <c r="M173" s="13" t="s">
        <v>38</v>
      </c>
      <c r="N173" s="13" t="s">
        <v>39</v>
      </c>
      <c r="O173" s="13" t="s">
        <v>40</v>
      </c>
    </row>
    <row r="174" spans="1:32" x14ac:dyDescent="0.35">
      <c r="A174" s="1">
        <f>COUNTIF($A$24:$A$113, "*dungba88-libra*Buggy")</f>
        <v>1</v>
      </c>
      <c r="B174" s="1" t="s">
        <v>50</v>
      </c>
      <c r="C174" s="21">
        <f>AVERAGEIF($A$24:$A$113, "*dungba88-libra*_Buggy", B$24:B$113)</f>
        <v>2.33</v>
      </c>
      <c r="D174" s="21">
        <f>AVERAGEIF($A$24:$A$113, "*dungba88-libra*_Buggy", C$24:C$113)</f>
        <v>84.67</v>
      </c>
      <c r="E174" s="21">
        <f>AVERAGEIF($A$24:$A$113, "*dungba88-libra*_Buggy", D$24:D$113)</f>
        <v>5.33</v>
      </c>
      <c r="F174" s="21">
        <f>AVERAGEIF($A$24:$A$113, "*dungba88-libra*_Buggy", E$24:E$113)</f>
        <v>4.33</v>
      </c>
      <c r="G174" s="21">
        <f>AVERAGEIF($A$24:$A$113, "*dungba88-libra*_Buggy", F$24:F$113)</f>
        <v>4.33</v>
      </c>
      <c r="H174" s="21">
        <f>AVERAGEIF($A$24:$A$113, "*dungba88-libra*_Buggy", G$24:G$113)</f>
        <v>2.33</v>
      </c>
      <c r="I174" s="21">
        <f>AVERAGEIF($A$24:$A$113, "*dungba88-libra*_Buggy", H$24:H$113)</f>
        <v>6.67</v>
      </c>
      <c r="J174" s="21">
        <f>AVERAGEIF($A$24:$A$113, "*dungba88-libra*_Buggy", I$24:I$113)</f>
        <v>9.67</v>
      </c>
      <c r="K174" s="21">
        <f>AVERAGEIF($A$24:$A$113, "*dungba88-libra*_Buggy", J$24:J$113)</f>
        <v>22.35</v>
      </c>
      <c r="L174" s="21">
        <f>AVERAGEIF($A$24:$A$113, "*dungba88-libra*_Buggy", K$24:K$113)</f>
        <v>0</v>
      </c>
      <c r="M174" s="21">
        <f>AVERAGEIF($A$24:$A$113, "*dungba88-libra*_Buggy", L$24:L$113)</f>
        <v>0</v>
      </c>
      <c r="N174" s="21">
        <f>AVERAGEIF($A$24:$A$113, "*dungba88-libra*_Buggy", M$24:M$113)</f>
        <v>0</v>
      </c>
      <c r="O174" s="21">
        <f>AVERAGEIF($A$24:$A$113, "*dungba88-libra*_Buggy", N$24:N$113)</f>
        <v>0</v>
      </c>
    </row>
    <row r="175" spans="1:32" x14ac:dyDescent="0.35">
      <c r="A175" s="1">
        <f>COUNTIF($A$24:$A$113, "*dungba88-libra*Manual")</f>
        <v>1</v>
      </c>
      <c r="B175" s="1" t="s">
        <v>72</v>
      </c>
      <c r="C175" s="21">
        <f>AVERAGEIF($A$24:$A$113, "*dungba88-libra*_Manual", B$24:B$113)</f>
        <v>3</v>
      </c>
      <c r="D175" s="21">
        <f>AVERAGEIF($A$24:$A$113, "*dungba88-libra*_Manual", C$24:C$113)</f>
        <v>83.33</v>
      </c>
      <c r="E175" s="21">
        <f>AVERAGEIF($A$24:$A$113, "*dungba88-libra*_Manual", D$24:D$113)</f>
        <v>6.67</v>
      </c>
      <c r="F175" s="21">
        <f>AVERAGEIF($A$24:$A$113, "*dungba88-libra*_Manual", E$24:E$113)</f>
        <v>4.67</v>
      </c>
      <c r="G175" s="21">
        <f>AVERAGEIF($A$24:$A$113, "*dungba88-libra*_Manual", F$24:F$113)</f>
        <v>6</v>
      </c>
      <c r="H175" s="21">
        <f>AVERAGEIF($A$24:$A$113, "*dungba88-libra*_Manual", G$24:G$113)</f>
        <v>2.33</v>
      </c>
      <c r="I175" s="21">
        <f>AVERAGEIF($A$24:$A$113, "*dungba88-libra*_Manual", H$24:H$113)</f>
        <v>7</v>
      </c>
      <c r="J175" s="21">
        <f>AVERAGEIF($A$24:$A$113, "*dungba88-libra*_Manual", I$24:I$113)</f>
        <v>12.67</v>
      </c>
      <c r="K175" s="21">
        <f>AVERAGEIF($A$24:$A$113, "*dungba88-libra*_Manual", J$24:J$113)</f>
        <v>26.04</v>
      </c>
      <c r="L175" s="21">
        <f>AVERAGEIF($A$24:$A$113, "*dungba88-libra*_Manual", K$24:K$113)</f>
        <v>0</v>
      </c>
      <c r="M175" s="21">
        <f>AVERAGEIF($A$24:$A$113, "*dungba88-libra*_Manual", L$24:L$113)</f>
        <v>0</v>
      </c>
      <c r="N175" s="21">
        <f>AVERAGEIF($A$24:$A$113, "*dungba88-libra*_Manual", M$24:M$113)</f>
        <v>0</v>
      </c>
      <c r="O175" s="21">
        <f>AVERAGEIF($A$24:$A$113, "*dungba88-libra*_Manual", N$24:N$113)</f>
        <v>0</v>
      </c>
    </row>
    <row r="176" spans="1:32" x14ac:dyDescent="0.35">
      <c r="A176" s="1">
        <f>COUNTIF($A$24:$A$113, "*dungba88-libra*Auto")</f>
        <v>1</v>
      </c>
      <c r="B176" s="1" t="s">
        <v>92</v>
      </c>
      <c r="C176" s="21">
        <f>AVERAGEIF($A$24:$A$113, "*dungba88-libra*_Auto", B$24:B$113)</f>
        <v>2.33</v>
      </c>
      <c r="D176" s="21">
        <f>AVERAGEIF($A$24:$A$113, "*dungba88-libra*_Auto", C$24:C$113)</f>
        <v>84.67</v>
      </c>
      <c r="E176" s="21">
        <f>AVERAGEIF($A$24:$A$113, "*dungba88-libra*_Auto", D$24:D$113)</f>
        <v>5.33</v>
      </c>
      <c r="F176" s="21">
        <f>AVERAGEIF($A$24:$A$113, "*dungba88-libra*_Auto", E$24:E$113)</f>
        <v>4.33</v>
      </c>
      <c r="G176" s="21">
        <f>AVERAGEIF($A$24:$A$113, "*dungba88-libra*_Auto", F$24:F$113)</f>
        <v>4.33</v>
      </c>
      <c r="H176" s="21">
        <f>AVERAGEIF($A$24:$A$113, "*dungba88-libra*_Auto", G$24:G$113)</f>
        <v>2.33</v>
      </c>
      <c r="I176" s="21">
        <f>AVERAGEIF($A$24:$A$113, "*dungba88-libra*_Auto", H$24:H$113)</f>
        <v>6.67</v>
      </c>
      <c r="J176" s="21">
        <f>AVERAGEIF($A$24:$A$113, "*dungba88-libra*_Auto", I$24:I$113)</f>
        <v>9.67</v>
      </c>
      <c r="K176" s="21">
        <f>AVERAGEIF($A$24:$A$113, "*dungba88-libra*_Auto", J$24:J$113)</f>
        <v>22.35</v>
      </c>
      <c r="L176" s="21">
        <f>AVERAGEIF($A$24:$A$113, "*dungba88-libra*_Auto", K$24:K$113)</f>
        <v>0</v>
      </c>
      <c r="M176" s="21">
        <f>AVERAGEIF($A$24:$A$113, "*dungba88-libra*_Auto", L$24:L$113)</f>
        <v>0</v>
      </c>
      <c r="N176" s="21">
        <f>AVERAGEIF($A$24:$A$113, "*dungba88-libra*_Auto", M$24:M$113)</f>
        <v>0</v>
      </c>
      <c r="O176" s="21">
        <f>AVERAGEIF($A$24:$A$113, "*dungba88-libra*_Auto", N$24:N$113)</f>
        <v>0</v>
      </c>
    </row>
    <row r="178" spans="1:15" ht="28.8" x14ac:dyDescent="0.35">
      <c r="B178" s="13" t="s">
        <v>208</v>
      </c>
      <c r="C178" s="13" t="s">
        <v>45</v>
      </c>
      <c r="D178" s="13" t="s">
        <v>31</v>
      </c>
      <c r="E178" s="13" t="s">
        <v>32</v>
      </c>
      <c r="F178" s="13" t="s">
        <v>21</v>
      </c>
      <c r="G178" s="13" t="s">
        <v>33</v>
      </c>
      <c r="H178" s="13" t="s">
        <v>22</v>
      </c>
      <c r="I178" s="13" t="s">
        <v>34</v>
      </c>
      <c r="J178" s="13" t="s">
        <v>35</v>
      </c>
      <c r="K178" s="13" t="s">
        <v>36</v>
      </c>
      <c r="L178" s="13" t="s">
        <v>37</v>
      </c>
      <c r="M178" s="13" t="s">
        <v>38</v>
      </c>
      <c r="N178" s="13" t="s">
        <v>39</v>
      </c>
      <c r="O178" s="13" t="s">
        <v>40</v>
      </c>
    </row>
    <row r="179" spans="1:15" x14ac:dyDescent="0.35">
      <c r="A179" s="1">
        <f>COUNTIF($A$24:$A$113, "*julianps-modelmapper-module*Buggy")</f>
        <v>0</v>
      </c>
      <c r="B179" s="1" t="s">
        <v>51</v>
      </c>
      <c r="C179" s="21" t="e">
        <f>AVERAGEIF($A$24:$A$113, "*julianps-modelmapper-module*_Buggy", B$24:B$113)</f>
        <v>#DIV/0!</v>
      </c>
      <c r="D179" s="21" t="e">
        <f>AVERAGEIF($A$24:$A$113, "*julianps-modelmapper-module*_Buggy", C$24:C$113)</f>
        <v>#DIV/0!</v>
      </c>
      <c r="E179" s="21" t="e">
        <f>AVERAGEIF($A$24:$A$113, "*julianps-modelmapper-module*_Buggy", D$24:D$113)</f>
        <v>#DIV/0!</v>
      </c>
      <c r="F179" s="21" t="e">
        <f>AVERAGEIF($A$24:$A$113, "*julianps-modelmapper-module*_Buggy", E$24:E$113)</f>
        <v>#DIV/0!</v>
      </c>
      <c r="G179" s="21" t="e">
        <f>AVERAGEIF($A$24:$A$113, "*julianps-modelmapper-module*_Buggy", F$24:F$113)</f>
        <v>#DIV/0!</v>
      </c>
      <c r="H179" s="21" t="e">
        <f>AVERAGEIF($A$24:$A$113, "*julianps-modelmapper-module*_Buggy", G$24:G$113)</f>
        <v>#DIV/0!</v>
      </c>
      <c r="I179" s="21" t="e">
        <f>AVERAGEIF($A$24:$A$113, "*julianps-modelmapper-module*_Buggy", H$24:H$113)</f>
        <v>#DIV/0!</v>
      </c>
      <c r="J179" s="21" t="e">
        <f>AVERAGEIF($A$24:$A$113, "*julianps-modelmapper-module*_Buggy", I$24:I$113)</f>
        <v>#DIV/0!</v>
      </c>
      <c r="K179" s="21" t="e">
        <f>AVERAGEIF($A$24:$A$113, "*julianps-modelmapper-module*_Buggy", J$24:J$113)</f>
        <v>#DIV/0!</v>
      </c>
      <c r="L179" s="21" t="e">
        <f>AVERAGEIF($A$24:$A$113, "*julianps-modelmapper-module*_Buggy", K$24:K$113)</f>
        <v>#DIV/0!</v>
      </c>
      <c r="M179" s="21" t="e">
        <f>AVERAGEIF($A$24:$A$113, "*julianps-modelmapper-module*_Buggy", L$24:L$113)</f>
        <v>#DIV/0!</v>
      </c>
      <c r="N179" s="21" t="e">
        <f>AVERAGEIF($A$24:$A$113, "*julianps-modelmapper-module*_Buggy", M$24:M$113)</f>
        <v>#DIV/0!</v>
      </c>
      <c r="O179" s="21" t="e">
        <f>AVERAGEIF($A$24:$A$113, "*julianps-modelmapper-module*_Buggy", N$24:N$113)</f>
        <v>#DIV/0!</v>
      </c>
    </row>
    <row r="180" spans="1:15" x14ac:dyDescent="0.35">
      <c r="A180" s="1">
        <f>COUNTIF($A$24:$A$113, "*julianps-modelmapper-module*Manual")</f>
        <v>0</v>
      </c>
      <c r="B180" s="1" t="s">
        <v>73</v>
      </c>
      <c r="C180" s="21" t="e">
        <f>AVERAGEIF($A$24:$A$113, "*julianps-modelmapper-module*_Manual", B$24:B$113)</f>
        <v>#DIV/0!</v>
      </c>
      <c r="D180" s="21" t="e">
        <f>AVERAGEIF($A$24:$A$113, "*julianps-modelmapper-module*_Manual", C$24:C$113)</f>
        <v>#DIV/0!</v>
      </c>
      <c r="E180" s="21" t="e">
        <f>AVERAGEIF($A$24:$A$113, "*julianps-modelmapper-module*_Manual", D$24:D$113)</f>
        <v>#DIV/0!</v>
      </c>
      <c r="F180" s="21" t="e">
        <f>AVERAGEIF($A$24:$A$113, "*julianps-modelmapper-module*_Manual", E$24:E$113)</f>
        <v>#DIV/0!</v>
      </c>
      <c r="G180" s="21" t="e">
        <f>AVERAGEIF($A$24:$A$113, "*julianps-modelmapper-module*_Manual", F$24:F$113)</f>
        <v>#DIV/0!</v>
      </c>
      <c r="H180" s="21" t="e">
        <f>AVERAGEIF($A$24:$A$113, "*julianps-modelmapper-module*_Manual", G$24:G$113)</f>
        <v>#DIV/0!</v>
      </c>
      <c r="I180" s="21" t="e">
        <f>AVERAGEIF($A$24:$A$113, "*julianps-modelmapper-module*_Manual", H$24:H$113)</f>
        <v>#DIV/0!</v>
      </c>
      <c r="J180" s="21" t="e">
        <f>AVERAGEIF($A$24:$A$113, "*julianps-modelmapper-module*_Manual", I$24:I$113)</f>
        <v>#DIV/0!</v>
      </c>
      <c r="K180" s="21" t="e">
        <f>AVERAGEIF($A$24:$A$113, "*julianps-modelmapper-module*_Manual", J$24:J$113)</f>
        <v>#DIV/0!</v>
      </c>
      <c r="L180" s="21" t="e">
        <f>AVERAGEIF($A$24:$A$113, "*julianps-modelmapper-module*_Manual", K$24:K$113)</f>
        <v>#DIV/0!</v>
      </c>
      <c r="M180" s="21" t="e">
        <f>AVERAGEIF($A$24:$A$113, "*julianps-modelmapper-module*_Manual", L$24:L$113)</f>
        <v>#DIV/0!</v>
      </c>
      <c r="N180" s="21" t="e">
        <f>AVERAGEIF($A$24:$A$113, "*julianps-modelmapper-module*_Manual", M$24:M$113)</f>
        <v>#DIV/0!</v>
      </c>
      <c r="O180" s="21" t="e">
        <f>AVERAGEIF($A$24:$A$113, "*julianps-modelmapper-module*_Manual", N$24:N$113)</f>
        <v>#DIV/0!</v>
      </c>
    </row>
    <row r="181" spans="1:15" x14ac:dyDescent="0.35">
      <c r="A181" s="1">
        <f>COUNTIF($A$24:$A$113, "*julianps-modelmapper-module*Auto")</f>
        <v>0</v>
      </c>
      <c r="B181" s="1" t="s">
        <v>93</v>
      </c>
      <c r="C181" s="21" t="e">
        <f>AVERAGEIF($A$24:$A$113, "*julianps-modelmapper-module*_Auto", B$24:B$113)</f>
        <v>#DIV/0!</v>
      </c>
      <c r="D181" s="21" t="e">
        <f>AVERAGEIF($A$24:$A$113, "*julianps-modelmapper-module*_Auto", C$24:C$113)</f>
        <v>#DIV/0!</v>
      </c>
      <c r="E181" s="21" t="e">
        <f>AVERAGEIF($A$24:$A$113, "*julianps-modelmapper-module*_Auto", D$24:D$113)</f>
        <v>#DIV/0!</v>
      </c>
      <c r="F181" s="21" t="e">
        <f>AVERAGEIF($A$24:$A$113, "*julianps-modelmapper-module*_Auto", E$24:E$113)</f>
        <v>#DIV/0!</v>
      </c>
      <c r="G181" s="21" t="e">
        <f>AVERAGEIF($A$24:$A$113, "*julianps-modelmapper-module*_Auto", F$24:F$113)</f>
        <v>#DIV/0!</v>
      </c>
      <c r="H181" s="21" t="e">
        <f>AVERAGEIF($A$24:$A$113, "*julianps-modelmapper-module*_Auto", G$24:G$113)</f>
        <v>#DIV/0!</v>
      </c>
      <c r="I181" s="21" t="e">
        <f>AVERAGEIF($A$24:$A$113, "*julianps-modelmapper-module*_Auto", H$24:H$113)</f>
        <v>#DIV/0!</v>
      </c>
      <c r="J181" s="21" t="e">
        <f>AVERAGEIF($A$24:$A$113, "*julianps-modelmapper-module*_Auto", I$24:I$113)</f>
        <v>#DIV/0!</v>
      </c>
      <c r="K181" s="21" t="e">
        <f>AVERAGEIF($A$24:$A$113, "*julianps-modelmapper-module*_Auto", J$24:J$113)</f>
        <v>#DIV/0!</v>
      </c>
      <c r="L181" s="21" t="e">
        <f>AVERAGEIF($A$24:$A$113, "*julianps-modelmapper-module*_Auto", K$24:K$113)</f>
        <v>#DIV/0!</v>
      </c>
      <c r="M181" s="21" t="e">
        <f>AVERAGEIF($A$24:$A$113, "*julianps-modelmapper-module*_Auto", L$24:L$113)</f>
        <v>#DIV/0!</v>
      </c>
      <c r="N181" s="21" t="e">
        <f>AVERAGEIF($A$24:$A$113, "*julianps-modelmapper-module*_Auto", M$24:M$113)</f>
        <v>#DIV/0!</v>
      </c>
      <c r="O181" s="21" t="e">
        <f>AVERAGEIF($A$24:$A$113, "*julianps-modelmapper-module*_Auto", N$24:N$113)</f>
        <v>#DIV/0!</v>
      </c>
    </row>
    <row r="183" spans="1:15" ht="28.8" x14ac:dyDescent="0.35">
      <c r="B183" s="13" t="s">
        <v>208</v>
      </c>
      <c r="C183" s="13" t="s">
        <v>45</v>
      </c>
      <c r="D183" s="13" t="s">
        <v>31</v>
      </c>
      <c r="E183" s="13" t="s">
        <v>32</v>
      </c>
      <c r="F183" s="13" t="s">
        <v>21</v>
      </c>
      <c r="G183" s="13" t="s">
        <v>33</v>
      </c>
      <c r="H183" s="13" t="s">
        <v>22</v>
      </c>
      <c r="I183" s="13" t="s">
        <v>34</v>
      </c>
      <c r="J183" s="13" t="s">
        <v>35</v>
      </c>
      <c r="K183" s="13" t="s">
        <v>36</v>
      </c>
      <c r="L183" s="13" t="s">
        <v>37</v>
      </c>
      <c r="M183" s="13" t="s">
        <v>38</v>
      </c>
      <c r="N183" s="13" t="s">
        <v>39</v>
      </c>
      <c r="O183" s="13" t="s">
        <v>40</v>
      </c>
    </row>
    <row r="184" spans="1:15" x14ac:dyDescent="0.35">
      <c r="A184" s="1">
        <f>COUNTIF($A$24:$A$113, "*opentracing-contrib-java-p6sp*Buggy")</f>
        <v>5</v>
      </c>
      <c r="B184" s="1" t="s">
        <v>52</v>
      </c>
      <c r="C184" s="21">
        <f>AVERAGEIF($A$24:$A$113, "*opentracing-contrib-java-p6sp*_Buggy", B$24:B$113)</f>
        <v>2.62</v>
      </c>
      <c r="D184" s="21">
        <f>AVERAGEIF($A$24:$A$113, "*opentracing-contrib-java-p6sp*_Buggy", C$24:C$113)</f>
        <v>79.849999999999994</v>
      </c>
      <c r="E184" s="21">
        <f>AVERAGEIF($A$24:$A$113, "*opentracing-contrib-java-p6sp*_Buggy", D$24:D$113)</f>
        <v>10.31</v>
      </c>
      <c r="F184" s="21">
        <f>AVERAGEIF($A$24:$A$113, "*opentracing-contrib-java-p6sp*_Buggy", E$24:E$113)</f>
        <v>5.54</v>
      </c>
      <c r="G184" s="21">
        <f>AVERAGEIF($A$24:$A$113, "*opentracing-contrib-java-p6sp*_Buggy", F$24:F$113)</f>
        <v>8.69</v>
      </c>
      <c r="H184" s="21">
        <f>AVERAGEIF($A$24:$A$113, "*opentracing-contrib-java-p6sp*_Buggy", G$24:G$113)</f>
        <v>3.31</v>
      </c>
      <c r="I184" s="21">
        <f>AVERAGEIF($A$24:$A$113, "*opentracing-contrib-java-p6sp*_Buggy", H$24:H$113)</f>
        <v>8.85</v>
      </c>
      <c r="J184" s="21">
        <f>AVERAGEIF($A$24:$A$113, "*opentracing-contrib-java-p6sp*_Buggy", I$24:I$113)</f>
        <v>19</v>
      </c>
      <c r="K184" s="21">
        <f>AVERAGEIF($A$24:$A$113, "*opentracing-contrib-java-p6sp*_Buggy", J$24:J$113)</f>
        <v>37.72</v>
      </c>
      <c r="L184" s="21">
        <f>AVERAGEIF($A$24:$A$113, "*opentracing-contrib-java-p6sp*_Buggy", K$24:K$113)</f>
        <v>0</v>
      </c>
      <c r="M184" s="21">
        <f>AVERAGEIF($A$24:$A$113, "*opentracing-contrib-java-p6sp*_Buggy", L$24:L$113)</f>
        <v>0</v>
      </c>
      <c r="N184" s="21">
        <f>AVERAGEIF($A$24:$A$113, "*opentracing-contrib-java-p6sp*_Buggy", M$24:M$113)</f>
        <v>0</v>
      </c>
      <c r="O184" s="21">
        <f>AVERAGEIF($A$24:$A$113, "*opentracing-contrib-java-p6sp*_Buggy", N$24:N$113)</f>
        <v>0</v>
      </c>
    </row>
    <row r="185" spans="1:15" x14ac:dyDescent="0.35">
      <c r="A185" s="1">
        <f>COUNTIF($A$24:$A$113, "*opentracing-contrib-java-p6sp*Manual")</f>
        <v>5</v>
      </c>
      <c r="B185" s="1" t="s">
        <v>74</v>
      </c>
      <c r="C185" s="21">
        <f>AVERAGEIF($A$24:$A$113, "*opentracing-contrib-java-p6sp*_Manual", B$24:B$113)</f>
        <v>2.57</v>
      </c>
      <c r="D185" s="21">
        <f>AVERAGEIF($A$24:$A$113, "*opentracing-contrib-java-p6sp*_Manual", C$24:C$113)</f>
        <v>80.36</v>
      </c>
      <c r="E185" s="21">
        <f>AVERAGEIF($A$24:$A$113, "*opentracing-contrib-java-p6sp*_Manual", D$24:D$113)</f>
        <v>9.7899999999999991</v>
      </c>
      <c r="F185" s="21">
        <f>AVERAGEIF($A$24:$A$113, "*opentracing-contrib-java-p6sp*_Manual", E$24:E$113)</f>
        <v>5.43</v>
      </c>
      <c r="G185" s="21">
        <f>AVERAGEIF($A$24:$A$113, "*opentracing-contrib-java-p6sp*_Manual", F$24:F$113)</f>
        <v>8.43</v>
      </c>
      <c r="H185" s="21">
        <f>AVERAGEIF($A$24:$A$113, "*opentracing-contrib-java-p6sp*_Manual", G$24:G$113)</f>
        <v>3.3600000000000003</v>
      </c>
      <c r="I185" s="21">
        <f>AVERAGEIF($A$24:$A$113, "*opentracing-contrib-java-p6sp*_Manual", H$24:H$113)</f>
        <v>8.7899999999999991</v>
      </c>
      <c r="J185" s="21">
        <f>AVERAGEIF($A$24:$A$113, "*opentracing-contrib-java-p6sp*_Manual", I$24:I$113)</f>
        <v>18.21</v>
      </c>
      <c r="K185" s="21">
        <f>AVERAGEIF($A$24:$A$113, "*opentracing-contrib-java-p6sp*_Manual", J$24:J$113)</f>
        <v>36.97</v>
      </c>
      <c r="L185" s="21">
        <f>AVERAGEIF($A$24:$A$113, "*opentracing-contrib-java-p6sp*_Manual", K$24:K$113)</f>
        <v>0</v>
      </c>
      <c r="M185" s="21">
        <f>AVERAGEIF($A$24:$A$113, "*opentracing-contrib-java-p6sp*_Manual", L$24:L$113)</f>
        <v>0</v>
      </c>
      <c r="N185" s="21">
        <f>AVERAGEIF($A$24:$A$113, "*opentracing-contrib-java-p6sp*_Manual", M$24:M$113)</f>
        <v>0</v>
      </c>
      <c r="O185" s="21">
        <f>AVERAGEIF($A$24:$A$113, "*opentracing-contrib-java-p6sp*_Manual", N$24:N$113)</f>
        <v>0</v>
      </c>
    </row>
    <row r="186" spans="1:15" x14ac:dyDescent="0.35">
      <c r="A186" s="1">
        <f>COUNTIF($A$24:$A$113, "*opentracing-contrib-java-p6sp*Auto")</f>
        <v>5</v>
      </c>
      <c r="B186" s="1" t="s">
        <v>94</v>
      </c>
      <c r="C186" s="21">
        <f>AVERAGEIF($A$24:$A$113, "*opentracing-contrib-java-p6sp*_Auto", B$24:B$113)</f>
        <v>2.54</v>
      </c>
      <c r="D186" s="21">
        <f>AVERAGEIF($A$24:$A$113, "*opentracing-contrib-java-p6sp*_Auto", C$24:C$113)</f>
        <v>80.12</v>
      </c>
      <c r="E186" s="21">
        <f>AVERAGEIF($A$24:$A$113, "*opentracing-contrib-java-p6sp*_Auto", D$24:D$113)</f>
        <v>10.044</v>
      </c>
      <c r="F186" s="21">
        <f>AVERAGEIF($A$24:$A$113, "*opentracing-contrib-java-p6sp*_Auto", E$24:E$113)</f>
        <v>5.524</v>
      </c>
      <c r="G186" s="21">
        <f>AVERAGEIF($A$24:$A$113, "*opentracing-contrib-java-p6sp*_Auto", F$24:F$113)</f>
        <v>8.3239999999999998</v>
      </c>
      <c r="H186" s="21">
        <f>AVERAGEIF($A$24:$A$113, "*opentracing-contrib-java-p6sp*_Auto", G$24:G$113)</f>
        <v>3.1540000000000004</v>
      </c>
      <c r="I186" s="21">
        <f>AVERAGEIF($A$24:$A$113, "*opentracing-contrib-java-p6sp*_Auto", H$24:H$113)</f>
        <v>8.68</v>
      </c>
      <c r="J186" s="21">
        <f>AVERAGEIF($A$24:$A$113, "*opentracing-contrib-java-p6sp*_Auto", I$24:I$113)</f>
        <v>18.368000000000002</v>
      </c>
      <c r="K186" s="21">
        <f>AVERAGEIF($A$24:$A$113, "*opentracing-contrib-java-p6sp*_Auto", J$24:J$113)</f>
        <v>36.53</v>
      </c>
      <c r="L186" s="21">
        <f>AVERAGEIF($A$24:$A$113, "*opentracing-contrib-java-p6sp*_Auto", K$24:K$113)</f>
        <v>0</v>
      </c>
      <c r="M186" s="21">
        <f>AVERAGEIF($A$24:$A$113, "*opentracing-contrib-java-p6sp*_Auto", L$24:L$113)</f>
        <v>0</v>
      </c>
      <c r="N186" s="21">
        <f>AVERAGEIF($A$24:$A$113, "*opentracing-contrib-java-p6sp*_Auto", M$24:M$113)</f>
        <v>0</v>
      </c>
      <c r="O186" s="21">
        <f>AVERAGEIF($A$24:$A$113, "*opentracing-contrib-java-p6sp*_Auto", N$24:N$113)</f>
        <v>0</v>
      </c>
    </row>
    <row r="188" spans="1:15" ht="28.8" x14ac:dyDescent="0.35">
      <c r="B188" s="13" t="s">
        <v>208</v>
      </c>
      <c r="C188" s="13" t="s">
        <v>45</v>
      </c>
      <c r="D188" s="13" t="s">
        <v>31</v>
      </c>
      <c r="E188" s="13" t="s">
        <v>32</v>
      </c>
      <c r="F188" s="13" t="s">
        <v>21</v>
      </c>
      <c r="G188" s="13" t="s">
        <v>33</v>
      </c>
      <c r="H188" s="13" t="s">
        <v>22</v>
      </c>
      <c r="I188" s="13" t="s">
        <v>34</v>
      </c>
      <c r="J188" s="13" t="s">
        <v>35</v>
      </c>
      <c r="K188" s="13" t="s">
        <v>36</v>
      </c>
      <c r="L188" s="13" t="s">
        <v>37</v>
      </c>
      <c r="M188" s="13" t="s">
        <v>38</v>
      </c>
      <c r="N188" s="13" t="s">
        <v>39</v>
      </c>
      <c r="O188" s="13" t="s">
        <v>40</v>
      </c>
    </row>
    <row r="189" spans="1:15" x14ac:dyDescent="0.35">
      <c r="A189" s="1">
        <f>COUNTIF($A$24:$A$113, "*SzFMV2018-Tavasz-AutomatedCar*Buggy")</f>
        <v>16</v>
      </c>
      <c r="B189" s="1" t="s">
        <v>53</v>
      </c>
      <c r="C189" s="21">
        <f>AVERAGEIF($A$24:$A$113, "*SzFMV2018-Tavasz-AutomatedCar*_Buggy", B$24:B$113)</f>
        <v>1</v>
      </c>
      <c r="D189" s="21">
        <f>AVERAGEIF($A$24:$A$113, "*SzFMV2018-Tavasz-AutomatedCar*_Buggy", C$24:C$113)</f>
        <v>74.569999999999965</v>
      </c>
      <c r="E189" s="21">
        <f>AVERAGEIF($A$24:$A$113, "*SzFMV2018-Tavasz-AutomatedCar*_Buggy", D$24:D$113)</f>
        <v>11</v>
      </c>
      <c r="F189" s="21">
        <f>AVERAGEIF($A$24:$A$113, "*SzFMV2018-Tavasz-AutomatedCar*_Buggy", E$24:E$113)</f>
        <v>9.860000000000003</v>
      </c>
      <c r="G189" s="21">
        <f>AVERAGEIF($A$24:$A$113, "*SzFMV2018-Tavasz-AutomatedCar*_Buggy", F$24:F$113)</f>
        <v>6.86</v>
      </c>
      <c r="H189" s="21">
        <f>AVERAGEIF($A$24:$A$113, "*SzFMV2018-Tavasz-AutomatedCar*_Buggy", G$24:G$113)</f>
        <v>2</v>
      </c>
      <c r="I189" s="21">
        <f>AVERAGEIF($A$24:$A$113, "*SzFMV2018-Tavasz-AutomatedCar*_Buggy", H$24:H$113)</f>
        <v>11.860000000000003</v>
      </c>
      <c r="J189" s="21">
        <f>AVERAGEIF($A$24:$A$113, "*SzFMV2018-Tavasz-AutomatedCar*_Buggy", I$24:I$113)</f>
        <v>17.860000000000007</v>
      </c>
      <c r="K189" s="21">
        <f>AVERAGEIF($A$24:$A$113, "*SzFMV2018-Tavasz-AutomatedCar*_Buggy", J$24:J$113)</f>
        <v>52.87</v>
      </c>
      <c r="L189" s="21">
        <f>AVERAGEIF($A$24:$A$113, "*SzFMV2018-Tavasz-AutomatedCar*_Buggy", K$24:K$113)</f>
        <v>2</v>
      </c>
      <c r="M189" s="21">
        <f>AVERAGEIF($A$24:$A$113, "*SzFMV2018-Tavasz-AutomatedCar*_Buggy", L$24:L$113)</f>
        <v>5.000000000000001E-2</v>
      </c>
      <c r="N189" s="21">
        <f>AVERAGEIF($A$24:$A$113, "*SzFMV2018-Tavasz-AutomatedCar*_Buggy", M$24:M$113)</f>
        <v>30.410000000000011</v>
      </c>
      <c r="O189" s="21">
        <f>AVERAGEIF($A$24:$A$113, "*SzFMV2018-Tavasz-AutomatedCar*_Buggy", N$24:N$113)</f>
        <v>1.6900000000000004</v>
      </c>
    </row>
    <row r="190" spans="1:15" x14ac:dyDescent="0.35">
      <c r="A190" s="1">
        <f>COUNTIF($A$24:$A$113, "*SzFMV2018-Tavasz-AutomatedCar*Manual")</f>
        <v>16</v>
      </c>
      <c r="B190" s="1" t="s">
        <v>75</v>
      </c>
      <c r="C190" s="22">
        <f>AVERAGEIF($A$24:$A$113, "*SzFMV2018-Tavasz-AutomatedCar*_Manual", B$24:B$113)</f>
        <v>1</v>
      </c>
      <c r="D190" s="22">
        <f>AVERAGEIF($A$24:$A$113, "*SzFMV2018-Tavasz-AutomatedCar*_Manual", C$24:C$113)</f>
        <v>74.569999999999965</v>
      </c>
      <c r="E190" s="22">
        <f>AVERAGEIF($A$24:$A$113, "*SzFMV2018-Tavasz-AutomatedCar*_Manual", D$24:D$113)</f>
        <v>11</v>
      </c>
      <c r="F190" s="22">
        <f>AVERAGEIF($A$24:$A$113, "*SzFMV2018-Tavasz-AutomatedCar*_Manual", E$24:E$113)</f>
        <v>9.860000000000003</v>
      </c>
      <c r="G190" s="22">
        <f>AVERAGEIF($A$24:$A$113, "*SzFMV2018-Tavasz-AutomatedCar*_Manual", F$24:F$113)</f>
        <v>6.7099999999999973</v>
      </c>
      <c r="H190" s="22">
        <f>AVERAGEIF($A$24:$A$113, "*SzFMV2018-Tavasz-AutomatedCar*_Manual", G$24:G$113)</f>
        <v>2</v>
      </c>
      <c r="I190" s="22">
        <f>AVERAGEIF($A$24:$A$113, "*SzFMV2018-Tavasz-AutomatedCar*_Manual", H$24:H$113)</f>
        <v>11.860000000000003</v>
      </c>
      <c r="J190" s="22">
        <f>AVERAGEIF($A$24:$A$113, "*SzFMV2018-Tavasz-AutomatedCar*_Manual", I$24:I$113)</f>
        <v>17.710000000000004</v>
      </c>
      <c r="K190" s="22">
        <f>AVERAGEIF($A$24:$A$113, "*SzFMV2018-Tavasz-AutomatedCar*_Manual", J$24:J$113)</f>
        <v>52.799999999999983</v>
      </c>
      <c r="L190" s="22">
        <f>AVERAGEIF($A$24:$A$113, "*SzFMV2018-Tavasz-AutomatedCar*_Manual", K$24:K$113)</f>
        <v>2</v>
      </c>
      <c r="M190" s="22">
        <f>AVERAGEIF($A$24:$A$113, "*SzFMV2018-Tavasz-AutomatedCar*_Manual", L$24:L$113)</f>
        <v>5.000000000000001E-2</v>
      </c>
      <c r="N190" s="22">
        <f>AVERAGEIF($A$24:$A$113, "*SzFMV2018-Tavasz-AutomatedCar*_Manual", M$24:M$113)</f>
        <v>30.410000000000011</v>
      </c>
      <c r="O190" s="22">
        <f>AVERAGEIF($A$24:$A$113, "*SzFMV2018-Tavasz-AutomatedCar*_Manual", N$24:N$113)</f>
        <v>1.6900000000000004</v>
      </c>
    </row>
    <row r="191" spans="1:15" x14ac:dyDescent="0.35">
      <c r="A191" s="1">
        <f>COUNTIF($A$24:$A$113, "*SzFMV2018-Tavasz-AutomatedCar*Auto")</f>
        <v>16</v>
      </c>
      <c r="B191" s="1" t="s">
        <v>95</v>
      </c>
      <c r="C191" s="22">
        <f>AVERAGEIF($A$24:$A$113, "*SzFMV2018-Tavasz-AutomatedCar*_Auto", B$24:B$113)</f>
        <v>1.00875</v>
      </c>
      <c r="D191" s="22">
        <f>AVERAGEIF($A$24:$A$113, "*SzFMV2018-Tavasz-AutomatedCar*_Auto", C$24:C$113)</f>
        <v>74.106875000000016</v>
      </c>
      <c r="E191" s="22">
        <f>AVERAGEIF($A$24:$A$113, "*SzFMV2018-Tavasz-AutomatedCar*_Auto", D$24:D$113)</f>
        <v>11.105625</v>
      </c>
      <c r="F191" s="22">
        <f>AVERAGEIF($A$24:$A$113, "*SzFMV2018-Tavasz-AutomatedCar*_Auto", E$24:E$113)</f>
        <v>10.115624999999998</v>
      </c>
      <c r="G191" s="22">
        <f>AVERAGEIF($A$24:$A$113, "*SzFMV2018-Tavasz-AutomatedCar*_Auto", F$24:F$113)</f>
        <v>6.9206249999999994</v>
      </c>
      <c r="H191" s="22">
        <f>AVERAGEIF($A$24:$A$113, "*SzFMV2018-Tavasz-AutomatedCar*_Auto", G$24:G$113)</f>
        <v>2.1243750000000001</v>
      </c>
      <c r="I191" s="22">
        <f>AVERAGEIF($A$24:$A$113, "*SzFMV2018-Tavasz-AutomatedCar*_Auto", H$24:H$113)</f>
        <v>12.241250000000001</v>
      </c>
      <c r="J191" s="22">
        <f>AVERAGEIF($A$24:$A$113, "*SzFMV2018-Tavasz-AutomatedCar*_Auto", I$24:I$113)</f>
        <v>18.026250000000001</v>
      </c>
      <c r="K191" s="22">
        <f>AVERAGEIF($A$24:$A$113, "*SzFMV2018-Tavasz-AutomatedCar*_Auto", J$24:J$113)</f>
        <v>54.658124999999998</v>
      </c>
      <c r="L191" s="22">
        <f>AVERAGEIF($A$24:$A$113, "*SzFMV2018-Tavasz-AutomatedCar*_Auto", K$24:K$113)</f>
        <v>1.9562499999999998</v>
      </c>
      <c r="M191" s="22">
        <f>AVERAGEIF($A$24:$A$113, "*SzFMV2018-Tavasz-AutomatedCar*_Auto", L$24:L$113)</f>
        <v>6.7875000000000019E-2</v>
      </c>
      <c r="N191" s="22">
        <f>AVERAGEIF($A$24:$A$113, "*SzFMV2018-Tavasz-AutomatedCar*_Auto", M$24:M$113)</f>
        <v>33.860000000000007</v>
      </c>
      <c r="O191" s="22">
        <f>AVERAGEIF($A$24:$A$113, "*SzFMV2018-Tavasz-AutomatedCar*_Auto", N$24:N$113)</f>
        <v>1.8818750000000004</v>
      </c>
    </row>
    <row r="193" spans="1:15" ht="28.8" x14ac:dyDescent="0.35">
      <c r="B193" s="13" t="s">
        <v>208</v>
      </c>
      <c r="C193" s="13" t="s">
        <v>45</v>
      </c>
      <c r="D193" s="13" t="s">
        <v>31</v>
      </c>
      <c r="E193" s="13" t="s">
        <v>32</v>
      </c>
      <c r="F193" s="13" t="s">
        <v>21</v>
      </c>
      <c r="G193" s="13" t="s">
        <v>33</v>
      </c>
      <c r="H193" s="13" t="s">
        <v>22</v>
      </c>
      <c r="I193" s="13" t="s">
        <v>34</v>
      </c>
      <c r="J193" s="13" t="s">
        <v>35</v>
      </c>
      <c r="K193" s="13" t="s">
        <v>36</v>
      </c>
      <c r="L193" s="13" t="s">
        <v>37</v>
      </c>
      <c r="M193" s="13" t="s">
        <v>38</v>
      </c>
      <c r="N193" s="13" t="s">
        <v>39</v>
      </c>
      <c r="O193" s="13" t="s">
        <v>40</v>
      </c>
    </row>
    <row r="194" spans="1:15" x14ac:dyDescent="0.35">
      <c r="A194" s="1">
        <f>COUNTIF($A$24:$A$113, "*traccar-traccar*Buggy")</f>
        <v>6</v>
      </c>
      <c r="B194" s="1" t="s">
        <v>54</v>
      </c>
      <c r="C194" s="21">
        <f>AVERAGEIF($A$24:$A$113, "*traccar-traccar*_Buggy", B$24:B$113)</f>
        <v>5.75</v>
      </c>
      <c r="D194" s="21">
        <f>AVERAGEIF($A$24:$A$113, "*traccar-traccar*_Buggy", C$24:C$113)</f>
        <v>68.5</v>
      </c>
      <c r="E194" s="21">
        <f>AVERAGEIF($A$24:$A$113, "*traccar-traccar*_Buggy", D$24:D$113)</f>
        <v>22.25</v>
      </c>
      <c r="F194" s="21">
        <f>AVERAGEIF($A$24:$A$113, "*traccar-traccar*_Buggy", E$24:E$113)</f>
        <v>7.62</v>
      </c>
      <c r="G194" s="21">
        <f>AVERAGEIF($A$24:$A$113, "*traccar-traccar*_Buggy", F$24:F$113)</f>
        <v>21.62</v>
      </c>
      <c r="H194" s="21">
        <f>AVERAGEIF($A$24:$A$113, "*traccar-traccar*_Buggy", G$24:G$113)</f>
        <v>4.38</v>
      </c>
      <c r="I194" s="21">
        <f>AVERAGEIF($A$24:$A$113, "*traccar-traccar*_Buggy", H$24:H$113)</f>
        <v>12</v>
      </c>
      <c r="J194" s="21">
        <f>AVERAGEIF($A$24:$A$113, "*traccar-traccar*_Buggy", I$24:I$113)</f>
        <v>43.88</v>
      </c>
      <c r="K194" s="21">
        <f>AVERAGEIF($A$24:$A$113, "*traccar-traccar*_Buggy", J$24:J$113)</f>
        <v>66.92</v>
      </c>
      <c r="L194" s="21">
        <f>AVERAGEIF($A$24:$A$113, "*traccar-traccar*_Buggy", K$24:K$113)</f>
        <v>0</v>
      </c>
      <c r="M194" s="21">
        <f>AVERAGEIF($A$24:$A$113, "*traccar-traccar*_Buggy", L$24:L$113)</f>
        <v>0</v>
      </c>
      <c r="N194" s="21">
        <f>AVERAGEIF($A$24:$A$113, "*traccar-traccar*_Buggy", M$24:M$113)</f>
        <v>0</v>
      </c>
      <c r="O194" s="21">
        <f>AVERAGEIF($A$24:$A$113, "*traccar-traccar*_Buggy", N$24:N$113)</f>
        <v>0</v>
      </c>
    </row>
    <row r="195" spans="1:15" x14ac:dyDescent="0.35">
      <c r="A195" s="1">
        <f>COUNTIF($A$24:$A$113, "*traccar-traccar*Manual")</f>
        <v>6</v>
      </c>
      <c r="B195" s="1" t="s">
        <v>76</v>
      </c>
      <c r="C195" s="22">
        <f>AVERAGEIF($A$24:$A$113, "*traccar-traccar*_Manual", B$24:B$113)</f>
        <v>5.88</v>
      </c>
      <c r="D195" s="22">
        <f>AVERAGEIF($A$24:$A$113, "*traccar-traccar*_Manual", C$24:C$113)</f>
        <v>68.5</v>
      </c>
      <c r="E195" s="22">
        <f>AVERAGEIF($A$24:$A$113, "*traccar-traccar*_Manual", D$24:D$113)</f>
        <v>22.5</v>
      </c>
      <c r="F195" s="22">
        <f>AVERAGEIF($A$24:$A$113, "*traccar-traccar*_Manual", E$24:E$113)</f>
        <v>7.62</v>
      </c>
      <c r="G195" s="22">
        <f>AVERAGEIF($A$24:$A$113, "*traccar-traccar*_Manual", F$24:F$113)</f>
        <v>22</v>
      </c>
      <c r="H195" s="22">
        <f>AVERAGEIF($A$24:$A$113, "*traccar-traccar*_Manual", G$24:G$113)</f>
        <v>4.38</v>
      </c>
      <c r="I195" s="22">
        <f>AVERAGEIF($A$24:$A$113, "*traccar-traccar*_Manual", H$24:H$113)</f>
        <v>12</v>
      </c>
      <c r="J195" s="22">
        <f>AVERAGEIF($A$24:$A$113, "*traccar-traccar*_Manual", I$24:I$113)</f>
        <v>44.5</v>
      </c>
      <c r="K195" s="22">
        <f>AVERAGEIF($A$24:$A$113, "*traccar-traccar*_Manual", J$24:J$113)</f>
        <v>67.08</v>
      </c>
      <c r="L195" s="22">
        <f>AVERAGEIF($A$24:$A$113, "*traccar-traccar*_Manual", K$24:K$113)</f>
        <v>0</v>
      </c>
      <c r="M195" s="22">
        <f>AVERAGEIF($A$24:$A$113, "*traccar-traccar*_Manual", L$24:L$113)</f>
        <v>0</v>
      </c>
      <c r="N195" s="22">
        <f>AVERAGEIF($A$24:$A$113, "*traccar-traccar*_Manual", M$24:M$113)</f>
        <v>0</v>
      </c>
      <c r="O195" s="22">
        <f>AVERAGEIF($A$24:$A$113, "*traccar-traccar*_Manual", N$24:N$113)</f>
        <v>0</v>
      </c>
    </row>
    <row r="196" spans="1:15" x14ac:dyDescent="0.35">
      <c r="A196" s="1">
        <f>COUNTIF($A$24:$A$113, "*traccar-traccar*Auto")</f>
        <v>6</v>
      </c>
      <c r="B196" s="1" t="s">
        <v>96</v>
      </c>
      <c r="C196" s="22">
        <f>AVERAGEIF($A$24:$A$113, "*traccar-traccar*_Auto", B$24:B$113)</f>
        <v>5.3116666666666665</v>
      </c>
      <c r="D196" s="22">
        <f>AVERAGEIF($A$24:$A$113, "*traccar-traccar*_Auto", C$24:C$113)</f>
        <v>68.916666666666671</v>
      </c>
      <c r="E196" s="22">
        <f>AVERAGEIF($A$24:$A$113, "*traccar-traccar*_Auto", D$24:D$113)</f>
        <v>20.75</v>
      </c>
      <c r="F196" s="22">
        <f>AVERAGEIF($A$24:$A$113, "*traccar-traccar*_Auto", E$24:E$113)</f>
        <v>7.52</v>
      </c>
      <c r="G196" s="22">
        <f>AVERAGEIF($A$24:$A$113, "*traccar-traccar*_Auto", F$24:F$113)</f>
        <v>19.808333333333334</v>
      </c>
      <c r="H196" s="22">
        <f>AVERAGEIF($A$24:$A$113, "*traccar-traccar*_Auto", G$24:G$113)</f>
        <v>4.38</v>
      </c>
      <c r="I196" s="22">
        <f>AVERAGEIF($A$24:$A$113, "*traccar-traccar*_Auto", H$24:H$113)</f>
        <v>11.9</v>
      </c>
      <c r="J196" s="22">
        <f>AVERAGEIF($A$24:$A$113, "*traccar-traccar*_Auto", I$24:I$113)</f>
        <v>40.55833333333333</v>
      </c>
      <c r="K196" s="22">
        <f>AVERAGEIF($A$24:$A$113, "*traccar-traccar*_Auto", J$24:J$113)</f>
        <v>65.278333333333336</v>
      </c>
      <c r="L196" s="22">
        <f>AVERAGEIF($A$24:$A$113, "*traccar-traccar*_Auto", K$24:K$113)</f>
        <v>0</v>
      </c>
      <c r="M196" s="22">
        <f>AVERAGEIF($A$24:$A$113, "*traccar-traccar*_Auto", L$24:L$113)</f>
        <v>0</v>
      </c>
      <c r="N196" s="22">
        <f>AVERAGEIF($A$24:$A$113, "*traccar-traccar*_Auto", M$24:M$113)</f>
        <v>0</v>
      </c>
      <c r="O196" s="22">
        <f>AVERAGEIF($A$24:$A$113, "*traccar-traccar*_Auto", N$24:N$113)</f>
        <v>0</v>
      </c>
    </row>
    <row r="199" spans="1:15" x14ac:dyDescent="0.35">
      <c r="A199" s="19" t="s">
        <v>47</v>
      </c>
      <c r="B199" s="20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</row>
    <row r="200" spans="1:15" ht="15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ht="28.8" x14ac:dyDescent="0.35">
      <c r="A201" s="13" t="s">
        <v>48</v>
      </c>
      <c r="B201" s="13" t="s">
        <v>208</v>
      </c>
      <c r="C201" s="13" t="s">
        <v>45</v>
      </c>
      <c r="D201" s="13" t="s">
        <v>31</v>
      </c>
      <c r="E201" s="13" t="s">
        <v>32</v>
      </c>
      <c r="F201" s="13" t="s">
        <v>21</v>
      </c>
      <c r="G201" s="13" t="s">
        <v>33</v>
      </c>
      <c r="H201" s="13" t="s">
        <v>22</v>
      </c>
      <c r="I201" s="13" t="s">
        <v>34</v>
      </c>
      <c r="J201" s="13" t="s">
        <v>35</v>
      </c>
      <c r="K201" s="13" t="s">
        <v>36</v>
      </c>
      <c r="L201" s="13" t="s">
        <v>37</v>
      </c>
      <c r="M201" s="13" t="s">
        <v>38</v>
      </c>
      <c r="N201" s="13" t="s">
        <v>39</v>
      </c>
      <c r="O201" s="13" t="s">
        <v>40</v>
      </c>
    </row>
    <row r="202" spans="1:15" x14ac:dyDescent="0.35">
      <c r="A202" s="1">
        <f>COUNTIF($A$24:$A$113, "Arja*Manual")</f>
        <v>16</v>
      </c>
      <c r="B202" s="1" t="s">
        <v>77</v>
      </c>
      <c r="C202" s="21">
        <f>AVERAGEIF($A$24:$A$113, "Arja*Manual", B$24:B$113)</f>
        <v>3.2406250000000005</v>
      </c>
      <c r="D202" s="21">
        <f>AVERAGEIF($A$24:$A$113, "Arja*Manual", C$24:C$113)</f>
        <v>74.321874999999991</v>
      </c>
      <c r="E202" s="21">
        <f>AVERAGEIF($A$24:$A$113, "Arja*Manual", D$24:D$113)</f>
        <v>14.554375</v>
      </c>
      <c r="F202" s="21">
        <f>AVERAGEIF($A$24:$A$113, "Arja*Manual", E$24:E$113)</f>
        <v>7.5837500000000011</v>
      </c>
      <c r="G202" s="21">
        <f>AVERAGEIF($A$24:$A$113, "Arja*Manual", F$24:F$113)</f>
        <v>12.553124999999998</v>
      </c>
      <c r="H202" s="21">
        <f>AVERAGEIF($A$24:$A$113, "Arja*Manual", G$24:G$113)</f>
        <v>3.3325000000000005</v>
      </c>
      <c r="I202" s="21">
        <f>AVERAGEIF($A$24:$A$113, "Arja*Manual", H$24:H$113)</f>
        <v>10.916874999999999</v>
      </c>
      <c r="J202" s="21">
        <f>AVERAGEIF($A$24:$A$113, "Arja*Manual", I$24:I$113)</f>
        <v>27.104375000000005</v>
      </c>
      <c r="K202" s="21">
        <f>AVERAGEIF($A$24:$A$113, "Arja*Manual", J$24:J$113)</f>
        <v>52.599375000000016</v>
      </c>
      <c r="L202" s="21">
        <f>AVERAGEIF($A$24:$A$113, "Arja*Manual", K$24:K$113)</f>
        <v>0.66062500000000002</v>
      </c>
      <c r="M202" s="21">
        <f>AVERAGEIF($A$24:$A$113, "Arja*Manual", L$24:L$113)</f>
        <v>1.6562500000000001E-2</v>
      </c>
      <c r="N202" s="21">
        <f>AVERAGEIF($A$24:$A$113, "Arja*Manual", M$24:M$113)</f>
        <v>10.325625</v>
      </c>
      <c r="O202" s="21">
        <f>AVERAGEIF($A$24:$A$113, "Arja*Manual", N$24:N$113)</f>
        <v>0.57374999999999987</v>
      </c>
    </row>
    <row r="203" spans="1:15" ht="15" thickBot="1" x14ac:dyDescent="0.4">
      <c r="A203" s="24">
        <f>COUNTIF($A$24:$A$113, "Arja*Auto")</f>
        <v>16</v>
      </c>
      <c r="B203" s="24" t="s">
        <v>97</v>
      </c>
      <c r="C203" s="25">
        <f>AVERAGEIF($A$24:$A$113, "Arja*Auto", B$24:B$113)</f>
        <v>3.0331250000000001</v>
      </c>
      <c r="D203" s="25">
        <f>AVERAGEIF($A$24:$A$113, "Arja*Auto", C$24:C$113)</f>
        <v>74.349374999999995</v>
      </c>
      <c r="E203" s="25">
        <f>AVERAGEIF($A$24:$A$113, "Arja*Auto", D$24:D$113)</f>
        <v>13.9975</v>
      </c>
      <c r="F203" s="25">
        <f>AVERAGEIF($A$24:$A$113, "Arja*Auto", E$24:E$113)</f>
        <v>7.5981249999999996</v>
      </c>
      <c r="G203" s="25">
        <f>AVERAGEIF($A$24:$A$113, "Arja*Auto", F$24:F$113)</f>
        <v>11.8375</v>
      </c>
      <c r="H203" s="25">
        <f>AVERAGEIF($A$24:$A$113, "Arja*Auto", G$24:G$113)</f>
        <v>3.2956250000000007</v>
      </c>
      <c r="I203" s="25">
        <f>AVERAGEIF($A$24:$A$113, "Arja*Auto", H$24:H$113)</f>
        <v>10.894999999999998</v>
      </c>
      <c r="J203" s="25">
        <f>AVERAGEIF($A$24:$A$113, "Arja*Auto", I$24:I$113)</f>
        <v>25.835000000000001</v>
      </c>
      <c r="K203" s="25">
        <f>AVERAGEIF($A$24:$A$113, "Arja*Auto", J$24:J$113)</f>
        <v>52.057499999999997</v>
      </c>
      <c r="L203" s="25">
        <f>AVERAGEIF($A$24:$A$113, "Arja*Auto", K$24:K$113)</f>
        <v>0.67562499999999992</v>
      </c>
      <c r="M203" s="25">
        <f>AVERAGEIF($A$24:$A$113, "Arja*Auto", L$24:L$113)</f>
        <v>1.8562499999999999E-2</v>
      </c>
      <c r="N203" s="25">
        <f>AVERAGEIF($A$24:$A$113, "Arja*Auto", M$24:M$113)</f>
        <v>12.220625000000002</v>
      </c>
      <c r="O203" s="25">
        <f>AVERAGEIF($A$24:$A$113, "Arja*Auto", N$24:N$113)</f>
        <v>0.67937499999999995</v>
      </c>
    </row>
    <row r="204" spans="1:15" x14ac:dyDescent="0.35">
      <c r="A204" s="1">
        <f>COUNTIF($A$24:$A$113, "GenProg*Manual")</f>
        <v>5</v>
      </c>
      <c r="B204" s="1" t="s">
        <v>78</v>
      </c>
      <c r="C204" s="21">
        <f>AVERAGEIF($A$24:$A$113, "GenProg*Manual", B$24:B$113)</f>
        <v>1</v>
      </c>
      <c r="D204" s="21">
        <f>AVERAGEIF($A$24:$A$113, "GenProg*Manual", C$24:C$113)</f>
        <v>74.569999999999993</v>
      </c>
      <c r="E204" s="21">
        <f>AVERAGEIF($A$24:$A$113, "GenProg*Manual", D$24:D$113)</f>
        <v>11</v>
      </c>
      <c r="F204" s="21">
        <f>AVERAGEIF($A$24:$A$113, "GenProg*Manual", E$24:E$113)</f>
        <v>9.86</v>
      </c>
      <c r="G204" s="21">
        <f>AVERAGEIF($A$24:$A$113, "GenProg*Manual", F$24:F$113)</f>
        <v>6.7099999999999991</v>
      </c>
      <c r="H204" s="21">
        <f>AVERAGEIF($A$24:$A$113, "GenProg*Manual", G$24:G$113)</f>
        <v>2</v>
      </c>
      <c r="I204" s="21">
        <f>AVERAGEIF($A$24:$A$113, "GenProg*Manual", H$24:H$113)</f>
        <v>11.86</v>
      </c>
      <c r="J204" s="21">
        <f>AVERAGEIF($A$24:$A$113, "GenProg*Manual", I$24:I$113)</f>
        <v>17.71</v>
      </c>
      <c r="K204" s="21">
        <f>AVERAGEIF($A$24:$A$113, "GenProg*Manual", J$24:J$113)</f>
        <v>52.8</v>
      </c>
      <c r="L204" s="21">
        <f>AVERAGEIF($A$24:$A$113, "GenProg*Manual", K$24:K$113)</f>
        <v>2</v>
      </c>
      <c r="M204" s="21">
        <f>AVERAGEIF($A$24:$A$113, "GenProg*Manual", L$24:L$113)</f>
        <v>0.05</v>
      </c>
      <c r="N204" s="21">
        <f>AVERAGEIF($A$24:$A$113, "GenProg*Manual", M$24:M$113)</f>
        <v>30.410000000000004</v>
      </c>
      <c r="O204" s="21">
        <f>AVERAGEIF($A$24:$A$113, "GenProg*Manual", N$24:N$113)</f>
        <v>1.69</v>
      </c>
    </row>
    <row r="205" spans="1:15" ht="15" thickBot="1" x14ac:dyDescent="0.4">
      <c r="A205" s="24">
        <f>COUNTIF($A$24:$A$113, "GenProg*Auto")</f>
        <v>5</v>
      </c>
      <c r="B205" s="24" t="s">
        <v>98</v>
      </c>
      <c r="C205" s="25">
        <f>AVERAGEIF($A$24:$A$113, "GenProg*Auto", B$24:B$113)</f>
        <v>1</v>
      </c>
      <c r="D205" s="25">
        <f>AVERAGEIF($A$24:$A$113, "GenProg*Auto", C$24:C$113)</f>
        <v>73.486000000000004</v>
      </c>
      <c r="E205" s="25">
        <f>AVERAGEIF($A$24:$A$113, "GenProg*Auto", D$24:D$113)</f>
        <v>11.2</v>
      </c>
      <c r="F205" s="25">
        <f>AVERAGEIF($A$24:$A$113, "GenProg*Auto", E$24:E$113)</f>
        <v>10.370000000000001</v>
      </c>
      <c r="G205" s="25">
        <f>AVERAGEIF($A$24:$A$113, "GenProg*Auto", F$24:F$113)</f>
        <v>7.202</v>
      </c>
      <c r="H205" s="25">
        <f>AVERAGEIF($A$24:$A$113, "GenProg*Auto", G$24:G$113)</f>
        <v>2.2280000000000002</v>
      </c>
      <c r="I205" s="25">
        <f>AVERAGEIF($A$24:$A$113, "GenProg*Auto", H$24:H$113)</f>
        <v>12.6</v>
      </c>
      <c r="J205" s="25">
        <f>AVERAGEIF($A$24:$A$113, "GenProg*Auto", I$24:I$113)</f>
        <v>18.398000000000003</v>
      </c>
      <c r="K205" s="25">
        <f>AVERAGEIF($A$24:$A$113, "GenProg*Auto", J$24:J$113)</f>
        <v>56.54</v>
      </c>
      <c r="L205" s="25">
        <f>AVERAGEIF($A$24:$A$113, "GenProg*Auto", K$24:K$113)</f>
        <v>1.9440000000000002</v>
      </c>
      <c r="M205" s="25">
        <f>AVERAGEIF($A$24:$A$113, "GenProg*Auto", L$24:L$113)</f>
        <v>9.8000000000000004E-2</v>
      </c>
      <c r="N205" s="25">
        <f>AVERAGEIF($A$24:$A$113, "GenProg*Auto", M$24:M$113)</f>
        <v>36.606000000000002</v>
      </c>
      <c r="O205" s="25">
        <f>AVERAGEIF($A$24:$A$113, "GenProg*Auto", N$24:N$113)</f>
        <v>2.0339999999999998</v>
      </c>
    </row>
    <row r="206" spans="1:15" x14ac:dyDescent="0.35">
      <c r="A206" s="1">
        <f>COUNTIF($A$24:$A$113, "Kali*Manual")</f>
        <v>4</v>
      </c>
      <c r="B206" s="1" t="s">
        <v>79</v>
      </c>
      <c r="C206" s="21">
        <f>AVERAGEIF($A$24:$A$113, "Kali*Manual", B$24:B$113)</f>
        <v>3.62</v>
      </c>
      <c r="D206" s="21">
        <f>AVERAGEIF($A$24:$A$113, "Kali*Manual", C$24:C$113)</f>
        <v>74.599999999999994</v>
      </c>
      <c r="E206" s="21">
        <f>AVERAGEIF($A$24:$A$113, "Kali*Manual", D$24:D$113)</f>
        <v>14.147500000000001</v>
      </c>
      <c r="F206" s="21">
        <f>AVERAGEIF($A$24:$A$113, "Kali*Manual", E$24:E$113)</f>
        <v>7.2350000000000003</v>
      </c>
      <c r="G206" s="21">
        <f>AVERAGEIF($A$24:$A$113, "Kali*Manual", F$24:F$113)</f>
        <v>12.465</v>
      </c>
      <c r="H206" s="21">
        <f>AVERAGEIF($A$24:$A$113, "Kali*Manual", G$24:G$113)</f>
        <v>3.3324999999999996</v>
      </c>
      <c r="I206" s="21">
        <f>AVERAGEIF($A$24:$A$113, "Kali*Manual", H$24:H$113)</f>
        <v>10.57</v>
      </c>
      <c r="J206" s="21">
        <f>AVERAGEIF($A$24:$A$113, "Kali*Manual", I$24:I$113)</f>
        <v>26.612500000000001</v>
      </c>
      <c r="K206" s="21">
        <f>AVERAGEIF($A$24:$A$113, "Kali*Manual", J$24:J$113)</f>
        <v>50.814999999999998</v>
      </c>
      <c r="L206" s="21">
        <f>AVERAGEIF($A$24:$A$113, "Kali*Manual", K$24:K$113)</f>
        <v>0.64249999999999996</v>
      </c>
      <c r="M206" s="21">
        <f>AVERAGEIF($A$24:$A$113, "Kali*Manual", L$24:L$113)</f>
        <v>1.6250000000000001E-2</v>
      </c>
      <c r="N206" s="21">
        <f>AVERAGEIF($A$24:$A$113, "Kali*Manual", M$24:M$113)</f>
        <v>10.8925</v>
      </c>
      <c r="O206" s="21">
        <f>AVERAGEIF($A$24:$A$113, "Kali*Manual", N$24:N$113)</f>
        <v>0.60499999999999998</v>
      </c>
    </row>
    <row r="207" spans="1:15" ht="15" thickBot="1" x14ac:dyDescent="0.4">
      <c r="A207" s="24">
        <f>COUNTIF($A$24:$A$113, "Kali*Auto")</f>
        <v>4</v>
      </c>
      <c r="B207" s="24" t="s">
        <v>99</v>
      </c>
      <c r="C207" s="25">
        <f>AVERAGEIF($A$24:$A$113, "Kali*Auto", B$24:B$113)</f>
        <v>3.4175000000000004</v>
      </c>
      <c r="D207" s="25">
        <f>AVERAGEIF($A$24:$A$113, "Kali*Auto", C$24:C$113)</f>
        <v>74.825000000000003</v>
      </c>
      <c r="E207" s="25">
        <f>AVERAGEIF($A$24:$A$113, "Kali*Auto", D$24:D$113)</f>
        <v>13.65</v>
      </c>
      <c r="F207" s="25">
        <f>AVERAGEIF($A$24:$A$113, "Kali*Auto", E$24:E$113)</f>
        <v>7.1700000000000008</v>
      </c>
      <c r="G207" s="25">
        <f>AVERAGEIF($A$24:$A$113, "Kali*Auto", F$24:F$113)</f>
        <v>11.8</v>
      </c>
      <c r="H207" s="25">
        <f>AVERAGEIF($A$24:$A$113, "Kali*Auto", G$24:G$113)</f>
        <v>3.3674999999999997</v>
      </c>
      <c r="I207" s="25">
        <f>AVERAGEIF($A$24:$A$113, "Kali*Auto", H$24:H$113)</f>
        <v>10.54</v>
      </c>
      <c r="J207" s="25">
        <f>AVERAGEIF($A$24:$A$113, "Kali*Auto", I$24:I$113)</f>
        <v>25.45</v>
      </c>
      <c r="K207" s="25">
        <f>AVERAGEIF($A$24:$A$113, "Kali*Auto", J$24:J$113)</f>
        <v>49.992500000000007</v>
      </c>
      <c r="L207" s="25">
        <f>AVERAGEIF($A$24:$A$113, "Kali*Auto", K$24:K$113)</f>
        <v>0.63500000000000001</v>
      </c>
      <c r="M207" s="25">
        <f>AVERAGEIF($A$24:$A$113, "Kali*Auto", L$24:L$113)</f>
        <v>1.3900000000000001E-2</v>
      </c>
      <c r="N207" s="25">
        <f>AVERAGEIF($A$24:$A$113, "Kali*Auto", M$24:M$113)</f>
        <v>10.807500000000001</v>
      </c>
      <c r="O207" s="25">
        <f>AVERAGEIF($A$24:$A$113, "Kali*Auto", N$24:N$113)</f>
        <v>0.6</v>
      </c>
    </row>
    <row r="208" spans="1:15" x14ac:dyDescent="0.35">
      <c r="A208" s="1">
        <f>COUNTIF($A$24:$A$113, "Nopol*Manual")</f>
        <v>0</v>
      </c>
      <c r="B208" s="1" t="s">
        <v>80</v>
      </c>
      <c r="C208" s="21" t="e">
        <f>AVERAGEIF($A$24:$A$113, "Nopol*Manual", B$24:B$113)</f>
        <v>#DIV/0!</v>
      </c>
      <c r="D208" s="21" t="e">
        <f>AVERAGEIF($A$24:$A$113, "Nopol*Manual", C$24:C$113)</f>
        <v>#DIV/0!</v>
      </c>
      <c r="E208" s="21" t="e">
        <f>AVERAGEIF($A$24:$A$113, "Nopol*Manual", D$24:D$113)</f>
        <v>#DIV/0!</v>
      </c>
      <c r="F208" s="21" t="e">
        <f>AVERAGEIF($A$24:$A$113, "Nopol*Manual", E$24:E$113)</f>
        <v>#DIV/0!</v>
      </c>
      <c r="G208" s="21" t="e">
        <f>AVERAGEIF($A$24:$A$113, "Nopol*Manual", F$24:F$113)</f>
        <v>#DIV/0!</v>
      </c>
      <c r="H208" s="21" t="e">
        <f>AVERAGEIF($A$24:$A$113, "Nopol*Manual", G$24:G$113)</f>
        <v>#DIV/0!</v>
      </c>
      <c r="I208" s="21" t="e">
        <f>AVERAGEIF($A$24:$A$113, "Nopol*Manual", H$24:H$113)</f>
        <v>#DIV/0!</v>
      </c>
      <c r="J208" s="21" t="e">
        <f>AVERAGEIF($A$24:$A$113, "Nopol*Manual", I$24:I$113)</f>
        <v>#DIV/0!</v>
      </c>
      <c r="K208" s="21" t="e">
        <f>AVERAGEIF($A$24:$A$113, "Nopol*Manual", J$24:J$113)</f>
        <v>#DIV/0!</v>
      </c>
      <c r="L208" s="21" t="e">
        <f>AVERAGEIF($A$24:$A$113, "Nopol*Manual", K$24:K$113)</f>
        <v>#DIV/0!</v>
      </c>
      <c r="M208" s="21" t="e">
        <f>AVERAGEIF($A$24:$A$113, "Nopol*Manual", L$24:L$113)</f>
        <v>#DIV/0!</v>
      </c>
      <c r="N208" s="21" t="e">
        <f>AVERAGEIF($A$24:$A$113, "Nopol*Manual", M$24:M$113)</f>
        <v>#DIV/0!</v>
      </c>
      <c r="O208" s="21" t="e">
        <f>AVERAGEIF($A$24:$A$113, "Nopol*Manual", N$24:N$113)</f>
        <v>#DIV/0!</v>
      </c>
    </row>
    <row r="209" spans="1:15" ht="15" thickBot="1" x14ac:dyDescent="0.4">
      <c r="A209" s="24">
        <f>COUNTIF($A$24:$A$113, "Nopol*Auto")</f>
        <v>0</v>
      </c>
      <c r="B209" s="24" t="s">
        <v>100</v>
      </c>
      <c r="C209" s="25" t="e">
        <f>AVERAGEIF($A$24:$A$113, "Nopol*Auto", B$24:B$113)</f>
        <v>#DIV/0!</v>
      </c>
      <c r="D209" s="25" t="e">
        <f>AVERAGEIF($A$24:$A$113, "Nopol*Auto", C$24:C$113)</f>
        <v>#DIV/0!</v>
      </c>
      <c r="E209" s="25" t="e">
        <f>AVERAGEIF($A$24:$A$113, "Nopol*Auto", D$24:D$113)</f>
        <v>#DIV/0!</v>
      </c>
      <c r="F209" s="25" t="e">
        <f>AVERAGEIF($A$24:$A$113, "Nopol*Auto", E$24:E$113)</f>
        <v>#DIV/0!</v>
      </c>
      <c r="G209" s="25" t="e">
        <f>AVERAGEIF($A$24:$A$113, "Nopol*Auto", F$24:F$113)</f>
        <v>#DIV/0!</v>
      </c>
      <c r="H209" s="25" t="e">
        <f>AVERAGEIF($A$24:$A$113, "Nopol*Auto", G$24:G$113)</f>
        <v>#DIV/0!</v>
      </c>
      <c r="I209" s="25" t="e">
        <f>AVERAGEIF($A$24:$A$113, "Nopol*Auto", H$24:H$113)</f>
        <v>#DIV/0!</v>
      </c>
      <c r="J209" s="25" t="e">
        <f>AVERAGEIF($A$24:$A$113, "Nopol*Auto", I$24:I$113)</f>
        <v>#DIV/0!</v>
      </c>
      <c r="K209" s="25" t="e">
        <f>AVERAGEIF($A$24:$A$113, "Nopol*Auto", J$24:J$113)</f>
        <v>#DIV/0!</v>
      </c>
      <c r="L209" s="25" t="e">
        <f>AVERAGEIF($A$24:$A$113, "Nopol*Auto", K$24:K$113)</f>
        <v>#DIV/0!</v>
      </c>
      <c r="M209" s="25" t="e">
        <f>AVERAGEIF($A$24:$A$113, "Nopol*Auto", L$24:L$113)</f>
        <v>#DIV/0!</v>
      </c>
      <c r="N209" s="25" t="e">
        <f>AVERAGEIF($A$24:$A$113, "Nopol*Auto", M$24:M$113)</f>
        <v>#DIV/0!</v>
      </c>
      <c r="O209" s="25" t="e">
        <f>AVERAGEIF($A$24:$A$113, "Nopol*Auto", N$24:N$113)</f>
        <v>#DIV/0!</v>
      </c>
    </row>
    <row r="210" spans="1:15" x14ac:dyDescent="0.35">
      <c r="A210" s="1">
        <f>COUNTIF($A$24:$A$113, "RSRepair*Manual")</f>
        <v>5</v>
      </c>
      <c r="B210" s="1" t="s">
        <v>81</v>
      </c>
      <c r="C210" s="21">
        <f>AVERAGEIF($A$24:$A$113, "RSRepair*Manual", B$24:B$113)</f>
        <v>1</v>
      </c>
      <c r="D210" s="21">
        <f>AVERAGEIF($A$24:$A$113, "RSRepair*Manual", C$24:C$113)</f>
        <v>74.569999999999993</v>
      </c>
      <c r="E210" s="21">
        <f>AVERAGEIF($A$24:$A$113, "RSRepair*Manual", D$24:D$113)</f>
        <v>11</v>
      </c>
      <c r="F210" s="21">
        <f>AVERAGEIF($A$24:$A$113, "RSRepair*Manual", E$24:E$113)</f>
        <v>9.86</v>
      </c>
      <c r="G210" s="21">
        <f>AVERAGEIF($A$24:$A$113, "RSRepair*Manual", F$24:F$113)</f>
        <v>6.7099999999999991</v>
      </c>
      <c r="H210" s="21">
        <f>AVERAGEIF($A$24:$A$113, "RSRepair*Manual", G$24:G$113)</f>
        <v>2</v>
      </c>
      <c r="I210" s="21">
        <f>AVERAGEIF($A$24:$A$113, "RSRepair*Manual", H$24:H$113)</f>
        <v>11.86</v>
      </c>
      <c r="J210" s="21">
        <f>AVERAGEIF($A$24:$A$113, "RSRepair*Manual", I$24:I$113)</f>
        <v>17.71</v>
      </c>
      <c r="K210" s="21">
        <f>AVERAGEIF($A$24:$A$113, "RSRepair*Manual", J$24:J$113)</f>
        <v>52.8</v>
      </c>
      <c r="L210" s="21">
        <f>AVERAGEIF($A$24:$A$113, "RSRepair*Manual", K$24:K$113)</f>
        <v>2</v>
      </c>
      <c r="M210" s="21">
        <f>AVERAGEIF($A$24:$A$113, "RSRepair*Manual", L$24:L$113)</f>
        <v>0.05</v>
      </c>
      <c r="N210" s="21">
        <f>AVERAGEIF($A$24:$A$113, "RSRepair*Manual", M$24:M$113)</f>
        <v>30.410000000000004</v>
      </c>
      <c r="O210" s="21">
        <f>AVERAGEIF($A$24:$A$113, "RSRepair*Manual", N$24:N$113)</f>
        <v>1.69</v>
      </c>
    </row>
    <row r="211" spans="1:15" ht="15" thickBot="1" x14ac:dyDescent="0.4">
      <c r="A211" s="24">
        <f>COUNTIF($A$24:$A$113, "RSRepair*Auto")</f>
        <v>5</v>
      </c>
      <c r="B211" s="24" t="s">
        <v>101</v>
      </c>
      <c r="C211" s="25">
        <f>AVERAGEIF($A$24:$A$113, "RSRepair*Auto", B$24:B$113)</f>
        <v>1</v>
      </c>
      <c r="D211" s="25">
        <f>AVERAGEIF($A$24:$A$113, "RSRepair*Auto", C$24:C$113)</f>
        <v>74.539999999999992</v>
      </c>
      <c r="E211" s="25">
        <f>AVERAGEIF($A$24:$A$113, "RSRepair*Auto", D$24:D$113)</f>
        <v>11.14</v>
      </c>
      <c r="F211" s="25">
        <f>AVERAGEIF($A$24:$A$113, "RSRepair*Auto", E$24:E$113)</f>
        <v>10.056000000000001</v>
      </c>
      <c r="G211" s="25">
        <f>AVERAGEIF($A$24:$A$113, "RSRepair*Auto", F$24:F$113)</f>
        <v>6.6280000000000001</v>
      </c>
      <c r="H211" s="25">
        <f>AVERAGEIF($A$24:$A$113, "RSRepair*Auto", G$24:G$113)</f>
        <v>2.056</v>
      </c>
      <c r="I211" s="25">
        <f>AVERAGEIF($A$24:$A$113, "RSRepair*Auto", H$24:H$113)</f>
        <v>12.114000000000001</v>
      </c>
      <c r="J211" s="25">
        <f>AVERAGEIF($A$24:$A$113, "RSRepair*Auto", I$24:I$113)</f>
        <v>17.772000000000002</v>
      </c>
      <c r="K211" s="25">
        <f>AVERAGEIF($A$24:$A$113, "RSRepair*Auto", J$24:J$113)</f>
        <v>53.898000000000003</v>
      </c>
      <c r="L211" s="25">
        <f>AVERAGEIF($A$24:$A$113, "RSRepair*Auto", K$24:K$113)</f>
        <v>1.8579999999999999</v>
      </c>
      <c r="M211" s="25">
        <f>AVERAGEIF($A$24:$A$113, "RSRepair*Auto", L$24:L$113)</f>
        <v>5.28E-2</v>
      </c>
      <c r="N211" s="25">
        <f>AVERAGEIF($A$24:$A$113, "RSRepair*Auto", M$24:M$113)</f>
        <v>28.931999999999999</v>
      </c>
      <c r="O211" s="25">
        <f>AVERAGEIF($A$24:$A$113, "RSRepair*Auto", N$24:N$113)</f>
        <v>1.6079999999999999</v>
      </c>
    </row>
    <row r="212" spans="1:15" ht="15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ht="15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ht="15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ht="15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ht="15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ht="15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ht="15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ht="15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ht="15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ht="15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ht="15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ht="15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ht="15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</sheetData>
  <sortState ref="A25:O150">
    <sortCondition ref="O25:O150"/>
    <sortCondition ref="A25:A150"/>
  </sortState>
  <mergeCells count="1">
    <mergeCell ref="R147:T147"/>
  </mergeCells>
  <conditionalFormatting sqref="P55:V79">
    <cfRule type="cellIs" dxfId="8" priority="88" operator="greaterThan">
      <formula>P60</formula>
    </cfRule>
  </conditionalFormatting>
  <conditionalFormatting sqref="C170:O170 C175:O175 C180:O180 C185:O185 C190:O190 C195:O195 C143:O143 C150:O150 C154:O154 C158:O158 C162:O162 T150:AF150 T154:AF154 T158:AF158 T162:AF162 C202:O202 C204:O204 C206:O206 C208:O208 C210:O210">
    <cfRule type="cellIs" dxfId="7" priority="1" operator="greaterThan">
      <formula>C144</formula>
    </cfRule>
    <cfRule type="cellIs" dxfId="6" priority="86" operator="equal">
      <formula>C144</formula>
    </cfRule>
  </conditionalFormatting>
  <conditionalFormatting sqref="C171:O171 C176:O176 C181:O181 C186:O186 C191:O191 C196:O196 C144:O144 C151:O151 C155:O155 C159:O159 C163:O163 T151:AF151 T155:AF155 T159:AF159 T163:AF163 C203:O203 C205:O205 C207:O207 C209:O209 C211:O211">
    <cfRule type="cellIs" dxfId="5" priority="3" operator="greaterThan">
      <formula>C143</formula>
    </cfRule>
    <cfRule type="cellIs" dxfId="4" priority="87" operator="equal">
      <formula>C143</formula>
    </cfRule>
  </conditionalFormatting>
  <conditionalFormatting sqref="P85:V113">
    <cfRule type="cellIs" dxfId="3" priority="89" operator="greaterThan">
      <formula>P55</formula>
    </cfRule>
  </conditionalFormatting>
  <conditionalFormatting sqref="P54:V54 P82:V83">
    <cfRule type="cellIs" dxfId="2" priority="90" operator="greaterThan">
      <formula>P57</formula>
    </cfRule>
  </conditionalFormatting>
  <conditionalFormatting sqref="P84:V84">
    <cfRule type="cellIs" dxfId="1" priority="92" operator="greaterThan">
      <formula>P54</formula>
    </cfRule>
  </conditionalFormatting>
  <conditionalFormatting sqref="P80:V81">
    <cfRule type="cellIs" dxfId="0" priority="97" operator="greaterThan">
      <formula>#REF!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2023-11-20T17:05:00Z</dcterms:modified>
</cp:coreProperties>
</file>