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  <fileRecoveryPr repairLoad="1"/>
</workbook>
</file>

<file path=xl/calcChain.xml><?xml version="1.0" encoding="utf-8"?>
<calcChain xmlns="http://schemas.openxmlformats.org/spreadsheetml/2006/main">
  <c r="Q1735" i="2" l="1"/>
  <c r="R1735" i="2"/>
  <c r="S1735" i="2"/>
  <c r="T1735" i="2"/>
  <c r="Q1736" i="2"/>
  <c r="R1736" i="2"/>
  <c r="S1736" i="2"/>
  <c r="T1736" i="2"/>
  <c r="Q1738" i="2"/>
  <c r="R1738" i="2"/>
  <c r="S1738" i="2"/>
  <c r="T1738" i="2"/>
  <c r="Q1739" i="2"/>
  <c r="R1739" i="2"/>
  <c r="S1739" i="2"/>
  <c r="T1739" i="2"/>
  <c r="Q1741" i="2"/>
  <c r="R1741" i="2"/>
  <c r="S1741" i="2"/>
  <c r="T1741" i="2"/>
  <c r="Q1742" i="2"/>
  <c r="R1742" i="2"/>
  <c r="S1742" i="2"/>
  <c r="T1742" i="2"/>
  <c r="Q1733" i="2"/>
  <c r="R1733" i="2"/>
  <c r="S1733" i="2"/>
  <c r="T1733" i="2"/>
  <c r="Q1732" i="2"/>
  <c r="R1732" i="2"/>
  <c r="S1732" i="2"/>
  <c r="T1732" i="2"/>
  <c r="Q1730" i="2"/>
  <c r="R1730" i="2"/>
  <c r="S1730" i="2"/>
  <c r="T1730" i="2"/>
  <c r="Q1729" i="2"/>
  <c r="R1729" i="2"/>
  <c r="S1729" i="2"/>
  <c r="T1729" i="2"/>
  <c r="Q1725" i="2"/>
  <c r="R1725" i="2"/>
  <c r="S1725" i="2"/>
  <c r="T1725" i="2"/>
  <c r="Q1724" i="2"/>
  <c r="R1724" i="2"/>
  <c r="S1724" i="2"/>
  <c r="T1724" i="2"/>
  <c r="Q1723" i="2"/>
  <c r="R1723" i="2"/>
  <c r="S1723" i="2"/>
  <c r="T1723" i="2"/>
  <c r="Q1722" i="2"/>
  <c r="R1722" i="2"/>
  <c r="S1722" i="2"/>
  <c r="T1722" i="2"/>
  <c r="Q1721" i="2"/>
  <c r="R1721" i="2"/>
  <c r="S1721" i="2"/>
  <c r="T1721" i="2"/>
  <c r="Q1720" i="2"/>
  <c r="R1720" i="2"/>
  <c r="S1720" i="2"/>
  <c r="T1720" i="2"/>
  <c r="Q1719" i="2"/>
  <c r="R1719" i="2"/>
  <c r="S1719" i="2"/>
  <c r="T1719" i="2"/>
  <c r="Q1718" i="2"/>
  <c r="R1718" i="2"/>
  <c r="S1718" i="2"/>
  <c r="T1718" i="2"/>
  <c r="Q1717" i="2"/>
  <c r="R1717" i="2"/>
  <c r="S1717" i="2"/>
  <c r="T1717" i="2"/>
  <c r="Q1716" i="2"/>
  <c r="R1716" i="2"/>
  <c r="S1716" i="2"/>
  <c r="T1716" i="2"/>
  <c r="Q1715" i="2"/>
  <c r="R1715" i="2"/>
  <c r="S1715" i="2"/>
  <c r="T1715" i="2"/>
  <c r="Q1714" i="2"/>
  <c r="R1714" i="2"/>
  <c r="S1714" i="2"/>
  <c r="T1714" i="2"/>
  <c r="Q1713" i="2"/>
  <c r="R1713" i="2"/>
  <c r="S1713" i="2"/>
  <c r="T1713" i="2"/>
  <c r="Q1712" i="2"/>
  <c r="R1712" i="2"/>
  <c r="S1712" i="2"/>
  <c r="T1712" i="2"/>
  <c r="Q1711" i="2"/>
  <c r="R1711" i="2"/>
  <c r="S1711" i="2"/>
  <c r="T1711" i="2"/>
  <c r="Q1710" i="2"/>
  <c r="R1710" i="2"/>
  <c r="S1710" i="2"/>
  <c r="T1710" i="2"/>
  <c r="Q1709" i="2"/>
  <c r="R1709" i="2"/>
  <c r="S1709" i="2"/>
  <c r="T1709" i="2"/>
  <c r="Q1708" i="2"/>
  <c r="R1708" i="2"/>
  <c r="S1708" i="2"/>
  <c r="T1708" i="2"/>
  <c r="Q1707" i="2"/>
  <c r="R1707" i="2"/>
  <c r="S1707" i="2"/>
  <c r="T1707" i="2"/>
  <c r="Q1706" i="2"/>
  <c r="R1706" i="2"/>
  <c r="S1706" i="2"/>
  <c r="T1706" i="2"/>
  <c r="Q1705" i="2"/>
  <c r="R1705" i="2"/>
  <c r="S1705" i="2"/>
  <c r="T1705" i="2"/>
  <c r="Q1704" i="2"/>
  <c r="R1704" i="2"/>
  <c r="S1704" i="2"/>
  <c r="T1704" i="2"/>
  <c r="Q1703" i="2"/>
  <c r="R1703" i="2"/>
  <c r="S1703" i="2"/>
  <c r="T1703" i="2"/>
  <c r="Q1702" i="2"/>
  <c r="R1702" i="2"/>
  <c r="S1702" i="2"/>
  <c r="C16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54" i="2" l="1"/>
  <c r="E1654" i="2"/>
  <c r="F1654" i="2"/>
  <c r="G1654" i="2"/>
  <c r="H1654" i="2"/>
  <c r="I1654" i="2"/>
  <c r="J1654" i="2"/>
  <c r="K1654" i="2"/>
  <c r="L1654" i="2"/>
  <c r="M1654" i="2"/>
  <c r="N1654" i="2"/>
  <c r="O1654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A1653" i="2"/>
  <c r="C1654" i="2"/>
  <c r="C1653" i="2"/>
  <c r="A1650" i="2"/>
  <c r="A1649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C1650" i="2"/>
  <c r="O1669" i="2" l="1"/>
  <c r="O1670" i="2"/>
  <c r="O1671" i="2"/>
  <c r="O1674" i="2"/>
  <c r="O1675" i="2"/>
  <c r="O1676" i="2"/>
  <c r="O1679" i="2"/>
  <c r="O1680" i="2"/>
  <c r="O1681" i="2"/>
  <c r="O1684" i="2"/>
  <c r="O1685" i="2"/>
  <c r="O1686" i="2"/>
  <c r="O1689" i="2"/>
  <c r="O1690" i="2"/>
  <c r="O1691" i="2"/>
  <c r="O1694" i="2"/>
  <c r="O1695" i="2"/>
  <c r="O1696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07" i="2"/>
  <c r="O1706" i="2"/>
  <c r="O1705" i="2"/>
  <c r="O1704" i="2"/>
  <c r="O1703" i="2"/>
  <c r="O1702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5" i="2"/>
  <c r="B1604" i="2"/>
  <c r="B1603" i="2"/>
  <c r="B1602" i="2"/>
  <c r="B1601" i="2"/>
  <c r="B1600" i="2"/>
  <c r="V549" i="2" l="1"/>
  <c r="V550" i="2" l="1"/>
  <c r="V551" i="2"/>
  <c r="V552" i="2"/>
  <c r="V553" i="2"/>
  <c r="V554" i="2"/>
  <c r="V555" i="2"/>
  <c r="V556" i="2"/>
  <c r="V557" i="2"/>
  <c r="V558" i="2"/>
  <c r="V559" i="2"/>
  <c r="T1702" i="2" s="1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Q24" i="2"/>
  <c r="U1662" i="2" l="1"/>
  <c r="AD1663" i="2"/>
  <c r="T1659" i="2"/>
  <c r="T1658" i="2"/>
  <c r="R1663" i="2"/>
  <c r="Z1662" i="2"/>
  <c r="AF1662" i="2"/>
  <c r="AD1662" i="2"/>
  <c r="AC1663" i="2"/>
  <c r="R1662" i="2"/>
  <c r="AB1662" i="2"/>
  <c r="Z1663" i="2"/>
  <c r="W1662" i="2"/>
  <c r="AB1663" i="2"/>
  <c r="Y1663" i="2"/>
  <c r="W1650" i="2"/>
  <c r="X1654" i="2"/>
  <c r="X1653" i="2"/>
  <c r="X1650" i="2"/>
  <c r="X1649" i="2"/>
  <c r="Y1654" i="2"/>
  <c r="Y1653" i="2"/>
  <c r="Y1650" i="2"/>
  <c r="Y1649" i="2"/>
  <c r="T1650" i="2"/>
  <c r="Z1654" i="2"/>
  <c r="Z1653" i="2"/>
  <c r="Z1650" i="2"/>
  <c r="Z1649" i="2"/>
  <c r="T1649" i="2"/>
  <c r="AC1654" i="2"/>
  <c r="AD1650" i="2"/>
  <c r="AF1654" i="2"/>
  <c r="W1654" i="2"/>
  <c r="AA1654" i="2"/>
  <c r="AA1653" i="2"/>
  <c r="AA1650" i="2"/>
  <c r="AA1649" i="2"/>
  <c r="T1654" i="2"/>
  <c r="AC1650" i="2"/>
  <c r="AD1653" i="2"/>
  <c r="R1654" i="2"/>
  <c r="U1649" i="2"/>
  <c r="V1654" i="2"/>
  <c r="R1649" i="2"/>
  <c r="AB1654" i="2"/>
  <c r="AB1653" i="2"/>
  <c r="AB1650" i="2"/>
  <c r="AB1649" i="2"/>
  <c r="AC1649" i="2"/>
  <c r="AD1649" i="2"/>
  <c r="U1650" i="2"/>
  <c r="V1653" i="2"/>
  <c r="W1649" i="2"/>
  <c r="AC1653" i="2"/>
  <c r="AD1654" i="2"/>
  <c r="AF1653" i="2"/>
  <c r="U1654" i="2"/>
  <c r="R1650" i="2"/>
  <c r="R1653" i="2"/>
  <c r="T1653" i="2"/>
  <c r="AF1650" i="2"/>
  <c r="U1653" i="2"/>
  <c r="V1649" i="2"/>
  <c r="W1653" i="2"/>
  <c r="AE1654" i="2"/>
  <c r="AE1653" i="2"/>
  <c r="AE1650" i="2"/>
  <c r="AE1649" i="2"/>
  <c r="AF1649" i="2"/>
  <c r="V1650" i="2"/>
  <c r="R1658" i="2"/>
  <c r="R1659" i="2"/>
  <c r="Y1662" i="2"/>
  <c r="AE1662" i="2"/>
  <c r="AC1662" i="2"/>
  <c r="AE1663" i="2"/>
  <c r="AA1662" i="2"/>
  <c r="X1662" i="2"/>
  <c r="U1663" i="2"/>
  <c r="AA1663" i="2"/>
  <c r="X1663" i="2"/>
  <c r="T1662" i="2"/>
  <c r="V1662" i="2"/>
  <c r="T1663" i="2"/>
  <c r="V1663" i="2"/>
  <c r="W1663" i="2"/>
  <c r="AF1663" i="2"/>
  <c r="F1662" i="2"/>
  <c r="D1659" i="2"/>
  <c r="M1658" i="2"/>
  <c r="N1658" i="2"/>
  <c r="J1662" i="2"/>
  <c r="A1663" i="2"/>
  <c r="K1658" i="2"/>
  <c r="F1658" i="2"/>
  <c r="C1659" i="2"/>
  <c r="N1659" i="2"/>
  <c r="D1662" i="2"/>
  <c r="F1659" i="2"/>
  <c r="D1658" i="2"/>
  <c r="A1659" i="2"/>
  <c r="D1663" i="2"/>
  <c r="J1663" i="2"/>
  <c r="H1662" i="2"/>
  <c r="F1663" i="2"/>
  <c r="K1659" i="2"/>
  <c r="H1658" i="2"/>
  <c r="I1658" i="2"/>
  <c r="H1663" i="2"/>
  <c r="O1662" i="2"/>
  <c r="H1659" i="2"/>
  <c r="M1663" i="2"/>
  <c r="M1662" i="2"/>
  <c r="M1659" i="2"/>
  <c r="O1663" i="2"/>
  <c r="L1662" i="2"/>
  <c r="C1658" i="2"/>
  <c r="O1658" i="2"/>
  <c r="C1662" i="2"/>
  <c r="A1662" i="2"/>
  <c r="L1663" i="2"/>
  <c r="E1658" i="2"/>
  <c r="O1659" i="2"/>
  <c r="E1662" i="2"/>
  <c r="J1658" i="2"/>
  <c r="G1658" i="2"/>
  <c r="E1659" i="2"/>
  <c r="A1658" i="2"/>
  <c r="E1663" i="2"/>
  <c r="J1659" i="2"/>
  <c r="G1659" i="2"/>
  <c r="I1662" i="2"/>
  <c r="G1662" i="2"/>
  <c r="L1658" i="2"/>
  <c r="N1662" i="2"/>
  <c r="K1662" i="2"/>
  <c r="I1663" i="2"/>
  <c r="G1663" i="2"/>
  <c r="L1659" i="2"/>
  <c r="N1663" i="2"/>
  <c r="K1663" i="2"/>
  <c r="I1659" i="2"/>
  <c r="C1663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46" i="2" l="1"/>
  <c r="O1744" i="2"/>
  <c r="O1745" i="2"/>
  <c r="O1747" i="2"/>
  <c r="D1747" i="2"/>
  <c r="D1746" i="2"/>
  <c r="C1747" i="2"/>
  <c r="E1746" i="2"/>
  <c r="C1746" i="2"/>
  <c r="F1746" i="2"/>
  <c r="A1746" i="2"/>
  <c r="G1746" i="2"/>
  <c r="A1747" i="2"/>
  <c r="H1746" i="2"/>
  <c r="E1747" i="2"/>
  <c r="F1747" i="2"/>
  <c r="G1747" i="2"/>
  <c r="H1747" i="2"/>
  <c r="I1747" i="2"/>
  <c r="J1747" i="2"/>
  <c r="J1746" i="2"/>
  <c r="K1746" i="2"/>
  <c r="L1746" i="2"/>
  <c r="M1746" i="2"/>
  <c r="N1746" i="2"/>
  <c r="I1746" i="2"/>
  <c r="K1747" i="2"/>
  <c r="L1747" i="2"/>
  <c r="M1747" i="2"/>
  <c r="N1747" i="2"/>
  <c r="A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A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A1696" i="2"/>
  <c r="A1694" i="2"/>
  <c r="A1691" i="2"/>
  <c r="A1689" i="2"/>
  <c r="A1686" i="2"/>
  <c r="A1684" i="2"/>
  <c r="A1681" i="2"/>
  <c r="A1679" i="2"/>
  <c r="A1676" i="2"/>
  <c r="A1674" i="2"/>
  <c r="A1671" i="2"/>
  <c r="A1669" i="2"/>
  <c r="A1695" i="2"/>
  <c r="A1690" i="2"/>
  <c r="A1685" i="2"/>
  <c r="A1680" i="2"/>
  <c r="A1675" i="2"/>
  <c r="A1670" i="2"/>
  <c r="D1725" i="2" l="1"/>
  <c r="E1725" i="2"/>
  <c r="F1725" i="2"/>
  <c r="G1725" i="2"/>
  <c r="H1725" i="2"/>
  <c r="I1725" i="2"/>
  <c r="J1725" i="2"/>
  <c r="K1725" i="2"/>
  <c r="L1725" i="2"/>
  <c r="M1725" i="2"/>
  <c r="N1725" i="2"/>
  <c r="D1724" i="2"/>
  <c r="E1724" i="2"/>
  <c r="F1724" i="2"/>
  <c r="G1724" i="2"/>
  <c r="H1724" i="2"/>
  <c r="I1724" i="2"/>
  <c r="J1724" i="2"/>
  <c r="K1724" i="2"/>
  <c r="L1724" i="2"/>
  <c r="M1724" i="2"/>
  <c r="N1724" i="2"/>
  <c r="D1723" i="2"/>
  <c r="E1723" i="2"/>
  <c r="F1723" i="2"/>
  <c r="G1723" i="2"/>
  <c r="H1723" i="2"/>
  <c r="I1723" i="2"/>
  <c r="J1723" i="2"/>
  <c r="K1723" i="2"/>
  <c r="L1723" i="2"/>
  <c r="M1723" i="2"/>
  <c r="N1723" i="2"/>
  <c r="D1722" i="2"/>
  <c r="E1722" i="2"/>
  <c r="F1722" i="2"/>
  <c r="G1722" i="2"/>
  <c r="H1722" i="2"/>
  <c r="I1722" i="2"/>
  <c r="J1722" i="2"/>
  <c r="K1722" i="2"/>
  <c r="L1722" i="2"/>
  <c r="M1722" i="2"/>
  <c r="N1722" i="2"/>
  <c r="D1721" i="2"/>
  <c r="E1721" i="2"/>
  <c r="F1721" i="2"/>
  <c r="G1721" i="2"/>
  <c r="H1721" i="2"/>
  <c r="I1721" i="2"/>
  <c r="J1721" i="2"/>
  <c r="K1721" i="2"/>
  <c r="L1721" i="2"/>
  <c r="M1721" i="2"/>
  <c r="N1721" i="2"/>
  <c r="D1720" i="2"/>
  <c r="E1720" i="2"/>
  <c r="F1720" i="2"/>
  <c r="G1720" i="2"/>
  <c r="H1720" i="2"/>
  <c r="I1720" i="2"/>
  <c r="J1720" i="2"/>
  <c r="K1720" i="2"/>
  <c r="L1720" i="2"/>
  <c r="M1720" i="2"/>
  <c r="N1720" i="2"/>
  <c r="D1719" i="2"/>
  <c r="E1719" i="2"/>
  <c r="F1719" i="2"/>
  <c r="G1719" i="2"/>
  <c r="H1719" i="2"/>
  <c r="I1719" i="2"/>
  <c r="J1719" i="2"/>
  <c r="K1719" i="2"/>
  <c r="L1719" i="2"/>
  <c r="M1719" i="2"/>
  <c r="N1719" i="2"/>
  <c r="D1718" i="2"/>
  <c r="E1718" i="2"/>
  <c r="F1718" i="2"/>
  <c r="G1718" i="2"/>
  <c r="H1718" i="2"/>
  <c r="I1718" i="2"/>
  <c r="J1718" i="2"/>
  <c r="K1718" i="2"/>
  <c r="L1718" i="2"/>
  <c r="M1718" i="2"/>
  <c r="N1718" i="2"/>
  <c r="D1717" i="2"/>
  <c r="E1717" i="2"/>
  <c r="F1717" i="2"/>
  <c r="G1717" i="2"/>
  <c r="H1717" i="2"/>
  <c r="I1717" i="2"/>
  <c r="J1717" i="2"/>
  <c r="K1717" i="2"/>
  <c r="L1717" i="2"/>
  <c r="M1717" i="2"/>
  <c r="N1717" i="2"/>
  <c r="D1716" i="2"/>
  <c r="E1716" i="2"/>
  <c r="F1716" i="2"/>
  <c r="G1716" i="2"/>
  <c r="H1716" i="2"/>
  <c r="I1716" i="2"/>
  <c r="J1716" i="2"/>
  <c r="K1716" i="2"/>
  <c r="L1716" i="2"/>
  <c r="M1716" i="2"/>
  <c r="N1716" i="2"/>
  <c r="D1715" i="2"/>
  <c r="E1715" i="2"/>
  <c r="F1715" i="2"/>
  <c r="G1715" i="2"/>
  <c r="H1715" i="2"/>
  <c r="I1715" i="2"/>
  <c r="J1715" i="2"/>
  <c r="K1715" i="2"/>
  <c r="L1715" i="2"/>
  <c r="M1715" i="2"/>
  <c r="N1715" i="2"/>
  <c r="D1714" i="2"/>
  <c r="E1714" i="2"/>
  <c r="F1714" i="2"/>
  <c r="G1714" i="2"/>
  <c r="H1714" i="2"/>
  <c r="I1714" i="2"/>
  <c r="J1714" i="2"/>
  <c r="K1714" i="2"/>
  <c r="L1714" i="2"/>
  <c r="M1714" i="2"/>
  <c r="N1714" i="2"/>
  <c r="D1713" i="2"/>
  <c r="E1713" i="2"/>
  <c r="F1713" i="2"/>
  <c r="G1713" i="2"/>
  <c r="H1713" i="2"/>
  <c r="I1713" i="2"/>
  <c r="J1713" i="2"/>
  <c r="K1713" i="2"/>
  <c r="L1713" i="2"/>
  <c r="M1713" i="2"/>
  <c r="N1713" i="2"/>
  <c r="D1712" i="2"/>
  <c r="E1712" i="2"/>
  <c r="F1712" i="2"/>
  <c r="G1712" i="2"/>
  <c r="H1712" i="2"/>
  <c r="I1712" i="2"/>
  <c r="J1712" i="2"/>
  <c r="K1712" i="2"/>
  <c r="L1712" i="2"/>
  <c r="M1712" i="2"/>
  <c r="N1712" i="2"/>
  <c r="D1711" i="2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A1709" i="2"/>
  <c r="A1708" i="2"/>
  <c r="C1709" i="2"/>
  <c r="C1708" i="2"/>
  <c r="A1707" i="2"/>
  <c r="A1706" i="2"/>
  <c r="A1705" i="2"/>
  <c r="A1704" i="2"/>
  <c r="A1703" i="2"/>
  <c r="A1702" i="2"/>
  <c r="C1707" i="2"/>
  <c r="C1706" i="2"/>
  <c r="C1705" i="2"/>
  <c r="C1704" i="2"/>
  <c r="C1703" i="2"/>
  <c r="C1702" i="2"/>
  <c r="D1696" i="2" l="1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C1696" i="2"/>
  <c r="C1695" i="2"/>
  <c r="C1694" i="2"/>
  <c r="C1691" i="2"/>
  <c r="C1690" i="2"/>
  <c r="C1689" i="2"/>
  <c r="C1686" i="2"/>
  <c r="C1685" i="2"/>
  <c r="C1684" i="2"/>
  <c r="C1681" i="2"/>
  <c r="C1680" i="2"/>
  <c r="C1679" i="2"/>
  <c r="C1676" i="2"/>
  <c r="C1675" i="2"/>
  <c r="C1674" i="2"/>
  <c r="C1671" i="2"/>
  <c r="C1670" i="2"/>
  <c r="C1669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548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AF1658" i="2" l="1"/>
  <c r="AE1658" i="2"/>
  <c r="V1642" i="2"/>
  <c r="Z1658" i="2"/>
  <c r="W1643" i="2"/>
  <c r="Y1630" i="2"/>
  <c r="X1643" i="2"/>
  <c r="R1643" i="2"/>
  <c r="Z1659" i="2"/>
  <c r="AC1629" i="2"/>
  <c r="AA1633" i="2"/>
  <c r="T1629" i="2"/>
  <c r="U1643" i="2"/>
  <c r="V1639" i="2"/>
  <c r="Z1634" i="2"/>
  <c r="W1642" i="2"/>
  <c r="Z1642" i="2"/>
  <c r="X1642" i="2"/>
  <c r="Z1643" i="2"/>
  <c r="Z1639" i="2"/>
  <c r="AD1642" i="2"/>
  <c r="AA1630" i="2"/>
  <c r="AF1643" i="2"/>
  <c r="U1642" i="2"/>
  <c r="V1638" i="2"/>
  <c r="R1642" i="2"/>
  <c r="W1639" i="2"/>
  <c r="Z1630" i="2"/>
  <c r="X1639" i="2"/>
  <c r="Z1633" i="2"/>
  <c r="Z1629" i="2"/>
  <c r="T1643" i="2"/>
  <c r="AA1629" i="2"/>
  <c r="AF1642" i="2"/>
  <c r="U1638" i="2"/>
  <c r="V1634" i="2"/>
  <c r="X1658" i="2"/>
  <c r="W1638" i="2"/>
  <c r="AB1638" i="2"/>
  <c r="X1638" i="2"/>
  <c r="X1659" i="2"/>
  <c r="AB1643" i="2"/>
  <c r="AE1643" i="2"/>
  <c r="R1630" i="2"/>
  <c r="AF1639" i="2"/>
  <c r="U1634" i="2"/>
  <c r="V1633" i="2"/>
  <c r="AB1630" i="2"/>
  <c r="W1634" i="2"/>
  <c r="AB1629" i="2"/>
  <c r="X1634" i="2"/>
  <c r="AB1634" i="2"/>
  <c r="AB1633" i="2"/>
  <c r="AE1629" i="2"/>
  <c r="AB1639" i="2"/>
  <c r="AF1638" i="2"/>
  <c r="U1633" i="2"/>
  <c r="V1630" i="2"/>
  <c r="AC1639" i="2"/>
  <c r="W1633" i="2"/>
  <c r="AC1642" i="2"/>
  <c r="X1633" i="2"/>
  <c r="AC1643" i="2"/>
  <c r="AC1638" i="2"/>
  <c r="Y1659" i="2"/>
  <c r="R1629" i="2"/>
  <c r="AF1634" i="2"/>
  <c r="R1639" i="2"/>
  <c r="V1629" i="2"/>
  <c r="T1638" i="2"/>
  <c r="W1630" i="2"/>
  <c r="AC1630" i="2"/>
  <c r="X1630" i="2"/>
  <c r="AC1633" i="2"/>
  <c r="AD1630" i="2"/>
  <c r="Y1658" i="2"/>
  <c r="W1659" i="2"/>
  <c r="AF1633" i="2"/>
  <c r="U1639" i="2"/>
  <c r="R1638" i="2"/>
  <c r="AD1638" i="2"/>
  <c r="W1629" i="2"/>
  <c r="AD1643" i="2"/>
  <c r="X1629" i="2"/>
  <c r="V1659" i="2"/>
  <c r="U1658" i="2"/>
  <c r="AA1643" i="2"/>
  <c r="AC1634" i="2"/>
  <c r="AD1639" i="2"/>
  <c r="AF1630" i="2"/>
  <c r="U1630" i="2"/>
  <c r="T1633" i="2"/>
  <c r="AE1642" i="2"/>
  <c r="R1634" i="2"/>
  <c r="AD1633" i="2"/>
  <c r="R1633" i="2"/>
  <c r="AD1634" i="2"/>
  <c r="AE1630" i="2"/>
  <c r="AA1642" i="2"/>
  <c r="V1658" i="2"/>
  <c r="AE1634" i="2"/>
  <c r="AF1629" i="2"/>
  <c r="AD1659" i="2"/>
  <c r="Y1643" i="2"/>
  <c r="T1642" i="2"/>
  <c r="T1630" i="2"/>
  <c r="AE1633" i="2"/>
  <c r="AA1658" i="2"/>
  <c r="AE1639" i="2"/>
  <c r="Z1638" i="2"/>
  <c r="AA1639" i="2"/>
  <c r="AD1629" i="2"/>
  <c r="U1659" i="2"/>
  <c r="T1639" i="2"/>
  <c r="AD1658" i="2"/>
  <c r="Y1638" i="2"/>
  <c r="AC1659" i="2"/>
  <c r="AA1659" i="2"/>
  <c r="AB1659" i="2"/>
  <c r="Y1639" i="2"/>
  <c r="U1629" i="2"/>
  <c r="AB1642" i="2"/>
  <c r="AA1638" i="2"/>
  <c r="AE1638" i="2"/>
  <c r="AF1659" i="2"/>
  <c r="AE1659" i="2"/>
  <c r="V1643" i="2"/>
  <c r="Y1629" i="2"/>
  <c r="AC1658" i="2"/>
  <c r="Y1642" i="2"/>
  <c r="AB1658" i="2"/>
  <c r="Y1633" i="2"/>
  <c r="Y1634" i="2"/>
  <c r="W1658" i="2"/>
  <c r="AA1634" i="2"/>
  <c r="T1634" i="2"/>
  <c r="O1735" i="2"/>
  <c r="O1736" i="2"/>
  <c r="O1739" i="2"/>
  <c r="O1738" i="2"/>
  <c r="O1742" i="2"/>
  <c r="O1741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29" i="2"/>
  <c r="O1730" i="2"/>
  <c r="O1733" i="2"/>
  <c r="O1732" i="2"/>
  <c r="A1643" i="2"/>
  <c r="A1638" i="2"/>
  <c r="A1634" i="2"/>
  <c r="A1629" i="2"/>
  <c r="A1642" i="2"/>
  <c r="A1639" i="2"/>
  <c r="A1633" i="2"/>
  <c r="A1630" i="2"/>
  <c r="D1739" i="2"/>
  <c r="I1738" i="2"/>
  <c r="C1739" i="2"/>
  <c r="C1738" i="2"/>
  <c r="N1739" i="2"/>
  <c r="H1738" i="2"/>
  <c r="F1738" i="2"/>
  <c r="M1739" i="2"/>
  <c r="L1739" i="2"/>
  <c r="G1738" i="2"/>
  <c r="E1738" i="2"/>
  <c r="K1739" i="2"/>
  <c r="J1739" i="2"/>
  <c r="A1738" i="2"/>
  <c r="I1739" i="2"/>
  <c r="N1738" i="2"/>
  <c r="H1739" i="2"/>
  <c r="M1738" i="2"/>
  <c r="A1739" i="2"/>
  <c r="G1739" i="2"/>
  <c r="L1738" i="2"/>
  <c r="F1739" i="2"/>
  <c r="K1738" i="2"/>
  <c r="D1738" i="2"/>
  <c r="E1739" i="2"/>
  <c r="J1738" i="2"/>
  <c r="L1742" i="2"/>
  <c r="K1741" i="2"/>
  <c r="H1742" i="2"/>
  <c r="K1742" i="2"/>
  <c r="J1741" i="2"/>
  <c r="C1742" i="2"/>
  <c r="J1742" i="2"/>
  <c r="I1741" i="2"/>
  <c r="A1742" i="2"/>
  <c r="I1742" i="2"/>
  <c r="H1741" i="2"/>
  <c r="E1742" i="2"/>
  <c r="D1742" i="2"/>
  <c r="G1741" i="2"/>
  <c r="F1741" i="2"/>
  <c r="F1742" i="2"/>
  <c r="E1741" i="2"/>
  <c r="D1741" i="2"/>
  <c r="C1741" i="2"/>
  <c r="G1742" i="2"/>
  <c r="N1741" i="2"/>
  <c r="A1741" i="2"/>
  <c r="N1742" i="2"/>
  <c r="M1741" i="2"/>
  <c r="M1742" i="2"/>
  <c r="L1741" i="2"/>
  <c r="H1730" i="2"/>
  <c r="G1730" i="2"/>
  <c r="N1729" i="2"/>
  <c r="F1730" i="2"/>
  <c r="M1729" i="2"/>
  <c r="E1730" i="2"/>
  <c r="L1729" i="2"/>
  <c r="A1730" i="2"/>
  <c r="A1729" i="2"/>
  <c r="D1730" i="2"/>
  <c r="K1729" i="2"/>
  <c r="C1730" i="2"/>
  <c r="J1729" i="2"/>
  <c r="N1730" i="2"/>
  <c r="I1729" i="2"/>
  <c r="M1730" i="2"/>
  <c r="H1729" i="2"/>
  <c r="L1730" i="2"/>
  <c r="G1729" i="2"/>
  <c r="K1730" i="2"/>
  <c r="F1729" i="2"/>
  <c r="J1730" i="2"/>
  <c r="E1729" i="2"/>
  <c r="I1730" i="2"/>
  <c r="C1729" i="2"/>
  <c r="D1729" i="2"/>
  <c r="G1736" i="2"/>
  <c r="H1735" i="2"/>
  <c r="F1736" i="2"/>
  <c r="G1735" i="2"/>
  <c r="E1736" i="2"/>
  <c r="E1735" i="2"/>
  <c r="F1735" i="2"/>
  <c r="C1735" i="2"/>
  <c r="A1735" i="2"/>
  <c r="N1736" i="2"/>
  <c r="C1736" i="2"/>
  <c r="D1735" i="2"/>
  <c r="M1736" i="2"/>
  <c r="N1735" i="2"/>
  <c r="L1736" i="2"/>
  <c r="M1735" i="2"/>
  <c r="A1736" i="2"/>
  <c r="K1736" i="2"/>
  <c r="L1735" i="2"/>
  <c r="J1736" i="2"/>
  <c r="K1735" i="2"/>
  <c r="D1736" i="2"/>
  <c r="I1736" i="2"/>
  <c r="J1735" i="2"/>
  <c r="H1736" i="2"/>
  <c r="I1735" i="2"/>
  <c r="A1733" i="2"/>
  <c r="F1732" i="2"/>
  <c r="H1733" i="2"/>
  <c r="I1732" i="2"/>
  <c r="G1733" i="2"/>
  <c r="D1733" i="2"/>
  <c r="M1732" i="2"/>
  <c r="G1732" i="2"/>
  <c r="N1732" i="2"/>
  <c r="K1732" i="2"/>
  <c r="C1732" i="2"/>
  <c r="A1732" i="2"/>
  <c r="D1732" i="2"/>
  <c r="E1732" i="2"/>
  <c r="N1733" i="2"/>
  <c r="E1733" i="2"/>
  <c r="H1732" i="2"/>
  <c r="M1733" i="2"/>
  <c r="L1732" i="2"/>
  <c r="L1733" i="2"/>
  <c r="F1733" i="2"/>
  <c r="K1733" i="2"/>
  <c r="J1732" i="2"/>
  <c r="J1733" i="2"/>
  <c r="C1733" i="2"/>
  <c r="I1733" i="2"/>
  <c r="I1643" i="2"/>
  <c r="J1642" i="2"/>
  <c r="K1639" i="2"/>
  <c r="L1638" i="2"/>
  <c r="O1634" i="2"/>
  <c r="C1634" i="2"/>
  <c r="D1633" i="2"/>
  <c r="G1630" i="2"/>
  <c r="H1629" i="2"/>
  <c r="H1643" i="2"/>
  <c r="I1642" i="2"/>
  <c r="J1639" i="2"/>
  <c r="K1638" i="2"/>
  <c r="N1634" i="2"/>
  <c r="O1633" i="2"/>
  <c r="C1633" i="2"/>
  <c r="F1630" i="2"/>
  <c r="G1629" i="2"/>
  <c r="G1643" i="2"/>
  <c r="H1642" i="2"/>
  <c r="I1639" i="2"/>
  <c r="J1638" i="2"/>
  <c r="M1634" i="2"/>
  <c r="N1633" i="2"/>
  <c r="E1630" i="2"/>
  <c r="F1629" i="2"/>
  <c r="F1643" i="2"/>
  <c r="G1642" i="2"/>
  <c r="H1639" i="2"/>
  <c r="I1638" i="2"/>
  <c r="L1634" i="2"/>
  <c r="M1633" i="2"/>
  <c r="D1630" i="2"/>
  <c r="E1629" i="2"/>
  <c r="E1643" i="2"/>
  <c r="F1642" i="2"/>
  <c r="G1639" i="2"/>
  <c r="H1638" i="2"/>
  <c r="K1634" i="2"/>
  <c r="L1633" i="2"/>
  <c r="O1630" i="2"/>
  <c r="C1630" i="2"/>
  <c r="D1629" i="2"/>
  <c r="D1643" i="2"/>
  <c r="E1642" i="2"/>
  <c r="F1639" i="2"/>
  <c r="G1638" i="2"/>
  <c r="J1634" i="2"/>
  <c r="K1633" i="2"/>
  <c r="N1630" i="2"/>
  <c r="O1629" i="2"/>
  <c r="C1629" i="2"/>
  <c r="O1643" i="2"/>
  <c r="C1643" i="2"/>
  <c r="D1642" i="2"/>
  <c r="E1639" i="2"/>
  <c r="F1638" i="2"/>
  <c r="I1634" i="2"/>
  <c r="J1633" i="2"/>
  <c r="M1630" i="2"/>
  <c r="N1629" i="2"/>
  <c r="N1643" i="2"/>
  <c r="O1642" i="2"/>
  <c r="C1642" i="2"/>
  <c r="D1639" i="2"/>
  <c r="E1638" i="2"/>
  <c r="H1634" i="2"/>
  <c r="I1633" i="2"/>
  <c r="L1630" i="2"/>
  <c r="M1629" i="2"/>
  <c r="M1643" i="2"/>
  <c r="N1642" i="2"/>
  <c r="O1639" i="2"/>
  <c r="C1639" i="2"/>
  <c r="D1638" i="2"/>
  <c r="G1634" i="2"/>
  <c r="H1633" i="2"/>
  <c r="K1630" i="2"/>
  <c r="L1629" i="2"/>
  <c r="L1643" i="2"/>
  <c r="M1642" i="2"/>
  <c r="N1639" i="2"/>
  <c r="O1638" i="2"/>
  <c r="C1638" i="2"/>
  <c r="F1634" i="2"/>
  <c r="G1633" i="2"/>
  <c r="J1630" i="2"/>
  <c r="K1629" i="2"/>
  <c r="K1643" i="2"/>
  <c r="L1642" i="2"/>
  <c r="M1639" i="2"/>
  <c r="N1638" i="2"/>
  <c r="E1634" i="2"/>
  <c r="F1633" i="2"/>
  <c r="I1630" i="2"/>
  <c r="J1629" i="2"/>
  <c r="J1643" i="2"/>
  <c r="K1642" i="2"/>
  <c r="L1639" i="2"/>
  <c r="M1638" i="2"/>
  <c r="D1634" i="2"/>
  <c r="E1633" i="2"/>
  <c r="H1630" i="2"/>
  <c r="I1629" i="2"/>
</calcChain>
</file>

<file path=xl/sharedStrings.xml><?xml version="1.0" encoding="utf-8"?>
<sst xmlns="http://schemas.openxmlformats.org/spreadsheetml/2006/main" count="3303" uniqueCount="1717">
  <si>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</si>
  <si>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</si>
  <si>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</si>
  <si>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</si>
  <si>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</si>
  <si>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</si>
  <si>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</si>
  <si>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</si>
  <si>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</si>
  <si>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</si>
  <si>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</si>
  <si>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</si>
  <si>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</si>
  <si>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</si>
  <si>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</si>
  <si>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</si>
  <si>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</si>
  <si>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</si>
  <si>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</si>
  <si>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</si>
  <si>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</si>
  <si>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</si>
  <si>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</si>
  <si>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</si>
  <si>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</si>
  <si>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</si>
  <si>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</si>
  <si>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</si>
  <si>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</si>
  <si>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</si>
  <si>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</si>
  <si>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</si>
  <si>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</si>
  <si>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</si>
  <si>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</si>
  <si>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</si>
  <si>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</si>
  <si>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</si>
  <si>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</si>
  <si>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</si>
  <si>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</si>
  <si>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</si>
  <si>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</si>
  <si>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</si>
  <si>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</si>
  <si>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</si>
  <si>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</si>
  <si>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</si>
  <si>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</si>
  <si>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</si>
  <si>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</si>
  <si>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</si>
  <si>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</si>
  <si>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</si>
  <si>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</si>
  <si>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</si>
  <si>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</si>
  <si>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</si>
  <si>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</si>
  <si>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</si>
  <si>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</si>
  <si>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</si>
  <si>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</si>
  <si>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</si>
  <si>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</si>
  <si>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</si>
  <si>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</si>
  <si>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</si>
  <si>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</si>
  <si>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</si>
  <si>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</si>
  <si>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</si>
  <si>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</si>
  <si>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</si>
  <si>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</si>
  <si>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</si>
  <si>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</si>
  <si>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</si>
  <si>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</si>
  <si>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</si>
  <si>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</si>
  <si>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</si>
  <si>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</si>
  <si>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</si>
  <si>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</si>
  <si>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</si>
  <si>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</si>
  <si>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</si>
  <si>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</si>
  <si>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</si>
  <si>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</si>
  <si>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</si>
  <si>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</si>
  <si>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</si>
  <si>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</si>
  <si>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</si>
  <si>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</si>
  <si>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</si>
  <si>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</si>
  <si>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</si>
  <si>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</si>
  <si>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</si>
  <si>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</si>
  <si>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</si>
  <si>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</si>
  <si>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</si>
  <si>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</si>
  <si>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</si>
  <si>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</si>
  <si>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</si>
  <si>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</si>
  <si>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</si>
  <si>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</si>
  <si>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</si>
  <si>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</si>
  <si>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</si>
  <si>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</si>
  <si>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</si>
  <si>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</si>
  <si>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</si>
  <si>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</si>
  <si>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</si>
  <si>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</si>
  <si>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</si>
  <si>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</si>
  <si>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</si>
  <si>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</si>
  <si>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</si>
  <si>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</si>
  <si>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</si>
  <si>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</si>
  <si>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</si>
  <si>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</si>
  <si>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</si>
  <si>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</si>
  <si>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</si>
  <si>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</si>
  <si>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</si>
  <si>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</si>
  <si>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</si>
  <si>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</si>
  <si>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</si>
  <si>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</si>
  <si>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</si>
  <si>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</si>
  <si>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</si>
  <si>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</si>
  <si>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</si>
  <si>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</si>
  <si>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</si>
  <si>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</si>
  <si>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</si>
  <si>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</si>
  <si>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</si>
  <si>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</si>
  <si>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</si>
  <si>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</si>
  <si>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</si>
  <si>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</si>
  <si>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</si>
  <si>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</si>
  <si>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</si>
  <si>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</si>
  <si>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</si>
  <si>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</si>
  <si>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</si>
  <si>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</si>
  <si>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</si>
  <si>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</si>
  <si>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</si>
  <si>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</si>
  <si>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</si>
  <si>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</si>
  <si>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</si>
  <si>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</si>
  <si>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</si>
  <si>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</si>
  <si>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</si>
  <si>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</si>
  <si>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</si>
  <si>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</si>
  <si>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</si>
  <si>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</si>
  <si>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</si>
  <si>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</si>
  <si>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</si>
  <si>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</si>
  <si>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</si>
  <si>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</si>
  <si>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</si>
  <si>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</si>
  <si>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</si>
  <si>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</si>
  <si>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</si>
  <si>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</si>
  <si>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</si>
  <si>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</si>
  <si>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</si>
  <si>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</si>
  <si>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</si>
  <si>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</si>
  <si>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</si>
  <si>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</si>
  <si>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</si>
  <si>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</si>
  <si>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</si>
  <si>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</si>
  <si>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</si>
  <si>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</si>
  <si>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</si>
  <si>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</si>
  <si>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</si>
  <si>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</si>
  <si>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</si>
  <si>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</si>
  <si>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</si>
  <si>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</si>
  <si>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</si>
  <si>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</si>
  <si>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</si>
  <si>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</si>
  <si>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</si>
  <si>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</si>
  <si>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</si>
  <si>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</si>
  <si>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</si>
  <si>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</si>
  <si>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</si>
  <si>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</si>
  <si>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</si>
  <si>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</si>
  <si>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</si>
  <si>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</si>
  <si>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</si>
  <si>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</si>
  <si>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</si>
  <si>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</si>
  <si>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</si>
  <si>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</si>
  <si>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</si>
  <si>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</si>
  <si>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</si>
  <si>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</si>
  <si>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</si>
  <si>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</si>
  <si>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</si>
  <si>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</si>
  <si>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</si>
  <si>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</si>
  <si>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</si>
  <si>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</si>
  <si>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</si>
  <si>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</si>
  <si>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</si>
  <si>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</si>
  <si>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</si>
  <si>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</si>
  <si>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</si>
  <si>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</si>
  <si>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</si>
  <si>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</si>
  <si>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</si>
  <si>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</si>
  <si>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</si>
  <si>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</si>
  <si>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</si>
  <si>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</si>
  <si>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</si>
  <si>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</si>
  <si>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</si>
  <si>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</si>
  <si>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</si>
  <si>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</si>
  <si>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</si>
  <si>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</si>
  <si>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</si>
  <si>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</si>
  <si>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</si>
  <si>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</si>
  <si>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</si>
  <si>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</si>
  <si>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</si>
  <si>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</si>
  <si>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</si>
  <si>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</si>
  <si>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</si>
  <si>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</si>
  <si>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</si>
  <si>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</si>
  <si>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</si>
  <si>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</si>
  <si>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</si>
  <si>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</si>
  <si>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</si>
  <si>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</si>
  <si>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</si>
  <si>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</si>
  <si>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</si>
  <si>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</si>
  <si>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</si>
  <si>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</si>
  <si>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</si>
  <si>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</si>
  <si>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</si>
  <si>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</si>
  <si>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</si>
  <si>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</si>
  <si>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</si>
  <si>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</si>
  <si>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</si>
  <si>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</si>
  <si>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</si>
  <si>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</si>
  <si>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</si>
  <si>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</si>
  <si>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</si>
  <si>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</si>
  <si>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</si>
  <si>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</si>
  <si>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</si>
  <si>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</si>
  <si>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</si>
  <si>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</si>
  <si>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</si>
  <si>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</si>
  <si>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</si>
  <si>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</si>
  <si>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</si>
  <si>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</si>
  <si>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</si>
  <si>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</si>
  <si>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</si>
  <si>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</si>
  <si>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</si>
  <si>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</si>
  <si>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</si>
  <si>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</si>
  <si>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</si>
  <si>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</si>
  <si>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</si>
  <si>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</si>
  <si>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</si>
  <si>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</si>
  <si>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</si>
  <si>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</si>
  <si>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</si>
  <si>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</si>
  <si>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</si>
  <si>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</si>
  <si>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</si>
  <si>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</si>
  <si>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</si>
  <si>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</si>
  <si>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</si>
  <si>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</si>
  <si>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</si>
  <si>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</si>
  <si>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</si>
  <si>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</si>
  <si>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</si>
  <si>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</si>
  <si>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</si>
  <si>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</si>
  <si>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</si>
  <si>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</si>
  <si>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</si>
  <si>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</si>
  <si>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</si>
  <si>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</si>
  <si>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</si>
  <si>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</si>
  <si>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</si>
  <si>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</si>
  <si>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</si>
  <si>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</si>
  <si>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</si>
  <si>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</si>
  <si>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</si>
  <si>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</si>
  <si>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</si>
  <si>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</si>
  <si>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</si>
  <si>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</si>
  <si>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</si>
  <si>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</si>
  <si>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</si>
  <si>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</si>
  <si>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</si>
  <si>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</si>
  <si>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</si>
  <si>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</si>
  <si>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</si>
  <si>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</si>
  <si>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</si>
  <si>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</si>
  <si>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</si>
  <si>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</si>
  <si>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</si>
  <si>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</si>
  <si>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</si>
  <si>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</si>
  <si>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</si>
  <si>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</si>
  <si>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</si>
  <si>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</si>
  <si>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</si>
  <si>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</si>
  <si>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</si>
  <si>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</si>
  <si>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</si>
  <si>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</si>
  <si>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</si>
  <si>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</si>
  <si>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</si>
  <si>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</si>
  <si>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</si>
  <si>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</si>
  <si>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</si>
  <si>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</si>
  <si>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</si>
  <si>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</si>
  <si>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</si>
  <si>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</si>
  <si>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</si>
  <si>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</si>
  <si>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</si>
  <si>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</si>
  <si>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</si>
  <si>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</si>
  <si>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</si>
  <si>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</si>
  <si>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</si>
  <si>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</si>
  <si>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</si>
  <si>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</si>
  <si>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</si>
  <si>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</si>
  <si>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</si>
  <si>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</si>
  <si>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</si>
  <si>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</si>
  <si>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</si>
  <si>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</si>
  <si>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</si>
  <si>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</si>
  <si>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</si>
  <si>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</si>
  <si>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</si>
  <si>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</si>
  <si>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</si>
  <si>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</si>
  <si>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</si>
  <si>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</si>
  <si>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</si>
  <si>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</si>
  <si>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</si>
  <si>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</si>
  <si>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</si>
  <si>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</si>
  <si>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</si>
  <si>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</si>
  <si>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</si>
  <si>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</si>
  <si>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</si>
  <si>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</si>
  <si>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</si>
  <si>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</si>
  <si>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</si>
  <si>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</si>
  <si>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</si>
  <si>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</si>
  <si>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</si>
  <si>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</si>
  <si>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</si>
  <si>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</si>
  <si>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</si>
  <si>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</si>
  <si>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</si>
  <si>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</si>
  <si>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</si>
  <si>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</si>
  <si>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</si>
  <si>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</si>
  <si>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</si>
  <si>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</si>
  <si>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</si>
  <si>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</si>
  <si>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</si>
  <si>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</si>
  <si>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</si>
  <si>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</si>
  <si>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</si>
  <si>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</si>
  <si>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</si>
  <si>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</si>
  <si>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</si>
  <si>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</si>
  <si>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</si>
  <si>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</si>
  <si>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</si>
  <si>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</si>
  <si>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</si>
  <si>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</si>
  <si>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</si>
  <si>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</si>
  <si>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</si>
  <si>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</si>
  <si>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</si>
  <si>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</si>
  <si>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</si>
  <si>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</si>
  <si>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</si>
  <si>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</si>
  <si>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</si>
  <si>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</si>
  <si>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</si>
  <si>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</si>
  <si>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</si>
  <si>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</si>
  <si>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</si>
  <si>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</si>
  <si>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</si>
  <si>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</si>
  <si>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</si>
  <si>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</si>
  <si>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</si>
  <si>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</si>
  <si>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</si>
  <si>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</si>
  <si>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</si>
  <si>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</si>
  <si>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</si>
  <si>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</si>
  <si>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</si>
  <si>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</si>
  <si>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</si>
  <si>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</si>
  <si>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</si>
  <si>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</si>
  <si>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</si>
  <si>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</si>
  <si>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</si>
  <si>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</si>
  <si>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</si>
  <si>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</si>
  <si>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</si>
  <si>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</si>
  <si>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</si>
  <si>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</si>
  <si>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</si>
  <si>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</si>
  <si>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</si>
  <si>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</si>
  <si>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</si>
  <si>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</si>
  <si>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</si>
  <si>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</si>
  <si>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</si>
  <si>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</si>
  <si>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</si>
  <si>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</si>
  <si>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</si>
  <si>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</si>
  <si>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</si>
  <si>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</si>
  <si>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</si>
  <si>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</si>
  <si>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</si>
  <si>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</si>
  <si>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</si>
  <si>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</si>
  <si>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</si>
  <si>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</si>
  <si>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</si>
  <si>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</si>
  <si>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</si>
  <si>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</si>
  <si>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</si>
  <si>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</si>
  <si>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</si>
  <si>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</si>
  <si>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</si>
  <si>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</si>
  <si>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</si>
  <si>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</si>
  <si>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</si>
  <si>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</si>
  <si>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</si>
  <si>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</si>
  <si>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</si>
  <si>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</si>
  <si>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</si>
  <si>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</si>
  <si>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</si>
  <si>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</si>
  <si>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</si>
  <si>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</si>
  <si>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</si>
  <si>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</si>
  <si>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</si>
  <si>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</si>
  <si>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</si>
  <si>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</si>
  <si>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</si>
  <si>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</si>
  <si>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</si>
  <si>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</si>
  <si>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</si>
  <si>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</si>
  <si>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</si>
  <si>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</si>
  <si>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</si>
  <si>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</si>
  <si>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</si>
  <si>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</si>
  <si>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</si>
  <si>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</si>
  <si>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</si>
  <si>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</si>
  <si>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</si>
  <si>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</si>
  <si>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</si>
  <si>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</si>
  <si>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</si>
  <si>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</si>
  <si>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</si>
  <si>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</si>
  <si>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</si>
  <si>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</si>
  <si>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</si>
  <si>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</si>
  <si>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</si>
  <si>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</si>
  <si>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</si>
  <si>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</si>
  <si>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</si>
  <si>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</si>
  <si>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</si>
  <si>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</si>
  <si>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</si>
  <si>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</si>
  <si>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</si>
  <si>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</si>
  <si>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</si>
  <si>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</si>
  <si>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</si>
  <si>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</si>
  <si>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</si>
  <si>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</si>
  <si>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</si>
  <si>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</si>
  <si>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</si>
  <si>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</si>
  <si>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</si>
  <si>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</si>
  <si>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</si>
  <si>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</si>
  <si>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</si>
  <si>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</si>
  <si>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</si>
  <si>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</si>
  <si>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</si>
  <si>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</si>
  <si>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</si>
  <si>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</si>
  <si>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</si>
  <si>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</si>
  <si>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</si>
  <si>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</si>
  <si>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</si>
  <si>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</si>
  <si>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</si>
  <si>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</si>
  <si>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</si>
  <si>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</si>
  <si>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</si>
  <si>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</si>
  <si>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</si>
  <si>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</si>
  <si>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</si>
  <si>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</si>
  <si>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</si>
  <si>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</si>
  <si>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</si>
  <si>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</si>
  <si>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</si>
  <si>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</si>
  <si>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</si>
  <si>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</si>
  <si>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</si>
  <si>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</si>
  <si>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</si>
  <si>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</si>
  <si>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</si>
  <si>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</si>
  <si>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</si>
  <si>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</si>
  <si>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</si>
  <si>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</si>
  <si>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</si>
  <si>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</si>
  <si>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</si>
  <si>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</si>
  <si>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</si>
  <si>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</si>
  <si>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</si>
  <si>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</si>
  <si>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</si>
  <si>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</si>
  <si>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</si>
  <si>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</si>
  <si>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</si>
  <si>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</si>
  <si>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</si>
  <si>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</si>
  <si>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</si>
  <si>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</si>
  <si>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</si>
  <si>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</si>
  <si>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</si>
  <si>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</si>
  <si>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</si>
  <si>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</si>
  <si>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</si>
  <si>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</si>
  <si>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</si>
  <si>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</si>
  <si>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</si>
  <si>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</si>
  <si>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</si>
  <si>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</si>
  <si>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</si>
  <si>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</si>
  <si>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</si>
  <si>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</si>
  <si>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</si>
  <si>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</si>
  <si>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</si>
  <si>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</si>
  <si>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</si>
  <si>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</si>
  <si>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</si>
  <si>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</si>
  <si>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</si>
  <si>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</si>
  <si>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</si>
  <si>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</si>
  <si>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</si>
  <si>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</si>
  <si>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</si>
  <si>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</si>
  <si>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</si>
  <si>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</si>
  <si>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</si>
  <si>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</si>
  <si>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</si>
  <si>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</si>
  <si>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</si>
  <si>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</si>
  <si>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</si>
  <si>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</si>
  <si>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</si>
  <si>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</si>
  <si>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</si>
  <si>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</si>
  <si>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</si>
  <si>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</si>
  <si>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</si>
  <si>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</si>
  <si>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</si>
  <si>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</si>
  <si>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</si>
  <si>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</si>
  <si>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</si>
  <si>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</si>
  <si>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</si>
  <si>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</si>
  <si>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</si>
  <si>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</si>
  <si>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</si>
  <si>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</si>
  <si>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</si>
  <si>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</si>
  <si>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</si>
  <si>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</si>
  <si>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</si>
  <si>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</si>
  <si>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</si>
  <si>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</si>
  <si>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</si>
  <si>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</si>
  <si>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</si>
  <si>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</si>
  <si>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</si>
  <si>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</si>
  <si>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</si>
  <si>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</si>
  <si>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</si>
  <si>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</si>
  <si>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</si>
  <si>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</si>
  <si>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</si>
  <si>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</si>
  <si>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</si>
  <si>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</si>
  <si>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</si>
  <si>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</si>
  <si>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</si>
  <si>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</si>
  <si>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</si>
  <si>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</si>
  <si>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</si>
  <si>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</si>
  <si>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</si>
  <si>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</si>
  <si>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</si>
  <si>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</si>
  <si>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</si>
  <si>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</si>
  <si>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</si>
  <si>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</si>
  <si>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</si>
  <si>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</si>
  <si>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</si>
  <si>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</si>
  <si>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</si>
  <si>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</si>
  <si>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</si>
  <si>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</si>
  <si>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</si>
  <si>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</si>
  <si>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</si>
  <si>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</si>
  <si>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</si>
  <si>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</si>
  <si>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</si>
  <si>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</si>
  <si>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</si>
  <si>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</si>
  <si>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</si>
  <si>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</si>
  <si>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</si>
  <si>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</si>
  <si>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</si>
  <si>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</si>
  <si>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</si>
  <si>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</si>
  <si>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</si>
  <si>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</si>
  <si>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</si>
  <si>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</si>
  <si>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</si>
  <si>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</si>
  <si>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</si>
  <si>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</si>
  <si>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</si>
  <si>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</si>
  <si>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</si>
  <si>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</si>
  <si>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</si>
  <si>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</si>
  <si>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</si>
  <si>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</si>
  <si>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</si>
  <si>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</si>
  <si>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</si>
  <si>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</si>
  <si>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</si>
  <si>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</si>
  <si>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</si>
  <si>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</si>
  <si>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</si>
  <si>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</si>
  <si>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</si>
  <si>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</si>
  <si>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</si>
  <si>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</si>
  <si>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</si>
  <si>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</si>
  <si>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</si>
  <si>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</si>
  <si>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</si>
  <si>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</si>
  <si>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</si>
  <si>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</si>
  <si>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</si>
  <si>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</si>
  <si>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</si>
  <si>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</si>
  <si>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</si>
  <si>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</si>
  <si>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</si>
  <si>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</si>
  <si>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</si>
  <si>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</si>
  <si>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</si>
  <si>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</si>
  <si>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</si>
  <si>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</si>
  <si>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</si>
  <si>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</si>
  <si>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</si>
  <si>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</si>
  <si>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</si>
  <si>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</si>
  <si>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</si>
  <si>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</si>
  <si>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</si>
  <si>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</si>
  <si>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</si>
  <si>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</si>
  <si>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</si>
  <si>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</si>
  <si>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</si>
  <si>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</si>
  <si>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</si>
  <si>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</si>
  <si>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</si>
  <si>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</si>
  <si>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</si>
  <si>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</si>
  <si>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</si>
  <si>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</si>
  <si>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</si>
  <si>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</si>
  <si>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</si>
  <si>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</si>
  <si>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</si>
  <si>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</si>
  <si>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</si>
  <si>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</si>
  <si>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</si>
  <si>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</si>
  <si>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</si>
  <si>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</si>
  <si>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</si>
  <si>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</si>
  <si>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</si>
  <si>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</si>
  <si>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</si>
  <si>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</si>
  <si>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</si>
  <si>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</si>
  <si>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</si>
  <si>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</si>
  <si>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</si>
  <si>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</si>
  <si>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</si>
  <si>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</si>
  <si>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</si>
  <si>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</si>
  <si>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</si>
  <si>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</si>
  <si>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</si>
  <si>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</si>
  <si>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</si>
  <si>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</si>
  <si>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</si>
  <si>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</si>
  <si>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</si>
  <si>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</si>
  <si>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</si>
  <si>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</si>
  <si>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</si>
  <si>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</si>
  <si>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</si>
  <si>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</si>
  <si>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</si>
  <si>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</si>
  <si>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</si>
  <si>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</si>
  <si>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</si>
  <si>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</si>
  <si>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</si>
  <si>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</si>
  <si>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</si>
  <si>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</si>
  <si>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</si>
  <si>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</si>
  <si>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</si>
  <si>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</si>
  <si>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</si>
  <si>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</si>
  <si>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</si>
  <si>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</si>
  <si>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</si>
  <si>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</si>
  <si>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</si>
  <si>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</si>
  <si>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</si>
  <si>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</si>
  <si>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</si>
  <si>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</si>
  <si>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</si>
  <si>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</si>
  <si>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</si>
  <si>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</si>
  <si>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</si>
  <si>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</si>
  <si>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</si>
  <si>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</si>
  <si>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</si>
  <si>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</si>
  <si>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</si>
  <si>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</si>
  <si>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</si>
  <si>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</si>
  <si>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</si>
  <si>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</si>
  <si>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</si>
  <si>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</si>
  <si>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</si>
  <si>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</si>
  <si>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</si>
  <si>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</si>
  <si>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</si>
  <si>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</si>
  <si>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</si>
  <si>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</si>
  <si>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</si>
  <si>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</si>
  <si>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</si>
  <si>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</si>
  <si>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</si>
  <si>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</si>
  <si>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</si>
  <si>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</si>
  <si>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</si>
  <si>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</si>
  <si>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</si>
  <si>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</si>
  <si>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</si>
  <si>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</si>
  <si>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</si>
  <si>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</si>
  <si>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</si>
  <si>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</si>
  <si>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</si>
  <si>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</si>
  <si>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</si>
  <si>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</si>
  <si>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</si>
  <si>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</si>
  <si>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</si>
  <si>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</si>
  <si>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</si>
  <si>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</si>
  <si>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</si>
  <si>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</si>
  <si>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</si>
  <si>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</si>
  <si>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</si>
  <si>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</si>
  <si>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</si>
  <si>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</si>
  <si>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</si>
  <si>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</si>
  <si>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</si>
  <si>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</si>
  <si>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</si>
  <si>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</si>
  <si>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</si>
  <si>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</si>
  <si>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</si>
  <si>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</si>
  <si>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</si>
  <si>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</si>
  <si>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</si>
  <si>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</si>
  <si>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</si>
  <si>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</si>
  <si>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</si>
  <si>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</si>
  <si>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</si>
  <si>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</si>
  <si>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</si>
  <si>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</si>
  <si>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</si>
  <si>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</si>
  <si>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</si>
  <si>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</si>
  <si>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</si>
  <si>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</si>
  <si>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</si>
  <si>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</si>
  <si>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</si>
  <si>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</si>
  <si>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</si>
  <si>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</si>
  <si>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</si>
  <si>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</si>
  <si>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</si>
  <si>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</si>
  <si>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</si>
  <si>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</si>
  <si>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</si>
  <si>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</si>
  <si>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</si>
  <si>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</si>
  <si>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</si>
  <si>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</si>
  <si>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</si>
  <si>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</si>
  <si>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</si>
  <si>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</si>
  <si>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</si>
  <si>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</si>
  <si>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</si>
  <si>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</si>
  <si>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</si>
  <si>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</si>
  <si>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</si>
  <si>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</si>
  <si>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</si>
  <si>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</si>
  <si>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</si>
  <si>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</si>
  <si>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</si>
  <si>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</si>
  <si>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</si>
  <si>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</si>
  <si>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</si>
  <si>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</si>
  <si>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</si>
  <si>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</si>
  <si>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</si>
  <si>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</si>
  <si>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</si>
  <si>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</si>
  <si>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</si>
  <si>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</si>
  <si>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</si>
  <si>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</si>
  <si>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</si>
  <si>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</si>
  <si>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</si>
  <si>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</si>
  <si>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</si>
  <si>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</si>
  <si>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</si>
  <si>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</si>
  <si>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</si>
  <si>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</si>
  <si>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</si>
  <si>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</si>
  <si>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</si>
  <si>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</si>
  <si>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</si>
  <si>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</si>
  <si>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</si>
  <si>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</si>
  <si>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</si>
  <si>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</si>
  <si>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</si>
  <si>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</si>
  <si>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</si>
  <si>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</si>
  <si>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</si>
  <si>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</si>
  <si>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</si>
  <si>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</si>
  <si>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</si>
  <si>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</si>
  <si>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</si>
  <si>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</si>
  <si>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</si>
  <si>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</si>
  <si>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</si>
  <si>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</si>
  <si>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</si>
  <si>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</si>
  <si>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</si>
  <si>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</si>
  <si>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</si>
  <si>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</si>
  <si>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</si>
  <si>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</si>
  <si>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</si>
  <si>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</si>
  <si>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</si>
  <si>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</si>
  <si>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</si>
  <si>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</si>
  <si>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</si>
  <si>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</si>
  <si>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</si>
  <si>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</si>
  <si>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</si>
  <si>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</si>
  <si>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</si>
  <si>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</si>
  <si>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</si>
  <si>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</si>
  <si>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</si>
  <si>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</si>
  <si>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</si>
  <si>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</si>
  <si>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</si>
  <si>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</si>
  <si>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</si>
  <si>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</si>
  <si>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</si>
  <si>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</si>
  <si>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</si>
  <si>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</si>
  <si>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</si>
  <si>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</si>
  <si>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</si>
  <si>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</si>
  <si>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</si>
  <si>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</si>
  <si>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</si>
  <si>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</si>
  <si>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</si>
  <si>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</si>
  <si>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</si>
  <si>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</si>
  <si>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</si>
  <si>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</si>
  <si>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</si>
  <si>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</si>
  <si>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</si>
  <si>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</si>
  <si>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</si>
  <si>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</si>
  <si>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</si>
  <si>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</si>
  <si>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</si>
  <si>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</si>
  <si>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</si>
  <si>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</si>
  <si>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</si>
  <si>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</si>
  <si>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</si>
  <si>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</si>
  <si>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</si>
  <si>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</si>
  <si>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</si>
  <si>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</si>
  <si>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</si>
  <si>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</si>
  <si>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</si>
  <si>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</si>
  <si>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</si>
  <si>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</si>
  <si>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</si>
  <si>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</si>
  <si>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</si>
  <si>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</si>
  <si>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</si>
  <si>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</si>
  <si>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</si>
  <si>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</si>
  <si>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</si>
  <si>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</si>
  <si>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</si>
  <si>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</si>
  <si>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</si>
  <si>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</si>
  <si>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</si>
  <si>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</si>
  <si>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</si>
  <si>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</si>
  <si>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</si>
  <si>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</si>
  <si>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</si>
  <si>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</si>
  <si>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</si>
  <si>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</si>
  <si>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</si>
  <si>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</si>
  <si>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</si>
  <si>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</si>
  <si>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</si>
  <si>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</si>
  <si>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</si>
  <si>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</si>
  <si>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</si>
  <si>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</si>
  <si>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</si>
  <si>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</si>
  <si>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</si>
  <si>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</si>
  <si>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</si>
  <si>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</si>
  <si>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</si>
  <si>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</si>
  <si>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</si>
  <si>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</si>
  <si>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</si>
  <si>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</si>
  <si>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</si>
  <si>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</si>
  <si>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</si>
  <si>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</si>
  <si>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</si>
  <si>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</si>
  <si>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</si>
  <si>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</si>
  <si>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</si>
  <si>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</si>
  <si>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</si>
  <si>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</si>
  <si>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</si>
  <si>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</si>
  <si>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</si>
  <si>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</si>
  <si>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</si>
  <si>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</si>
  <si>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</si>
  <si>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</si>
  <si>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</si>
  <si>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</si>
  <si>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</si>
  <si>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</si>
  <si>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</si>
  <si>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</si>
  <si>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</si>
  <si>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</si>
  <si>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</si>
  <si>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</si>
  <si>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</si>
  <si>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</si>
  <si>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</si>
  <si>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</si>
  <si>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</si>
  <si>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</si>
  <si>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</si>
  <si>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</si>
  <si>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</si>
  <si>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</si>
  <si>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</si>
  <si>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</si>
  <si>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</si>
  <si>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</si>
  <si>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</si>
  <si>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</si>
  <si>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</si>
  <si>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</si>
  <si>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</si>
  <si>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</si>
  <si>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</si>
  <si>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</si>
  <si>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</si>
  <si>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</si>
  <si>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</si>
  <si>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</si>
  <si>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</si>
  <si>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</si>
  <si>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</si>
  <si>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</si>
  <si>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</si>
  <si>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</si>
  <si>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</si>
  <si>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</si>
  <si>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</si>
  <si>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</si>
  <si>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</si>
  <si>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</si>
  <si>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</si>
  <si>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</si>
  <si>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</si>
  <si>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</si>
  <si>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</si>
  <si>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</si>
  <si>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</si>
  <si>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</si>
  <si>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</si>
  <si>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</si>
  <si>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</si>
  <si>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</si>
  <si>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</si>
  <si>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</si>
  <si>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</si>
  <si>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</si>
  <si>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</si>
  <si>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</si>
  <si>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</si>
  <si>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</si>
  <si>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</si>
  <si>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</si>
  <si>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</si>
  <si>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</si>
  <si>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</si>
  <si>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</si>
  <si>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</si>
  <si>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</si>
  <si>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</si>
  <si>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</si>
  <si>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</si>
  <si>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</si>
  <si>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</si>
  <si>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</si>
  <si>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</si>
  <si>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</si>
  <si>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</si>
  <si>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</si>
  <si>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</si>
  <si>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</si>
  <si>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</si>
  <si>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</si>
  <si>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</si>
  <si>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</si>
  <si>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</si>
  <si>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</si>
  <si>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</si>
  <si>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</si>
  <si>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</si>
  <si>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</si>
  <si>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</si>
  <si>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</si>
  <si>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</si>
  <si>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</si>
  <si>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</si>
  <si>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</si>
  <si>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</si>
  <si>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</si>
  <si>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</si>
  <si>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</si>
  <si>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</si>
  <si>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</si>
  <si>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</si>
  <si>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</si>
  <si>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</si>
  <si>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</si>
  <si>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</si>
  <si>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</si>
  <si>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</si>
  <si>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</si>
  <si>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</si>
  <si>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</si>
  <si>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</si>
  <si>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</si>
  <si>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</si>
  <si>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</si>
  <si>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</si>
  <si>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</si>
  <si>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</si>
  <si>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</si>
  <si>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</si>
  <si>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</si>
  <si>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</si>
  <si>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</si>
  <si>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</si>
  <si>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</si>
  <si>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</si>
  <si>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</si>
  <si>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</si>
  <si>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</si>
  <si>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</si>
  <si>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</si>
  <si>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</si>
  <si>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</si>
  <si>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</si>
  <si>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</si>
  <si>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</si>
  <si>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</si>
  <si>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</si>
  <si>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</si>
  <si>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</si>
  <si>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</si>
  <si>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</si>
  <si>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</si>
  <si>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</si>
  <si>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</si>
  <si>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</si>
  <si>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</si>
  <si>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</si>
  <si>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</si>
  <si>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</si>
  <si>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</si>
  <si>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</si>
  <si>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</si>
  <si>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</si>
  <si>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</si>
  <si>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</si>
  <si>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</si>
  <si>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</si>
  <si>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</si>
  <si>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</si>
  <si>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</si>
  <si>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</si>
  <si>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</si>
  <si>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</si>
  <si>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</si>
  <si>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</si>
  <si>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</si>
  <si>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</si>
  <si>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</si>
  <si>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</si>
  <si>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</si>
  <si>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</si>
  <si>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</si>
  <si>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</si>
  <si>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</si>
  <si>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</si>
  <si>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</si>
  <si>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</si>
  <si>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</si>
  <si>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</si>
  <si>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</si>
  <si>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</si>
  <si>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</si>
  <si>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</si>
  <si>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</si>
  <si>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</si>
  <si>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</si>
  <si>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</si>
  <si>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</si>
  <si>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</si>
  <si>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</si>
  <si>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</si>
  <si>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</si>
  <si>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</si>
  <si>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</si>
  <si>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</si>
  <si>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</si>
  <si>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</si>
  <si>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</si>
  <si>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</si>
  <si>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</si>
  <si>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</si>
  <si>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</si>
  <si>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</si>
  <si>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</si>
  <si>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</si>
  <si>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</si>
  <si>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</si>
  <si>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</si>
  <si>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</si>
  <si>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</si>
  <si>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</si>
  <si>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</si>
  <si>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</si>
  <si>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</si>
  <si>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</si>
  <si>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</si>
  <si>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</si>
  <si>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</si>
  <si>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</si>
  <si>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</si>
  <si>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</si>
  <si>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</si>
  <si>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</si>
  <si>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</si>
  <si>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</si>
  <si>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</si>
  <si>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</si>
  <si>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</si>
  <si>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</si>
  <si>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</si>
  <si>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</si>
  <si>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</si>
  <si>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</si>
  <si>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</si>
  <si>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</si>
  <si>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</si>
  <si>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</si>
  <si>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</si>
  <si>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</si>
  <si>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</si>
  <si>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</si>
  <si>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</si>
  <si>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</si>
  <si>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</si>
  <si>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</si>
  <si>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</si>
  <si>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</si>
  <si>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</si>
  <si>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</si>
  <si>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</si>
  <si>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</si>
  <si>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</si>
  <si>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</si>
  <si>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</si>
  <si>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</si>
  <si>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</si>
  <si>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</si>
  <si>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</si>
  <si>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</si>
  <si>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</si>
  <si>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</si>
  <si>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</si>
  <si>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</si>
  <si>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</si>
  <si>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</si>
  <si>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</si>
  <si>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</si>
  <si>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</si>
  <si>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</si>
  <si>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</si>
  <si>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</si>
  <si>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</si>
  <si>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</si>
  <si>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</si>
  <si>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</si>
  <si>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</si>
  <si>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</si>
  <si>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</si>
  <si>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</si>
  <si>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</si>
  <si>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</si>
  <si>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</si>
  <si>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</si>
  <si>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</si>
  <si>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</si>
  <si>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</si>
  <si>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</si>
  <si>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</si>
  <si>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</si>
  <si>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</si>
  <si>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</si>
  <si>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</si>
  <si>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</si>
  <si>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</si>
  <si>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</si>
  <si>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</si>
  <si>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</si>
  <si>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</si>
  <si>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</si>
  <si>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</si>
  <si>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</si>
  <si>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</si>
  <si>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</si>
  <si>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</si>
  <si>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</si>
  <si>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</si>
  <si>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</si>
  <si>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</si>
  <si>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</si>
  <si>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</si>
  <si>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</si>
  <si>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</si>
  <si>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</si>
  <si>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</si>
  <si>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</si>
  <si>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</si>
  <si>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</si>
  <si>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</si>
  <si>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</si>
  <si>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</si>
  <si>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</si>
  <si>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</si>
  <si>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</si>
  <si>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</si>
  <si>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</si>
  <si>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</si>
  <si>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</si>
  <si>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</si>
  <si>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</si>
  <si>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</si>
  <si>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</si>
  <si>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</si>
  <si>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</si>
  <si>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</si>
  <si>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</si>
  <si>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</si>
  <si>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</si>
  <si>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</si>
  <si>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</si>
  <si>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</si>
  <si>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</si>
  <si>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</si>
  <si>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</si>
  <si>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</si>
  <si>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</si>
  <si>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</si>
  <si>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</si>
  <si>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</si>
  <si>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</si>
  <si>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</si>
  <si>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</si>
  <si>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</si>
  <si>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</si>
  <si>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</si>
  <si>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</si>
  <si>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</si>
  <si>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</si>
  <si>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</si>
  <si>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</si>
  <si>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</si>
  <si>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</si>
  <si>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</si>
  <si>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</si>
  <si>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</si>
  <si>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</si>
  <si>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</si>
  <si>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</si>
  <si>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</si>
  <si>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</si>
  <si>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</si>
  <si>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</si>
  <si>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Multi-Hunk &amp; Multi-Line Different</t>
  </si>
  <si>
    <t>Correctness of Repaired</t>
  </si>
  <si>
    <t>Multi-Hunk &amp; Multi-Line Common</t>
  </si>
  <si>
    <t>p &lt; .05</t>
  </si>
  <si>
    <t>Single-Hunk-Avg-Fixed</t>
  </si>
  <si>
    <t>Single-Hunk-Avg-Repaired</t>
  </si>
  <si>
    <t>Multi-Hunk-Avg-Fixed</t>
  </si>
  <si>
    <t>Multi-Hunk-Avg-Repaired</t>
  </si>
  <si>
    <t>Single-Line-Avg-Fixed</t>
  </si>
  <si>
    <t>Single-Line-Avg-Repaired</t>
  </si>
  <si>
    <t>Multi-Line-Avg-Fixed</t>
  </si>
  <si>
    <t>Multi-Line-Avg-Repaired</t>
  </si>
  <si>
    <t>Wilcoxon signed-rank test</t>
  </si>
  <si>
    <t>Single-Hunk-Multi-Edits-Avg-Fixed</t>
  </si>
  <si>
    <t>Multi-Hunk-Single-Edit-Avg-Fixed</t>
  </si>
  <si>
    <t>Multi-Hunk-Multi-Edits-Avg-Repaired</t>
  </si>
  <si>
    <t>Single-Hunk-Single-Edit-Avg-Repaired</t>
  </si>
  <si>
    <t>Single-Hunk-Multi-Edits-Avg-Repaired</t>
  </si>
  <si>
    <t>Multi-Hunk-Single-Edit-Avg-Repaired</t>
  </si>
  <si>
    <t>Single-Hunk-Single-Edit-Avg-Fixed</t>
  </si>
  <si>
    <t>Multi-Hunk-Multi-Edits-Avg-Fixed</t>
  </si>
  <si>
    <t>Two-Factor Different</t>
  </si>
  <si>
    <t>Two-Factor Common</t>
  </si>
  <si>
    <t>Edits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</si>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</sst>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0" fontId="27" fillId="0" borderId="13" xfId="0" applyFont="1" applyBorder="1"/>
    <xf numFmtId="2" fontId="18" fillId="0" borderId="0" xfId="0" applyNumberFormat="1" applyFont="1" applyFill="1"/>
    <xf numFmtId="2" fontId="18" fillId="0" borderId="0" xfId="0" applyNumberFormat="1" applyFont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751"/>
  <sheetViews>
    <sheetView showGridLines="0" tabSelected="1" topLeftCell="A1685" zoomScale="55" zoomScaleNormal="55" workbookViewId="0">
      <selection activeCell="Q1728" sqref="Q1728:T1728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1693</v>
      </c>
      <c r="S23" s="12" t="s">
        <v>1292</v>
      </c>
      <c r="T23" s="12" t="s">
        <v>1293</v>
      </c>
      <c r="U23" s="12" t="s">
        <v>1294</v>
      </c>
      <c r="V23" s="12" t="s">
        <v>1715</v>
      </c>
      <c r="W23" s="12" t="s">
        <v>1716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 t="shared" ref="P24:P87" si="0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 t="shared" ref="Q24:Q86" si="1"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ref="O25:O87" si="2">LEFT($A25,FIND("_",$A25)-1)</f>
        <v>ACS</v>
      </c>
      <c r="P25" s="13" t="str">
        <f t="shared" si="0"/>
        <v>True Search</v>
      </c>
      <c r="Q25" s="13" t="str">
        <f t="shared" si="1"/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2"/>
        <v>ACS</v>
      </c>
      <c r="P26" s="13" t="str">
        <f t="shared" si="0"/>
        <v>True Search</v>
      </c>
      <c r="Q26" s="13" t="str">
        <f t="shared" si="1"/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2"/>
        <v>ACS</v>
      </c>
      <c r="P27" s="13" t="str">
        <f t="shared" si="0"/>
        <v>True Search</v>
      </c>
      <c r="Q27" s="13" t="str">
        <f t="shared" si="1"/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2"/>
        <v>ACS</v>
      </c>
      <c r="P28" s="13" t="str">
        <f t="shared" si="0"/>
        <v>True Search</v>
      </c>
      <c r="Q28" s="13" t="str">
        <f t="shared" si="1"/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2"/>
        <v>ACS</v>
      </c>
      <c r="P29" s="13" t="str">
        <f t="shared" si="0"/>
        <v>True Search</v>
      </c>
      <c r="Q29" s="13" t="str">
        <f t="shared" si="1"/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2"/>
        <v>ACS</v>
      </c>
      <c r="P30" s="13" t="str">
        <f t="shared" si="0"/>
        <v>True Search</v>
      </c>
      <c r="Q30" s="13" t="str">
        <f t="shared" si="1"/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2"/>
        <v>ACS</v>
      </c>
      <c r="P31" s="13" t="str">
        <f t="shared" si="0"/>
        <v>True Search</v>
      </c>
      <c r="Q31" s="13" t="str">
        <f t="shared" si="1"/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2"/>
        <v>ACS</v>
      </c>
      <c r="P32" s="13" t="str">
        <f t="shared" si="0"/>
        <v>True Search</v>
      </c>
      <c r="Q32" s="13" t="str">
        <f t="shared" si="1"/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2"/>
        <v>ACS</v>
      </c>
      <c r="P33" s="13" t="str">
        <f t="shared" si="0"/>
        <v>True Search</v>
      </c>
      <c r="Q33" s="13" t="str">
        <f t="shared" si="1"/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2"/>
        <v>ACS</v>
      </c>
      <c r="P34" s="13" t="str">
        <f t="shared" si="0"/>
        <v>True Search</v>
      </c>
      <c r="Q34" s="13" t="str">
        <f t="shared" si="1"/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2"/>
        <v>ACS</v>
      </c>
      <c r="P35" s="13" t="str">
        <f t="shared" si="0"/>
        <v>True Search</v>
      </c>
      <c r="Q35" s="13" t="str">
        <f t="shared" si="1"/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2"/>
        <v>ACS</v>
      </c>
      <c r="P36" s="13" t="str">
        <f t="shared" si="0"/>
        <v>True Search</v>
      </c>
      <c r="Q36" s="13" t="str">
        <f t="shared" si="1"/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2"/>
        <v>ACS</v>
      </c>
      <c r="P37" s="13" t="str">
        <f t="shared" si="0"/>
        <v>True Search</v>
      </c>
      <c r="Q37" s="13" t="str">
        <f t="shared" si="1"/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2"/>
        <v>ACS</v>
      </c>
      <c r="P38" s="13" t="str">
        <f t="shared" si="0"/>
        <v>True Search</v>
      </c>
      <c r="Q38" s="13" t="str">
        <f t="shared" si="1"/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2"/>
        <v>ACS</v>
      </c>
      <c r="P39" s="13" t="str">
        <f t="shared" si="0"/>
        <v>True Search</v>
      </c>
      <c r="Q39" s="13" t="str">
        <f t="shared" si="1"/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2"/>
        <v>ACS</v>
      </c>
      <c r="P40" s="13" t="str">
        <f t="shared" si="0"/>
        <v>True Search</v>
      </c>
      <c r="Q40" s="13" t="str">
        <f t="shared" si="1"/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2"/>
        <v>ACS</v>
      </c>
      <c r="P41" s="13" t="str">
        <f t="shared" si="0"/>
        <v>True Search</v>
      </c>
      <c r="Q41" s="13" t="str">
        <f t="shared" si="1"/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2"/>
        <v>ACS</v>
      </c>
      <c r="P42" s="13" t="str">
        <f t="shared" si="0"/>
        <v>True Search</v>
      </c>
      <c r="Q42" s="13" t="str">
        <f t="shared" si="1"/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2"/>
        <v>ARJA</v>
      </c>
      <c r="P43" s="13" t="str">
        <f t="shared" si="0"/>
        <v>Evolutionary Search</v>
      </c>
      <c r="Q43" s="13" t="str">
        <f t="shared" si="1"/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2"/>
        <v>ARJA</v>
      </c>
      <c r="P44" s="13" t="str">
        <f t="shared" si="0"/>
        <v>Evolutionary Search</v>
      </c>
      <c r="Q44" s="13" t="str">
        <f t="shared" si="1"/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2"/>
        <v>ARJA</v>
      </c>
      <c r="P45" s="13" t="str">
        <f t="shared" si="0"/>
        <v>Evolutionary Search</v>
      </c>
      <c r="Q45" s="13" t="str">
        <f t="shared" si="1"/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2"/>
        <v>ARJA</v>
      </c>
      <c r="P46" s="13" t="str">
        <f t="shared" si="0"/>
        <v>Evolutionary Search</v>
      </c>
      <c r="Q46" s="13" t="str">
        <f t="shared" si="1"/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2"/>
        <v>ARJA</v>
      </c>
      <c r="P47" s="13" t="str">
        <f t="shared" si="0"/>
        <v>Evolutionary Search</v>
      </c>
      <c r="Q47" s="13" t="str">
        <f t="shared" si="1"/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2"/>
        <v>ARJA</v>
      </c>
      <c r="P48" s="13" t="str">
        <f t="shared" si="0"/>
        <v>Evolutionary Search</v>
      </c>
      <c r="Q48" s="13" t="str">
        <f t="shared" si="1"/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2"/>
        <v>ARJA</v>
      </c>
      <c r="P49" s="13" t="str">
        <f t="shared" si="0"/>
        <v>Evolutionary Search</v>
      </c>
      <c r="Q49" s="13" t="str">
        <f t="shared" si="1"/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2"/>
        <v>ARJA</v>
      </c>
      <c r="P50" s="13" t="str">
        <f t="shared" si="0"/>
        <v>Evolutionary Search</v>
      </c>
      <c r="Q50" s="13" t="str">
        <f t="shared" si="1"/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2"/>
        <v>ARJA</v>
      </c>
      <c r="P51" s="13" t="str">
        <f t="shared" si="0"/>
        <v>Evolutionary Search</v>
      </c>
      <c r="Q51" s="13" t="str">
        <f t="shared" si="1"/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2"/>
        <v>ARJA</v>
      </c>
      <c r="P52" s="13" t="str">
        <f t="shared" si="0"/>
        <v>Evolutionary Search</v>
      </c>
      <c r="Q52" s="13" t="str">
        <f t="shared" si="1"/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2"/>
        <v>ARJA</v>
      </c>
      <c r="P53" s="13" t="str">
        <f t="shared" si="0"/>
        <v>Evolutionary Search</v>
      </c>
      <c r="Q53" s="13" t="str">
        <f t="shared" si="1"/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2"/>
        <v>ARJA</v>
      </c>
      <c r="P54" s="13" t="str">
        <f t="shared" si="0"/>
        <v>Evolutionary Search</v>
      </c>
      <c r="Q54" s="13" t="str">
        <f t="shared" si="1"/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2"/>
        <v>ARJA</v>
      </c>
      <c r="P55" s="13" t="str">
        <f t="shared" si="0"/>
        <v>Evolutionary Search</v>
      </c>
      <c r="Q55" s="13" t="str">
        <f t="shared" si="1"/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2"/>
        <v>ARJA</v>
      </c>
      <c r="P56" s="13" t="str">
        <f t="shared" si="0"/>
        <v>Evolutionary Search</v>
      </c>
      <c r="Q56" s="13" t="str">
        <f t="shared" si="1"/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2"/>
        <v>ARJA</v>
      </c>
      <c r="P57" s="13" t="str">
        <f t="shared" si="0"/>
        <v>Evolutionary Search</v>
      </c>
      <c r="Q57" s="13" t="str">
        <f t="shared" si="1"/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2"/>
        <v>ARJA</v>
      </c>
      <c r="P58" s="13" t="str">
        <f t="shared" si="0"/>
        <v>Evolutionary Search</v>
      </c>
      <c r="Q58" s="13" t="str">
        <f t="shared" si="1"/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2"/>
        <v>ARJA</v>
      </c>
      <c r="P59" s="13" t="str">
        <f t="shared" si="0"/>
        <v>Evolutionary Search</v>
      </c>
      <c r="Q59" s="13" t="str">
        <f t="shared" si="1"/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2"/>
        <v>ARJA</v>
      </c>
      <c r="P60" s="13" t="str">
        <f t="shared" si="0"/>
        <v>Evolutionary Search</v>
      </c>
      <c r="Q60" s="13" t="str">
        <f t="shared" si="1"/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2"/>
        <v>ARJA</v>
      </c>
      <c r="P61" s="13" t="str">
        <f t="shared" si="0"/>
        <v>Evolutionary Search</v>
      </c>
      <c r="Q61" s="13" t="str">
        <f t="shared" si="1"/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2"/>
        <v>ARJA</v>
      </c>
      <c r="P62" s="13" t="str">
        <f t="shared" si="0"/>
        <v>Evolutionary Search</v>
      </c>
      <c r="Q62" s="13" t="str">
        <f t="shared" si="1"/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2"/>
        <v>ARJA</v>
      </c>
      <c r="P63" s="13" t="str">
        <f t="shared" si="0"/>
        <v>Evolutionary Search</v>
      </c>
      <c r="Q63" s="13" t="str">
        <f t="shared" si="1"/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2"/>
        <v>ARJA</v>
      </c>
      <c r="P64" s="13" t="str">
        <f t="shared" si="0"/>
        <v>Evolutionary Search</v>
      </c>
      <c r="Q64" s="13" t="str">
        <f t="shared" si="1"/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2"/>
        <v>ARJA</v>
      </c>
      <c r="P65" s="13" t="str">
        <f t="shared" si="0"/>
        <v>Evolutionary Search</v>
      </c>
      <c r="Q65" s="13" t="str">
        <f t="shared" si="1"/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2"/>
        <v>ARJA</v>
      </c>
      <c r="P66" s="13" t="str">
        <f t="shared" si="0"/>
        <v>Evolutionary Search</v>
      </c>
      <c r="Q66" s="13" t="str">
        <f t="shared" si="1"/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2"/>
        <v>ARJA</v>
      </c>
      <c r="P67" s="13" t="str">
        <f t="shared" si="0"/>
        <v>Evolutionary Search</v>
      </c>
      <c r="Q67" s="13" t="str">
        <f t="shared" si="1"/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2"/>
        <v>ARJA</v>
      </c>
      <c r="P68" s="13" t="str">
        <f t="shared" si="0"/>
        <v>Evolutionary Search</v>
      </c>
      <c r="Q68" s="13" t="str">
        <f t="shared" si="1"/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2"/>
        <v>ARJA</v>
      </c>
      <c r="P69" s="13" t="str">
        <f t="shared" si="0"/>
        <v>Evolutionary Search</v>
      </c>
      <c r="Q69" s="13" t="str">
        <f t="shared" si="1"/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2"/>
        <v>ARJA</v>
      </c>
      <c r="P70" s="13" t="str">
        <f t="shared" si="0"/>
        <v>Evolutionary Search</v>
      </c>
      <c r="Q70" s="13" t="str">
        <f t="shared" si="1"/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2"/>
        <v>ARJA</v>
      </c>
      <c r="P71" s="13" t="str">
        <f t="shared" si="0"/>
        <v>Evolutionary Search</v>
      </c>
      <c r="Q71" s="13" t="str">
        <f t="shared" si="1"/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2"/>
        <v>ARJA</v>
      </c>
      <c r="P72" s="13" t="str">
        <f t="shared" si="0"/>
        <v>Evolutionary Search</v>
      </c>
      <c r="Q72" s="13" t="str">
        <f t="shared" si="1"/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2"/>
        <v>ARJA</v>
      </c>
      <c r="P73" s="13" t="str">
        <f t="shared" si="0"/>
        <v>Evolutionary Search</v>
      </c>
      <c r="Q73" s="13" t="str">
        <f t="shared" si="1"/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2"/>
        <v>ARJA</v>
      </c>
      <c r="P74" s="13" t="str">
        <f t="shared" si="0"/>
        <v>Evolutionary Search</v>
      </c>
      <c r="Q74" s="13" t="str">
        <f t="shared" si="1"/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ARJA</v>
      </c>
      <c r="P75" s="13" t="str">
        <f t="shared" si="0"/>
        <v>Evolutionary Search</v>
      </c>
      <c r="Q75" s="13" t="str">
        <f t="shared" si="1"/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2"/>
        <v>ARJA</v>
      </c>
      <c r="P76" s="13" t="str">
        <f t="shared" si="0"/>
        <v>Evolutionary Search</v>
      </c>
      <c r="Q76" s="13" t="str">
        <f t="shared" si="1"/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2"/>
        <v>ARJA</v>
      </c>
      <c r="P77" s="13" t="str">
        <f t="shared" si="0"/>
        <v>Evolutionary Search</v>
      </c>
      <c r="Q77" s="13" t="str">
        <f t="shared" si="1"/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2"/>
        <v>ARJA</v>
      </c>
      <c r="P78" s="13" t="str">
        <f t="shared" si="0"/>
        <v>Evolutionary Search</v>
      </c>
      <c r="Q78" s="13" t="str">
        <f t="shared" si="1"/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2"/>
        <v>ARJA</v>
      </c>
      <c r="P79" s="13" t="str">
        <f t="shared" si="0"/>
        <v>Evolutionary Search</v>
      </c>
      <c r="Q79" s="13" t="str">
        <f t="shared" si="1"/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2"/>
        <v>ARJA</v>
      </c>
      <c r="P80" s="13" t="str">
        <f t="shared" si="0"/>
        <v>Evolutionary Search</v>
      </c>
      <c r="Q80" s="13" t="str">
        <f t="shared" si="1"/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2"/>
        <v>ARJA</v>
      </c>
      <c r="P81" s="13" t="str">
        <f t="shared" si="0"/>
        <v>Evolutionary Search</v>
      </c>
      <c r="Q81" s="13" t="str">
        <f t="shared" si="1"/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2"/>
        <v>ARJA</v>
      </c>
      <c r="P82" s="13" t="str">
        <f t="shared" si="0"/>
        <v>Evolutionary Search</v>
      </c>
      <c r="Q82" s="13" t="str">
        <f t="shared" si="1"/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2"/>
        <v>ARJA</v>
      </c>
      <c r="P83" s="13" t="str">
        <f t="shared" si="0"/>
        <v>Evolutionary Search</v>
      </c>
      <c r="Q83" s="13" t="str">
        <f t="shared" si="1"/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2"/>
        <v>ARJA</v>
      </c>
      <c r="P84" s="13" t="str">
        <f t="shared" si="0"/>
        <v>Evolutionary Search</v>
      </c>
      <c r="Q84" s="13" t="str">
        <f t="shared" si="1"/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2"/>
        <v>AVATAR</v>
      </c>
      <c r="P85" s="13" t="str">
        <f t="shared" si="0"/>
        <v>True Pattern</v>
      </c>
      <c r="Q85" s="13" t="str">
        <f t="shared" si="1"/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2"/>
        <v>AVATAR</v>
      </c>
      <c r="P86" s="13" t="str">
        <f t="shared" si="0"/>
        <v>True Pattern</v>
      </c>
      <c r="Q86" s="13" t="str">
        <f t="shared" si="1"/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2"/>
        <v>AVATAR</v>
      </c>
      <c r="P87" s="13" t="str">
        <f t="shared" si="0"/>
        <v>True Pattern</v>
      </c>
      <c r="Q87" s="13" t="str">
        <f t="shared" ref="Q87:Q150" si="3"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4">LEFT($A88,FIND("_",$A88)-1)</f>
        <v>AVATAR</v>
      </c>
      <c r="P88" s="13" t="str">
        <f t="shared" ref="P88:P136" si="5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 t="shared" si="3"/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4"/>
        <v>AVATAR</v>
      </c>
      <c r="P89" s="13" t="str">
        <f t="shared" si="5"/>
        <v>True Pattern</v>
      </c>
      <c r="Q89" s="13" t="str">
        <f t="shared" si="3"/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4"/>
        <v>AVATAR</v>
      </c>
      <c r="P90" s="13" t="str">
        <f t="shared" si="5"/>
        <v>True Pattern</v>
      </c>
      <c r="Q90" s="13" t="str">
        <f t="shared" si="3"/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4"/>
        <v>AVATAR</v>
      </c>
      <c r="P91" s="13" t="str">
        <f t="shared" si="5"/>
        <v>True Pattern</v>
      </c>
      <c r="Q91" s="13" t="str">
        <f t="shared" si="3"/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4"/>
        <v>AVATAR</v>
      </c>
      <c r="P92" s="13" t="str">
        <f t="shared" si="5"/>
        <v>True Pattern</v>
      </c>
      <c r="Q92" s="13" t="str">
        <f t="shared" si="3"/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AVATAR</v>
      </c>
      <c r="P93" s="13" t="str">
        <f t="shared" si="5"/>
        <v>True Pattern</v>
      </c>
      <c r="Q93" s="13" t="str">
        <f t="shared" si="3"/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4"/>
        <v>AVATAR</v>
      </c>
      <c r="P94" s="13" t="str">
        <f t="shared" si="5"/>
        <v>True Pattern</v>
      </c>
      <c r="Q94" s="13" t="str">
        <f t="shared" si="3"/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4"/>
        <v>AVATAR</v>
      </c>
      <c r="P95" s="13" t="str">
        <f t="shared" si="5"/>
        <v>True Pattern</v>
      </c>
      <c r="Q95" s="13" t="str">
        <f t="shared" si="3"/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4"/>
        <v>AVATAR</v>
      </c>
      <c r="P96" s="13" t="str">
        <f t="shared" si="5"/>
        <v>True Pattern</v>
      </c>
      <c r="Q96" s="13" t="str">
        <f t="shared" si="3"/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4"/>
        <v>AVATAR</v>
      </c>
      <c r="P97" s="13" t="str">
        <f t="shared" si="5"/>
        <v>True Pattern</v>
      </c>
      <c r="Q97" s="13" t="str">
        <f t="shared" si="3"/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4"/>
        <v>AVATAR</v>
      </c>
      <c r="P98" s="13" t="str">
        <f t="shared" si="5"/>
        <v>True Pattern</v>
      </c>
      <c r="Q98" s="13" t="str">
        <f t="shared" si="3"/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4"/>
        <v>AVATAR</v>
      </c>
      <c r="P99" s="13" t="str">
        <f t="shared" si="5"/>
        <v>True Pattern</v>
      </c>
      <c r="Q99" s="13" t="str">
        <f t="shared" si="3"/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4"/>
        <v>AVATAR</v>
      </c>
      <c r="P100" s="13" t="str">
        <f t="shared" si="5"/>
        <v>True Pattern</v>
      </c>
      <c r="Q100" s="13" t="str">
        <f t="shared" si="3"/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4"/>
        <v>AVATAR</v>
      </c>
      <c r="P101" s="13" t="str">
        <f t="shared" si="5"/>
        <v>True Pattern</v>
      </c>
      <c r="Q101" s="13" t="str">
        <f t="shared" si="3"/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4"/>
        <v>AVATAR</v>
      </c>
      <c r="P102" s="13" t="str">
        <f t="shared" si="5"/>
        <v>True Pattern</v>
      </c>
      <c r="Q102" s="13" t="str">
        <f t="shared" si="3"/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4"/>
        <v>AVATAR</v>
      </c>
      <c r="P103" s="13" t="str">
        <f t="shared" si="5"/>
        <v>True Pattern</v>
      </c>
      <c r="Q103" s="13" t="str">
        <f t="shared" si="3"/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4"/>
        <v>AVATAR</v>
      </c>
      <c r="P104" s="13" t="str">
        <f t="shared" si="5"/>
        <v>True Pattern</v>
      </c>
      <c r="Q104" s="13" t="str">
        <f t="shared" si="3"/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4"/>
        <v>AVATAR</v>
      </c>
      <c r="P105" s="13" t="str">
        <f t="shared" si="5"/>
        <v>True Pattern</v>
      </c>
      <c r="Q105" s="13" t="str">
        <f t="shared" si="3"/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4"/>
        <v>AVATAR</v>
      </c>
      <c r="P106" s="13" t="str">
        <f t="shared" si="5"/>
        <v>True Pattern</v>
      </c>
      <c r="Q106" s="13" t="str">
        <f t="shared" si="3"/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4"/>
        <v>AVATAR</v>
      </c>
      <c r="P107" s="13" t="str">
        <f t="shared" si="5"/>
        <v>True Pattern</v>
      </c>
      <c r="Q107" s="13" t="str">
        <f t="shared" si="3"/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4"/>
        <v>AVATAR</v>
      </c>
      <c r="P108" s="13" t="str">
        <f t="shared" si="5"/>
        <v>True Pattern</v>
      </c>
      <c r="Q108" s="13" t="str">
        <f t="shared" si="3"/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4"/>
        <v>AVATAR</v>
      </c>
      <c r="P109" s="13" t="str">
        <f t="shared" si="5"/>
        <v>True Pattern</v>
      </c>
      <c r="Q109" s="13" t="str">
        <f t="shared" si="3"/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4"/>
        <v>AVATAR</v>
      </c>
      <c r="P110" s="13" t="str">
        <f t="shared" si="5"/>
        <v>True Pattern</v>
      </c>
      <c r="Q110" s="13" t="str">
        <f t="shared" si="3"/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4"/>
        <v>AVATAR</v>
      </c>
      <c r="P111" s="13" t="str">
        <f t="shared" si="5"/>
        <v>True Pattern</v>
      </c>
      <c r="Q111" s="13" t="str">
        <f t="shared" si="3"/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4"/>
        <v>AVATAR</v>
      </c>
      <c r="P112" s="13" t="str">
        <f t="shared" si="5"/>
        <v>True Pattern</v>
      </c>
      <c r="Q112" s="13" t="str">
        <f t="shared" si="3"/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4"/>
        <v>AVATAR</v>
      </c>
      <c r="P113" s="13" t="str">
        <f t="shared" si="5"/>
        <v>True Pattern</v>
      </c>
      <c r="Q113" s="13" t="str">
        <f t="shared" si="3"/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4"/>
        <v>AVATAR</v>
      </c>
      <c r="P114" s="13" t="str">
        <f t="shared" si="5"/>
        <v>True Pattern</v>
      </c>
      <c r="Q114" s="13" t="str">
        <f t="shared" si="3"/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4"/>
        <v>AVATAR</v>
      </c>
      <c r="P115" s="13" t="str">
        <f t="shared" si="5"/>
        <v>True Pattern</v>
      </c>
      <c r="Q115" s="13" t="str">
        <f t="shared" si="3"/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4"/>
        <v>AVATAR</v>
      </c>
      <c r="P116" s="13" t="str">
        <f t="shared" si="5"/>
        <v>True Pattern</v>
      </c>
      <c r="Q116" s="13" t="str">
        <f t="shared" si="3"/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4"/>
        <v>AVATAR</v>
      </c>
      <c r="P117" s="13" t="str">
        <f t="shared" si="5"/>
        <v>True Pattern</v>
      </c>
      <c r="Q117" s="13" t="str">
        <f t="shared" si="3"/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4"/>
        <v>AVATAR</v>
      </c>
      <c r="P118" s="13" t="str">
        <f t="shared" si="5"/>
        <v>True Pattern</v>
      </c>
      <c r="Q118" s="13" t="str">
        <f t="shared" si="3"/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4"/>
        <v>AVATAR</v>
      </c>
      <c r="P119" s="13" t="str">
        <f t="shared" si="5"/>
        <v>True Pattern</v>
      </c>
      <c r="Q119" s="13" t="str">
        <f t="shared" si="3"/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4"/>
        <v>AVATAR</v>
      </c>
      <c r="P120" s="13" t="str">
        <f t="shared" si="5"/>
        <v>True Pattern</v>
      </c>
      <c r="Q120" s="13" t="str">
        <f t="shared" si="3"/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4"/>
        <v>AVATAR</v>
      </c>
      <c r="P121" s="13" t="str">
        <f t="shared" si="5"/>
        <v>True Pattern</v>
      </c>
      <c r="Q121" s="13" t="str">
        <f t="shared" si="3"/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4"/>
        <v>AVATAR</v>
      </c>
      <c r="P122" s="13" t="str">
        <f t="shared" si="5"/>
        <v>True Pattern</v>
      </c>
      <c r="Q122" s="13" t="str">
        <f t="shared" si="3"/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4"/>
        <v>AVATAR</v>
      </c>
      <c r="P123" s="13" t="str">
        <f t="shared" si="5"/>
        <v>True Pattern</v>
      </c>
      <c r="Q123" s="13" t="str">
        <f t="shared" si="3"/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4"/>
        <v>AVATAR</v>
      </c>
      <c r="P124" s="13" t="str">
        <f t="shared" si="5"/>
        <v>True Pattern</v>
      </c>
      <c r="Q124" s="13" t="str">
        <f t="shared" si="3"/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4"/>
        <v>AVATAR</v>
      </c>
      <c r="P125" s="13" t="str">
        <f t="shared" si="5"/>
        <v>True Pattern</v>
      </c>
      <c r="Q125" s="13" t="str">
        <f t="shared" si="3"/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4"/>
        <v>AVATAR</v>
      </c>
      <c r="P126" s="13" t="str">
        <f t="shared" si="5"/>
        <v>True Pattern</v>
      </c>
      <c r="Q126" s="13" t="str">
        <f t="shared" si="3"/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4"/>
        <v>AVATAR</v>
      </c>
      <c r="P127" s="13" t="str">
        <f t="shared" si="5"/>
        <v>True Pattern</v>
      </c>
      <c r="Q127" s="13" t="str">
        <f t="shared" si="3"/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4"/>
        <v>AVATAR</v>
      </c>
      <c r="P128" s="13" t="str">
        <f t="shared" si="5"/>
        <v>True Pattern</v>
      </c>
      <c r="Q128" s="13" t="str">
        <f t="shared" si="3"/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4"/>
        <v>AVATAR</v>
      </c>
      <c r="P129" s="13" t="str">
        <f t="shared" si="5"/>
        <v>True Pattern</v>
      </c>
      <c r="Q129" s="13" t="str">
        <f t="shared" si="3"/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4"/>
        <v>AVATAR</v>
      </c>
      <c r="P130" s="13" t="str">
        <f t="shared" si="5"/>
        <v>True Pattern</v>
      </c>
      <c r="Q130" s="13" t="str">
        <f t="shared" si="3"/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4"/>
        <v>AVATAR</v>
      </c>
      <c r="P131" s="13" t="str">
        <f t="shared" si="5"/>
        <v>True Pattern</v>
      </c>
      <c r="Q131" s="13" t="str">
        <f t="shared" si="3"/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4"/>
        <v>AVATAR</v>
      </c>
      <c r="P132" s="13" t="str">
        <f t="shared" si="5"/>
        <v>True Pattern</v>
      </c>
      <c r="Q132" s="13" t="str">
        <f t="shared" si="3"/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4"/>
        <v>AVATAR</v>
      </c>
      <c r="P133" s="13" t="str">
        <f t="shared" si="5"/>
        <v>True Pattern</v>
      </c>
      <c r="Q133" s="13" t="str">
        <f t="shared" si="3"/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4"/>
        <v>AVATAR</v>
      </c>
      <c r="P134" s="13" t="str">
        <f t="shared" si="5"/>
        <v>True Pattern</v>
      </c>
      <c r="Q134" s="13" t="str">
        <f t="shared" si="3"/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4"/>
        <v>AVATAR</v>
      </c>
      <c r="P135" s="13" t="str">
        <f t="shared" si="5"/>
        <v>True Pattern</v>
      </c>
      <c r="Q135" s="13" t="str">
        <f t="shared" si="3"/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4"/>
        <v>AVATAR</v>
      </c>
      <c r="P136" s="13" t="str">
        <f t="shared" si="5"/>
        <v>True Pattern</v>
      </c>
      <c r="Q136" s="13" t="str">
        <f t="shared" si="3"/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4"/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 t="shared" si="3"/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DynaMoth</v>
      </c>
      <c r="P138" s="13" t="str">
        <f t="shared" ref="P138:P201" si="6"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 t="shared" si="3"/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4"/>
        <v>DynaMoth</v>
      </c>
      <c r="P139" s="13" t="str">
        <f t="shared" si="6"/>
        <v>True Semantic</v>
      </c>
      <c r="Q139" s="13" t="str">
        <f t="shared" si="3"/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4"/>
        <v>DynaMoth</v>
      </c>
      <c r="P140" s="13" t="str">
        <f t="shared" si="6"/>
        <v>True Semantic</v>
      </c>
      <c r="Q140" s="13" t="str">
        <f t="shared" si="3"/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4"/>
        <v>DynaMoth</v>
      </c>
      <c r="P141" s="13" t="str">
        <f t="shared" si="6"/>
        <v>True Semantic</v>
      </c>
      <c r="Q141" s="13" t="str">
        <f t="shared" si="3"/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4"/>
        <v>DynaMoth</v>
      </c>
      <c r="P142" s="13" t="str">
        <f t="shared" si="6"/>
        <v>True Semantic</v>
      </c>
      <c r="Q142" s="13" t="str">
        <f t="shared" si="3"/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4"/>
        <v>DynaMoth</v>
      </c>
      <c r="P143" s="13" t="str">
        <f t="shared" si="6"/>
        <v>True Semantic</v>
      </c>
      <c r="Q143" s="13" t="str">
        <f t="shared" si="3"/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4"/>
        <v>DynaMoth</v>
      </c>
      <c r="P144" s="13" t="str">
        <f t="shared" si="6"/>
        <v>True Semantic</v>
      </c>
      <c r="Q144" s="13" t="str">
        <f t="shared" si="3"/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4"/>
        <v>DynaMoth</v>
      </c>
      <c r="P145" s="13" t="str">
        <f t="shared" si="6"/>
        <v>True Semantic</v>
      </c>
      <c r="Q145" s="13" t="str">
        <f t="shared" si="3"/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4"/>
        <v>DynaMoth</v>
      </c>
      <c r="P146" s="13" t="str">
        <f t="shared" si="6"/>
        <v>True Semantic</v>
      </c>
      <c r="Q146" s="13" t="str">
        <f t="shared" si="3"/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4"/>
        <v>DynaMoth</v>
      </c>
      <c r="P147" s="13" t="str">
        <f t="shared" si="6"/>
        <v>True Semantic</v>
      </c>
      <c r="Q147" s="13" t="str">
        <f t="shared" si="3"/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4"/>
        <v>DynaMoth</v>
      </c>
      <c r="P148" s="13" t="str">
        <f t="shared" si="6"/>
        <v>True Semantic</v>
      </c>
      <c r="Q148" s="13" t="str">
        <f t="shared" si="3"/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4"/>
        <v>DynaMoth</v>
      </c>
      <c r="P149" s="13" t="str">
        <f t="shared" si="6"/>
        <v>True Semantic</v>
      </c>
      <c r="Q149" s="13" t="str">
        <f t="shared" si="3"/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DynaMoth</v>
      </c>
      <c r="P150" s="13" t="str">
        <f t="shared" si="6"/>
        <v>True Semantic</v>
      </c>
      <c r="Q150" s="13" t="str">
        <f t="shared" si="3"/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4"/>
        <v>DynaMoth</v>
      </c>
      <c r="P151" s="13" t="str">
        <f t="shared" si="6"/>
        <v>True Semantic</v>
      </c>
      <c r="Q151" s="13" t="str">
        <f t="shared" ref="Q151:Q214" si="7"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8">LEFT($A152,FIND("_",$A152)-1)</f>
        <v>DynaMoth</v>
      </c>
      <c r="P152" s="13" t="str">
        <f t="shared" si="6"/>
        <v>True Semantic</v>
      </c>
      <c r="Q152" s="13" t="str">
        <f t="shared" si="7"/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8"/>
        <v>DynaMoth</v>
      </c>
      <c r="P153" s="13" t="str">
        <f t="shared" si="6"/>
        <v>True Semantic</v>
      </c>
      <c r="Q153" s="13" t="str">
        <f t="shared" si="7"/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8"/>
        <v>DynaMoth</v>
      </c>
      <c r="P154" s="13" t="str">
        <f t="shared" si="6"/>
        <v>True Semantic</v>
      </c>
      <c r="Q154" s="13" t="str">
        <f t="shared" si="7"/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8"/>
        <v>DynaMoth</v>
      </c>
      <c r="P155" s="13" t="str">
        <f t="shared" si="6"/>
        <v>True Semantic</v>
      </c>
      <c r="Q155" s="13" t="str">
        <f t="shared" si="7"/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8"/>
        <v>DynaMoth</v>
      </c>
      <c r="P156" s="13" t="str">
        <f t="shared" si="6"/>
        <v>True Semantic</v>
      </c>
      <c r="Q156" s="13" t="str">
        <f t="shared" si="7"/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8"/>
        <v>DynaMoth</v>
      </c>
      <c r="P157" s="13" t="str">
        <f t="shared" si="6"/>
        <v>True Semantic</v>
      </c>
      <c r="Q157" s="13" t="str">
        <f t="shared" si="7"/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8"/>
        <v>DynaMoth</v>
      </c>
      <c r="P158" s="13" t="str">
        <f t="shared" si="6"/>
        <v>True Semantic</v>
      </c>
      <c r="Q158" s="13" t="str">
        <f t="shared" si="7"/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8"/>
        <v>DynaMoth</v>
      </c>
      <c r="P159" s="13" t="str">
        <f t="shared" si="6"/>
        <v>True Semantic</v>
      </c>
      <c r="Q159" s="13" t="str">
        <f t="shared" si="7"/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8"/>
        <v>DynaMoth</v>
      </c>
      <c r="P160" s="13" t="str">
        <f t="shared" si="6"/>
        <v>True Semantic</v>
      </c>
      <c r="Q160" s="13" t="str">
        <f t="shared" si="7"/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8"/>
        <v>FixMiner</v>
      </c>
      <c r="P161" s="13" t="str">
        <f t="shared" si="6"/>
        <v>True Pattern</v>
      </c>
      <c r="Q161" s="13" t="str">
        <f t="shared" si="7"/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8"/>
        <v>FixMiner</v>
      </c>
      <c r="P162" s="13" t="str">
        <f t="shared" si="6"/>
        <v>True Pattern</v>
      </c>
      <c r="Q162" s="13" t="str">
        <f t="shared" si="7"/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8"/>
        <v>FixMiner</v>
      </c>
      <c r="P163" s="13" t="str">
        <f t="shared" si="6"/>
        <v>True Pattern</v>
      </c>
      <c r="Q163" s="13" t="str">
        <f t="shared" si="7"/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8"/>
        <v>FixMiner</v>
      </c>
      <c r="P164" s="13" t="str">
        <f t="shared" si="6"/>
        <v>True Pattern</v>
      </c>
      <c r="Q164" s="13" t="str">
        <f t="shared" si="7"/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8"/>
        <v>FixMiner</v>
      </c>
      <c r="P165" s="13" t="str">
        <f t="shared" si="6"/>
        <v>True Pattern</v>
      </c>
      <c r="Q165" s="13" t="str">
        <f t="shared" si="7"/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8"/>
        <v>FixMiner</v>
      </c>
      <c r="P166" s="13" t="str">
        <f t="shared" si="6"/>
        <v>True Pattern</v>
      </c>
      <c r="Q166" s="13" t="str">
        <f t="shared" si="7"/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8"/>
        <v>FixMiner</v>
      </c>
      <c r="P167" s="13" t="str">
        <f t="shared" si="6"/>
        <v>True Pattern</v>
      </c>
      <c r="Q167" s="13" t="str">
        <f t="shared" si="7"/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8"/>
        <v>FixMiner</v>
      </c>
      <c r="P168" s="13" t="str">
        <f t="shared" si="6"/>
        <v>True Pattern</v>
      </c>
      <c r="Q168" s="13" t="str">
        <f t="shared" si="7"/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8"/>
        <v>FixMiner</v>
      </c>
      <c r="P169" s="13" t="str">
        <f t="shared" si="6"/>
        <v>True Pattern</v>
      </c>
      <c r="Q169" s="13" t="str">
        <f t="shared" si="7"/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8"/>
        <v>FixMiner</v>
      </c>
      <c r="P170" s="13" t="str">
        <f t="shared" si="6"/>
        <v>True Pattern</v>
      </c>
      <c r="Q170" s="13" t="str">
        <f t="shared" si="7"/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8"/>
        <v>FixMiner</v>
      </c>
      <c r="P171" s="13" t="str">
        <f t="shared" si="6"/>
        <v>True Pattern</v>
      </c>
      <c r="Q171" s="13" t="str">
        <f t="shared" si="7"/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8"/>
        <v>FixMiner</v>
      </c>
      <c r="P172" s="13" t="str">
        <f t="shared" si="6"/>
        <v>True Pattern</v>
      </c>
      <c r="Q172" s="13" t="str">
        <f t="shared" si="7"/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8"/>
        <v>FixMiner</v>
      </c>
      <c r="P173" s="13" t="str">
        <f t="shared" si="6"/>
        <v>True Pattern</v>
      </c>
      <c r="Q173" s="13" t="str">
        <f t="shared" si="7"/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8"/>
        <v>FixMiner</v>
      </c>
      <c r="P174" s="13" t="str">
        <f t="shared" si="6"/>
        <v>True Pattern</v>
      </c>
      <c r="Q174" s="13" t="str">
        <f t="shared" si="7"/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8"/>
        <v>FixMiner</v>
      </c>
      <c r="P175" s="13" t="str">
        <f t="shared" si="6"/>
        <v>True Pattern</v>
      </c>
      <c r="Q175" s="13" t="str">
        <f t="shared" si="7"/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8"/>
        <v>FixMiner</v>
      </c>
      <c r="P176" s="13" t="str">
        <f t="shared" si="6"/>
        <v>True Pattern</v>
      </c>
      <c r="Q176" s="13" t="str">
        <f t="shared" si="7"/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8"/>
        <v>FixMiner</v>
      </c>
      <c r="P177" s="13" t="str">
        <f t="shared" si="6"/>
        <v>True Pattern</v>
      </c>
      <c r="Q177" s="13" t="str">
        <f t="shared" si="7"/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8"/>
        <v>FixMiner</v>
      </c>
      <c r="P178" s="13" t="str">
        <f t="shared" si="6"/>
        <v>True Pattern</v>
      </c>
      <c r="Q178" s="13" t="str">
        <f t="shared" si="7"/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8"/>
        <v>FixMiner</v>
      </c>
      <c r="P179" s="13" t="str">
        <f t="shared" si="6"/>
        <v>True Pattern</v>
      </c>
      <c r="Q179" s="13" t="str">
        <f t="shared" si="7"/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8"/>
        <v>FixMiner</v>
      </c>
      <c r="P180" s="13" t="str">
        <f t="shared" si="6"/>
        <v>True Pattern</v>
      </c>
      <c r="Q180" s="13" t="str">
        <f t="shared" si="7"/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8"/>
        <v>FixMiner</v>
      </c>
      <c r="P181" s="13" t="str">
        <f t="shared" si="6"/>
        <v>True Pattern</v>
      </c>
      <c r="Q181" s="13" t="str">
        <f t="shared" si="7"/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8"/>
        <v>FixMiner</v>
      </c>
      <c r="P182" s="13" t="str">
        <f t="shared" si="6"/>
        <v>True Pattern</v>
      </c>
      <c r="Q182" s="13" t="str">
        <f t="shared" si="7"/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8"/>
        <v>FixMiner</v>
      </c>
      <c r="P183" s="13" t="str">
        <f t="shared" si="6"/>
        <v>True Pattern</v>
      </c>
      <c r="Q183" s="13" t="str">
        <f t="shared" si="7"/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8"/>
        <v>FixMiner</v>
      </c>
      <c r="P184" s="13" t="str">
        <f t="shared" si="6"/>
        <v>True Pattern</v>
      </c>
      <c r="Q184" s="13" t="str">
        <f t="shared" si="7"/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8"/>
        <v>FixMiner</v>
      </c>
      <c r="P185" s="13" t="str">
        <f t="shared" si="6"/>
        <v>True Pattern</v>
      </c>
      <c r="Q185" s="13" t="str">
        <f t="shared" si="7"/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8"/>
        <v>FixMiner</v>
      </c>
      <c r="P186" s="13" t="str">
        <f t="shared" si="6"/>
        <v>True Pattern</v>
      </c>
      <c r="Q186" s="13" t="str">
        <f t="shared" si="7"/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8"/>
        <v>FixMiner</v>
      </c>
      <c r="P187" s="13" t="str">
        <f t="shared" si="6"/>
        <v>True Pattern</v>
      </c>
      <c r="Q187" s="13" t="str">
        <f t="shared" si="7"/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8"/>
        <v>FixMiner</v>
      </c>
      <c r="P188" s="13" t="str">
        <f t="shared" si="6"/>
        <v>True Pattern</v>
      </c>
      <c r="Q188" s="13" t="str">
        <f t="shared" si="7"/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8"/>
        <v>FixMiner</v>
      </c>
      <c r="P189" s="13" t="str">
        <f t="shared" si="6"/>
        <v>True Pattern</v>
      </c>
      <c r="Q189" s="13" t="str">
        <f t="shared" si="7"/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8"/>
        <v>FixMiner</v>
      </c>
      <c r="P190" s="13" t="str">
        <f t="shared" si="6"/>
        <v>True Pattern</v>
      </c>
      <c r="Q190" s="13" t="str">
        <f t="shared" si="7"/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8"/>
        <v>FixMiner</v>
      </c>
      <c r="P191" s="13" t="str">
        <f t="shared" si="6"/>
        <v>True Pattern</v>
      </c>
      <c r="Q191" s="13" t="str">
        <f t="shared" si="7"/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8"/>
        <v>FixMiner</v>
      </c>
      <c r="P192" s="13" t="str">
        <f t="shared" si="6"/>
        <v>True Pattern</v>
      </c>
      <c r="Q192" s="13" t="str">
        <f t="shared" si="7"/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8"/>
        <v>FixMiner</v>
      </c>
      <c r="P193" s="13" t="str">
        <f t="shared" si="6"/>
        <v>True Pattern</v>
      </c>
      <c r="Q193" s="13" t="str">
        <f t="shared" si="7"/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8"/>
        <v>FixMiner</v>
      </c>
      <c r="P194" s="13" t="str">
        <f t="shared" si="6"/>
        <v>True Pattern</v>
      </c>
      <c r="Q194" s="13" t="str">
        <f t="shared" si="7"/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8"/>
        <v>FixMiner</v>
      </c>
      <c r="P195" s="13" t="str">
        <f t="shared" si="6"/>
        <v>True Pattern</v>
      </c>
      <c r="Q195" s="13" t="str">
        <f t="shared" si="7"/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8"/>
        <v>FixMiner</v>
      </c>
      <c r="P196" s="13" t="str">
        <f t="shared" si="6"/>
        <v>True Pattern</v>
      </c>
      <c r="Q196" s="13" t="str">
        <f t="shared" si="7"/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8"/>
        <v>FixMiner</v>
      </c>
      <c r="P197" s="13" t="str">
        <f t="shared" si="6"/>
        <v>True Pattern</v>
      </c>
      <c r="Q197" s="13" t="str">
        <f t="shared" si="7"/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8"/>
        <v>FixMiner</v>
      </c>
      <c r="P198" s="13" t="str">
        <f t="shared" si="6"/>
        <v>True Pattern</v>
      </c>
      <c r="Q198" s="13" t="str">
        <f t="shared" si="7"/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8"/>
        <v>FixMiner</v>
      </c>
      <c r="P199" s="13" t="str">
        <f t="shared" si="6"/>
        <v>True Pattern</v>
      </c>
      <c r="Q199" s="13" t="str">
        <f t="shared" si="7"/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8"/>
        <v>FixMiner</v>
      </c>
      <c r="P200" s="13" t="str">
        <f t="shared" si="6"/>
        <v>True Pattern</v>
      </c>
      <c r="Q200" s="13" t="str">
        <f t="shared" si="7"/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8"/>
        <v>FixMiner</v>
      </c>
      <c r="P201" s="13" t="str">
        <f t="shared" si="6"/>
        <v>True Pattern</v>
      </c>
      <c r="Q201" s="13" t="str">
        <f t="shared" si="7"/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8"/>
        <v>FixMiner</v>
      </c>
      <c r="P202" s="13" t="str">
        <f t="shared" ref="P202:P265" si="9"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 t="shared" si="7"/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8"/>
        <v>FixMiner</v>
      </c>
      <c r="P203" s="13" t="str">
        <f t="shared" si="9"/>
        <v>True Pattern</v>
      </c>
      <c r="Q203" s="13" t="str">
        <f t="shared" si="7"/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8"/>
        <v>FixMiner</v>
      </c>
      <c r="P204" s="13" t="str">
        <f t="shared" si="9"/>
        <v>True Pattern</v>
      </c>
      <c r="Q204" s="13" t="str">
        <f t="shared" si="7"/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8"/>
        <v>FixMiner</v>
      </c>
      <c r="P205" s="13" t="str">
        <f t="shared" si="9"/>
        <v>True Pattern</v>
      </c>
      <c r="Q205" s="13" t="str">
        <f t="shared" si="7"/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8"/>
        <v>FixMiner</v>
      </c>
      <c r="P206" s="13" t="str">
        <f t="shared" si="9"/>
        <v>True Pattern</v>
      </c>
      <c r="Q206" s="13" t="str">
        <f t="shared" si="7"/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8"/>
        <v>FixMiner</v>
      </c>
      <c r="P207" s="13" t="str">
        <f t="shared" si="9"/>
        <v>True Pattern</v>
      </c>
      <c r="Q207" s="13" t="str">
        <f t="shared" si="7"/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8"/>
        <v>FixMiner</v>
      </c>
      <c r="P208" s="13" t="str">
        <f t="shared" si="9"/>
        <v>True Pattern</v>
      </c>
      <c r="Q208" s="13" t="str">
        <f t="shared" si="7"/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8"/>
        <v>FixMiner</v>
      </c>
      <c r="P209" s="13" t="str">
        <f t="shared" si="9"/>
        <v>True Pattern</v>
      </c>
      <c r="Q209" s="13" t="str">
        <f t="shared" si="7"/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8"/>
        <v>FixMiner</v>
      </c>
      <c r="P210" s="13" t="str">
        <f t="shared" si="9"/>
        <v>True Pattern</v>
      </c>
      <c r="Q210" s="13" t="str">
        <f t="shared" si="7"/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8"/>
        <v>FixMiner</v>
      </c>
      <c r="P211" s="13" t="str">
        <f t="shared" si="9"/>
        <v>True Pattern</v>
      </c>
      <c r="Q211" s="13" t="str">
        <f t="shared" si="7"/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8"/>
        <v>FixMiner</v>
      </c>
      <c r="P212" s="13" t="str">
        <f t="shared" si="9"/>
        <v>True Pattern</v>
      </c>
      <c r="Q212" s="13" t="str">
        <f t="shared" si="7"/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8"/>
        <v>FixMiner</v>
      </c>
      <c r="P213" s="13" t="str">
        <f t="shared" si="9"/>
        <v>True Pattern</v>
      </c>
      <c r="Q213" s="13" t="str">
        <f t="shared" si="7"/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8"/>
        <v>GenProg-A</v>
      </c>
      <c r="P214" s="13" t="str">
        <f t="shared" si="9"/>
        <v>Evolutionary Search</v>
      </c>
      <c r="Q214" s="13" t="str">
        <f t="shared" si="7"/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8"/>
        <v>GenProg-A</v>
      </c>
      <c r="P215" s="13" t="str">
        <f t="shared" si="9"/>
        <v>Evolutionary Search</v>
      </c>
      <c r="Q215" s="13" t="str">
        <f t="shared" ref="Q215:Q278" si="10"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11">LEFT($A216,FIND("_",$A216)-1)</f>
        <v>GenProg-A</v>
      </c>
      <c r="P216" s="13" t="str">
        <f t="shared" si="9"/>
        <v>Evolutionary Search</v>
      </c>
      <c r="Q216" s="13" t="str">
        <f t="shared" si="10"/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11"/>
        <v>GenProg-A</v>
      </c>
      <c r="P217" s="13" t="str">
        <f t="shared" si="9"/>
        <v>Evolutionary Search</v>
      </c>
      <c r="Q217" s="13" t="str">
        <f t="shared" si="10"/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11"/>
        <v>GenProg-A</v>
      </c>
      <c r="P218" s="13" t="str">
        <f t="shared" si="9"/>
        <v>Evolutionary Search</v>
      </c>
      <c r="Q218" s="13" t="str">
        <f t="shared" si="10"/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11"/>
        <v>GenProg-A</v>
      </c>
      <c r="P219" s="13" t="str">
        <f t="shared" si="9"/>
        <v>Evolutionary Search</v>
      </c>
      <c r="Q219" s="13" t="str">
        <f t="shared" si="10"/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11"/>
        <v>GenProg-A</v>
      </c>
      <c r="P220" s="13" t="str">
        <f t="shared" si="9"/>
        <v>Evolutionary Search</v>
      </c>
      <c r="Q220" s="13" t="str">
        <f t="shared" si="10"/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11"/>
        <v>GenProg-A</v>
      </c>
      <c r="P221" s="13" t="str">
        <f t="shared" si="9"/>
        <v>Evolutionary Search</v>
      </c>
      <c r="Q221" s="13" t="str">
        <f t="shared" si="10"/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11"/>
        <v>GenProg-A</v>
      </c>
      <c r="P222" s="13" t="str">
        <f t="shared" si="9"/>
        <v>Evolutionary Search</v>
      </c>
      <c r="Q222" s="13" t="str">
        <f t="shared" si="10"/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11"/>
        <v>GenProg-A</v>
      </c>
      <c r="P223" s="13" t="str">
        <f t="shared" si="9"/>
        <v>Evolutionary Search</v>
      </c>
      <c r="Q223" s="13" t="str">
        <f t="shared" si="10"/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11"/>
        <v>GenProg-A</v>
      </c>
      <c r="P224" s="13" t="str">
        <f t="shared" si="9"/>
        <v>Evolutionary Search</v>
      </c>
      <c r="Q224" s="13" t="str">
        <f t="shared" si="10"/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11"/>
        <v>GenProg-A</v>
      </c>
      <c r="P225" s="13" t="str">
        <f t="shared" si="9"/>
        <v>Evolutionary Search</v>
      </c>
      <c r="Q225" s="13" t="str">
        <f t="shared" si="10"/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11"/>
        <v>GenProg-A</v>
      </c>
      <c r="P226" s="13" t="str">
        <f t="shared" si="9"/>
        <v>Evolutionary Search</v>
      </c>
      <c r="Q226" s="13" t="str">
        <f t="shared" si="10"/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11"/>
        <v>GenProg-A</v>
      </c>
      <c r="P227" s="13" t="str">
        <f t="shared" si="9"/>
        <v>Evolutionary Search</v>
      </c>
      <c r="Q227" s="13" t="str">
        <f t="shared" si="10"/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11"/>
        <v>GenProg-A</v>
      </c>
      <c r="P228" s="13" t="str">
        <f t="shared" si="9"/>
        <v>Evolutionary Search</v>
      </c>
      <c r="Q228" s="13" t="str">
        <f t="shared" si="10"/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11"/>
        <v>GenProg-A</v>
      </c>
      <c r="P229" s="13" t="str">
        <f t="shared" si="9"/>
        <v>Evolutionary Search</v>
      </c>
      <c r="Q229" s="13" t="str">
        <f t="shared" si="10"/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11"/>
        <v>GenProg-A</v>
      </c>
      <c r="P230" s="13" t="str">
        <f t="shared" si="9"/>
        <v>Evolutionary Search</v>
      </c>
      <c r="Q230" s="13" t="str">
        <f t="shared" si="10"/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11"/>
        <v>GenProg-A</v>
      </c>
      <c r="P231" s="13" t="str">
        <f t="shared" si="9"/>
        <v>Evolutionary Search</v>
      </c>
      <c r="Q231" s="13" t="str">
        <f t="shared" si="10"/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11"/>
        <v>GenProg-A</v>
      </c>
      <c r="P232" s="13" t="str">
        <f t="shared" si="9"/>
        <v>Evolutionary Search</v>
      </c>
      <c r="Q232" s="13" t="str">
        <f t="shared" si="10"/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11"/>
        <v>GenProg-A</v>
      </c>
      <c r="P233" s="13" t="str">
        <f t="shared" si="9"/>
        <v>Evolutionary Search</v>
      </c>
      <c r="Q233" s="13" t="str">
        <f t="shared" si="10"/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11"/>
        <v>GenProg-A</v>
      </c>
      <c r="P234" s="13" t="str">
        <f t="shared" si="9"/>
        <v>Evolutionary Search</v>
      </c>
      <c r="Q234" s="13" t="str">
        <f t="shared" si="10"/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11"/>
        <v>GenProg-A</v>
      </c>
      <c r="P235" s="13" t="str">
        <f t="shared" si="9"/>
        <v>Evolutionary Search</v>
      </c>
      <c r="Q235" s="13" t="str">
        <f t="shared" si="10"/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11"/>
        <v>GenProg-A</v>
      </c>
      <c r="P236" s="13" t="str">
        <f t="shared" si="9"/>
        <v>Evolutionary Search</v>
      </c>
      <c r="Q236" s="13" t="str">
        <f t="shared" si="10"/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11"/>
        <v>GenProg-A</v>
      </c>
      <c r="P237" s="13" t="str">
        <f t="shared" si="9"/>
        <v>Evolutionary Search</v>
      </c>
      <c r="Q237" s="13" t="str">
        <f t="shared" si="10"/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11"/>
        <v>GenProg-A</v>
      </c>
      <c r="P238" s="13" t="str">
        <f t="shared" si="9"/>
        <v>Evolutionary Search</v>
      </c>
      <c r="Q238" s="13" t="str">
        <f t="shared" si="10"/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11"/>
        <v>GenProg-A</v>
      </c>
      <c r="P239" s="13" t="str">
        <f t="shared" si="9"/>
        <v>Evolutionary Search</v>
      </c>
      <c r="Q239" s="13" t="str">
        <f t="shared" si="10"/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11"/>
        <v>GenProg-A</v>
      </c>
      <c r="P240" s="13" t="str">
        <f t="shared" si="9"/>
        <v>Evolutionary Search</v>
      </c>
      <c r="Q240" s="13" t="str">
        <f t="shared" si="10"/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11"/>
        <v>GenProg-A</v>
      </c>
      <c r="P241" s="13" t="str">
        <f t="shared" si="9"/>
        <v>Evolutionary Search</v>
      </c>
      <c r="Q241" s="13" t="str">
        <f t="shared" si="10"/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11"/>
        <v>Kali-A</v>
      </c>
      <c r="P242" s="13" t="str">
        <f t="shared" si="9"/>
        <v>True Search</v>
      </c>
      <c r="Q242" s="13" t="str">
        <f t="shared" si="10"/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11"/>
        <v>Kali-A</v>
      </c>
      <c r="P243" s="13" t="str">
        <f t="shared" si="9"/>
        <v>True Search</v>
      </c>
      <c r="Q243" s="13" t="str">
        <f t="shared" si="10"/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11"/>
        <v>Kali-A</v>
      </c>
      <c r="P244" s="13" t="str">
        <f t="shared" si="9"/>
        <v>True Search</v>
      </c>
      <c r="Q244" s="13" t="str">
        <f t="shared" si="10"/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11"/>
        <v>Kali-A</v>
      </c>
      <c r="P245" s="13" t="str">
        <f t="shared" si="9"/>
        <v>True Search</v>
      </c>
      <c r="Q245" s="13" t="str">
        <f t="shared" si="10"/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11"/>
        <v>Kali-A</v>
      </c>
      <c r="P246" s="13" t="str">
        <f t="shared" si="9"/>
        <v>True Search</v>
      </c>
      <c r="Q246" s="13" t="str">
        <f t="shared" si="10"/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11"/>
        <v>Kali-A</v>
      </c>
      <c r="P247" s="13" t="str">
        <f t="shared" si="9"/>
        <v>True Search</v>
      </c>
      <c r="Q247" s="13" t="str">
        <f t="shared" si="10"/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11"/>
        <v>Kali-A</v>
      </c>
      <c r="P248" s="13" t="str">
        <f t="shared" si="9"/>
        <v>True Search</v>
      </c>
      <c r="Q248" s="13" t="str">
        <f t="shared" si="10"/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11"/>
        <v>Kali-A</v>
      </c>
      <c r="P249" s="13" t="str">
        <f t="shared" si="9"/>
        <v>True Search</v>
      </c>
      <c r="Q249" s="13" t="str">
        <f t="shared" si="10"/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11"/>
        <v>Kali-A</v>
      </c>
      <c r="P250" s="13" t="str">
        <f t="shared" si="9"/>
        <v>True Search</v>
      </c>
      <c r="Q250" s="13" t="str">
        <f t="shared" si="10"/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11"/>
        <v>Kali-A</v>
      </c>
      <c r="P251" s="13" t="str">
        <f t="shared" si="9"/>
        <v>True Search</v>
      </c>
      <c r="Q251" s="13" t="str">
        <f t="shared" si="10"/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11"/>
        <v>Kali-A</v>
      </c>
      <c r="P252" s="13" t="str">
        <f t="shared" si="9"/>
        <v>True Search</v>
      </c>
      <c r="Q252" s="13" t="str">
        <f t="shared" si="10"/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11"/>
        <v>Kali-A</v>
      </c>
      <c r="P253" s="13" t="str">
        <f t="shared" si="9"/>
        <v>True Search</v>
      </c>
      <c r="Q253" s="13" t="str">
        <f t="shared" si="10"/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11"/>
        <v>Kali-A</v>
      </c>
      <c r="P254" s="13" t="str">
        <f t="shared" si="9"/>
        <v>True Search</v>
      </c>
      <c r="Q254" s="13" t="str">
        <f t="shared" si="10"/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11"/>
        <v>Kali-A</v>
      </c>
      <c r="P255" s="13" t="str">
        <f t="shared" si="9"/>
        <v>True Search</v>
      </c>
      <c r="Q255" s="13" t="str">
        <f t="shared" si="10"/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11"/>
        <v>Kali-A</v>
      </c>
      <c r="P256" s="13" t="str">
        <f t="shared" si="9"/>
        <v>True Search</v>
      </c>
      <c r="Q256" s="13" t="str">
        <f t="shared" si="10"/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11"/>
        <v>Kali-A</v>
      </c>
      <c r="P257" s="13" t="str">
        <f t="shared" si="9"/>
        <v>True Search</v>
      </c>
      <c r="Q257" s="13" t="str">
        <f t="shared" si="10"/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11"/>
        <v>Kali-A</v>
      </c>
      <c r="P258" s="13" t="str">
        <f t="shared" si="9"/>
        <v>True Search</v>
      </c>
      <c r="Q258" s="13" t="str">
        <f t="shared" si="10"/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11"/>
        <v>Kali-A</v>
      </c>
      <c r="P259" s="13" t="str">
        <f t="shared" si="9"/>
        <v>True Search</v>
      </c>
      <c r="Q259" s="13" t="str">
        <f t="shared" si="10"/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11"/>
        <v>Kali-A</v>
      </c>
      <c r="P260" s="13" t="str">
        <f t="shared" si="9"/>
        <v>True Search</v>
      </c>
      <c r="Q260" s="13" t="str">
        <f t="shared" si="10"/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11"/>
        <v>Kali-A</v>
      </c>
      <c r="P261" s="13" t="str">
        <f t="shared" si="9"/>
        <v>True Search</v>
      </c>
      <c r="Q261" s="13" t="str">
        <f t="shared" si="10"/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11"/>
        <v>Kali-A</v>
      </c>
      <c r="P262" s="13" t="str">
        <f t="shared" si="9"/>
        <v>True Search</v>
      </c>
      <c r="Q262" s="13" t="str">
        <f t="shared" si="10"/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11"/>
        <v>Kali-A</v>
      </c>
      <c r="P263" s="13" t="str">
        <f t="shared" si="9"/>
        <v>True Search</v>
      </c>
      <c r="Q263" s="13" t="str">
        <f t="shared" si="10"/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11"/>
        <v>Kali-A</v>
      </c>
      <c r="P264" s="13" t="str">
        <f t="shared" si="9"/>
        <v>True Search</v>
      </c>
      <c r="Q264" s="13" t="str">
        <f t="shared" si="10"/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11"/>
        <v>Kali-A</v>
      </c>
      <c r="P265" s="13" t="str">
        <f t="shared" si="9"/>
        <v>True Search</v>
      </c>
      <c r="Q265" s="13" t="str">
        <f t="shared" si="10"/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11"/>
        <v>Kali-A</v>
      </c>
      <c r="P266" s="13" t="str">
        <f t="shared" ref="P266:P329" si="12"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 t="shared" si="10"/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11"/>
        <v>Kali-A</v>
      </c>
      <c r="P267" s="13" t="str">
        <f t="shared" si="12"/>
        <v>True Search</v>
      </c>
      <c r="Q267" s="13" t="str">
        <f t="shared" si="10"/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11"/>
        <v>Kali-A</v>
      </c>
      <c r="P268" s="13" t="str">
        <f t="shared" si="12"/>
        <v>True Search</v>
      </c>
      <c r="Q268" s="13" t="str">
        <f t="shared" si="10"/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11"/>
        <v>Kali-A</v>
      </c>
      <c r="P269" s="13" t="str">
        <f t="shared" si="12"/>
        <v>True Search</v>
      </c>
      <c r="Q269" s="13" t="str">
        <f t="shared" si="10"/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11"/>
        <v>Kali-A</v>
      </c>
      <c r="P270" s="13" t="str">
        <f t="shared" si="12"/>
        <v>True Search</v>
      </c>
      <c r="Q270" s="13" t="str">
        <f t="shared" si="10"/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11"/>
        <v>Kali-A</v>
      </c>
      <c r="P271" s="13" t="str">
        <f t="shared" si="12"/>
        <v>True Search</v>
      </c>
      <c r="Q271" s="13" t="str">
        <f t="shared" si="10"/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11"/>
        <v>Kali-A</v>
      </c>
      <c r="P272" s="13" t="str">
        <f t="shared" si="12"/>
        <v>True Search</v>
      </c>
      <c r="Q272" s="13" t="str">
        <f t="shared" si="10"/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11"/>
        <v>Kali-A</v>
      </c>
      <c r="P273" s="13" t="str">
        <f t="shared" si="12"/>
        <v>True Search</v>
      </c>
      <c r="Q273" s="13" t="str">
        <f t="shared" si="10"/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11"/>
        <v>Kali-A</v>
      </c>
      <c r="P274" s="13" t="str">
        <f t="shared" si="12"/>
        <v>True Search</v>
      </c>
      <c r="Q274" s="13" t="str">
        <f t="shared" si="10"/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11"/>
        <v>Kali-A</v>
      </c>
      <c r="P275" s="13" t="str">
        <f t="shared" si="12"/>
        <v>True Search</v>
      </c>
      <c r="Q275" s="13" t="str">
        <f t="shared" si="10"/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11"/>
        <v>Kali-A</v>
      </c>
      <c r="P276" s="13" t="str">
        <f t="shared" si="12"/>
        <v>True Search</v>
      </c>
      <c r="Q276" s="13" t="str">
        <f t="shared" si="10"/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11"/>
        <v>kPAR</v>
      </c>
      <c r="P277" s="13" t="str">
        <f t="shared" si="12"/>
        <v>True Pattern</v>
      </c>
      <c r="Q277" s="13" t="str">
        <f t="shared" si="10"/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11"/>
        <v>kPAR</v>
      </c>
      <c r="P278" s="13" t="str">
        <f t="shared" si="12"/>
        <v>True Pattern</v>
      </c>
      <c r="Q278" s="13" t="str">
        <f t="shared" si="10"/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11"/>
        <v>kPAR</v>
      </c>
      <c r="P279" s="13" t="str">
        <f t="shared" si="12"/>
        <v>True Pattern</v>
      </c>
      <c r="Q279" s="13" t="str">
        <f t="shared" ref="Q279:Q342" si="13"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4">LEFT($A280,FIND("_",$A280)-1)</f>
        <v>kPAR</v>
      </c>
      <c r="P280" s="13" t="str">
        <f t="shared" si="12"/>
        <v>True Pattern</v>
      </c>
      <c r="Q280" s="13" t="str">
        <f t="shared" si="13"/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4"/>
        <v>kPAR</v>
      </c>
      <c r="P281" s="13" t="str">
        <f t="shared" si="12"/>
        <v>True Pattern</v>
      </c>
      <c r="Q281" s="13" t="str">
        <f t="shared" si="13"/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4"/>
        <v>kPAR</v>
      </c>
      <c r="P282" s="13" t="str">
        <f t="shared" si="12"/>
        <v>True Pattern</v>
      </c>
      <c r="Q282" s="13" t="str">
        <f t="shared" si="13"/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4"/>
        <v>kPAR</v>
      </c>
      <c r="P283" s="13" t="str">
        <f t="shared" si="12"/>
        <v>True Pattern</v>
      </c>
      <c r="Q283" s="13" t="str">
        <f t="shared" si="13"/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4"/>
        <v>kPAR</v>
      </c>
      <c r="P284" s="13" t="str">
        <f t="shared" si="12"/>
        <v>True Pattern</v>
      </c>
      <c r="Q284" s="13" t="str">
        <f t="shared" si="13"/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4"/>
        <v>kPAR</v>
      </c>
      <c r="P285" s="13" t="str">
        <f t="shared" si="12"/>
        <v>True Pattern</v>
      </c>
      <c r="Q285" s="13" t="str">
        <f t="shared" si="13"/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4"/>
        <v>kPAR</v>
      </c>
      <c r="P286" s="13" t="str">
        <f t="shared" si="12"/>
        <v>True Pattern</v>
      </c>
      <c r="Q286" s="13" t="str">
        <f t="shared" si="13"/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4"/>
        <v>kPAR</v>
      </c>
      <c r="P287" s="13" t="str">
        <f t="shared" si="12"/>
        <v>True Pattern</v>
      </c>
      <c r="Q287" s="13" t="str">
        <f t="shared" si="13"/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4"/>
        <v>kPAR</v>
      </c>
      <c r="P288" s="13" t="str">
        <f t="shared" si="12"/>
        <v>True Pattern</v>
      </c>
      <c r="Q288" s="13" t="str">
        <f t="shared" si="13"/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4"/>
        <v>kPAR</v>
      </c>
      <c r="P289" s="13" t="str">
        <f t="shared" si="12"/>
        <v>True Pattern</v>
      </c>
      <c r="Q289" s="13" t="str">
        <f t="shared" si="13"/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4"/>
        <v>kPAR</v>
      </c>
      <c r="P290" s="13" t="str">
        <f t="shared" si="12"/>
        <v>True Pattern</v>
      </c>
      <c r="Q290" s="13" t="str">
        <f t="shared" si="13"/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4"/>
        <v>kPAR</v>
      </c>
      <c r="P291" s="13" t="str">
        <f t="shared" si="12"/>
        <v>True Pattern</v>
      </c>
      <c r="Q291" s="13" t="str">
        <f t="shared" si="13"/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4"/>
        <v>kPAR</v>
      </c>
      <c r="P292" s="13" t="str">
        <f t="shared" si="12"/>
        <v>True Pattern</v>
      </c>
      <c r="Q292" s="13" t="str">
        <f t="shared" si="13"/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4"/>
        <v>kPAR</v>
      </c>
      <c r="P293" s="13" t="str">
        <f t="shared" si="12"/>
        <v>True Pattern</v>
      </c>
      <c r="Q293" s="13" t="str">
        <f t="shared" si="13"/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4"/>
        <v>kPAR</v>
      </c>
      <c r="P294" s="13" t="str">
        <f t="shared" si="12"/>
        <v>True Pattern</v>
      </c>
      <c r="Q294" s="13" t="str">
        <f t="shared" si="13"/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4"/>
        <v>kPAR</v>
      </c>
      <c r="P295" s="13" t="str">
        <f t="shared" si="12"/>
        <v>True Pattern</v>
      </c>
      <c r="Q295" s="13" t="str">
        <f t="shared" si="13"/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4"/>
        <v>kPAR</v>
      </c>
      <c r="P296" s="13" t="str">
        <f t="shared" si="12"/>
        <v>True Pattern</v>
      </c>
      <c r="Q296" s="13" t="str">
        <f t="shared" si="13"/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4"/>
        <v>kPAR</v>
      </c>
      <c r="P297" s="13" t="str">
        <f t="shared" si="12"/>
        <v>True Pattern</v>
      </c>
      <c r="Q297" s="13" t="str">
        <f t="shared" si="13"/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4"/>
        <v>kPAR</v>
      </c>
      <c r="P298" s="13" t="str">
        <f t="shared" si="12"/>
        <v>True Pattern</v>
      </c>
      <c r="Q298" s="13" t="str">
        <f t="shared" si="13"/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4"/>
        <v>kPAR</v>
      </c>
      <c r="P299" s="13" t="str">
        <f t="shared" si="12"/>
        <v>True Pattern</v>
      </c>
      <c r="Q299" s="13" t="str">
        <f t="shared" si="13"/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4"/>
        <v>kPAR</v>
      </c>
      <c r="P300" s="13" t="str">
        <f t="shared" si="12"/>
        <v>True Pattern</v>
      </c>
      <c r="Q300" s="13" t="str">
        <f t="shared" si="13"/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4"/>
        <v>kPAR</v>
      </c>
      <c r="P301" s="13" t="str">
        <f t="shared" si="12"/>
        <v>True Pattern</v>
      </c>
      <c r="Q301" s="13" t="str">
        <f t="shared" si="13"/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4"/>
        <v>kPAR</v>
      </c>
      <c r="P302" s="13" t="str">
        <f t="shared" si="12"/>
        <v>True Pattern</v>
      </c>
      <c r="Q302" s="13" t="str">
        <f t="shared" si="13"/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4"/>
        <v>kPAR</v>
      </c>
      <c r="P303" s="13" t="str">
        <f t="shared" si="12"/>
        <v>True Pattern</v>
      </c>
      <c r="Q303" s="13" t="str">
        <f t="shared" si="13"/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4"/>
        <v>kPAR</v>
      </c>
      <c r="P304" s="13" t="str">
        <f t="shared" si="12"/>
        <v>True Pattern</v>
      </c>
      <c r="Q304" s="13" t="str">
        <f t="shared" si="13"/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4"/>
        <v>kPAR</v>
      </c>
      <c r="P305" s="13" t="str">
        <f t="shared" si="12"/>
        <v>True Pattern</v>
      </c>
      <c r="Q305" s="13" t="str">
        <f t="shared" si="13"/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4"/>
        <v>kPAR</v>
      </c>
      <c r="P306" s="13" t="str">
        <f t="shared" si="12"/>
        <v>True Pattern</v>
      </c>
      <c r="Q306" s="13" t="str">
        <f t="shared" si="13"/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4"/>
        <v>kPAR</v>
      </c>
      <c r="P307" s="13" t="str">
        <f t="shared" si="12"/>
        <v>True Pattern</v>
      </c>
      <c r="Q307" s="13" t="str">
        <f t="shared" si="13"/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4"/>
        <v>kPAR</v>
      </c>
      <c r="P308" s="13" t="str">
        <f t="shared" si="12"/>
        <v>True Pattern</v>
      </c>
      <c r="Q308" s="13" t="str">
        <f t="shared" si="13"/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4"/>
        <v>kPAR</v>
      </c>
      <c r="P309" s="13" t="str">
        <f t="shared" si="12"/>
        <v>True Pattern</v>
      </c>
      <c r="Q309" s="13" t="str">
        <f t="shared" si="13"/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4"/>
        <v>kPAR</v>
      </c>
      <c r="P310" s="13" t="str">
        <f t="shared" si="12"/>
        <v>True Pattern</v>
      </c>
      <c r="Q310" s="13" t="str">
        <f t="shared" si="13"/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4"/>
        <v>kPAR</v>
      </c>
      <c r="P311" s="13" t="str">
        <f t="shared" si="12"/>
        <v>True Pattern</v>
      </c>
      <c r="Q311" s="13" t="str">
        <f t="shared" si="13"/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4"/>
        <v>kPAR</v>
      </c>
      <c r="P312" s="13" t="str">
        <f t="shared" si="12"/>
        <v>True Pattern</v>
      </c>
      <c r="Q312" s="13" t="str">
        <f t="shared" si="13"/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4"/>
        <v>kPAR</v>
      </c>
      <c r="P313" s="13" t="str">
        <f t="shared" si="12"/>
        <v>True Pattern</v>
      </c>
      <c r="Q313" s="13" t="str">
        <f t="shared" si="13"/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4"/>
        <v>kPAR</v>
      </c>
      <c r="P314" s="13" t="str">
        <f t="shared" si="12"/>
        <v>True Pattern</v>
      </c>
      <c r="Q314" s="13" t="str">
        <f t="shared" si="13"/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4"/>
        <v>kPAR</v>
      </c>
      <c r="P315" s="13" t="str">
        <f t="shared" si="12"/>
        <v>True Pattern</v>
      </c>
      <c r="Q315" s="13" t="str">
        <f t="shared" si="13"/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4"/>
        <v>kPAR</v>
      </c>
      <c r="P316" s="13" t="str">
        <f t="shared" si="12"/>
        <v>True Pattern</v>
      </c>
      <c r="Q316" s="13" t="str">
        <f t="shared" si="13"/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4"/>
        <v>kPAR</v>
      </c>
      <c r="P317" s="13" t="str">
        <f t="shared" si="12"/>
        <v>True Pattern</v>
      </c>
      <c r="Q317" s="13" t="str">
        <f t="shared" si="13"/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4"/>
        <v>kPAR</v>
      </c>
      <c r="P318" s="13" t="str">
        <f t="shared" si="12"/>
        <v>True Pattern</v>
      </c>
      <c r="Q318" s="13" t="str">
        <f t="shared" si="13"/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4"/>
        <v>kPAR</v>
      </c>
      <c r="P319" s="13" t="str">
        <f t="shared" si="12"/>
        <v>True Pattern</v>
      </c>
      <c r="Q319" s="13" t="str">
        <f t="shared" si="13"/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4"/>
        <v>kPAR</v>
      </c>
      <c r="P320" s="13" t="str">
        <f t="shared" si="12"/>
        <v>True Pattern</v>
      </c>
      <c r="Q320" s="13" t="str">
        <f t="shared" si="13"/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4"/>
        <v>kPAR</v>
      </c>
      <c r="P321" s="13" t="str">
        <f t="shared" si="12"/>
        <v>True Pattern</v>
      </c>
      <c r="Q321" s="13" t="str">
        <f t="shared" si="13"/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4"/>
        <v>kPAR</v>
      </c>
      <c r="P322" s="13" t="str">
        <f t="shared" si="12"/>
        <v>True Pattern</v>
      </c>
      <c r="Q322" s="13" t="str">
        <f t="shared" si="13"/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14"/>
        <v>kPAR</v>
      </c>
      <c r="P323" s="13" t="str">
        <f t="shared" si="12"/>
        <v>True Pattern</v>
      </c>
      <c r="Q323" s="13" t="str">
        <f t="shared" si="13"/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4"/>
        <v>kPAR</v>
      </c>
      <c r="P324" s="13" t="str">
        <f t="shared" si="12"/>
        <v>True Pattern</v>
      </c>
      <c r="Q324" s="13" t="str">
        <f t="shared" si="13"/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4"/>
        <v>kPAR</v>
      </c>
      <c r="P325" s="13" t="str">
        <f t="shared" si="12"/>
        <v>True Pattern</v>
      </c>
      <c r="Q325" s="13" t="str">
        <f t="shared" si="13"/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4"/>
        <v>kPAR</v>
      </c>
      <c r="P326" s="13" t="str">
        <f t="shared" si="12"/>
        <v>True Pattern</v>
      </c>
      <c r="Q326" s="13" t="str">
        <f t="shared" si="13"/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4"/>
        <v>kPAR</v>
      </c>
      <c r="P327" s="13" t="str">
        <f t="shared" si="12"/>
        <v>True Pattern</v>
      </c>
      <c r="Q327" s="13" t="str">
        <f t="shared" si="13"/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4"/>
        <v>kPAR</v>
      </c>
      <c r="P328" s="13" t="str">
        <f t="shared" si="12"/>
        <v>True Pattern</v>
      </c>
      <c r="Q328" s="13" t="str">
        <f t="shared" si="13"/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4"/>
        <v>kPAR</v>
      </c>
      <c r="P329" s="13" t="str">
        <f t="shared" si="12"/>
        <v>True Pattern</v>
      </c>
      <c r="Q329" s="13" t="str">
        <f t="shared" si="13"/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4"/>
        <v>kPAR</v>
      </c>
      <c r="P330" s="13" t="str">
        <f t="shared" ref="P330:P393" si="15"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 t="shared" si="13"/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4"/>
        <v>kPAR</v>
      </c>
      <c r="P331" s="13" t="str">
        <f t="shared" si="15"/>
        <v>True Pattern</v>
      </c>
      <c r="Q331" s="13" t="str">
        <f t="shared" si="13"/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4"/>
        <v>kPAR</v>
      </c>
      <c r="P332" s="13" t="str">
        <f t="shared" si="15"/>
        <v>True Pattern</v>
      </c>
      <c r="Q332" s="13" t="str">
        <f t="shared" si="13"/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4"/>
        <v>kPAR</v>
      </c>
      <c r="P333" s="13" t="str">
        <f t="shared" si="15"/>
        <v>True Pattern</v>
      </c>
      <c r="Q333" s="13" t="str">
        <f t="shared" si="13"/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4"/>
        <v>kPAR</v>
      </c>
      <c r="P334" s="13" t="str">
        <f t="shared" si="15"/>
        <v>True Pattern</v>
      </c>
      <c r="Q334" s="13" t="str">
        <f t="shared" si="13"/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4"/>
        <v>kPAR</v>
      </c>
      <c r="P335" s="13" t="str">
        <f t="shared" si="15"/>
        <v>True Pattern</v>
      </c>
      <c r="Q335" s="13" t="str">
        <f t="shared" si="13"/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4"/>
        <v>kPAR</v>
      </c>
      <c r="P336" s="13" t="str">
        <f t="shared" si="15"/>
        <v>True Pattern</v>
      </c>
      <c r="Q336" s="13" t="str">
        <f t="shared" si="13"/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4"/>
        <v>kPAR</v>
      </c>
      <c r="P337" s="13" t="str">
        <f t="shared" si="15"/>
        <v>True Pattern</v>
      </c>
      <c r="Q337" s="13" t="str">
        <f t="shared" si="13"/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4"/>
        <v>kPAR</v>
      </c>
      <c r="P338" s="13" t="str">
        <f t="shared" si="15"/>
        <v>True Pattern</v>
      </c>
      <c r="Q338" s="13" t="str">
        <f t="shared" si="13"/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4"/>
        <v>kPAR</v>
      </c>
      <c r="P339" s="13" t="str">
        <f t="shared" si="15"/>
        <v>True Pattern</v>
      </c>
      <c r="Q339" s="13" t="str">
        <f t="shared" si="13"/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4"/>
        <v>kPAR</v>
      </c>
      <c r="P340" s="13" t="str">
        <f t="shared" si="15"/>
        <v>True Pattern</v>
      </c>
      <c r="Q340" s="13" t="str">
        <f t="shared" si="13"/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4"/>
        <v>kPAR</v>
      </c>
      <c r="P341" s="13" t="str">
        <f t="shared" si="15"/>
        <v>True Pattern</v>
      </c>
      <c r="Q341" s="13" t="str">
        <f t="shared" si="13"/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4"/>
        <v>Nopol</v>
      </c>
      <c r="P342" s="13" t="str">
        <f t="shared" si="15"/>
        <v>True Semantic</v>
      </c>
      <c r="Q342" s="13" t="str">
        <f t="shared" si="13"/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4"/>
        <v>Nopol</v>
      </c>
      <c r="P343" s="13" t="str">
        <f t="shared" si="15"/>
        <v>True Semantic</v>
      </c>
      <c r="Q343" s="13" t="str">
        <f t="shared" ref="Q343:Q406" si="16"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7">LEFT($A344,FIND("_",$A344)-1)</f>
        <v>Nopol</v>
      </c>
      <c r="P344" s="13" t="str">
        <f t="shared" si="15"/>
        <v>True Semantic</v>
      </c>
      <c r="Q344" s="13" t="str">
        <f t="shared" si="16"/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7"/>
        <v>Nopol</v>
      </c>
      <c r="P345" s="13" t="str">
        <f t="shared" si="15"/>
        <v>True Semantic</v>
      </c>
      <c r="Q345" s="13" t="str">
        <f t="shared" si="16"/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7"/>
        <v>Nopol</v>
      </c>
      <c r="P346" s="13" t="str">
        <f t="shared" si="15"/>
        <v>True Semantic</v>
      </c>
      <c r="Q346" s="13" t="str">
        <f t="shared" si="16"/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7"/>
        <v>Nopol</v>
      </c>
      <c r="P347" s="13" t="str">
        <f t="shared" si="15"/>
        <v>True Semantic</v>
      </c>
      <c r="Q347" s="13" t="str">
        <f t="shared" si="16"/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7"/>
        <v>Nopol</v>
      </c>
      <c r="P348" s="13" t="str">
        <f t="shared" si="15"/>
        <v>True Semantic</v>
      </c>
      <c r="Q348" s="13" t="str">
        <f t="shared" si="16"/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7"/>
        <v>Nopol</v>
      </c>
      <c r="P349" s="13" t="str">
        <f t="shared" si="15"/>
        <v>True Semantic</v>
      </c>
      <c r="Q349" s="13" t="str">
        <f t="shared" si="16"/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7"/>
        <v>Nopol</v>
      </c>
      <c r="P350" s="13" t="str">
        <f t="shared" si="15"/>
        <v>True Semantic</v>
      </c>
      <c r="Q350" s="13" t="str">
        <f t="shared" si="16"/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7"/>
        <v>Nopol</v>
      </c>
      <c r="P351" s="13" t="str">
        <f t="shared" si="15"/>
        <v>True Semantic</v>
      </c>
      <c r="Q351" s="13" t="str">
        <f t="shared" si="16"/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7"/>
        <v>Nopol</v>
      </c>
      <c r="P352" s="13" t="str">
        <f t="shared" si="15"/>
        <v>True Semantic</v>
      </c>
      <c r="Q352" s="13" t="str">
        <f t="shared" si="16"/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7"/>
        <v>Nopol</v>
      </c>
      <c r="P353" s="13" t="str">
        <f t="shared" si="15"/>
        <v>True Semantic</v>
      </c>
      <c r="Q353" s="13" t="str">
        <f t="shared" si="16"/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7"/>
        <v>Nopol</v>
      </c>
      <c r="P354" s="13" t="str">
        <f t="shared" si="15"/>
        <v>True Semantic</v>
      </c>
      <c r="Q354" s="13" t="str">
        <f t="shared" si="16"/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7"/>
        <v>Nopol</v>
      </c>
      <c r="P355" s="13" t="str">
        <f t="shared" si="15"/>
        <v>True Semantic</v>
      </c>
      <c r="Q355" s="13" t="str">
        <f t="shared" si="16"/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7"/>
        <v>Nopol</v>
      </c>
      <c r="P356" s="13" t="str">
        <f t="shared" si="15"/>
        <v>True Semantic</v>
      </c>
      <c r="Q356" s="13" t="str">
        <f t="shared" si="16"/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7"/>
        <v>Nopol</v>
      </c>
      <c r="P357" s="13" t="str">
        <f t="shared" si="15"/>
        <v>True Semantic</v>
      </c>
      <c r="Q357" s="13" t="str">
        <f t="shared" si="16"/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7"/>
        <v>Nopol</v>
      </c>
      <c r="P358" s="13" t="str">
        <f t="shared" si="15"/>
        <v>True Semantic</v>
      </c>
      <c r="Q358" s="13" t="str">
        <f t="shared" si="16"/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7"/>
        <v>Nopol</v>
      </c>
      <c r="P359" s="13" t="str">
        <f t="shared" si="15"/>
        <v>True Semantic</v>
      </c>
      <c r="Q359" s="13" t="str">
        <f t="shared" si="16"/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7"/>
        <v>Nopol</v>
      </c>
      <c r="P360" s="13" t="str">
        <f t="shared" si="15"/>
        <v>True Semantic</v>
      </c>
      <c r="Q360" s="13" t="str">
        <f t="shared" si="16"/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7"/>
        <v>Nopol</v>
      </c>
      <c r="P361" s="13" t="str">
        <f t="shared" si="15"/>
        <v>True Semantic</v>
      </c>
      <c r="Q361" s="13" t="str">
        <f t="shared" si="16"/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7"/>
        <v>Nopol</v>
      </c>
      <c r="P362" s="13" t="str">
        <f t="shared" si="15"/>
        <v>True Semantic</v>
      </c>
      <c r="Q362" s="13" t="str">
        <f t="shared" si="16"/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7"/>
        <v>Nopol</v>
      </c>
      <c r="P363" s="13" t="str">
        <f t="shared" si="15"/>
        <v>True Semantic</v>
      </c>
      <c r="Q363" s="13" t="str">
        <f t="shared" si="16"/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7"/>
        <v>Nopol</v>
      </c>
      <c r="P364" s="13" t="str">
        <f t="shared" si="15"/>
        <v>True Semantic</v>
      </c>
      <c r="Q364" s="13" t="str">
        <f t="shared" si="16"/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7"/>
        <v>Nopol</v>
      </c>
      <c r="P365" s="13" t="str">
        <f t="shared" si="15"/>
        <v>True Semantic</v>
      </c>
      <c r="Q365" s="13" t="str">
        <f t="shared" si="16"/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7"/>
        <v>Nopol</v>
      </c>
      <c r="P366" s="13" t="str">
        <f t="shared" si="15"/>
        <v>True Semantic</v>
      </c>
      <c r="Q366" s="13" t="str">
        <f t="shared" si="16"/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7"/>
        <v>Nopol</v>
      </c>
      <c r="P367" s="13" t="str">
        <f t="shared" si="15"/>
        <v>True Semantic</v>
      </c>
      <c r="Q367" s="13" t="str">
        <f t="shared" si="16"/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7"/>
        <v>Nopol</v>
      </c>
      <c r="P368" s="13" t="str">
        <f t="shared" si="15"/>
        <v>True Semantic</v>
      </c>
      <c r="Q368" s="13" t="str">
        <f t="shared" si="16"/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7"/>
        <v>RSRepair-A</v>
      </c>
      <c r="P369" s="13" t="str">
        <f t="shared" si="15"/>
        <v>Evolutionary Search</v>
      </c>
      <c r="Q369" s="13" t="str">
        <f t="shared" si="16"/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7"/>
        <v>RSRepair-A</v>
      </c>
      <c r="P370" s="13" t="str">
        <f t="shared" si="15"/>
        <v>Evolutionary Search</v>
      </c>
      <c r="Q370" s="13" t="str">
        <f t="shared" si="16"/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7"/>
        <v>RSRepair-A</v>
      </c>
      <c r="P371" s="13" t="str">
        <f t="shared" si="15"/>
        <v>Evolutionary Search</v>
      </c>
      <c r="Q371" s="13" t="str">
        <f t="shared" si="16"/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7"/>
        <v>RSRepair-A</v>
      </c>
      <c r="P372" s="13" t="str">
        <f t="shared" si="15"/>
        <v>Evolutionary Search</v>
      </c>
      <c r="Q372" s="13" t="str">
        <f t="shared" si="16"/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7"/>
        <v>RSRepair-A</v>
      </c>
      <c r="P373" s="13" t="str">
        <f t="shared" si="15"/>
        <v>Evolutionary Search</v>
      </c>
      <c r="Q373" s="13" t="str">
        <f t="shared" si="16"/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7"/>
        <v>RSRepair-A</v>
      </c>
      <c r="P374" s="13" t="str">
        <f t="shared" si="15"/>
        <v>Evolutionary Search</v>
      </c>
      <c r="Q374" s="13" t="str">
        <f t="shared" si="16"/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7"/>
        <v>RSRepair-A</v>
      </c>
      <c r="P375" s="13" t="str">
        <f t="shared" si="15"/>
        <v>Evolutionary Search</v>
      </c>
      <c r="Q375" s="13" t="str">
        <f t="shared" si="16"/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7"/>
        <v>RSRepair-A</v>
      </c>
      <c r="P376" s="13" t="str">
        <f t="shared" si="15"/>
        <v>Evolutionary Search</v>
      </c>
      <c r="Q376" s="13" t="str">
        <f t="shared" si="16"/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7"/>
        <v>RSRepair-A</v>
      </c>
      <c r="P377" s="13" t="str">
        <f t="shared" si="15"/>
        <v>Evolutionary Search</v>
      </c>
      <c r="Q377" s="13" t="str">
        <f t="shared" si="16"/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7"/>
        <v>RSRepair-A</v>
      </c>
      <c r="P378" s="13" t="str">
        <f t="shared" si="15"/>
        <v>Evolutionary Search</v>
      </c>
      <c r="Q378" s="13" t="str">
        <f t="shared" si="16"/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7"/>
        <v>RSRepair-A</v>
      </c>
      <c r="P379" s="13" t="str">
        <f t="shared" si="15"/>
        <v>Evolutionary Search</v>
      </c>
      <c r="Q379" s="13" t="str">
        <f t="shared" si="16"/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7"/>
        <v>RSRepair-A</v>
      </c>
      <c r="P380" s="13" t="str">
        <f t="shared" si="15"/>
        <v>Evolutionary Search</v>
      </c>
      <c r="Q380" s="13" t="str">
        <f t="shared" si="16"/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7"/>
        <v>RSRepair-A</v>
      </c>
      <c r="P381" s="13" t="str">
        <f t="shared" si="15"/>
        <v>Evolutionary Search</v>
      </c>
      <c r="Q381" s="13" t="str">
        <f t="shared" si="16"/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7"/>
        <v>RSRepair-A</v>
      </c>
      <c r="P382" s="13" t="str">
        <f t="shared" si="15"/>
        <v>Evolutionary Search</v>
      </c>
      <c r="Q382" s="13" t="str">
        <f t="shared" si="16"/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7"/>
        <v>RSRepair-A</v>
      </c>
      <c r="P383" s="13" t="str">
        <f t="shared" si="15"/>
        <v>Evolutionary Search</v>
      </c>
      <c r="Q383" s="13" t="str">
        <f t="shared" si="16"/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7"/>
        <v>RSRepair-A</v>
      </c>
      <c r="P384" s="13" t="str">
        <f t="shared" si="15"/>
        <v>Evolutionary Search</v>
      </c>
      <c r="Q384" s="13" t="str">
        <f t="shared" si="16"/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7"/>
        <v>RSRepair-A</v>
      </c>
      <c r="P385" s="13" t="str">
        <f t="shared" si="15"/>
        <v>Evolutionary Search</v>
      </c>
      <c r="Q385" s="13" t="str">
        <f t="shared" si="16"/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7"/>
        <v>RSRepair-A</v>
      </c>
      <c r="P386" s="13" t="str">
        <f t="shared" si="15"/>
        <v>Evolutionary Search</v>
      </c>
      <c r="Q386" s="13" t="str">
        <f t="shared" si="16"/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7"/>
        <v>RSRepair-A</v>
      </c>
      <c r="P387" s="13" t="str">
        <f t="shared" si="15"/>
        <v>Evolutionary Search</v>
      </c>
      <c r="Q387" s="13" t="str">
        <f t="shared" si="16"/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7"/>
        <v>RSRepair-A</v>
      </c>
      <c r="P388" s="13" t="str">
        <f t="shared" si="15"/>
        <v>Evolutionary Search</v>
      </c>
      <c r="Q388" s="13" t="str">
        <f t="shared" si="16"/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7"/>
        <v>RSRepair-A</v>
      </c>
      <c r="P389" s="13" t="str">
        <f t="shared" si="15"/>
        <v>Evolutionary Search</v>
      </c>
      <c r="Q389" s="13" t="str">
        <f t="shared" si="16"/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7"/>
        <v>RSRepair-A</v>
      </c>
      <c r="P390" s="13" t="str">
        <f t="shared" si="15"/>
        <v>Evolutionary Search</v>
      </c>
      <c r="Q390" s="13" t="str">
        <f t="shared" si="16"/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7"/>
        <v>RSRepair-A</v>
      </c>
      <c r="P391" s="13" t="str">
        <f t="shared" si="15"/>
        <v>Evolutionary Search</v>
      </c>
      <c r="Q391" s="13" t="str">
        <f t="shared" si="16"/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7"/>
        <v>RSRepair-A</v>
      </c>
      <c r="P392" s="13" t="str">
        <f t="shared" si="15"/>
        <v>Evolutionary Search</v>
      </c>
      <c r="Q392" s="13" t="str">
        <f t="shared" si="16"/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7"/>
        <v>RSRepair-A</v>
      </c>
      <c r="P393" s="13" t="str">
        <f t="shared" si="15"/>
        <v>Evolutionary Search</v>
      </c>
      <c r="Q393" s="13" t="str">
        <f t="shared" si="16"/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7"/>
        <v>RSRepair-A</v>
      </c>
      <c r="P394" s="13" t="str">
        <f t="shared" ref="P394:P457" si="18"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 t="shared" si="16"/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7"/>
        <v>RSRepair-A</v>
      </c>
      <c r="P395" s="13" t="str">
        <f t="shared" si="18"/>
        <v>Evolutionary Search</v>
      </c>
      <c r="Q395" s="13" t="str">
        <f t="shared" si="16"/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7"/>
        <v>RSRepair-A</v>
      </c>
      <c r="P396" s="13" t="str">
        <f t="shared" si="18"/>
        <v>Evolutionary Search</v>
      </c>
      <c r="Q396" s="13" t="str">
        <f t="shared" si="16"/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7"/>
        <v>RSRepair-A</v>
      </c>
      <c r="P397" s="13" t="str">
        <f t="shared" si="18"/>
        <v>Evolutionary Search</v>
      </c>
      <c r="Q397" s="13" t="str">
        <f t="shared" si="16"/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7"/>
        <v>RSRepair-A</v>
      </c>
      <c r="P398" s="13" t="str">
        <f t="shared" si="18"/>
        <v>Evolutionary Search</v>
      </c>
      <c r="Q398" s="13" t="str">
        <f t="shared" si="16"/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7"/>
        <v>RSRepair-A</v>
      </c>
      <c r="P399" s="13" t="str">
        <f t="shared" si="18"/>
        <v>Evolutionary Search</v>
      </c>
      <c r="Q399" s="13" t="str">
        <f t="shared" si="16"/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7"/>
        <v>RSRepair-A</v>
      </c>
      <c r="P400" s="13" t="str">
        <f t="shared" si="18"/>
        <v>Evolutionary Search</v>
      </c>
      <c r="Q400" s="13" t="str">
        <f t="shared" si="16"/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7"/>
        <v>RSRepair-A</v>
      </c>
      <c r="P401" s="13" t="str">
        <f t="shared" si="18"/>
        <v>Evolutionary Search</v>
      </c>
      <c r="Q401" s="13" t="str">
        <f t="shared" si="16"/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7"/>
        <v>RSRepair-A</v>
      </c>
      <c r="P402" s="13" t="str">
        <f t="shared" si="18"/>
        <v>Evolutionary Search</v>
      </c>
      <c r="Q402" s="13" t="str">
        <f t="shared" si="16"/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7"/>
        <v>RSRepair-A</v>
      </c>
      <c r="P403" s="13" t="str">
        <f t="shared" si="18"/>
        <v>Evolutionary Search</v>
      </c>
      <c r="Q403" s="13" t="str">
        <f t="shared" si="16"/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7"/>
        <v>RSRepair-A</v>
      </c>
      <c r="P404" s="13" t="str">
        <f t="shared" si="18"/>
        <v>Evolutionary Search</v>
      </c>
      <c r="Q404" s="13" t="str">
        <f t="shared" si="16"/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7"/>
        <v>RSRepair-A</v>
      </c>
      <c r="P405" s="13" t="str">
        <f t="shared" si="18"/>
        <v>Evolutionary Search</v>
      </c>
      <c r="Q405" s="13" t="str">
        <f t="shared" si="16"/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7"/>
        <v>RSRepair-A</v>
      </c>
      <c r="P406" s="13" t="str">
        <f t="shared" si="18"/>
        <v>Evolutionary Search</v>
      </c>
      <c r="Q406" s="13" t="str">
        <f t="shared" si="16"/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7"/>
        <v>RSRepair-A</v>
      </c>
      <c r="P407" s="13" t="str">
        <f t="shared" si="18"/>
        <v>Evolutionary Search</v>
      </c>
      <c r="Q407" s="13" t="str">
        <f t="shared" ref="Q407:Q470" si="19"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20">LEFT($A408,FIND("_",$A408)-1)</f>
        <v>RSRepair-A</v>
      </c>
      <c r="P408" s="13" t="str">
        <f t="shared" si="18"/>
        <v>Evolutionary Search</v>
      </c>
      <c r="Q408" s="13" t="str">
        <f t="shared" si="19"/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20"/>
        <v>RSRepair-A</v>
      </c>
      <c r="P409" s="13" t="str">
        <f t="shared" si="18"/>
        <v>Evolutionary Search</v>
      </c>
      <c r="Q409" s="13" t="str">
        <f t="shared" si="19"/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20"/>
        <v>SimFix</v>
      </c>
      <c r="P410" s="13" t="str">
        <f t="shared" si="18"/>
        <v>Search Like Pattern</v>
      </c>
      <c r="Q410" s="13" t="str">
        <f t="shared" si="19"/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20"/>
        <v>SimFix</v>
      </c>
      <c r="P411" s="13" t="str">
        <f t="shared" si="18"/>
        <v>Search Like Pattern</v>
      </c>
      <c r="Q411" s="13" t="str">
        <f t="shared" si="19"/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20"/>
        <v>SimFix</v>
      </c>
      <c r="P412" s="13" t="str">
        <f t="shared" si="18"/>
        <v>Search Like Pattern</v>
      </c>
      <c r="Q412" s="13" t="str">
        <f t="shared" si="19"/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20"/>
        <v>SimFix</v>
      </c>
      <c r="P413" s="13" t="str">
        <f t="shared" si="18"/>
        <v>Search Like Pattern</v>
      </c>
      <c r="Q413" s="13" t="str">
        <f t="shared" si="19"/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20"/>
        <v>SimFix</v>
      </c>
      <c r="P414" s="13" t="str">
        <f t="shared" si="18"/>
        <v>Search Like Pattern</v>
      </c>
      <c r="Q414" s="13" t="str">
        <f t="shared" si="19"/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20"/>
        <v>SimFix</v>
      </c>
      <c r="P415" s="13" t="str">
        <f t="shared" si="18"/>
        <v>Search Like Pattern</v>
      </c>
      <c r="Q415" s="13" t="str">
        <f t="shared" si="19"/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20"/>
        <v>SimFix</v>
      </c>
      <c r="P416" s="13" t="str">
        <f t="shared" si="18"/>
        <v>Search Like Pattern</v>
      </c>
      <c r="Q416" s="13" t="str">
        <f t="shared" si="19"/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20"/>
        <v>SimFix</v>
      </c>
      <c r="P417" s="13" t="str">
        <f t="shared" si="18"/>
        <v>Search Like Pattern</v>
      </c>
      <c r="Q417" s="13" t="str">
        <f t="shared" si="19"/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20"/>
        <v>SimFix</v>
      </c>
      <c r="P418" s="13" t="str">
        <f t="shared" si="18"/>
        <v>Search Like Pattern</v>
      </c>
      <c r="Q418" s="13" t="str">
        <f t="shared" si="19"/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20"/>
        <v>SimFix</v>
      </c>
      <c r="P419" s="13" t="str">
        <f t="shared" si="18"/>
        <v>Search Like Pattern</v>
      </c>
      <c r="Q419" s="13" t="str">
        <f t="shared" si="19"/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20"/>
        <v>SimFix</v>
      </c>
      <c r="P420" s="13" t="str">
        <f t="shared" si="18"/>
        <v>Search Like Pattern</v>
      </c>
      <c r="Q420" s="13" t="str">
        <f t="shared" si="19"/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20"/>
        <v>SimFix</v>
      </c>
      <c r="P421" s="13" t="str">
        <f t="shared" si="18"/>
        <v>Search Like Pattern</v>
      </c>
      <c r="Q421" s="13" t="str">
        <f t="shared" si="19"/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20"/>
        <v>SimFix</v>
      </c>
      <c r="P422" s="13" t="str">
        <f t="shared" si="18"/>
        <v>Search Like Pattern</v>
      </c>
      <c r="Q422" s="13" t="str">
        <f t="shared" si="19"/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20"/>
        <v>SimFix</v>
      </c>
      <c r="P423" s="13" t="str">
        <f t="shared" si="18"/>
        <v>Search Like Pattern</v>
      </c>
      <c r="Q423" s="13" t="str">
        <f t="shared" si="19"/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20"/>
        <v>SimFix</v>
      </c>
      <c r="P424" s="13" t="str">
        <f t="shared" si="18"/>
        <v>Search Like Pattern</v>
      </c>
      <c r="Q424" s="13" t="str">
        <f t="shared" si="19"/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20"/>
        <v>SimFix</v>
      </c>
      <c r="P425" s="13" t="str">
        <f t="shared" si="18"/>
        <v>Search Like Pattern</v>
      </c>
      <c r="Q425" s="13" t="str">
        <f t="shared" si="19"/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20"/>
        <v>SimFix</v>
      </c>
      <c r="P426" s="13" t="str">
        <f t="shared" si="18"/>
        <v>Search Like Pattern</v>
      </c>
      <c r="Q426" s="13" t="str">
        <f t="shared" si="19"/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20"/>
        <v>SimFix</v>
      </c>
      <c r="P427" s="13" t="str">
        <f t="shared" si="18"/>
        <v>Search Like Pattern</v>
      </c>
      <c r="Q427" s="13" t="str">
        <f t="shared" si="19"/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20"/>
        <v>SimFix</v>
      </c>
      <c r="P428" s="13" t="str">
        <f t="shared" si="18"/>
        <v>Search Like Pattern</v>
      </c>
      <c r="Q428" s="13" t="str">
        <f t="shared" si="19"/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20"/>
        <v>SimFix</v>
      </c>
      <c r="P429" s="13" t="str">
        <f t="shared" si="18"/>
        <v>Search Like Pattern</v>
      </c>
      <c r="Q429" s="13" t="str">
        <f t="shared" si="19"/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20"/>
        <v>SimFix</v>
      </c>
      <c r="P430" s="13" t="str">
        <f t="shared" si="18"/>
        <v>Search Like Pattern</v>
      </c>
      <c r="Q430" s="13" t="str">
        <f t="shared" si="19"/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20"/>
        <v>SimFix</v>
      </c>
      <c r="P431" s="13" t="str">
        <f t="shared" si="18"/>
        <v>Search Like Pattern</v>
      </c>
      <c r="Q431" s="13" t="str">
        <f t="shared" si="19"/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20"/>
        <v>SimFix</v>
      </c>
      <c r="P432" s="13" t="str">
        <f t="shared" si="18"/>
        <v>Search Like Pattern</v>
      </c>
      <c r="Q432" s="13" t="str">
        <f t="shared" si="19"/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20"/>
        <v>SimFix</v>
      </c>
      <c r="P433" s="13" t="str">
        <f t="shared" si="18"/>
        <v>Search Like Pattern</v>
      </c>
      <c r="Q433" s="13" t="str">
        <f t="shared" si="19"/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20"/>
        <v>SimFix</v>
      </c>
      <c r="P434" s="13" t="str">
        <f t="shared" si="18"/>
        <v>Search Like Pattern</v>
      </c>
      <c r="Q434" s="13" t="str">
        <f t="shared" si="19"/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20"/>
        <v>SimFix</v>
      </c>
      <c r="P435" s="13" t="str">
        <f t="shared" si="18"/>
        <v>Search Like Pattern</v>
      </c>
      <c r="Q435" s="13" t="str">
        <f t="shared" si="19"/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20"/>
        <v>SimFix</v>
      </c>
      <c r="P436" s="13" t="str">
        <f t="shared" si="18"/>
        <v>Search Like Pattern</v>
      </c>
      <c r="Q436" s="13" t="str">
        <f t="shared" si="19"/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20"/>
        <v>SimFix</v>
      </c>
      <c r="P437" s="13" t="str">
        <f t="shared" si="18"/>
        <v>Search Like Pattern</v>
      </c>
      <c r="Q437" s="13" t="str">
        <f t="shared" si="19"/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20"/>
        <v>SimFix</v>
      </c>
      <c r="P438" s="13" t="str">
        <f t="shared" si="18"/>
        <v>Search Like Pattern</v>
      </c>
      <c r="Q438" s="13" t="str">
        <f t="shared" si="19"/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20"/>
        <v>SimFix</v>
      </c>
      <c r="P439" s="13" t="str">
        <f t="shared" si="18"/>
        <v>Search Like Pattern</v>
      </c>
      <c r="Q439" s="13" t="str">
        <f t="shared" si="19"/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20"/>
        <v>SimFix</v>
      </c>
      <c r="P440" s="13" t="str">
        <f t="shared" si="18"/>
        <v>Search Like Pattern</v>
      </c>
      <c r="Q440" s="13" t="str">
        <f t="shared" si="19"/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20"/>
        <v>SimFix</v>
      </c>
      <c r="P441" s="13" t="str">
        <f t="shared" si="18"/>
        <v>Search Like Pattern</v>
      </c>
      <c r="Q441" s="13" t="str">
        <f t="shared" si="19"/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20"/>
        <v>SimFix</v>
      </c>
      <c r="P442" s="13" t="str">
        <f t="shared" si="18"/>
        <v>Search Like Pattern</v>
      </c>
      <c r="Q442" s="13" t="str">
        <f t="shared" si="19"/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20"/>
        <v>SimFix</v>
      </c>
      <c r="P443" s="13" t="str">
        <f t="shared" si="18"/>
        <v>Search Like Pattern</v>
      </c>
      <c r="Q443" s="13" t="str">
        <f t="shared" si="19"/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20"/>
        <v>SimFix</v>
      </c>
      <c r="P444" s="13" t="str">
        <f t="shared" si="18"/>
        <v>Search Like Pattern</v>
      </c>
      <c r="Q444" s="13" t="str">
        <f t="shared" si="19"/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20"/>
        <v>SimFix</v>
      </c>
      <c r="P445" s="13" t="str">
        <f t="shared" si="18"/>
        <v>Search Like Pattern</v>
      </c>
      <c r="Q445" s="13" t="str">
        <f t="shared" si="19"/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20"/>
        <v>SimFix</v>
      </c>
      <c r="P446" s="13" t="str">
        <f t="shared" si="18"/>
        <v>Search Like Pattern</v>
      </c>
      <c r="Q446" s="13" t="str">
        <f t="shared" si="19"/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20"/>
        <v>SimFix</v>
      </c>
      <c r="P447" s="13" t="str">
        <f t="shared" si="18"/>
        <v>Search Like Pattern</v>
      </c>
      <c r="Q447" s="13" t="str">
        <f t="shared" si="19"/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20"/>
        <v>SimFix</v>
      </c>
      <c r="P448" s="13" t="str">
        <f t="shared" si="18"/>
        <v>Search Like Pattern</v>
      </c>
      <c r="Q448" s="13" t="str">
        <f t="shared" si="19"/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20"/>
        <v>SimFix</v>
      </c>
      <c r="P449" s="13" t="str">
        <f t="shared" si="18"/>
        <v>Search Like Pattern</v>
      </c>
      <c r="Q449" s="13" t="str">
        <f t="shared" si="19"/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20"/>
        <v>SimFix</v>
      </c>
      <c r="P450" s="13" t="str">
        <f t="shared" si="18"/>
        <v>Search Like Pattern</v>
      </c>
      <c r="Q450" s="13" t="str">
        <f t="shared" si="19"/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20"/>
        <v>SimFix</v>
      </c>
      <c r="P451" s="13" t="str">
        <f t="shared" si="18"/>
        <v>Search Like Pattern</v>
      </c>
      <c r="Q451" s="13" t="str">
        <f t="shared" si="19"/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20"/>
        <v>SimFix</v>
      </c>
      <c r="P452" s="13" t="str">
        <f t="shared" si="18"/>
        <v>Search Like Pattern</v>
      </c>
      <c r="Q452" s="13" t="str">
        <f t="shared" si="19"/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20"/>
        <v>SimFix</v>
      </c>
      <c r="P453" s="13" t="str">
        <f t="shared" si="18"/>
        <v>Search Like Pattern</v>
      </c>
      <c r="Q453" s="13" t="str">
        <f t="shared" si="19"/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20"/>
        <v>SimFix</v>
      </c>
      <c r="P454" s="13" t="str">
        <f t="shared" si="18"/>
        <v>Search Like Pattern</v>
      </c>
      <c r="Q454" s="13" t="str">
        <f t="shared" si="19"/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20"/>
        <v>SimFix</v>
      </c>
      <c r="P455" s="13" t="str">
        <f t="shared" si="18"/>
        <v>Search Like Pattern</v>
      </c>
      <c r="Q455" s="13" t="str">
        <f t="shared" si="19"/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20"/>
        <v>SimFix</v>
      </c>
      <c r="P456" s="13" t="str">
        <f t="shared" si="18"/>
        <v>Search Like Pattern</v>
      </c>
      <c r="Q456" s="13" t="str">
        <f t="shared" si="19"/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20"/>
        <v>SimFix</v>
      </c>
      <c r="P457" s="13" t="str">
        <f t="shared" si="18"/>
        <v>Search Like Pattern</v>
      </c>
      <c r="Q457" s="13" t="str">
        <f t="shared" si="19"/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20"/>
        <v>SimFix</v>
      </c>
      <c r="P458" s="13" t="str">
        <f t="shared" ref="P458:P521" si="21"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 t="shared" si="19"/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20"/>
        <v>SimFix</v>
      </c>
      <c r="P459" s="13" t="str">
        <f t="shared" si="21"/>
        <v>Search Like Pattern</v>
      </c>
      <c r="Q459" s="13" t="str">
        <f t="shared" si="19"/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20"/>
        <v>SimFix</v>
      </c>
      <c r="P460" s="13" t="str">
        <f t="shared" si="21"/>
        <v>Search Like Pattern</v>
      </c>
      <c r="Q460" s="13" t="str">
        <f t="shared" si="19"/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20"/>
        <v>SimFix</v>
      </c>
      <c r="P461" s="13" t="str">
        <f t="shared" si="21"/>
        <v>Search Like Pattern</v>
      </c>
      <c r="Q461" s="13" t="str">
        <f t="shared" si="19"/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20"/>
        <v>SimFix</v>
      </c>
      <c r="P462" s="13" t="str">
        <f t="shared" si="21"/>
        <v>Search Like Pattern</v>
      </c>
      <c r="Q462" s="13" t="str">
        <f t="shared" si="19"/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20"/>
        <v>SimFix</v>
      </c>
      <c r="P463" s="13" t="str">
        <f t="shared" si="21"/>
        <v>Search Like Pattern</v>
      </c>
      <c r="Q463" s="13" t="str">
        <f t="shared" si="19"/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20"/>
        <v>TBar</v>
      </c>
      <c r="P464" s="13" t="str">
        <f t="shared" si="21"/>
        <v>True Pattern</v>
      </c>
      <c r="Q464" s="13" t="str">
        <f t="shared" si="19"/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20"/>
        <v>TBar</v>
      </c>
      <c r="P465" s="13" t="str">
        <f t="shared" si="21"/>
        <v>True Pattern</v>
      </c>
      <c r="Q465" s="13" t="str">
        <f t="shared" si="19"/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20"/>
        <v>TBar</v>
      </c>
      <c r="P466" s="13" t="str">
        <f t="shared" si="21"/>
        <v>True Pattern</v>
      </c>
      <c r="Q466" s="13" t="str">
        <f t="shared" si="19"/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20"/>
        <v>TBar</v>
      </c>
      <c r="P467" s="13" t="str">
        <f t="shared" si="21"/>
        <v>True Pattern</v>
      </c>
      <c r="Q467" s="13" t="str">
        <f t="shared" si="19"/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20"/>
        <v>TBar</v>
      </c>
      <c r="P468" s="13" t="str">
        <f t="shared" si="21"/>
        <v>True Pattern</v>
      </c>
      <c r="Q468" s="13" t="str">
        <f t="shared" si="19"/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20"/>
        <v>TBar</v>
      </c>
      <c r="P469" s="13" t="str">
        <f t="shared" si="21"/>
        <v>True Pattern</v>
      </c>
      <c r="Q469" s="13" t="str">
        <f t="shared" si="19"/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20"/>
        <v>TBar</v>
      </c>
      <c r="P470" s="13" t="str">
        <f t="shared" si="21"/>
        <v>True Pattern</v>
      </c>
      <c r="Q470" s="13" t="str">
        <f t="shared" si="19"/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20"/>
        <v>TBar</v>
      </c>
      <c r="P471" s="13" t="str">
        <f t="shared" si="21"/>
        <v>True Pattern</v>
      </c>
      <c r="Q471" s="13" t="str">
        <f t="shared" ref="Q471:Q534" si="22"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3">LEFT($A472,FIND("_",$A472)-1)</f>
        <v>TBar</v>
      </c>
      <c r="P472" s="13" t="str">
        <f t="shared" si="21"/>
        <v>True Pattern</v>
      </c>
      <c r="Q472" s="13" t="str">
        <f t="shared" si="22"/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3"/>
        <v>TBar</v>
      </c>
      <c r="P473" s="13" t="str">
        <f t="shared" si="21"/>
        <v>True Pattern</v>
      </c>
      <c r="Q473" s="13" t="str">
        <f t="shared" si="22"/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3"/>
        <v>TBar</v>
      </c>
      <c r="P474" s="13" t="str">
        <f t="shared" si="21"/>
        <v>True Pattern</v>
      </c>
      <c r="Q474" s="13" t="str">
        <f t="shared" si="22"/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3"/>
        <v>TBar</v>
      </c>
      <c r="P475" s="13" t="str">
        <f t="shared" si="21"/>
        <v>True Pattern</v>
      </c>
      <c r="Q475" s="13" t="str">
        <f t="shared" si="22"/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3"/>
        <v>TBar</v>
      </c>
      <c r="P476" s="13" t="str">
        <f t="shared" si="21"/>
        <v>True Pattern</v>
      </c>
      <c r="Q476" s="13" t="str">
        <f t="shared" si="22"/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3"/>
        <v>TBar</v>
      </c>
      <c r="P477" s="13" t="str">
        <f t="shared" si="21"/>
        <v>True Pattern</v>
      </c>
      <c r="Q477" s="13" t="str">
        <f t="shared" si="22"/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3"/>
        <v>TBar</v>
      </c>
      <c r="P478" s="13" t="str">
        <f t="shared" si="21"/>
        <v>True Pattern</v>
      </c>
      <c r="Q478" s="13" t="str">
        <f t="shared" si="22"/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3"/>
        <v>TBar</v>
      </c>
      <c r="P479" s="13" t="str">
        <f t="shared" si="21"/>
        <v>True Pattern</v>
      </c>
      <c r="Q479" s="13" t="str">
        <f t="shared" si="22"/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3"/>
        <v>TBar</v>
      </c>
      <c r="P480" s="13" t="str">
        <f t="shared" si="21"/>
        <v>True Pattern</v>
      </c>
      <c r="Q480" s="13" t="str">
        <f t="shared" si="22"/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3"/>
        <v>TBar</v>
      </c>
      <c r="P481" s="13" t="str">
        <f t="shared" si="21"/>
        <v>True Pattern</v>
      </c>
      <c r="Q481" s="13" t="str">
        <f t="shared" si="22"/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3"/>
        <v>TBar</v>
      </c>
      <c r="P482" s="13" t="str">
        <f t="shared" si="21"/>
        <v>True Pattern</v>
      </c>
      <c r="Q482" s="13" t="str">
        <f t="shared" si="22"/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3"/>
        <v>TBar</v>
      </c>
      <c r="P483" s="13" t="str">
        <f t="shared" si="21"/>
        <v>True Pattern</v>
      </c>
      <c r="Q483" s="13" t="str">
        <f t="shared" si="22"/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3"/>
        <v>TBar</v>
      </c>
      <c r="P484" s="13" t="str">
        <f t="shared" si="21"/>
        <v>True Pattern</v>
      </c>
      <c r="Q484" s="13" t="str">
        <f t="shared" si="22"/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3"/>
        <v>TBar</v>
      </c>
      <c r="P485" s="13" t="str">
        <f t="shared" si="21"/>
        <v>True Pattern</v>
      </c>
      <c r="Q485" s="13" t="str">
        <f t="shared" si="22"/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3"/>
        <v>TBar</v>
      </c>
      <c r="P486" s="13" t="str">
        <f t="shared" si="21"/>
        <v>True Pattern</v>
      </c>
      <c r="Q486" s="13" t="str">
        <f t="shared" si="22"/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3"/>
        <v>TBar</v>
      </c>
      <c r="P487" s="13" t="str">
        <f t="shared" si="21"/>
        <v>True Pattern</v>
      </c>
      <c r="Q487" s="13" t="str">
        <f t="shared" si="22"/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3"/>
        <v>TBar</v>
      </c>
      <c r="P488" s="13" t="str">
        <f t="shared" si="21"/>
        <v>True Pattern</v>
      </c>
      <c r="Q488" s="13" t="str">
        <f t="shared" si="22"/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3"/>
        <v>TBar</v>
      </c>
      <c r="P489" s="13" t="str">
        <f t="shared" si="21"/>
        <v>True Pattern</v>
      </c>
      <c r="Q489" s="13" t="str">
        <f t="shared" si="22"/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3"/>
        <v>TBar</v>
      </c>
      <c r="P490" s="13" t="str">
        <f t="shared" si="21"/>
        <v>True Pattern</v>
      </c>
      <c r="Q490" s="13" t="str">
        <f t="shared" si="22"/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3"/>
        <v>TBar</v>
      </c>
      <c r="P491" s="13" t="str">
        <f t="shared" si="21"/>
        <v>True Pattern</v>
      </c>
      <c r="Q491" s="13" t="str">
        <f t="shared" si="22"/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3"/>
        <v>TBar</v>
      </c>
      <c r="P492" s="13" t="str">
        <f t="shared" si="21"/>
        <v>True Pattern</v>
      </c>
      <c r="Q492" s="13" t="str">
        <f t="shared" si="22"/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3"/>
        <v>TBar</v>
      </c>
      <c r="P493" s="13" t="str">
        <f t="shared" si="21"/>
        <v>True Pattern</v>
      </c>
      <c r="Q493" s="13" t="str">
        <f t="shared" si="22"/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3"/>
        <v>TBar</v>
      </c>
      <c r="P494" s="13" t="str">
        <f t="shared" si="21"/>
        <v>True Pattern</v>
      </c>
      <c r="Q494" s="13" t="str">
        <f t="shared" si="22"/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3"/>
        <v>TBar</v>
      </c>
      <c r="P495" s="13" t="str">
        <f t="shared" si="21"/>
        <v>True Pattern</v>
      </c>
      <c r="Q495" s="13" t="str">
        <f t="shared" si="22"/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3"/>
        <v>TBar</v>
      </c>
      <c r="P496" s="13" t="str">
        <f t="shared" si="21"/>
        <v>True Pattern</v>
      </c>
      <c r="Q496" s="13" t="str">
        <f t="shared" si="22"/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3"/>
        <v>TBar</v>
      </c>
      <c r="P497" s="13" t="str">
        <f t="shared" si="21"/>
        <v>True Pattern</v>
      </c>
      <c r="Q497" s="13" t="str">
        <f t="shared" si="22"/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3"/>
        <v>TBar</v>
      </c>
      <c r="P498" s="13" t="str">
        <f t="shared" si="21"/>
        <v>True Pattern</v>
      </c>
      <c r="Q498" s="13" t="str">
        <f t="shared" si="22"/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3"/>
        <v>TBar</v>
      </c>
      <c r="P499" s="13" t="str">
        <f t="shared" si="21"/>
        <v>True Pattern</v>
      </c>
      <c r="Q499" s="13" t="str">
        <f t="shared" si="22"/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3"/>
        <v>TBar</v>
      </c>
      <c r="P500" s="13" t="str">
        <f t="shared" si="21"/>
        <v>True Pattern</v>
      </c>
      <c r="Q500" s="13" t="str">
        <f t="shared" si="22"/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3"/>
        <v>TBar</v>
      </c>
      <c r="P501" s="13" t="str">
        <f t="shared" si="21"/>
        <v>True Pattern</v>
      </c>
      <c r="Q501" s="13" t="str">
        <f t="shared" si="22"/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3"/>
        <v>TBar</v>
      </c>
      <c r="P502" s="13" t="str">
        <f t="shared" si="21"/>
        <v>True Pattern</v>
      </c>
      <c r="Q502" s="13" t="str">
        <f t="shared" si="22"/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3"/>
        <v>TBar</v>
      </c>
      <c r="P503" s="13" t="str">
        <f t="shared" si="21"/>
        <v>True Pattern</v>
      </c>
      <c r="Q503" s="13" t="str">
        <f t="shared" si="22"/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3"/>
        <v>TBar</v>
      </c>
      <c r="P504" s="13" t="str">
        <f t="shared" si="21"/>
        <v>True Pattern</v>
      </c>
      <c r="Q504" s="13" t="str">
        <f t="shared" si="22"/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3"/>
        <v>TBar</v>
      </c>
      <c r="P505" s="13" t="str">
        <f t="shared" si="21"/>
        <v>True Pattern</v>
      </c>
      <c r="Q505" s="13" t="str">
        <f t="shared" si="22"/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3"/>
        <v>TBar</v>
      </c>
      <c r="P506" s="13" t="str">
        <f t="shared" si="21"/>
        <v>True Pattern</v>
      </c>
      <c r="Q506" s="13" t="str">
        <f t="shared" si="22"/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3"/>
        <v>TBar</v>
      </c>
      <c r="P507" s="13" t="str">
        <f t="shared" si="21"/>
        <v>True Pattern</v>
      </c>
      <c r="Q507" s="13" t="str">
        <f t="shared" si="22"/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3"/>
        <v>TBar</v>
      </c>
      <c r="P508" s="13" t="str">
        <f t="shared" si="21"/>
        <v>True Pattern</v>
      </c>
      <c r="Q508" s="13" t="str">
        <f t="shared" si="22"/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3"/>
        <v>TBar</v>
      </c>
      <c r="P509" s="13" t="str">
        <f t="shared" si="21"/>
        <v>True Pattern</v>
      </c>
      <c r="Q509" s="13" t="str">
        <f t="shared" si="22"/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3"/>
        <v>TBar</v>
      </c>
      <c r="P510" s="13" t="str">
        <f t="shared" si="21"/>
        <v>True Pattern</v>
      </c>
      <c r="Q510" s="13" t="str">
        <f t="shared" si="22"/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3"/>
        <v>TBar</v>
      </c>
      <c r="P511" s="13" t="str">
        <f t="shared" si="21"/>
        <v>True Pattern</v>
      </c>
      <c r="Q511" s="13" t="str">
        <f t="shared" si="22"/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3"/>
        <v>TBar</v>
      </c>
      <c r="P512" s="13" t="str">
        <f t="shared" si="21"/>
        <v>True Pattern</v>
      </c>
      <c r="Q512" s="13" t="str">
        <f t="shared" si="22"/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3"/>
        <v>TBar</v>
      </c>
      <c r="P513" s="13" t="str">
        <f t="shared" si="21"/>
        <v>True Pattern</v>
      </c>
      <c r="Q513" s="13" t="str">
        <f t="shared" si="22"/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3"/>
        <v>TBar</v>
      </c>
      <c r="P514" s="13" t="str">
        <f t="shared" si="21"/>
        <v>True Pattern</v>
      </c>
      <c r="Q514" s="13" t="str">
        <f t="shared" si="22"/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3"/>
        <v>TBar</v>
      </c>
      <c r="P515" s="13" t="str">
        <f t="shared" si="21"/>
        <v>True Pattern</v>
      </c>
      <c r="Q515" s="13" t="str">
        <f t="shared" si="22"/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3"/>
        <v>TBar</v>
      </c>
      <c r="P516" s="13" t="str">
        <f t="shared" si="21"/>
        <v>True Pattern</v>
      </c>
      <c r="Q516" s="13" t="str">
        <f t="shared" si="22"/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3"/>
        <v>TBar</v>
      </c>
      <c r="P517" s="13" t="str">
        <f t="shared" si="21"/>
        <v>True Pattern</v>
      </c>
      <c r="Q517" s="13" t="str">
        <f t="shared" si="22"/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3"/>
        <v>TBar</v>
      </c>
      <c r="P518" s="13" t="str">
        <f t="shared" si="21"/>
        <v>True Pattern</v>
      </c>
      <c r="Q518" s="13" t="str">
        <f t="shared" si="22"/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3"/>
        <v>TBar</v>
      </c>
      <c r="P519" s="13" t="str">
        <f t="shared" si="21"/>
        <v>True Pattern</v>
      </c>
      <c r="Q519" s="13" t="str">
        <f t="shared" si="22"/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3"/>
        <v>TBar</v>
      </c>
      <c r="P520" s="13" t="str">
        <f t="shared" si="21"/>
        <v>True Pattern</v>
      </c>
      <c r="Q520" s="13" t="str">
        <f t="shared" si="22"/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3"/>
        <v>TBar</v>
      </c>
      <c r="P521" s="13" t="str">
        <f t="shared" si="21"/>
        <v>True Pattern</v>
      </c>
      <c r="Q521" s="13" t="str">
        <f t="shared" si="22"/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3"/>
        <v>TBar</v>
      </c>
      <c r="P522" s="13" t="str">
        <f t="shared" ref="P522:P585" si="24"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 t="shared" si="22"/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23"/>
        <v>TBar</v>
      </c>
      <c r="P523" s="13" t="str">
        <f t="shared" si="24"/>
        <v>True Pattern</v>
      </c>
      <c r="Q523" s="13" t="str">
        <f t="shared" si="22"/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3"/>
        <v>TBar</v>
      </c>
      <c r="P524" s="13" t="str">
        <f t="shared" si="24"/>
        <v>True Pattern</v>
      </c>
      <c r="Q524" s="13" t="str">
        <f t="shared" si="22"/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3"/>
        <v>TBar</v>
      </c>
      <c r="P525" s="13" t="str">
        <f t="shared" si="24"/>
        <v>True Pattern</v>
      </c>
      <c r="Q525" s="13" t="str">
        <f t="shared" si="22"/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3"/>
        <v>TBar</v>
      </c>
      <c r="P526" s="13" t="str">
        <f t="shared" si="24"/>
        <v>True Pattern</v>
      </c>
      <c r="Q526" s="13" t="str">
        <f t="shared" si="22"/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3"/>
        <v>TBar</v>
      </c>
      <c r="P527" s="13" t="str">
        <f t="shared" si="24"/>
        <v>True Pattern</v>
      </c>
      <c r="Q527" s="13" t="str">
        <f t="shared" si="22"/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3"/>
        <v>TBar</v>
      </c>
      <c r="P528" s="13" t="str">
        <f t="shared" si="24"/>
        <v>True Pattern</v>
      </c>
      <c r="Q528" s="13" t="str">
        <f t="shared" si="22"/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3"/>
        <v>TBar</v>
      </c>
      <c r="P529" s="13" t="str">
        <f t="shared" si="24"/>
        <v>True Pattern</v>
      </c>
      <c r="Q529" s="13" t="str">
        <f t="shared" si="22"/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3"/>
        <v>TBar</v>
      </c>
      <c r="P530" s="13" t="str">
        <f t="shared" si="24"/>
        <v>True Pattern</v>
      </c>
      <c r="Q530" s="13" t="str">
        <f t="shared" si="22"/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3"/>
        <v>TBar</v>
      </c>
      <c r="P531" s="13" t="str">
        <f t="shared" si="24"/>
        <v>True Pattern</v>
      </c>
      <c r="Q531" s="13" t="str">
        <f t="shared" si="22"/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3"/>
        <v>TBar</v>
      </c>
      <c r="P532" s="13" t="str">
        <f t="shared" si="24"/>
        <v>True Pattern</v>
      </c>
      <c r="Q532" s="13" t="str">
        <f t="shared" si="22"/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3"/>
        <v>TBar</v>
      </c>
      <c r="P533" s="13" t="str">
        <f t="shared" si="24"/>
        <v>True Pattern</v>
      </c>
      <c r="Q533" s="13" t="str">
        <f t="shared" si="22"/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3"/>
        <v>TBar</v>
      </c>
      <c r="P534" s="13" t="str">
        <f t="shared" si="24"/>
        <v>True Pattern</v>
      </c>
      <c r="Q534" s="13" t="str">
        <f t="shared" si="22"/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3"/>
        <v>TBar</v>
      </c>
      <c r="P535" s="13" t="str">
        <f t="shared" si="24"/>
        <v>True Pattern</v>
      </c>
      <c r="Q535" s="13" t="str">
        <f t="shared" ref="Q535:Q597" si="25"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8" si="26">LEFT($A536,FIND("_",$A536)-1)</f>
        <v>TBar</v>
      </c>
      <c r="P536" s="13" t="str">
        <f t="shared" si="24"/>
        <v>True Pattern</v>
      </c>
      <c r="Q536" s="13" t="str">
        <f t="shared" si="25"/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6"/>
        <v>TBar</v>
      </c>
      <c r="P537" s="13" t="str">
        <f t="shared" si="24"/>
        <v>True Pattern</v>
      </c>
      <c r="Q537" s="13" t="str">
        <f t="shared" si="25"/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6"/>
        <v>TBar</v>
      </c>
      <c r="P538" s="13" t="str">
        <f t="shared" si="24"/>
        <v>True Pattern</v>
      </c>
      <c r="Q538" s="13" t="str">
        <f t="shared" si="25"/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6"/>
        <v>TBar</v>
      </c>
      <c r="P539" s="13" t="str">
        <f t="shared" si="24"/>
        <v>True Pattern</v>
      </c>
      <c r="Q539" s="13" t="str">
        <f t="shared" si="25"/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6"/>
        <v>TBar</v>
      </c>
      <c r="P540" s="13" t="str">
        <f t="shared" si="24"/>
        <v>True Pattern</v>
      </c>
      <c r="Q540" s="13" t="str">
        <f t="shared" si="25"/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6"/>
        <v>TBar</v>
      </c>
      <c r="P541" s="13" t="str">
        <f t="shared" si="24"/>
        <v>True Pattern</v>
      </c>
      <c r="Q541" s="13" t="str">
        <f t="shared" si="25"/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6"/>
        <v>TBar</v>
      </c>
      <c r="P542" s="13" t="str">
        <f t="shared" si="24"/>
        <v>True Pattern</v>
      </c>
      <c r="Q542" s="13" t="str">
        <f t="shared" si="25"/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6"/>
        <v>TBar</v>
      </c>
      <c r="P543" s="13" t="str">
        <f t="shared" si="24"/>
        <v>True Pattern</v>
      </c>
      <c r="Q543" s="13" t="str">
        <f t="shared" si="25"/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6"/>
        <v>TBar</v>
      </c>
      <c r="P544" s="13" t="str">
        <f t="shared" si="24"/>
        <v>True Pattern</v>
      </c>
      <c r="Q544" s="13" t="str">
        <f t="shared" si="25"/>
        <v>Buggy</v>
      </c>
      <c r="R544" s="13"/>
      <c r="S544" s="13"/>
      <c r="T544" s="13"/>
      <c r="U544" s="13"/>
      <c r="V544" s="13"/>
      <c r="W544" s="13"/>
    </row>
    <row r="545" spans="1:25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6"/>
        <v>TBar</v>
      </c>
      <c r="P545" s="13" t="str">
        <f t="shared" si="24"/>
        <v>True Pattern</v>
      </c>
      <c r="Q545" s="13" t="str">
        <f t="shared" si="25"/>
        <v>Buggy</v>
      </c>
      <c r="R545" s="13"/>
      <c r="S545" s="13"/>
      <c r="T545" s="13"/>
      <c r="U545" s="13"/>
      <c r="V545" s="13"/>
      <c r="W545" s="13"/>
    </row>
    <row r="546" spans="1:25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6"/>
        <v>TBar</v>
      </c>
      <c r="P546" s="13" t="str">
        <f t="shared" si="24"/>
        <v>True Pattern</v>
      </c>
      <c r="Q546" s="13" t="str">
        <f t="shared" si="25"/>
        <v>Buggy</v>
      </c>
      <c r="R546" s="13"/>
      <c r="S546" s="13"/>
      <c r="T546" s="13"/>
      <c r="U546" s="13"/>
      <c r="V546" s="13"/>
      <c r="W546" s="13"/>
    </row>
    <row r="547" spans="1:25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6"/>
        <v>TBar</v>
      </c>
      <c r="P547" s="13" t="str">
        <f t="shared" si="24"/>
        <v>True Pattern</v>
      </c>
      <c r="Q547" s="13" t="str">
        <f t="shared" si="25"/>
        <v>Buggy</v>
      </c>
      <c r="R547" s="13"/>
      <c r="S547" s="13"/>
      <c r="T547" s="13"/>
      <c r="U547" s="13"/>
      <c r="V547" s="13"/>
      <c r="W547" s="13"/>
    </row>
    <row r="548" spans="1:25" ht="15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6"/>
        <v>TBar</v>
      </c>
      <c r="P548" s="21" t="str">
        <f t="shared" si="24"/>
        <v>True Pattern</v>
      </c>
      <c r="Q548" s="21" t="str">
        <f t="shared" si="25"/>
        <v>Buggy</v>
      </c>
      <c r="R548" s="21"/>
      <c r="S548" s="21"/>
      <c r="T548" s="21"/>
      <c r="U548" s="21"/>
      <c r="V548" s="21"/>
      <c r="W548" s="21"/>
    </row>
    <row r="549" spans="1:25" ht="15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6"/>
        <v>ACS</v>
      </c>
      <c r="P549" s="13" t="str">
        <f t="shared" si="24"/>
        <v>True Search</v>
      </c>
      <c r="Q549" s="34" t="str">
        <f t="shared" si="25"/>
        <v>Fixed</v>
      </c>
      <c r="R549" s="34" t="s">
        <v>1668</v>
      </c>
      <c r="S549" s="34">
        <v>2</v>
      </c>
      <c r="T549" s="34">
        <v>0</v>
      </c>
      <c r="U549" s="34">
        <v>6</v>
      </c>
      <c r="V549" s="18">
        <f>T549+U549</f>
        <v>6</v>
      </c>
      <c r="W549" s="18" t="str">
        <f>MID(A549, SEARCH("_", A549) +1, SEARCH("_", A549, SEARCH("_", A549) +1) - SEARCH("_", A549) -1)</f>
        <v>Chart-19</v>
      </c>
      <c r="Y549"/>
    </row>
    <row r="550" spans="1:25" ht="15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6"/>
        <v>ACS</v>
      </c>
      <c r="P550" s="13" t="str">
        <f t="shared" si="24"/>
        <v>True Search</v>
      </c>
      <c r="Q550" s="18" t="str">
        <f t="shared" si="25"/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f>T550+U550</f>
        <v>2</v>
      </c>
      <c r="W550" s="13" t="str">
        <f t="shared" ref="W550:W613" si="27">MID(A550, SEARCH("_", A550) +1, SEARCH("_", A550, SEARCH("_", A550) +1) - SEARCH("_", A550) -1)</f>
        <v>Lang-24</v>
      </c>
      <c r="Y550"/>
    </row>
    <row r="551" spans="1:25" ht="15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6"/>
        <v>ACS</v>
      </c>
      <c r="P551" s="13" t="str">
        <f t="shared" si="24"/>
        <v>True Search</v>
      </c>
      <c r="Q551" s="13" t="str">
        <f t="shared" si="25"/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f t="shared" ref="V551:V613" si="28">T551+U551</f>
        <v>4</v>
      </c>
      <c r="W551" s="13" t="str">
        <f t="shared" si="27"/>
        <v>Lang-35</v>
      </c>
      <c r="Y551"/>
    </row>
    <row r="552" spans="1:25" ht="15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6"/>
        <v>ACS</v>
      </c>
      <c r="P552" s="13" t="str">
        <f t="shared" si="24"/>
        <v>True Search</v>
      </c>
      <c r="Q552" s="13" t="str">
        <f t="shared" si="25"/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f t="shared" si="28"/>
        <v>6</v>
      </c>
      <c r="W552" s="13" t="str">
        <f t="shared" si="27"/>
        <v>Lang-7</v>
      </c>
      <c r="Y552"/>
    </row>
    <row r="553" spans="1:25" ht="15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6"/>
        <v>ACS</v>
      </c>
      <c r="P553" s="13" t="str">
        <f t="shared" si="24"/>
        <v>True Search</v>
      </c>
      <c r="Q553" s="13" t="str">
        <f t="shared" si="25"/>
        <v>Fixed</v>
      </c>
      <c r="R553" s="13" t="s">
        <v>1668</v>
      </c>
      <c r="S553" s="25">
        <v>2</v>
      </c>
      <c r="T553" s="25">
        <v>0</v>
      </c>
      <c r="U553" s="25">
        <v>3</v>
      </c>
      <c r="V553" s="13">
        <f t="shared" si="28"/>
        <v>3</v>
      </c>
      <c r="W553" s="13" t="str">
        <f t="shared" si="27"/>
        <v>Math-25</v>
      </c>
      <c r="Y553"/>
    </row>
    <row r="554" spans="1:25" ht="15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6"/>
        <v>ACS</v>
      </c>
      <c r="P554" s="13" t="str">
        <f t="shared" si="24"/>
        <v>True Search</v>
      </c>
      <c r="Q554" s="13" t="str">
        <f t="shared" si="25"/>
        <v>Fixed</v>
      </c>
      <c r="R554" s="13" t="s">
        <v>1669</v>
      </c>
      <c r="S554" s="25">
        <v>4</v>
      </c>
      <c r="T554" s="13">
        <v>0</v>
      </c>
      <c r="U554" s="25">
        <v>4</v>
      </c>
      <c r="V554" s="13">
        <f t="shared" si="28"/>
        <v>4</v>
      </c>
      <c r="W554" s="13" t="str">
        <f t="shared" si="27"/>
        <v>Math-28</v>
      </c>
      <c r="Y554"/>
    </row>
    <row r="555" spans="1:25" ht="15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6"/>
        <v>ACS</v>
      </c>
      <c r="P555" s="13" t="str">
        <f t="shared" si="24"/>
        <v>True Search</v>
      </c>
      <c r="Q555" s="13" t="str">
        <f t="shared" si="25"/>
        <v>Fixed</v>
      </c>
      <c r="R555" s="13" t="s">
        <v>1668</v>
      </c>
      <c r="S555" s="25">
        <v>2</v>
      </c>
      <c r="T555" s="13">
        <v>0</v>
      </c>
      <c r="U555" s="25">
        <v>3</v>
      </c>
      <c r="V555" s="13">
        <f t="shared" si="28"/>
        <v>3</v>
      </c>
      <c r="W555" s="13" t="str">
        <f t="shared" si="27"/>
        <v>Math-3</v>
      </c>
      <c r="Y555"/>
    </row>
    <row r="556" spans="1:25" ht="15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6"/>
        <v>ACS</v>
      </c>
      <c r="P556" s="13" t="str">
        <f t="shared" si="24"/>
        <v>True Search</v>
      </c>
      <c r="Q556" s="13" t="str">
        <f t="shared" si="25"/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f t="shared" si="28"/>
        <v>4</v>
      </c>
      <c r="W556" s="13" t="str">
        <f t="shared" si="27"/>
        <v>Math-35</v>
      </c>
      <c r="Y556"/>
    </row>
    <row r="557" spans="1:25" ht="15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6"/>
        <v>ACS</v>
      </c>
      <c r="P557" s="13" t="str">
        <f t="shared" si="24"/>
        <v>True Search</v>
      </c>
      <c r="Q557" s="13" t="str">
        <f t="shared" si="25"/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f t="shared" si="28"/>
        <v>2</v>
      </c>
      <c r="W557" s="13" t="str">
        <f t="shared" si="27"/>
        <v>Math-5</v>
      </c>
      <c r="Y557"/>
    </row>
    <row r="558" spans="1:25" ht="15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6"/>
        <v>ACS</v>
      </c>
      <c r="P558" s="13" t="str">
        <f t="shared" si="24"/>
        <v>True Search</v>
      </c>
      <c r="Q558" s="13" t="str">
        <f t="shared" si="25"/>
        <v>Fixed</v>
      </c>
      <c r="R558" s="13" t="s">
        <v>1669</v>
      </c>
      <c r="S558" s="25">
        <v>1</v>
      </c>
      <c r="T558" s="25">
        <v>0</v>
      </c>
      <c r="U558" s="25">
        <v>4</v>
      </c>
      <c r="V558" s="13">
        <f t="shared" si="28"/>
        <v>4</v>
      </c>
      <c r="W558" s="13" t="str">
        <f t="shared" si="27"/>
        <v>Math-73</v>
      </c>
      <c r="Y558"/>
    </row>
    <row r="559" spans="1:25" ht="15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6"/>
        <v>ACS</v>
      </c>
      <c r="P559" s="13" t="str">
        <f t="shared" si="24"/>
        <v>True Search</v>
      </c>
      <c r="Q559" s="13" t="str">
        <f t="shared" si="25"/>
        <v>Fixed</v>
      </c>
      <c r="R559" s="13" t="s">
        <v>1669</v>
      </c>
      <c r="S559" s="25">
        <v>3</v>
      </c>
      <c r="T559" s="13">
        <v>3</v>
      </c>
      <c r="U559" s="25">
        <v>4</v>
      </c>
      <c r="V559" s="13">
        <f t="shared" si="28"/>
        <v>7</v>
      </c>
      <c r="W559" s="13" t="str">
        <f t="shared" si="27"/>
        <v>Math-81</v>
      </c>
      <c r="Y559"/>
    </row>
    <row r="560" spans="1:25" ht="15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6"/>
        <v>ACS</v>
      </c>
      <c r="P560" s="13" t="str">
        <f t="shared" si="24"/>
        <v>True Search</v>
      </c>
      <c r="Q560" s="13" t="str">
        <f t="shared" si="25"/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f t="shared" si="28"/>
        <v>2</v>
      </c>
      <c r="W560" s="13" t="str">
        <f t="shared" si="27"/>
        <v>Math-82</v>
      </c>
      <c r="Y560"/>
    </row>
    <row r="561" spans="1:25" ht="15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6"/>
        <v>ACS</v>
      </c>
      <c r="P561" s="13" t="str">
        <f t="shared" si="24"/>
        <v>True Search</v>
      </c>
      <c r="Q561" s="13" t="str">
        <f t="shared" si="25"/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f t="shared" si="28"/>
        <v>2</v>
      </c>
      <c r="W561" s="13" t="str">
        <f t="shared" si="27"/>
        <v>Math-85</v>
      </c>
      <c r="Y561"/>
    </row>
    <row r="562" spans="1:25" ht="15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6"/>
        <v>ACS</v>
      </c>
      <c r="P562" s="13" t="str">
        <f t="shared" si="24"/>
        <v>True Search</v>
      </c>
      <c r="Q562" s="13" t="str">
        <f t="shared" si="25"/>
        <v>Fixed</v>
      </c>
      <c r="R562" s="13" t="s">
        <v>1668</v>
      </c>
      <c r="S562" s="25">
        <v>2</v>
      </c>
      <c r="T562" s="25">
        <v>0</v>
      </c>
      <c r="U562" s="25">
        <v>4</v>
      </c>
      <c r="V562" s="13">
        <f t="shared" si="28"/>
        <v>4</v>
      </c>
      <c r="W562" s="13" t="str">
        <f t="shared" si="27"/>
        <v>Math-89</v>
      </c>
      <c r="Y562"/>
    </row>
    <row r="563" spans="1:25" ht="15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6"/>
        <v>ACS</v>
      </c>
      <c r="P563" s="13" t="str">
        <f t="shared" si="24"/>
        <v>True Search</v>
      </c>
      <c r="Q563" s="13" t="str">
        <f t="shared" si="25"/>
        <v>Fixed</v>
      </c>
      <c r="R563" s="13" t="s">
        <v>1668</v>
      </c>
      <c r="S563" s="25">
        <v>2</v>
      </c>
      <c r="T563" s="13">
        <v>0</v>
      </c>
      <c r="U563" s="25">
        <v>3</v>
      </c>
      <c r="V563" s="13">
        <f t="shared" si="28"/>
        <v>3</v>
      </c>
      <c r="W563" s="13" t="str">
        <f t="shared" si="27"/>
        <v>Math-90</v>
      </c>
      <c r="Y563"/>
    </row>
    <row r="564" spans="1:25" ht="15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6"/>
        <v>ACS</v>
      </c>
      <c r="P564" s="13" t="str">
        <f t="shared" si="24"/>
        <v>True Search</v>
      </c>
      <c r="Q564" s="13" t="str">
        <f t="shared" si="25"/>
        <v>Fixed</v>
      </c>
      <c r="R564" s="13" t="s">
        <v>1669</v>
      </c>
      <c r="S564" s="25">
        <v>3</v>
      </c>
      <c r="T564" s="13">
        <v>2</v>
      </c>
      <c r="U564" s="25">
        <v>10</v>
      </c>
      <c r="V564" s="13">
        <f t="shared" si="28"/>
        <v>12</v>
      </c>
      <c r="W564" s="13" t="str">
        <f t="shared" si="27"/>
        <v>Math-93</v>
      </c>
      <c r="Y564"/>
    </row>
    <row r="565" spans="1:25" ht="15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6"/>
        <v>ACS</v>
      </c>
      <c r="P565" s="13" t="str">
        <f t="shared" si="24"/>
        <v>True Search</v>
      </c>
      <c r="Q565" s="13" t="str">
        <f t="shared" si="25"/>
        <v>Fixed</v>
      </c>
      <c r="R565" s="13" t="s">
        <v>1669</v>
      </c>
      <c r="S565" s="25">
        <v>5</v>
      </c>
      <c r="T565" s="25">
        <v>2</v>
      </c>
      <c r="U565" s="25">
        <v>16</v>
      </c>
      <c r="V565" s="13">
        <f t="shared" si="28"/>
        <v>18</v>
      </c>
      <c r="W565" s="13" t="str">
        <f t="shared" si="27"/>
        <v>Math-97</v>
      </c>
      <c r="Y565"/>
    </row>
    <row r="566" spans="1:25" ht="15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6"/>
        <v>ACS</v>
      </c>
      <c r="P566" s="13" t="str">
        <f t="shared" si="24"/>
        <v>True Search</v>
      </c>
      <c r="Q566" s="13" t="str">
        <f t="shared" si="25"/>
        <v>Fixed</v>
      </c>
      <c r="R566" s="13" t="s">
        <v>1668</v>
      </c>
      <c r="S566" s="25">
        <v>2</v>
      </c>
      <c r="T566" s="25">
        <v>0</v>
      </c>
      <c r="U566" s="25">
        <v>8</v>
      </c>
      <c r="V566" s="13">
        <f t="shared" si="28"/>
        <v>8</v>
      </c>
      <c r="W566" s="13" t="str">
        <f t="shared" si="27"/>
        <v>Math-99</v>
      </c>
      <c r="Y566"/>
    </row>
    <row r="567" spans="1:25" ht="15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6"/>
        <v>ACS</v>
      </c>
      <c r="P567" s="13" t="str">
        <f t="shared" si="24"/>
        <v>True Search</v>
      </c>
      <c r="Q567" s="13" t="str">
        <f t="shared" si="25"/>
        <v>Fixed</v>
      </c>
      <c r="R567" s="13" t="s">
        <v>1668</v>
      </c>
      <c r="S567" s="25">
        <v>1</v>
      </c>
      <c r="T567" s="13">
        <v>0</v>
      </c>
      <c r="U567" s="25">
        <v>3</v>
      </c>
      <c r="V567" s="13">
        <f t="shared" si="28"/>
        <v>3</v>
      </c>
      <c r="W567" s="13" t="str">
        <f t="shared" si="27"/>
        <v>Time-15</v>
      </c>
      <c r="Y567"/>
    </row>
    <row r="568" spans="1:25" ht="15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6"/>
        <v>ARJA</v>
      </c>
      <c r="P568" s="13" t="str">
        <f t="shared" si="24"/>
        <v>Evolutionary Search</v>
      </c>
      <c r="Q568" s="13" t="str">
        <f t="shared" si="25"/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f t="shared" si="28"/>
        <v>2</v>
      </c>
      <c r="W568" s="13" t="str">
        <f t="shared" si="27"/>
        <v>Chart-1</v>
      </c>
      <c r="Y568"/>
    </row>
    <row r="569" spans="1:25" ht="15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6"/>
        <v>ARJA</v>
      </c>
      <c r="P569" s="13" t="str">
        <f t="shared" si="24"/>
        <v>Evolutionary Search</v>
      </c>
      <c r="Q569" s="13" t="str">
        <f t="shared" si="25"/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f t="shared" si="28"/>
        <v>2</v>
      </c>
      <c r="W569" s="13" t="str">
        <f t="shared" si="27"/>
        <v>Chart-12</v>
      </c>
      <c r="Y569"/>
    </row>
    <row r="570" spans="1:25" ht="15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6"/>
        <v>ARJA</v>
      </c>
      <c r="P570" s="13" t="str">
        <f t="shared" si="24"/>
        <v>Evolutionary Search</v>
      </c>
      <c r="Q570" s="13" t="str">
        <f t="shared" si="25"/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f t="shared" si="28"/>
        <v>2</v>
      </c>
      <c r="W570" s="13" t="str">
        <f t="shared" si="27"/>
        <v>Chart-13</v>
      </c>
      <c r="Y570"/>
    </row>
    <row r="571" spans="1:25" ht="15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6"/>
        <v>ARJA</v>
      </c>
      <c r="P571" s="13" t="str">
        <f t="shared" si="24"/>
        <v>Evolutionary Search</v>
      </c>
      <c r="Q571" s="13" t="str">
        <f t="shared" si="25"/>
        <v>Fixed</v>
      </c>
      <c r="R571" s="13" t="s">
        <v>1669</v>
      </c>
      <c r="S571" s="25">
        <v>1</v>
      </c>
      <c r="T571" s="25">
        <v>0</v>
      </c>
      <c r="U571" s="25">
        <v>2</v>
      </c>
      <c r="V571" s="13">
        <f t="shared" si="28"/>
        <v>2</v>
      </c>
      <c r="W571" s="13" t="str">
        <f t="shared" si="27"/>
        <v>Chart-3</v>
      </c>
      <c r="Y571"/>
    </row>
    <row r="572" spans="1:25" ht="15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6"/>
        <v>ARJA</v>
      </c>
      <c r="P572" s="13" t="str">
        <f t="shared" si="24"/>
        <v>Evolutionary Search</v>
      </c>
      <c r="Q572" s="13" t="str">
        <f t="shared" si="25"/>
        <v>Fixed</v>
      </c>
      <c r="R572" s="13" t="s">
        <v>1669</v>
      </c>
      <c r="S572" s="25">
        <v>2</v>
      </c>
      <c r="T572" s="13">
        <v>1</v>
      </c>
      <c r="U572" s="25">
        <v>5</v>
      </c>
      <c r="V572" s="13">
        <f t="shared" si="28"/>
        <v>6</v>
      </c>
      <c r="W572" s="13" t="str">
        <f t="shared" si="27"/>
        <v>Chart-5</v>
      </c>
      <c r="Y572"/>
    </row>
    <row r="573" spans="1:25" ht="15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6"/>
        <v>ARJA</v>
      </c>
      <c r="P573" s="13" t="str">
        <f t="shared" si="24"/>
        <v>Evolutionary Search</v>
      </c>
      <c r="Q573" s="13" t="str">
        <f t="shared" si="25"/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f t="shared" si="28"/>
        <v>4</v>
      </c>
      <c r="W573" s="13" t="str">
        <f t="shared" si="27"/>
        <v>Chart-7</v>
      </c>
      <c r="Y573"/>
    </row>
    <row r="574" spans="1:25" ht="15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6"/>
        <v>ARJA</v>
      </c>
      <c r="P574" s="13" t="str">
        <f t="shared" si="24"/>
        <v>Evolutionary Search</v>
      </c>
      <c r="Q574" s="13" t="str">
        <f t="shared" si="25"/>
        <v>Fixed</v>
      </c>
      <c r="R574" s="13" t="s">
        <v>1669</v>
      </c>
      <c r="S574" s="25">
        <v>1</v>
      </c>
      <c r="T574" s="25">
        <v>3</v>
      </c>
      <c r="U574" s="25">
        <v>9</v>
      </c>
      <c r="V574" s="13">
        <f t="shared" si="28"/>
        <v>12</v>
      </c>
      <c r="W574" s="13" t="str">
        <f t="shared" si="27"/>
        <v>Closure-112</v>
      </c>
      <c r="Y574"/>
    </row>
    <row r="575" spans="1:25" ht="15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6"/>
        <v>ARJA</v>
      </c>
      <c r="P575" s="13" t="str">
        <f t="shared" si="24"/>
        <v>Evolutionary Search</v>
      </c>
      <c r="Q575" s="13" t="str">
        <f t="shared" si="25"/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f t="shared" si="28"/>
        <v>2</v>
      </c>
      <c r="W575" s="13" t="str">
        <f t="shared" si="27"/>
        <v>Closure-114</v>
      </c>
      <c r="Y575"/>
    </row>
    <row r="576" spans="1:25" ht="15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6"/>
        <v>ARJA</v>
      </c>
      <c r="P576" s="13" t="str">
        <f t="shared" si="24"/>
        <v>Evolutionary Search</v>
      </c>
      <c r="Q576" s="13" t="str">
        <f t="shared" si="25"/>
        <v>Fixed</v>
      </c>
      <c r="R576" s="13" t="s">
        <v>1668</v>
      </c>
      <c r="S576" s="25">
        <v>2</v>
      </c>
      <c r="T576" s="25">
        <v>11</v>
      </c>
      <c r="U576" s="25">
        <v>0</v>
      </c>
      <c r="V576" s="13">
        <f t="shared" si="28"/>
        <v>11</v>
      </c>
      <c r="W576" s="13" t="str">
        <f t="shared" si="27"/>
        <v>Closure-115</v>
      </c>
      <c r="Y576"/>
    </row>
    <row r="577" spans="1:25" ht="15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6"/>
        <v>ARJA</v>
      </c>
      <c r="P577" s="13" t="str">
        <f t="shared" si="24"/>
        <v>Evolutionary Search</v>
      </c>
      <c r="Q577" s="13" t="str">
        <f t="shared" si="25"/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f t="shared" si="28"/>
        <v>24</v>
      </c>
      <c r="W577" s="13" t="str">
        <f t="shared" si="27"/>
        <v>Closure-117</v>
      </c>
      <c r="Y577"/>
    </row>
    <row r="578" spans="1:25" ht="15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6"/>
        <v>ARJA</v>
      </c>
      <c r="P578" s="13" t="str">
        <f t="shared" si="24"/>
        <v>Evolutionary Search</v>
      </c>
      <c r="Q578" s="13" t="str">
        <f t="shared" si="25"/>
        <v>Fixed</v>
      </c>
      <c r="R578" s="13" t="s">
        <v>1669</v>
      </c>
      <c r="S578" s="25">
        <v>2</v>
      </c>
      <c r="T578" s="25">
        <v>0</v>
      </c>
      <c r="U578" s="25">
        <v>2</v>
      </c>
      <c r="V578" s="13">
        <f t="shared" si="28"/>
        <v>2</v>
      </c>
      <c r="W578" s="13" t="str">
        <f t="shared" si="27"/>
        <v>Closure-124</v>
      </c>
      <c r="Y578"/>
    </row>
    <row r="579" spans="1:25" ht="15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6"/>
        <v>ARJA</v>
      </c>
      <c r="P579" s="13" t="str">
        <f t="shared" si="24"/>
        <v>Evolutionary Search</v>
      </c>
      <c r="Q579" s="13" t="str">
        <f t="shared" si="25"/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f t="shared" si="28"/>
        <v>2</v>
      </c>
      <c r="W579" s="13" t="str">
        <f t="shared" si="27"/>
        <v>Closure-125</v>
      </c>
      <c r="Y579"/>
    </row>
    <row r="580" spans="1:25" ht="15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6"/>
        <v>ARJA</v>
      </c>
      <c r="P580" s="13" t="str">
        <f t="shared" si="24"/>
        <v>Evolutionary Search</v>
      </c>
      <c r="Q580" s="13" t="str">
        <f t="shared" si="25"/>
        <v>Fixed</v>
      </c>
      <c r="R580" s="13" t="s">
        <v>1669</v>
      </c>
      <c r="S580" s="25">
        <v>2</v>
      </c>
      <c r="T580" s="25">
        <v>19</v>
      </c>
      <c r="U580" s="25">
        <v>2</v>
      </c>
      <c r="V580" s="13">
        <f t="shared" si="28"/>
        <v>21</v>
      </c>
      <c r="W580" s="13" t="str">
        <f t="shared" si="27"/>
        <v>Closure-21</v>
      </c>
      <c r="Y580"/>
    </row>
    <row r="581" spans="1:25" ht="15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6"/>
        <v>ARJA</v>
      </c>
      <c r="P581" s="13" t="str">
        <f t="shared" si="24"/>
        <v>Evolutionary Search</v>
      </c>
      <c r="Q581" s="13" t="str">
        <f t="shared" si="25"/>
        <v>Fixed</v>
      </c>
      <c r="R581" s="13" t="s">
        <v>1669</v>
      </c>
      <c r="S581" s="25">
        <v>5</v>
      </c>
      <c r="T581" s="25">
        <v>26</v>
      </c>
      <c r="U581" s="25">
        <v>2</v>
      </c>
      <c r="V581" s="13">
        <f t="shared" si="28"/>
        <v>28</v>
      </c>
      <c r="W581" s="13" t="str">
        <f t="shared" si="27"/>
        <v>Closure-22</v>
      </c>
      <c r="Y581"/>
    </row>
    <row r="582" spans="1:25" ht="15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6"/>
        <v>ARJA</v>
      </c>
      <c r="P582" s="13" t="str">
        <f t="shared" si="24"/>
        <v>Evolutionary Search</v>
      </c>
      <c r="Q582" s="13" t="str">
        <f t="shared" si="25"/>
        <v>Fixed</v>
      </c>
      <c r="R582" s="13" t="s">
        <v>1669</v>
      </c>
      <c r="S582" s="25">
        <v>3</v>
      </c>
      <c r="T582" s="25">
        <v>2</v>
      </c>
      <c r="U582" s="25">
        <v>8</v>
      </c>
      <c r="V582" s="13">
        <f t="shared" si="28"/>
        <v>10</v>
      </c>
      <c r="W582" s="13" t="str">
        <f t="shared" si="27"/>
        <v>Closure-3</v>
      </c>
      <c r="Y582"/>
    </row>
    <row r="583" spans="1:25" ht="15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6"/>
        <v>ARJA</v>
      </c>
      <c r="P583" s="13" t="str">
        <f t="shared" si="24"/>
        <v>Evolutionary Search</v>
      </c>
      <c r="Q583" s="13" t="str">
        <f t="shared" si="25"/>
        <v>Fixed</v>
      </c>
      <c r="R583" s="13" t="s">
        <v>1669</v>
      </c>
      <c r="S583" s="25">
        <v>1</v>
      </c>
      <c r="T583" s="25">
        <v>0</v>
      </c>
      <c r="U583" s="25">
        <v>3</v>
      </c>
      <c r="V583" s="13">
        <f t="shared" si="28"/>
        <v>3</v>
      </c>
      <c r="W583" s="13" t="str">
        <f t="shared" si="27"/>
        <v>Closure-33</v>
      </c>
      <c r="Y583"/>
    </row>
    <row r="584" spans="1:25" ht="15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6"/>
        <v>ARJA</v>
      </c>
      <c r="P584" s="13" t="str">
        <f t="shared" si="24"/>
        <v>Evolutionary Search</v>
      </c>
      <c r="Q584" s="13" t="str">
        <f t="shared" si="25"/>
        <v>Fixed</v>
      </c>
      <c r="R584" s="13" t="s">
        <v>1669</v>
      </c>
      <c r="S584" s="25">
        <v>1</v>
      </c>
      <c r="T584" s="13">
        <v>1</v>
      </c>
      <c r="U584" s="25">
        <v>2</v>
      </c>
      <c r="V584" s="13">
        <f t="shared" si="28"/>
        <v>3</v>
      </c>
      <c r="W584" s="13" t="str">
        <f t="shared" si="27"/>
        <v>Closure-55</v>
      </c>
      <c r="Y584"/>
    </row>
    <row r="585" spans="1:25" ht="15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6"/>
        <v>ARJA</v>
      </c>
      <c r="P585" s="13" t="str">
        <f t="shared" si="24"/>
        <v>Evolutionary Search</v>
      </c>
      <c r="Q585" s="13" t="str">
        <f t="shared" si="25"/>
        <v>Fixed</v>
      </c>
      <c r="R585" s="13" t="s">
        <v>1669</v>
      </c>
      <c r="S585" s="25">
        <v>2</v>
      </c>
      <c r="T585" s="25">
        <v>0</v>
      </c>
      <c r="U585" s="25">
        <v>4</v>
      </c>
      <c r="V585" s="13">
        <f t="shared" si="28"/>
        <v>4</v>
      </c>
      <c r="W585" s="13" t="str">
        <f t="shared" si="27"/>
        <v>Closure-8</v>
      </c>
      <c r="Y585"/>
    </row>
    <row r="586" spans="1:25" ht="15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6"/>
        <v>ARJA</v>
      </c>
      <c r="P586" s="13" t="str">
        <f t="shared" ref="P586:P649" si="29"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 t="shared" si="25"/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f t="shared" si="28"/>
        <v>2</v>
      </c>
      <c r="W586" s="13" t="str">
        <f t="shared" si="27"/>
        <v>Closure-86</v>
      </c>
      <c r="Y586"/>
    </row>
    <row r="587" spans="1:25" ht="15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6"/>
        <v>ARJA</v>
      </c>
      <c r="P587" s="13" t="str">
        <f t="shared" si="29"/>
        <v>Evolutionary Search</v>
      </c>
      <c r="Q587" s="13" t="str">
        <f t="shared" si="25"/>
        <v>Fixed</v>
      </c>
      <c r="R587" s="13" t="s">
        <v>1669</v>
      </c>
      <c r="S587" s="25">
        <v>2</v>
      </c>
      <c r="T587" s="25">
        <v>0</v>
      </c>
      <c r="U587" s="25">
        <v>6</v>
      </c>
      <c r="V587" s="13">
        <f t="shared" si="28"/>
        <v>6</v>
      </c>
      <c r="W587" s="13" t="str">
        <f t="shared" si="27"/>
        <v>Closure-88</v>
      </c>
      <c r="Y587"/>
    </row>
    <row r="588" spans="1:25" ht="15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6"/>
        <v>ARJA</v>
      </c>
      <c r="P588" s="13" t="str">
        <f t="shared" si="29"/>
        <v>Evolutionary Search</v>
      </c>
      <c r="Q588" s="13" t="str">
        <f t="shared" si="25"/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f t="shared" si="28"/>
        <v>2</v>
      </c>
      <c r="W588" s="13" t="str">
        <f t="shared" si="27"/>
        <v>Lang-16</v>
      </c>
      <c r="Y588"/>
    </row>
    <row r="589" spans="1:25" ht="15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6"/>
        <v>ARJA</v>
      </c>
      <c r="P589" s="13" t="str">
        <f t="shared" si="29"/>
        <v>Evolutionary Search</v>
      </c>
      <c r="Q589" s="13" t="str">
        <f t="shared" si="25"/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f t="shared" si="28"/>
        <v>4</v>
      </c>
      <c r="W589" s="13" t="str">
        <f t="shared" si="27"/>
        <v>Lang-20</v>
      </c>
      <c r="Y589"/>
    </row>
    <row r="590" spans="1:25" ht="15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6"/>
        <v>ARJA</v>
      </c>
      <c r="P590" s="13" t="str">
        <f t="shared" si="29"/>
        <v>Evolutionary Search</v>
      </c>
      <c r="Q590" s="13" t="str">
        <f t="shared" si="25"/>
        <v>Fixed</v>
      </c>
      <c r="R590" s="13" t="s">
        <v>1669</v>
      </c>
      <c r="S590" s="25">
        <v>1</v>
      </c>
      <c r="T590" s="25">
        <v>0</v>
      </c>
      <c r="U590" s="25">
        <v>1</v>
      </c>
      <c r="V590" s="13">
        <f t="shared" si="28"/>
        <v>1</v>
      </c>
      <c r="W590" s="13" t="str">
        <f t="shared" si="27"/>
        <v>Lang-43</v>
      </c>
      <c r="Y590"/>
    </row>
    <row r="591" spans="1:25" ht="15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6"/>
        <v>ARJA</v>
      </c>
      <c r="P591" s="13" t="str">
        <f t="shared" si="29"/>
        <v>Evolutionary Search</v>
      </c>
      <c r="Q591" s="13" t="str">
        <f t="shared" si="25"/>
        <v>Fixed</v>
      </c>
      <c r="R591" s="13" t="s">
        <v>1668</v>
      </c>
      <c r="S591" s="25">
        <v>9</v>
      </c>
      <c r="T591" s="13">
        <v>7</v>
      </c>
      <c r="U591" s="25">
        <v>10</v>
      </c>
      <c r="V591" s="13">
        <f t="shared" si="28"/>
        <v>17</v>
      </c>
      <c r="W591" s="13" t="str">
        <f t="shared" si="27"/>
        <v>Lang-46</v>
      </c>
      <c r="Y591"/>
    </row>
    <row r="592" spans="1:25" ht="15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6"/>
        <v>ARJA</v>
      </c>
      <c r="P592" s="13" t="str">
        <f t="shared" si="29"/>
        <v>Evolutionary Search</v>
      </c>
      <c r="Q592" s="13" t="str">
        <f t="shared" si="25"/>
        <v>Fixed</v>
      </c>
      <c r="R592" s="13" t="s">
        <v>1669</v>
      </c>
      <c r="S592" s="25">
        <v>6</v>
      </c>
      <c r="T592" s="25">
        <v>10</v>
      </c>
      <c r="U592" s="25">
        <v>6</v>
      </c>
      <c r="V592" s="13">
        <f t="shared" si="28"/>
        <v>16</v>
      </c>
      <c r="W592" s="13" t="str">
        <f t="shared" si="27"/>
        <v>Lang-50</v>
      </c>
      <c r="Y592"/>
    </row>
    <row r="593" spans="1:25" ht="15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6"/>
        <v>ARJA</v>
      </c>
      <c r="P593" s="13" t="str">
        <f t="shared" si="29"/>
        <v>Evolutionary Search</v>
      </c>
      <c r="Q593" s="13" t="str">
        <f t="shared" si="25"/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f t="shared" si="28"/>
        <v>2</v>
      </c>
      <c r="W593" s="13" t="str">
        <f t="shared" si="27"/>
        <v>Lang-59</v>
      </c>
      <c r="Y593"/>
    </row>
    <row r="594" spans="1:25" ht="15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6"/>
        <v>ARJA</v>
      </c>
      <c r="P594" s="13" t="str">
        <f t="shared" si="29"/>
        <v>Evolutionary Search</v>
      </c>
      <c r="Q594" s="13" t="str">
        <f t="shared" si="25"/>
        <v>Fixed</v>
      </c>
      <c r="R594" s="13" t="s">
        <v>1669</v>
      </c>
      <c r="S594" s="25">
        <v>4</v>
      </c>
      <c r="T594" s="25">
        <v>20</v>
      </c>
      <c r="U594" s="25">
        <v>3</v>
      </c>
      <c r="V594" s="13">
        <f t="shared" si="28"/>
        <v>23</v>
      </c>
      <c r="W594" s="13" t="str">
        <f t="shared" si="27"/>
        <v>Lang-63</v>
      </c>
      <c r="Y594"/>
    </row>
    <row r="595" spans="1:25" ht="15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6"/>
        <v>ARJA</v>
      </c>
      <c r="P595" s="13" t="str">
        <f t="shared" si="29"/>
        <v>Evolutionary Search</v>
      </c>
      <c r="Q595" s="13" t="str">
        <f t="shared" si="25"/>
        <v>Fixed</v>
      </c>
      <c r="R595" s="13" t="s">
        <v>1669</v>
      </c>
      <c r="S595" s="25">
        <v>4</v>
      </c>
      <c r="T595" s="25">
        <v>0</v>
      </c>
      <c r="U595" s="25">
        <v>4</v>
      </c>
      <c r="V595" s="13">
        <f t="shared" si="28"/>
        <v>4</v>
      </c>
      <c r="W595" s="13" t="str">
        <f t="shared" si="27"/>
        <v>Math-28</v>
      </c>
      <c r="Y595"/>
    </row>
    <row r="596" spans="1:25" ht="15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6"/>
        <v>ARJA</v>
      </c>
      <c r="P596" s="13" t="str">
        <f t="shared" si="29"/>
        <v>Evolutionary Search</v>
      </c>
      <c r="Q596" s="13" t="str">
        <f t="shared" si="25"/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f t="shared" si="28"/>
        <v>4</v>
      </c>
      <c r="W596" s="13" t="str">
        <f t="shared" si="27"/>
        <v>Math-35</v>
      </c>
      <c r="Y596"/>
    </row>
    <row r="597" spans="1:25" ht="15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6"/>
        <v>ARJA</v>
      </c>
      <c r="P597" s="13" t="str">
        <f t="shared" si="29"/>
        <v>Evolutionary Search</v>
      </c>
      <c r="Q597" s="13" t="str">
        <f t="shared" si="25"/>
        <v>Fixed</v>
      </c>
      <c r="R597" s="13" t="s">
        <v>1669</v>
      </c>
      <c r="S597" s="25">
        <v>2</v>
      </c>
      <c r="T597" s="25">
        <v>2</v>
      </c>
      <c r="U597" s="25">
        <v>8</v>
      </c>
      <c r="V597" s="13">
        <f t="shared" si="28"/>
        <v>10</v>
      </c>
      <c r="W597" s="13" t="str">
        <f t="shared" si="27"/>
        <v>Math-40</v>
      </c>
      <c r="Y597"/>
    </row>
    <row r="598" spans="1:25" ht="15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6"/>
        <v>ARJA</v>
      </c>
      <c r="P598" s="13" t="str">
        <f t="shared" si="29"/>
        <v>Evolutionary Search</v>
      </c>
      <c r="Q598" s="13" t="str">
        <f t="shared" ref="Q598:Q661" si="30"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f t="shared" si="28"/>
        <v>8</v>
      </c>
      <c r="W598" s="13" t="str">
        <f t="shared" si="27"/>
        <v>Math-49</v>
      </c>
      <c r="Y598"/>
    </row>
    <row r="599" spans="1:25" ht="15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ref="O599:O662" si="31">LEFT($A599,FIND("_",$A599)-1)</f>
        <v>ARJA</v>
      </c>
      <c r="P599" s="13" t="str">
        <f t="shared" si="29"/>
        <v>Evolutionary Search</v>
      </c>
      <c r="Q599" s="13" t="str">
        <f t="shared" si="30"/>
        <v>Fixed</v>
      </c>
      <c r="R599" s="13" t="s">
        <v>1668</v>
      </c>
      <c r="S599" s="25">
        <v>1</v>
      </c>
      <c r="T599" s="25">
        <v>4</v>
      </c>
      <c r="U599" s="25">
        <v>0</v>
      </c>
      <c r="V599" s="13">
        <f t="shared" si="28"/>
        <v>4</v>
      </c>
      <c r="W599" s="13" t="str">
        <f t="shared" si="27"/>
        <v>Math-50</v>
      </c>
      <c r="Y599"/>
    </row>
    <row r="600" spans="1:25" ht="15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si="31"/>
        <v>ARJA</v>
      </c>
      <c r="P600" s="13" t="str">
        <f t="shared" si="29"/>
        <v>Evolutionary Search</v>
      </c>
      <c r="Q600" s="13" t="str">
        <f t="shared" si="30"/>
        <v>Fixed</v>
      </c>
      <c r="R600" s="13" t="s">
        <v>1669</v>
      </c>
      <c r="S600" s="25">
        <v>1</v>
      </c>
      <c r="T600" s="25">
        <v>0</v>
      </c>
      <c r="U600" s="13">
        <v>3</v>
      </c>
      <c r="V600" s="13">
        <f t="shared" si="28"/>
        <v>3</v>
      </c>
      <c r="W600" s="13" t="str">
        <f t="shared" si="27"/>
        <v>Math-53</v>
      </c>
      <c r="Y600"/>
    </row>
    <row r="601" spans="1:25" ht="15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31"/>
        <v>ARJA</v>
      </c>
      <c r="P601" s="13" t="str">
        <f t="shared" si="29"/>
        <v>Evolutionary Search</v>
      </c>
      <c r="Q601" s="13" t="str">
        <f t="shared" si="30"/>
        <v>Fixed</v>
      </c>
      <c r="R601" s="13" t="s">
        <v>1669</v>
      </c>
      <c r="S601" s="25">
        <v>1</v>
      </c>
      <c r="T601" s="13">
        <v>7</v>
      </c>
      <c r="U601" s="25">
        <v>1</v>
      </c>
      <c r="V601" s="13">
        <f t="shared" si="28"/>
        <v>8</v>
      </c>
      <c r="W601" s="13" t="str">
        <f t="shared" si="27"/>
        <v>Math-56</v>
      </c>
      <c r="Y601"/>
    </row>
    <row r="602" spans="1:25" ht="15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31"/>
        <v>ARJA</v>
      </c>
      <c r="P602" s="13" t="str">
        <f t="shared" si="29"/>
        <v>Evolutionary Search</v>
      </c>
      <c r="Q602" s="13" t="str">
        <f t="shared" si="30"/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f t="shared" si="28"/>
        <v>2</v>
      </c>
      <c r="W602" s="13" t="str">
        <f t="shared" si="27"/>
        <v>Math-58</v>
      </c>
      <c r="Y602"/>
    </row>
    <row r="603" spans="1:25" ht="15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31"/>
        <v>ARJA</v>
      </c>
      <c r="P603" s="13" t="str">
        <f t="shared" si="29"/>
        <v>Evolutionary Search</v>
      </c>
      <c r="Q603" s="13" t="str">
        <f t="shared" si="30"/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f t="shared" si="28"/>
        <v>2</v>
      </c>
      <c r="W603" s="13" t="str">
        <f t="shared" si="27"/>
        <v>Math-70</v>
      </c>
      <c r="Y603"/>
    </row>
    <row r="604" spans="1:25" ht="15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31"/>
        <v>ARJA</v>
      </c>
      <c r="P604" s="13" t="str">
        <f t="shared" si="29"/>
        <v>Evolutionary Search</v>
      </c>
      <c r="Q604" s="13" t="str">
        <f t="shared" si="30"/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f t="shared" si="28"/>
        <v>2</v>
      </c>
      <c r="W604" s="13" t="str">
        <f t="shared" si="27"/>
        <v>Math-80</v>
      </c>
      <c r="Y604"/>
    </row>
    <row r="605" spans="1:25" ht="15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31"/>
        <v>ARJA</v>
      </c>
      <c r="P605" s="13" t="str">
        <f t="shared" si="29"/>
        <v>Evolutionary Search</v>
      </c>
      <c r="Q605" s="13" t="str">
        <f t="shared" si="30"/>
        <v>Fixed</v>
      </c>
      <c r="R605" s="13" t="s">
        <v>1669</v>
      </c>
      <c r="S605" s="25">
        <v>3</v>
      </c>
      <c r="T605" s="25">
        <v>3</v>
      </c>
      <c r="U605" s="25">
        <v>4</v>
      </c>
      <c r="V605" s="13">
        <f t="shared" si="28"/>
        <v>7</v>
      </c>
      <c r="W605" s="13" t="str">
        <f t="shared" si="27"/>
        <v>Math-81</v>
      </c>
      <c r="Y605"/>
    </row>
    <row r="606" spans="1:25" ht="15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31"/>
        <v>ARJA</v>
      </c>
      <c r="P606" s="13" t="str">
        <f t="shared" si="29"/>
        <v>Evolutionary Search</v>
      </c>
      <c r="Q606" s="13" t="str">
        <f t="shared" si="30"/>
        <v>Fixed</v>
      </c>
      <c r="R606" s="13" t="s">
        <v>1669</v>
      </c>
      <c r="S606" s="25">
        <v>3</v>
      </c>
      <c r="T606" s="25">
        <v>0</v>
      </c>
      <c r="U606" s="25">
        <v>9</v>
      </c>
      <c r="V606" s="13">
        <f t="shared" si="28"/>
        <v>9</v>
      </c>
      <c r="W606" s="13" t="str">
        <f t="shared" si="27"/>
        <v>Math-84</v>
      </c>
      <c r="Y606"/>
    </row>
    <row r="607" spans="1:25" ht="15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31"/>
        <v>ARJA</v>
      </c>
      <c r="P607" s="13" t="str">
        <f t="shared" si="29"/>
        <v>Evolutionary Search</v>
      </c>
      <c r="Q607" s="13" t="str">
        <f t="shared" si="30"/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f t="shared" si="28"/>
        <v>2</v>
      </c>
      <c r="W607" s="13" t="str">
        <f t="shared" si="27"/>
        <v>Math-85</v>
      </c>
      <c r="Y607"/>
    </row>
    <row r="608" spans="1:25" ht="15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31"/>
        <v>ARJA</v>
      </c>
      <c r="P608" s="13" t="str">
        <f t="shared" si="29"/>
        <v>Evolutionary Search</v>
      </c>
      <c r="Q608" s="13" t="str">
        <f t="shared" si="30"/>
        <v>Fixed</v>
      </c>
      <c r="R608" s="13" t="s">
        <v>1669</v>
      </c>
      <c r="S608" s="25">
        <v>4</v>
      </c>
      <c r="T608" s="25">
        <v>6</v>
      </c>
      <c r="U608" s="25">
        <v>5</v>
      </c>
      <c r="V608" s="13">
        <f t="shared" si="28"/>
        <v>11</v>
      </c>
      <c r="W608" s="13" t="str">
        <f t="shared" si="27"/>
        <v>Math-88</v>
      </c>
      <c r="Y608"/>
    </row>
    <row r="609" spans="1:25" ht="15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31"/>
        <v>ARJA</v>
      </c>
      <c r="P609" s="13" t="str">
        <f t="shared" si="29"/>
        <v>Evolutionary Search</v>
      </c>
      <c r="Q609" s="13" t="str">
        <f t="shared" si="30"/>
        <v>Fixed</v>
      </c>
      <c r="R609" s="13" t="s">
        <v>1669</v>
      </c>
      <c r="S609" s="25">
        <v>3</v>
      </c>
      <c r="T609" s="25">
        <v>1</v>
      </c>
      <c r="U609" s="25">
        <v>3</v>
      </c>
      <c r="V609" s="13">
        <f t="shared" si="28"/>
        <v>4</v>
      </c>
      <c r="W609" s="13" t="str">
        <f t="shared" si="27"/>
        <v>Math-95</v>
      </c>
      <c r="Y609"/>
    </row>
    <row r="610" spans="1:25" ht="15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31"/>
        <v>AVATAR</v>
      </c>
      <c r="P610" s="13" t="str">
        <f t="shared" si="29"/>
        <v>True Pattern</v>
      </c>
      <c r="Q610" s="13" t="str">
        <f t="shared" si="30"/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f t="shared" si="28"/>
        <v>2</v>
      </c>
      <c r="W610" s="13" t="str">
        <f t="shared" si="27"/>
        <v>Chart-1</v>
      </c>
      <c r="Y610"/>
    </row>
    <row r="611" spans="1:25" ht="15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31"/>
        <v>AVATAR</v>
      </c>
      <c r="P611" s="13" t="str">
        <f t="shared" si="29"/>
        <v>True Pattern</v>
      </c>
      <c r="Q611" s="13" t="str">
        <f t="shared" si="30"/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f t="shared" si="28"/>
        <v>2</v>
      </c>
      <c r="W611" s="13" t="str">
        <f t="shared" si="27"/>
        <v>Chart-11</v>
      </c>
      <c r="Y611"/>
    </row>
    <row r="612" spans="1:25" ht="15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31"/>
        <v>AVATAR</v>
      </c>
      <c r="P612" s="13" t="str">
        <f t="shared" si="29"/>
        <v>True Pattern</v>
      </c>
      <c r="Q612" s="13" t="str">
        <f t="shared" si="30"/>
        <v>Fixed</v>
      </c>
      <c r="R612" s="13" t="s">
        <v>1668</v>
      </c>
      <c r="S612" s="25">
        <v>2</v>
      </c>
      <c r="T612" s="25">
        <v>0</v>
      </c>
      <c r="U612" s="25">
        <v>6</v>
      </c>
      <c r="V612" s="13">
        <f t="shared" si="28"/>
        <v>6</v>
      </c>
      <c r="W612" s="13" t="str">
        <f t="shared" si="27"/>
        <v>Chart-19</v>
      </c>
      <c r="Y612"/>
    </row>
    <row r="613" spans="1:25" ht="15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31"/>
        <v>AVATAR</v>
      </c>
      <c r="P613" s="13" t="str">
        <f t="shared" si="29"/>
        <v>True Pattern</v>
      </c>
      <c r="Q613" s="13" t="str">
        <f t="shared" si="30"/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f t="shared" si="28"/>
        <v>2</v>
      </c>
      <c r="W613" s="13" t="str">
        <f t="shared" si="27"/>
        <v>Chart-24</v>
      </c>
      <c r="Y613"/>
    </row>
    <row r="614" spans="1:25" ht="15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31"/>
        <v>AVATAR</v>
      </c>
      <c r="P614" s="13" t="str">
        <f t="shared" si="29"/>
        <v>True Pattern</v>
      </c>
      <c r="Q614" s="13" t="str">
        <f t="shared" si="30"/>
        <v>Fixed</v>
      </c>
      <c r="R614" s="13" t="s">
        <v>1669</v>
      </c>
      <c r="S614" s="25">
        <v>6</v>
      </c>
      <c r="T614" s="25">
        <v>2</v>
      </c>
      <c r="U614" s="25">
        <v>14</v>
      </c>
      <c r="V614" s="13">
        <f t="shared" ref="V614:V677" si="32">T614+U614</f>
        <v>16</v>
      </c>
      <c r="W614" s="13" t="str">
        <f t="shared" ref="W614:W677" si="33">MID(A614, SEARCH("_", A614) +1, SEARCH("_", A614, SEARCH("_", A614) +1) - SEARCH("_", A614) -1)</f>
        <v>Chart-25</v>
      </c>
      <c r="Y614"/>
    </row>
    <row r="615" spans="1:25" ht="15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31"/>
        <v>AVATAR</v>
      </c>
      <c r="P615" s="13" t="str">
        <f t="shared" si="29"/>
        <v>True Pattern</v>
      </c>
      <c r="Q615" s="13" t="str">
        <f t="shared" si="30"/>
        <v>Fixed</v>
      </c>
      <c r="R615" s="13" t="s">
        <v>1668</v>
      </c>
      <c r="S615" s="25">
        <v>2</v>
      </c>
      <c r="T615" s="13">
        <v>0</v>
      </c>
      <c r="U615" s="25">
        <v>2</v>
      </c>
      <c r="V615" s="13">
        <f t="shared" si="32"/>
        <v>2</v>
      </c>
      <c r="W615" s="13" t="str">
        <f t="shared" si="33"/>
        <v>Chart-26</v>
      </c>
      <c r="Y615"/>
    </row>
    <row r="616" spans="1:25" ht="15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31"/>
        <v>AVATAR</v>
      </c>
      <c r="P616" s="13" t="str">
        <f t="shared" si="29"/>
        <v>True Pattern</v>
      </c>
      <c r="Q616" s="13" t="str">
        <f t="shared" si="30"/>
        <v>Fixed</v>
      </c>
      <c r="R616" s="13" t="s">
        <v>1668</v>
      </c>
      <c r="S616" s="25">
        <v>2</v>
      </c>
      <c r="T616" s="13">
        <v>0</v>
      </c>
      <c r="U616" s="25">
        <v>2</v>
      </c>
      <c r="V616" s="13">
        <f t="shared" si="32"/>
        <v>2</v>
      </c>
      <c r="W616" s="13" t="str">
        <f t="shared" si="33"/>
        <v>Chart-4</v>
      </c>
      <c r="Y616"/>
    </row>
    <row r="617" spans="1:25" ht="15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31"/>
        <v>AVATAR</v>
      </c>
      <c r="P617" s="13" t="str">
        <f t="shared" si="29"/>
        <v>True Pattern</v>
      </c>
      <c r="Q617" s="13" t="str">
        <f t="shared" si="30"/>
        <v>Fixed</v>
      </c>
      <c r="R617" s="13" t="s">
        <v>1669</v>
      </c>
      <c r="S617" s="25">
        <v>2</v>
      </c>
      <c r="T617" s="25">
        <v>1</v>
      </c>
      <c r="U617" s="25">
        <v>5</v>
      </c>
      <c r="V617" s="13">
        <f t="shared" si="32"/>
        <v>6</v>
      </c>
      <c r="W617" s="13" t="str">
        <f t="shared" si="33"/>
        <v>Chart-5</v>
      </c>
      <c r="Y617"/>
    </row>
    <row r="618" spans="1:25" ht="15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31"/>
        <v>AVATAR</v>
      </c>
      <c r="P618" s="13" t="str">
        <f t="shared" si="29"/>
        <v>True Pattern</v>
      </c>
      <c r="Q618" s="13" t="str">
        <f t="shared" si="30"/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f t="shared" si="32"/>
        <v>4</v>
      </c>
      <c r="W618" s="13" t="str">
        <f t="shared" si="33"/>
        <v>Chart-7</v>
      </c>
      <c r="Y618"/>
    </row>
    <row r="619" spans="1:25" ht="15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31"/>
        <v>AVATAR</v>
      </c>
      <c r="P619" s="13" t="str">
        <f t="shared" si="29"/>
        <v>True Pattern</v>
      </c>
      <c r="Q619" s="13" t="str">
        <f t="shared" si="30"/>
        <v>Fixed</v>
      </c>
      <c r="R619" s="13" t="s">
        <v>1669</v>
      </c>
      <c r="S619" s="25">
        <v>4</v>
      </c>
      <c r="T619" s="25">
        <v>1</v>
      </c>
      <c r="U619" s="25">
        <v>4</v>
      </c>
      <c r="V619" s="13">
        <f t="shared" si="32"/>
        <v>5</v>
      </c>
      <c r="W619" s="13" t="str">
        <f t="shared" si="33"/>
        <v>Closure-108</v>
      </c>
      <c r="Y619"/>
    </row>
    <row r="620" spans="1:25" ht="15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31"/>
        <v>AVATAR</v>
      </c>
      <c r="P620" s="13" t="str">
        <f t="shared" si="29"/>
        <v>True Pattern</v>
      </c>
      <c r="Q620" s="13" t="str">
        <f t="shared" si="30"/>
        <v>Fixed</v>
      </c>
      <c r="R620" s="13" t="s">
        <v>1668</v>
      </c>
      <c r="S620" s="25">
        <v>1</v>
      </c>
      <c r="T620" s="25">
        <v>2</v>
      </c>
      <c r="U620" s="13">
        <v>0</v>
      </c>
      <c r="V620" s="13">
        <f t="shared" si="32"/>
        <v>2</v>
      </c>
      <c r="W620" s="13" t="str">
        <f t="shared" si="33"/>
        <v>Closure-11</v>
      </c>
      <c r="Y620"/>
    </row>
    <row r="621" spans="1:25" ht="15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31"/>
        <v>AVATAR</v>
      </c>
      <c r="P621" s="13" t="str">
        <f t="shared" si="29"/>
        <v>True Pattern</v>
      </c>
      <c r="Q621" s="13" t="str">
        <f t="shared" si="30"/>
        <v>Fixed</v>
      </c>
      <c r="R621" s="13" t="s">
        <v>1668</v>
      </c>
      <c r="S621" s="25">
        <v>2</v>
      </c>
      <c r="T621" s="25">
        <v>11</v>
      </c>
      <c r="U621" s="13">
        <v>0</v>
      </c>
      <c r="V621" s="13">
        <f t="shared" si="32"/>
        <v>11</v>
      </c>
      <c r="W621" s="13" t="str">
        <f t="shared" si="33"/>
        <v>Closure-115</v>
      </c>
      <c r="Y621"/>
    </row>
    <row r="622" spans="1:25" ht="15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31"/>
        <v>AVATAR</v>
      </c>
      <c r="P622" s="13" t="str">
        <f t="shared" si="29"/>
        <v>True Pattern</v>
      </c>
      <c r="Q622" s="13" t="str">
        <f t="shared" si="30"/>
        <v>Fixed</v>
      </c>
      <c r="R622" s="13" t="s">
        <v>1668</v>
      </c>
      <c r="S622" s="25">
        <v>3</v>
      </c>
      <c r="T622" s="13">
        <v>0</v>
      </c>
      <c r="U622" s="25">
        <v>4</v>
      </c>
      <c r="V622" s="13">
        <f t="shared" si="32"/>
        <v>4</v>
      </c>
      <c r="W622" s="13" t="str">
        <f t="shared" si="33"/>
        <v>Closure-2</v>
      </c>
      <c r="Y622"/>
    </row>
    <row r="623" spans="1:25" ht="15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31"/>
        <v>AVATAR</v>
      </c>
      <c r="P623" s="13" t="str">
        <f t="shared" si="29"/>
        <v>True Pattern</v>
      </c>
      <c r="Q623" s="13" t="str">
        <f t="shared" si="30"/>
        <v>Fixed</v>
      </c>
      <c r="R623" s="13" t="s">
        <v>1669</v>
      </c>
      <c r="S623" s="25">
        <v>2</v>
      </c>
      <c r="T623" s="25">
        <v>19</v>
      </c>
      <c r="U623" s="25">
        <v>2</v>
      </c>
      <c r="V623" s="13">
        <f t="shared" si="32"/>
        <v>21</v>
      </c>
      <c r="W623" s="13" t="str">
        <f t="shared" si="33"/>
        <v>Closure-21</v>
      </c>
      <c r="Y623"/>
    </row>
    <row r="624" spans="1:25" ht="15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31"/>
        <v>AVATAR</v>
      </c>
      <c r="P624" s="13" t="str">
        <f t="shared" si="29"/>
        <v>True Pattern</v>
      </c>
      <c r="Q624" s="13" t="str">
        <f t="shared" si="30"/>
        <v>Fixed</v>
      </c>
      <c r="R624" s="13" t="s">
        <v>1669</v>
      </c>
      <c r="S624" s="25">
        <v>5</v>
      </c>
      <c r="T624" s="25">
        <v>26</v>
      </c>
      <c r="U624" s="25">
        <v>2</v>
      </c>
      <c r="V624" s="13">
        <f t="shared" si="32"/>
        <v>28</v>
      </c>
      <c r="W624" s="13" t="str">
        <f t="shared" si="33"/>
        <v>Closure-22</v>
      </c>
      <c r="Y624"/>
    </row>
    <row r="625" spans="1:25" ht="15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31"/>
        <v>AVATAR</v>
      </c>
      <c r="P625" s="13" t="str">
        <f t="shared" si="29"/>
        <v>True Pattern</v>
      </c>
      <c r="Q625" s="13" t="str">
        <f t="shared" si="30"/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f t="shared" si="32"/>
        <v>2</v>
      </c>
      <c r="W625" s="13" t="str">
        <f t="shared" si="33"/>
        <v>Closure-38</v>
      </c>
      <c r="Y625"/>
    </row>
    <row r="626" spans="1:25" ht="15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31"/>
        <v>AVATAR</v>
      </c>
      <c r="P626" s="13" t="str">
        <f t="shared" si="29"/>
        <v>True Pattern</v>
      </c>
      <c r="Q626" s="13" t="str">
        <f t="shared" si="30"/>
        <v>Fixed</v>
      </c>
      <c r="R626" s="13" t="s">
        <v>1669</v>
      </c>
      <c r="S626" s="25">
        <v>4</v>
      </c>
      <c r="T626" s="25">
        <v>2</v>
      </c>
      <c r="U626" s="25">
        <v>6</v>
      </c>
      <c r="V626" s="13">
        <f t="shared" si="32"/>
        <v>8</v>
      </c>
      <c r="W626" s="13" t="str">
        <f t="shared" si="33"/>
        <v>Closure-45</v>
      </c>
      <c r="Y626"/>
    </row>
    <row r="627" spans="1:25" ht="15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31"/>
        <v>AVATAR</v>
      </c>
      <c r="P627" s="13" t="str">
        <f t="shared" si="29"/>
        <v>True Pattern</v>
      </c>
      <c r="Q627" s="13" t="str">
        <f t="shared" si="30"/>
        <v>Fixed</v>
      </c>
      <c r="R627" s="13" t="s">
        <v>1668</v>
      </c>
      <c r="S627" s="25">
        <v>1</v>
      </c>
      <c r="T627" s="25">
        <v>16</v>
      </c>
      <c r="U627" s="13">
        <v>0</v>
      </c>
      <c r="V627" s="13">
        <f t="shared" si="32"/>
        <v>16</v>
      </c>
      <c r="W627" s="13" t="str">
        <f t="shared" si="33"/>
        <v>Closure-46</v>
      </c>
      <c r="Y627"/>
    </row>
    <row r="628" spans="1:25" ht="15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31"/>
        <v>AVATAR</v>
      </c>
      <c r="P628" s="13" t="str">
        <f t="shared" si="29"/>
        <v>True Pattern</v>
      </c>
      <c r="Q628" s="13" t="str">
        <f t="shared" si="30"/>
        <v>Fixed</v>
      </c>
      <c r="R628" s="13" t="s">
        <v>1669</v>
      </c>
      <c r="S628" s="25">
        <v>2</v>
      </c>
      <c r="T628" s="25">
        <v>4</v>
      </c>
      <c r="U628" s="25">
        <v>7</v>
      </c>
      <c r="V628" s="13">
        <f t="shared" si="32"/>
        <v>11</v>
      </c>
      <c r="W628" s="13" t="str">
        <f t="shared" si="33"/>
        <v>Closure-48</v>
      </c>
      <c r="Y628"/>
    </row>
    <row r="629" spans="1:25" ht="15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31"/>
        <v>AVATAR</v>
      </c>
      <c r="P629" s="13" t="str">
        <f t="shared" si="29"/>
        <v>True Pattern</v>
      </c>
      <c r="Q629" s="13" t="str">
        <f t="shared" si="30"/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f t="shared" si="32"/>
        <v>2</v>
      </c>
      <c r="W629" s="13" t="str">
        <f t="shared" si="33"/>
        <v>Closure-62</v>
      </c>
      <c r="Y629"/>
    </row>
    <row r="630" spans="1:25" ht="15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31"/>
        <v>AVATAR</v>
      </c>
      <c r="P630" s="13" t="str">
        <f t="shared" si="29"/>
        <v>True Pattern</v>
      </c>
      <c r="Q630" s="13" t="str">
        <f t="shared" si="30"/>
        <v>Fixed</v>
      </c>
      <c r="R630" s="13" t="s">
        <v>1669</v>
      </c>
      <c r="S630" s="25">
        <v>2</v>
      </c>
      <c r="T630" s="13">
        <v>0</v>
      </c>
      <c r="U630" s="25">
        <v>2</v>
      </c>
      <c r="V630" s="13">
        <f t="shared" si="32"/>
        <v>2</v>
      </c>
      <c r="W630" s="13" t="str">
        <f t="shared" si="33"/>
        <v>Closure-66</v>
      </c>
      <c r="Y630"/>
    </row>
    <row r="631" spans="1:25" ht="15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31"/>
        <v>AVATAR</v>
      </c>
      <c r="P631" s="13" t="str">
        <f t="shared" si="29"/>
        <v>True Pattern</v>
      </c>
      <c r="Q631" s="13" t="str">
        <f t="shared" si="30"/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f t="shared" si="32"/>
        <v>2</v>
      </c>
      <c r="W631" s="13" t="str">
        <f t="shared" si="33"/>
        <v>Closure-73</v>
      </c>
      <c r="Y631"/>
    </row>
    <row r="632" spans="1:25" ht="15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31"/>
        <v>AVATAR</v>
      </c>
      <c r="P632" s="13" t="str">
        <f t="shared" si="29"/>
        <v>True Pattern</v>
      </c>
      <c r="Q632" s="13" t="str">
        <f t="shared" si="30"/>
        <v>Fixed</v>
      </c>
      <c r="R632" s="13" t="s">
        <v>1668</v>
      </c>
      <c r="S632" s="25">
        <v>2</v>
      </c>
      <c r="T632" s="25">
        <v>9</v>
      </c>
      <c r="U632" s="13">
        <v>0</v>
      </c>
      <c r="V632" s="13">
        <f t="shared" si="32"/>
        <v>9</v>
      </c>
      <c r="W632" s="13" t="str">
        <f t="shared" si="33"/>
        <v>Lang-10</v>
      </c>
      <c r="Y632"/>
    </row>
    <row r="633" spans="1:25" ht="15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31"/>
        <v>AVATAR</v>
      </c>
      <c r="P633" s="13" t="str">
        <f t="shared" si="29"/>
        <v>True Pattern</v>
      </c>
      <c r="Q633" s="13" t="str">
        <f t="shared" si="30"/>
        <v>Fixed</v>
      </c>
      <c r="R633" s="13" t="s">
        <v>1669</v>
      </c>
      <c r="S633" s="25">
        <v>4</v>
      </c>
      <c r="T633" s="13">
        <v>0</v>
      </c>
      <c r="U633" s="25">
        <v>19</v>
      </c>
      <c r="V633" s="13">
        <f t="shared" si="32"/>
        <v>19</v>
      </c>
      <c r="W633" s="13" t="str">
        <f t="shared" si="33"/>
        <v>Lang-13</v>
      </c>
      <c r="Y633"/>
    </row>
    <row r="634" spans="1:25" ht="15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31"/>
        <v>AVATAR</v>
      </c>
      <c r="P634" s="13" t="str">
        <f t="shared" si="29"/>
        <v>True Pattern</v>
      </c>
      <c r="Q634" s="13" t="str">
        <f t="shared" si="30"/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f t="shared" si="32"/>
        <v>4</v>
      </c>
      <c r="W634" s="13" t="str">
        <f t="shared" si="33"/>
        <v>Lang-20</v>
      </c>
      <c r="Y634"/>
    </row>
    <row r="635" spans="1:25" ht="15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31"/>
        <v>AVATAR</v>
      </c>
      <c r="P635" s="13" t="str">
        <f t="shared" si="29"/>
        <v>True Pattern</v>
      </c>
      <c r="Q635" s="13" t="str">
        <f t="shared" si="30"/>
        <v>Fixed</v>
      </c>
      <c r="R635" s="13" t="s">
        <v>1669</v>
      </c>
      <c r="S635" s="25">
        <v>2</v>
      </c>
      <c r="T635" s="25">
        <v>1</v>
      </c>
      <c r="U635" s="25">
        <v>7</v>
      </c>
      <c r="V635" s="13">
        <f t="shared" si="32"/>
        <v>8</v>
      </c>
      <c r="W635" s="13" t="str">
        <f t="shared" si="33"/>
        <v>Lang-22</v>
      </c>
      <c r="Y635"/>
    </row>
    <row r="636" spans="1:25" ht="15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31"/>
        <v>AVATAR</v>
      </c>
      <c r="P636" s="13" t="str">
        <f t="shared" si="29"/>
        <v>True Pattern</v>
      </c>
      <c r="Q636" s="13" t="str">
        <f t="shared" si="30"/>
        <v>Fixed</v>
      </c>
      <c r="R636" s="13" t="s">
        <v>1669</v>
      </c>
      <c r="S636" s="25">
        <v>2</v>
      </c>
      <c r="T636" s="25">
        <v>1</v>
      </c>
      <c r="U636" s="25">
        <v>4</v>
      </c>
      <c r="V636" s="13">
        <f t="shared" si="32"/>
        <v>5</v>
      </c>
      <c r="W636" s="13" t="str">
        <f t="shared" si="33"/>
        <v>Lang-27</v>
      </c>
      <c r="Y636"/>
    </row>
    <row r="637" spans="1:25" ht="15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31"/>
        <v>AVATAR</v>
      </c>
      <c r="P637" s="13" t="str">
        <f t="shared" si="29"/>
        <v>True Pattern</v>
      </c>
      <c r="Q637" s="13" t="str">
        <f t="shared" si="30"/>
        <v>Fixed</v>
      </c>
      <c r="R637" s="13" t="s">
        <v>1669</v>
      </c>
      <c r="S637" s="25">
        <v>1</v>
      </c>
      <c r="T637" s="13">
        <v>0</v>
      </c>
      <c r="U637" s="25">
        <v>3</v>
      </c>
      <c r="V637" s="13">
        <f t="shared" si="32"/>
        <v>3</v>
      </c>
      <c r="W637" s="13" t="str">
        <f t="shared" si="33"/>
        <v>Lang-39</v>
      </c>
      <c r="Y637"/>
    </row>
    <row r="638" spans="1:25" ht="15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31"/>
        <v>AVATAR</v>
      </c>
      <c r="P638" s="13" t="str">
        <f t="shared" si="29"/>
        <v>True Pattern</v>
      </c>
      <c r="Q638" s="13" t="str">
        <f t="shared" si="30"/>
        <v>Fixed</v>
      </c>
      <c r="R638" s="13" t="s">
        <v>1669</v>
      </c>
      <c r="S638" s="25">
        <v>1</v>
      </c>
      <c r="T638" s="13">
        <v>0</v>
      </c>
      <c r="U638" s="25">
        <v>1</v>
      </c>
      <c r="V638" s="13">
        <f t="shared" si="32"/>
        <v>1</v>
      </c>
      <c r="W638" s="13" t="str">
        <f t="shared" si="33"/>
        <v>Lang-51</v>
      </c>
      <c r="Y638"/>
    </row>
    <row r="639" spans="1:25" ht="15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31"/>
        <v>AVATAR</v>
      </c>
      <c r="P639" s="13" t="str">
        <f t="shared" si="29"/>
        <v>True Pattern</v>
      </c>
      <c r="Q639" s="13" t="str">
        <f t="shared" si="30"/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f t="shared" si="32"/>
        <v>2</v>
      </c>
      <c r="W639" s="13" t="str">
        <f t="shared" si="33"/>
        <v>Lang-57</v>
      </c>
      <c r="Y639"/>
    </row>
    <row r="640" spans="1:25" ht="15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31"/>
        <v>AVATAR</v>
      </c>
      <c r="P640" s="13" t="str">
        <f t="shared" si="29"/>
        <v>True Pattern</v>
      </c>
      <c r="Q640" s="13" t="str">
        <f t="shared" si="30"/>
        <v>Fixed</v>
      </c>
      <c r="R640" s="13" t="s">
        <v>1669</v>
      </c>
      <c r="S640" s="25">
        <v>1</v>
      </c>
      <c r="T640" s="25">
        <v>2</v>
      </c>
      <c r="U640" s="25">
        <v>1</v>
      </c>
      <c r="V640" s="13">
        <f t="shared" si="32"/>
        <v>3</v>
      </c>
      <c r="W640" s="13" t="str">
        <f t="shared" si="33"/>
        <v>Lang-58</v>
      </c>
      <c r="Y640"/>
    </row>
    <row r="641" spans="1:25" ht="15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31"/>
        <v>AVATAR</v>
      </c>
      <c r="P641" s="13" t="str">
        <f t="shared" si="29"/>
        <v>True Pattern</v>
      </c>
      <c r="Q641" s="13" t="str">
        <f t="shared" si="30"/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f t="shared" si="32"/>
        <v>2</v>
      </c>
      <c r="W641" s="13" t="str">
        <f t="shared" si="33"/>
        <v>Lang-59</v>
      </c>
      <c r="Y641"/>
    </row>
    <row r="642" spans="1:25" ht="15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31"/>
        <v>AVATAR</v>
      </c>
      <c r="P642" s="13" t="str">
        <f t="shared" si="29"/>
        <v>True Pattern</v>
      </c>
      <c r="Q642" s="13" t="str">
        <f t="shared" si="30"/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f t="shared" si="32"/>
        <v>2</v>
      </c>
      <c r="W642" s="13" t="str">
        <f t="shared" si="33"/>
        <v>Lang-6</v>
      </c>
      <c r="Y642"/>
    </row>
    <row r="643" spans="1:25" ht="15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31"/>
        <v>AVATAR</v>
      </c>
      <c r="P643" s="13" t="str">
        <f t="shared" si="29"/>
        <v>True Pattern</v>
      </c>
      <c r="Q643" s="13" t="str">
        <f t="shared" si="30"/>
        <v>Fixed</v>
      </c>
      <c r="R643" s="13" t="s">
        <v>1669</v>
      </c>
      <c r="S643" s="25">
        <v>4</v>
      </c>
      <c r="T643" s="25">
        <v>20</v>
      </c>
      <c r="U643" s="25">
        <v>3</v>
      </c>
      <c r="V643" s="13">
        <f t="shared" si="32"/>
        <v>23</v>
      </c>
      <c r="W643" s="13" t="str">
        <f t="shared" si="33"/>
        <v>Lang-63</v>
      </c>
      <c r="Y643"/>
    </row>
    <row r="644" spans="1:25" ht="15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31"/>
        <v>AVATAR</v>
      </c>
      <c r="P644" s="13" t="str">
        <f t="shared" si="29"/>
        <v>True Pattern</v>
      </c>
      <c r="Q644" s="13" t="str">
        <f t="shared" si="30"/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f t="shared" si="32"/>
        <v>6</v>
      </c>
      <c r="W644" s="13" t="str">
        <f t="shared" si="33"/>
        <v>Lang-7</v>
      </c>
      <c r="Y644"/>
    </row>
    <row r="645" spans="1:25" ht="15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31"/>
        <v>AVATAR</v>
      </c>
      <c r="P645" s="13" t="str">
        <f t="shared" si="29"/>
        <v>True Pattern</v>
      </c>
      <c r="Q645" s="13" t="str">
        <f t="shared" si="30"/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f t="shared" si="32"/>
        <v>2</v>
      </c>
      <c r="W645" s="13" t="str">
        <f t="shared" si="33"/>
        <v>Math-104</v>
      </c>
      <c r="Y645"/>
    </row>
    <row r="646" spans="1:25" ht="15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31"/>
        <v>AVATAR</v>
      </c>
      <c r="P646" s="13" t="str">
        <f t="shared" si="29"/>
        <v>True Pattern</v>
      </c>
      <c r="Q646" s="13" t="str">
        <f t="shared" si="30"/>
        <v>Fixed</v>
      </c>
      <c r="R646" s="13" t="s">
        <v>1669</v>
      </c>
      <c r="S646" s="25">
        <v>4</v>
      </c>
      <c r="T646" s="13">
        <v>0</v>
      </c>
      <c r="U646" s="25">
        <v>4</v>
      </c>
      <c r="V646" s="13">
        <f t="shared" si="32"/>
        <v>4</v>
      </c>
      <c r="W646" s="13" t="str">
        <f t="shared" si="33"/>
        <v>Math-28</v>
      </c>
      <c r="Y646"/>
    </row>
    <row r="647" spans="1:25" ht="15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31"/>
        <v>AVATAR</v>
      </c>
      <c r="P647" s="13" t="str">
        <f t="shared" si="29"/>
        <v>True Pattern</v>
      </c>
      <c r="Q647" s="13" t="str">
        <f t="shared" si="30"/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f t="shared" si="32"/>
        <v>2</v>
      </c>
      <c r="W647" s="13" t="str">
        <f t="shared" si="33"/>
        <v>Math-33</v>
      </c>
      <c r="Y647"/>
    </row>
    <row r="648" spans="1:25" ht="15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31"/>
        <v>AVATAR</v>
      </c>
      <c r="P648" s="13" t="str">
        <f t="shared" si="29"/>
        <v>True Pattern</v>
      </c>
      <c r="Q648" s="13" t="str">
        <f t="shared" si="30"/>
        <v>Fixed</v>
      </c>
      <c r="R648" s="13" t="s">
        <v>1669</v>
      </c>
      <c r="S648" s="25">
        <v>1</v>
      </c>
      <c r="T648" s="25">
        <v>4</v>
      </c>
      <c r="U648" s="13">
        <v>0</v>
      </c>
      <c r="V648" s="13">
        <f t="shared" si="32"/>
        <v>4</v>
      </c>
      <c r="W648" s="13" t="str">
        <f t="shared" si="33"/>
        <v>Math-50</v>
      </c>
      <c r="Y648"/>
    </row>
    <row r="649" spans="1:25" ht="15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31"/>
        <v>AVATAR</v>
      </c>
      <c r="P649" s="13" t="str">
        <f t="shared" si="29"/>
        <v>True Pattern</v>
      </c>
      <c r="Q649" s="13" t="str">
        <f t="shared" si="30"/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f t="shared" si="32"/>
        <v>2</v>
      </c>
      <c r="W649" s="13" t="str">
        <f t="shared" si="33"/>
        <v>Math-57</v>
      </c>
      <c r="Y649"/>
    </row>
    <row r="650" spans="1:25" ht="15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31"/>
        <v>AVATAR</v>
      </c>
      <c r="P650" s="13" t="str">
        <f t="shared" ref="P650:P713" si="34"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 t="shared" si="30"/>
        <v>Fixed</v>
      </c>
      <c r="R650" s="13" t="s">
        <v>1669</v>
      </c>
      <c r="S650" s="25">
        <v>2</v>
      </c>
      <c r="T650" s="25">
        <v>4</v>
      </c>
      <c r="U650" s="25">
        <v>3</v>
      </c>
      <c r="V650" s="13">
        <f t="shared" si="32"/>
        <v>7</v>
      </c>
      <c r="W650" s="13" t="str">
        <f t="shared" si="33"/>
        <v>Math-62</v>
      </c>
      <c r="Y650"/>
    </row>
    <row r="651" spans="1:25" ht="15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31"/>
        <v>AVATAR</v>
      </c>
      <c r="P651" s="13" t="str">
        <f t="shared" si="34"/>
        <v>True Pattern</v>
      </c>
      <c r="Q651" s="13" t="str">
        <f t="shared" si="30"/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f t="shared" si="32"/>
        <v>2</v>
      </c>
      <c r="W651" s="13" t="str">
        <f t="shared" si="33"/>
        <v>Math-80</v>
      </c>
      <c r="Y651"/>
    </row>
    <row r="652" spans="1:25" ht="15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31"/>
        <v>AVATAR</v>
      </c>
      <c r="P652" s="13" t="str">
        <f t="shared" si="34"/>
        <v>True Pattern</v>
      </c>
      <c r="Q652" s="13" t="str">
        <f t="shared" si="30"/>
        <v>Fixed</v>
      </c>
      <c r="R652" s="13" t="s">
        <v>1669</v>
      </c>
      <c r="S652" s="25">
        <v>3</v>
      </c>
      <c r="T652" s="25">
        <v>3</v>
      </c>
      <c r="U652" s="25">
        <v>4</v>
      </c>
      <c r="V652" s="13">
        <f t="shared" si="32"/>
        <v>7</v>
      </c>
      <c r="W652" s="13" t="str">
        <f t="shared" si="33"/>
        <v>Math-81</v>
      </c>
      <c r="Y652"/>
    </row>
    <row r="653" spans="1:25" ht="15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31"/>
        <v>AVATAR</v>
      </c>
      <c r="P653" s="13" t="str">
        <f t="shared" si="34"/>
        <v>True Pattern</v>
      </c>
      <c r="Q653" s="13" t="str">
        <f t="shared" si="30"/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f t="shared" si="32"/>
        <v>2</v>
      </c>
      <c r="W653" s="13" t="str">
        <f t="shared" si="33"/>
        <v>Math-82</v>
      </c>
      <c r="Y653"/>
    </row>
    <row r="654" spans="1:25" ht="15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31"/>
        <v>AVATAR</v>
      </c>
      <c r="P654" s="13" t="str">
        <f t="shared" si="34"/>
        <v>True Pattern</v>
      </c>
      <c r="Q654" s="13" t="str">
        <f t="shared" si="30"/>
        <v>Fixed</v>
      </c>
      <c r="R654" s="13" t="s">
        <v>1669</v>
      </c>
      <c r="S654" s="25">
        <v>3</v>
      </c>
      <c r="T654" s="13">
        <v>0</v>
      </c>
      <c r="U654" s="25">
        <v>9</v>
      </c>
      <c r="V654" s="13">
        <f t="shared" si="32"/>
        <v>9</v>
      </c>
      <c r="W654" s="13" t="str">
        <f t="shared" si="33"/>
        <v>Math-84</v>
      </c>
      <c r="Y654"/>
    </row>
    <row r="655" spans="1:25" ht="15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31"/>
        <v>AVATAR</v>
      </c>
      <c r="P655" s="13" t="str">
        <f t="shared" si="34"/>
        <v>True Pattern</v>
      </c>
      <c r="Q655" s="13" t="str">
        <f t="shared" si="30"/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f t="shared" si="32"/>
        <v>2</v>
      </c>
      <c r="W655" s="13" t="str">
        <f t="shared" si="33"/>
        <v>Math-85</v>
      </c>
      <c r="Y655"/>
    </row>
    <row r="656" spans="1:25" ht="15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31"/>
        <v>AVATAR</v>
      </c>
      <c r="P656" s="13" t="str">
        <f t="shared" si="34"/>
        <v>True Pattern</v>
      </c>
      <c r="Q656" s="13" t="str">
        <f t="shared" si="30"/>
        <v>Fixed</v>
      </c>
      <c r="R656" s="13" t="s">
        <v>1669</v>
      </c>
      <c r="S656" s="25">
        <v>4</v>
      </c>
      <c r="T656" s="25">
        <v>6</v>
      </c>
      <c r="U656" s="25">
        <v>5</v>
      </c>
      <c r="V656" s="13">
        <f t="shared" si="32"/>
        <v>11</v>
      </c>
      <c r="W656" s="13" t="str">
        <f t="shared" si="33"/>
        <v>Math-88</v>
      </c>
      <c r="Y656"/>
    </row>
    <row r="657" spans="1:25" ht="15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31"/>
        <v>AVATAR</v>
      </c>
      <c r="P657" s="13" t="str">
        <f t="shared" si="34"/>
        <v>True Pattern</v>
      </c>
      <c r="Q657" s="13" t="str">
        <f t="shared" si="30"/>
        <v>Fixed</v>
      </c>
      <c r="R657" s="13" t="s">
        <v>1668</v>
      </c>
      <c r="S657" s="25">
        <v>2</v>
      </c>
      <c r="T657" s="13">
        <v>0</v>
      </c>
      <c r="U657" s="25">
        <v>4</v>
      </c>
      <c r="V657" s="13">
        <f t="shared" si="32"/>
        <v>4</v>
      </c>
      <c r="W657" s="13" t="str">
        <f t="shared" si="33"/>
        <v>Math-89</v>
      </c>
      <c r="Y657"/>
    </row>
    <row r="658" spans="1:25" ht="15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31"/>
        <v>AVATAR</v>
      </c>
      <c r="P658" s="13" t="str">
        <f t="shared" si="34"/>
        <v>True Pattern</v>
      </c>
      <c r="Q658" s="13" t="str">
        <f t="shared" si="30"/>
        <v>Fixed</v>
      </c>
      <c r="R658" s="13" t="s">
        <v>1669</v>
      </c>
      <c r="S658" s="25">
        <v>3</v>
      </c>
      <c r="T658" s="25">
        <v>1</v>
      </c>
      <c r="U658" s="25">
        <v>3</v>
      </c>
      <c r="V658" s="13">
        <f t="shared" si="32"/>
        <v>4</v>
      </c>
      <c r="W658" s="13" t="str">
        <f t="shared" si="33"/>
        <v>Math-95</v>
      </c>
      <c r="Y658"/>
    </row>
    <row r="659" spans="1:25" ht="15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31"/>
        <v>AVATAR</v>
      </c>
      <c r="P659" s="13" t="str">
        <f t="shared" si="34"/>
        <v>True Pattern</v>
      </c>
      <c r="Q659" s="13" t="str">
        <f t="shared" si="30"/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f t="shared" si="32"/>
        <v>2</v>
      </c>
      <c r="W659" s="13" t="str">
        <f t="shared" si="33"/>
        <v>Mockito-29</v>
      </c>
      <c r="Y659"/>
    </row>
    <row r="660" spans="1:25" ht="15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31"/>
        <v>AVATAR</v>
      </c>
      <c r="P660" s="13" t="str">
        <f t="shared" si="34"/>
        <v>True Pattern</v>
      </c>
      <c r="Q660" s="13" t="str">
        <f t="shared" si="30"/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f t="shared" si="32"/>
        <v>2</v>
      </c>
      <c r="W660" s="13" t="str">
        <f t="shared" si="33"/>
        <v>Mockito-38</v>
      </c>
      <c r="Y660"/>
    </row>
    <row r="661" spans="1:25" ht="15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31"/>
        <v>AVATAR</v>
      </c>
      <c r="P661" s="13" t="str">
        <f t="shared" si="34"/>
        <v>True Pattern</v>
      </c>
      <c r="Q661" s="13" t="str">
        <f t="shared" si="30"/>
        <v>Fixed</v>
      </c>
      <c r="R661" s="13" t="s">
        <v>1669</v>
      </c>
      <c r="S661" s="25">
        <v>2</v>
      </c>
      <c r="T661" s="13">
        <v>0</v>
      </c>
      <c r="U661" s="25">
        <v>12</v>
      </c>
      <c r="V661" s="13">
        <f t="shared" si="32"/>
        <v>12</v>
      </c>
      <c r="W661" s="13" t="str">
        <f t="shared" si="33"/>
        <v>Time-18</v>
      </c>
      <c r="Y661"/>
    </row>
    <row r="662" spans="1:25" ht="15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31"/>
        <v>DynaMoth</v>
      </c>
      <c r="P662" s="13" t="str">
        <f t="shared" si="34"/>
        <v>True Semantic</v>
      </c>
      <c r="Q662" s="13" t="str">
        <f t="shared" ref="Q662:Q725" si="35"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f t="shared" si="32"/>
        <v>2</v>
      </c>
      <c r="W662" s="13" t="str">
        <f t="shared" si="33"/>
        <v>Chart-1</v>
      </c>
      <c r="Y662"/>
    </row>
    <row r="663" spans="1:25" ht="15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ref="O663:O726" si="36">LEFT($A663,FIND("_",$A663)-1)</f>
        <v>DynaMoth</v>
      </c>
      <c r="P663" s="13" t="str">
        <f t="shared" si="34"/>
        <v>True Semantic</v>
      </c>
      <c r="Q663" s="13" t="str">
        <f t="shared" si="35"/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f t="shared" si="32"/>
        <v>2</v>
      </c>
      <c r="W663" s="13" t="str">
        <f t="shared" si="33"/>
        <v>Chart-13</v>
      </c>
      <c r="Y663"/>
    </row>
    <row r="664" spans="1:25" ht="15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si="36"/>
        <v>DynaMoth</v>
      </c>
      <c r="P664" s="13" t="str">
        <f t="shared" si="34"/>
        <v>True Semantic</v>
      </c>
      <c r="Q664" s="13" t="str">
        <f t="shared" si="35"/>
        <v>Fixed</v>
      </c>
      <c r="R664" s="13" t="s">
        <v>1669</v>
      </c>
      <c r="S664" s="25">
        <v>6</v>
      </c>
      <c r="T664" s="25">
        <v>2</v>
      </c>
      <c r="U664" s="25">
        <v>14</v>
      </c>
      <c r="V664" s="13">
        <f t="shared" si="32"/>
        <v>16</v>
      </c>
      <c r="W664" s="13" t="str">
        <f t="shared" si="33"/>
        <v>Chart-25</v>
      </c>
      <c r="Y664"/>
    </row>
    <row r="665" spans="1:25" ht="15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6"/>
        <v>DynaMoth</v>
      </c>
      <c r="P665" s="13" t="str">
        <f t="shared" si="34"/>
        <v>True Semantic</v>
      </c>
      <c r="Q665" s="13" t="str">
        <f t="shared" si="35"/>
        <v>Fixed</v>
      </c>
      <c r="R665" s="13" t="s">
        <v>1669</v>
      </c>
      <c r="S665" s="25">
        <v>2</v>
      </c>
      <c r="T665" s="25">
        <v>1</v>
      </c>
      <c r="U665" s="25">
        <v>5</v>
      </c>
      <c r="V665" s="13">
        <f t="shared" si="32"/>
        <v>6</v>
      </c>
      <c r="W665" s="13" t="str">
        <f t="shared" si="33"/>
        <v>Chart-5</v>
      </c>
      <c r="Y665"/>
    </row>
    <row r="666" spans="1:25" ht="15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6"/>
        <v>DynaMoth</v>
      </c>
      <c r="P666" s="13" t="str">
        <f t="shared" si="34"/>
        <v>True Semantic</v>
      </c>
      <c r="Q666" s="13" t="str">
        <f t="shared" si="35"/>
        <v>Fixed</v>
      </c>
      <c r="R666" s="13" t="s">
        <v>1668</v>
      </c>
      <c r="S666" s="25">
        <v>9</v>
      </c>
      <c r="T666" s="25">
        <v>7</v>
      </c>
      <c r="U666" s="25">
        <v>10</v>
      </c>
      <c r="V666" s="13">
        <f t="shared" si="32"/>
        <v>17</v>
      </c>
      <c r="W666" s="13" t="str">
        <f t="shared" si="33"/>
        <v>Lang-46</v>
      </c>
      <c r="Y666"/>
    </row>
    <row r="667" spans="1:25" ht="15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6"/>
        <v>DynaMoth</v>
      </c>
      <c r="P667" s="13" t="str">
        <f t="shared" si="34"/>
        <v>True Semantic</v>
      </c>
      <c r="Q667" s="13" t="str">
        <f t="shared" si="35"/>
        <v>Fixed</v>
      </c>
      <c r="R667" s="13" t="s">
        <v>1669</v>
      </c>
      <c r="S667" s="25">
        <v>1</v>
      </c>
      <c r="T667" s="13">
        <v>0</v>
      </c>
      <c r="U667" s="25">
        <v>1</v>
      </c>
      <c r="V667" s="13">
        <f t="shared" si="32"/>
        <v>1</v>
      </c>
      <c r="W667" s="13" t="str">
        <f t="shared" si="33"/>
        <v>Lang-51</v>
      </c>
      <c r="Y667"/>
    </row>
    <row r="668" spans="1:25" ht="15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6"/>
        <v>DynaMoth</v>
      </c>
      <c r="P668" s="13" t="str">
        <f t="shared" si="34"/>
        <v>True Semantic</v>
      </c>
      <c r="Q668" s="13" t="str">
        <f t="shared" si="35"/>
        <v>Fixed</v>
      </c>
      <c r="R668" s="13" t="s">
        <v>1668</v>
      </c>
      <c r="S668" s="25">
        <v>2</v>
      </c>
      <c r="T668" s="13">
        <v>0</v>
      </c>
      <c r="U668" s="25">
        <v>2</v>
      </c>
      <c r="V668" s="13">
        <f t="shared" si="32"/>
        <v>2</v>
      </c>
      <c r="W668" s="13" t="str">
        <f t="shared" si="33"/>
        <v>Lang-55</v>
      </c>
      <c r="Y668"/>
    </row>
    <row r="669" spans="1:25" ht="15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6"/>
        <v>DynaMoth</v>
      </c>
      <c r="P669" s="13" t="str">
        <f t="shared" si="34"/>
        <v>True Semantic</v>
      </c>
      <c r="Q669" s="13" t="str">
        <f t="shared" si="35"/>
        <v>Fixed</v>
      </c>
      <c r="R669" s="13" t="s">
        <v>1669</v>
      </c>
      <c r="S669" s="25">
        <v>1</v>
      </c>
      <c r="T669" s="25">
        <v>2</v>
      </c>
      <c r="U669" s="25">
        <v>1</v>
      </c>
      <c r="V669" s="13">
        <f t="shared" si="32"/>
        <v>3</v>
      </c>
      <c r="W669" s="13" t="str">
        <f t="shared" si="33"/>
        <v>Lang-58</v>
      </c>
      <c r="Y669"/>
    </row>
    <row r="670" spans="1:25" ht="15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6"/>
        <v>DynaMoth</v>
      </c>
      <c r="P670" s="13" t="str">
        <f t="shared" si="34"/>
        <v>True Semantic</v>
      </c>
      <c r="Q670" s="13" t="str">
        <f t="shared" si="35"/>
        <v>Fixed</v>
      </c>
      <c r="R670" s="13" t="s">
        <v>1669</v>
      </c>
      <c r="S670" s="25">
        <v>4</v>
      </c>
      <c r="T670" s="25">
        <v>20</v>
      </c>
      <c r="U670" s="25">
        <v>3</v>
      </c>
      <c r="V670" s="13">
        <f t="shared" si="32"/>
        <v>23</v>
      </c>
      <c r="W670" s="13" t="str">
        <f t="shared" si="33"/>
        <v>Lang-63</v>
      </c>
      <c r="Y670"/>
    </row>
    <row r="671" spans="1:25" ht="15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6"/>
        <v>DynaMoth</v>
      </c>
      <c r="P671" s="13" t="str">
        <f t="shared" si="34"/>
        <v>True Semantic</v>
      </c>
      <c r="Q671" s="13" t="str">
        <f t="shared" si="35"/>
        <v>Fixed</v>
      </c>
      <c r="R671" s="13" t="s">
        <v>1669</v>
      </c>
      <c r="S671" s="25">
        <v>1</v>
      </c>
      <c r="T671" s="25">
        <v>1</v>
      </c>
      <c r="U671" s="25">
        <v>2</v>
      </c>
      <c r="V671" s="13">
        <f t="shared" si="32"/>
        <v>3</v>
      </c>
      <c r="W671" s="13" t="str">
        <f t="shared" si="33"/>
        <v>Math-101</v>
      </c>
      <c r="Y671"/>
    </row>
    <row r="672" spans="1:25" ht="15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6"/>
        <v>DynaMoth</v>
      </c>
      <c r="P672" s="13" t="str">
        <f t="shared" si="34"/>
        <v>True Semantic</v>
      </c>
      <c r="Q672" s="13" t="str">
        <f t="shared" si="35"/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f t="shared" si="32"/>
        <v>2</v>
      </c>
      <c r="W672" s="13" t="str">
        <f t="shared" si="33"/>
        <v>Math-105</v>
      </c>
      <c r="Y672"/>
    </row>
    <row r="673" spans="1:25" ht="15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6"/>
        <v>DynaMoth</v>
      </c>
      <c r="P673" s="13" t="str">
        <f t="shared" si="34"/>
        <v>True Semantic</v>
      </c>
      <c r="Q673" s="13" t="str">
        <f t="shared" si="35"/>
        <v>Fixed</v>
      </c>
      <c r="R673" s="13" t="s">
        <v>1669</v>
      </c>
      <c r="S673" s="25">
        <v>1</v>
      </c>
      <c r="T673" s="25">
        <v>1</v>
      </c>
      <c r="U673" s="25">
        <v>2</v>
      </c>
      <c r="V673" s="13">
        <f t="shared" si="32"/>
        <v>3</v>
      </c>
      <c r="W673" s="13" t="str">
        <f t="shared" si="33"/>
        <v>Math-20</v>
      </c>
      <c r="Y673"/>
    </row>
    <row r="674" spans="1:25" ht="15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6"/>
        <v>DynaMoth</v>
      </c>
      <c r="P674" s="13" t="str">
        <f t="shared" si="34"/>
        <v>True Semantic</v>
      </c>
      <c r="Q674" s="13" t="str">
        <f t="shared" si="35"/>
        <v>Fixed</v>
      </c>
      <c r="R674" s="13" t="s">
        <v>1669</v>
      </c>
      <c r="S674" s="25">
        <v>4</v>
      </c>
      <c r="T674" s="13">
        <v>0</v>
      </c>
      <c r="U674" s="25">
        <v>4</v>
      </c>
      <c r="V674" s="13">
        <f t="shared" si="32"/>
        <v>4</v>
      </c>
      <c r="W674" s="13" t="str">
        <f t="shared" si="33"/>
        <v>Math-28</v>
      </c>
      <c r="Y674"/>
    </row>
    <row r="675" spans="1:25" ht="15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6"/>
        <v>DynaMoth</v>
      </c>
      <c r="P675" s="13" t="str">
        <f t="shared" si="34"/>
        <v>True Semantic</v>
      </c>
      <c r="Q675" s="13" t="str">
        <f t="shared" si="35"/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f t="shared" si="32"/>
        <v>2</v>
      </c>
      <c r="W675" s="13" t="str">
        <f t="shared" si="33"/>
        <v>Math-32</v>
      </c>
      <c r="Y675"/>
    </row>
    <row r="676" spans="1:25" ht="15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6"/>
        <v>DynaMoth</v>
      </c>
      <c r="P676" s="13" t="str">
        <f t="shared" si="34"/>
        <v>True Semantic</v>
      </c>
      <c r="Q676" s="13" t="str">
        <f t="shared" si="35"/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f t="shared" si="32"/>
        <v>2</v>
      </c>
      <c r="W676" s="13" t="str">
        <f t="shared" si="33"/>
        <v>Math-41</v>
      </c>
      <c r="Y676"/>
    </row>
    <row r="677" spans="1:25" ht="15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6"/>
        <v>DynaMoth</v>
      </c>
      <c r="P677" s="13" t="str">
        <f t="shared" si="34"/>
        <v>True Semantic</v>
      </c>
      <c r="Q677" s="13" t="str">
        <f t="shared" si="35"/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f t="shared" si="32"/>
        <v>8</v>
      </c>
      <c r="W677" s="13" t="str">
        <f t="shared" si="33"/>
        <v>Math-49</v>
      </c>
      <c r="Y677"/>
    </row>
    <row r="678" spans="1:25" ht="15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6"/>
        <v>DynaMoth</v>
      </c>
      <c r="P678" s="13" t="str">
        <f t="shared" si="34"/>
        <v>True Semantic</v>
      </c>
      <c r="Q678" s="13" t="str">
        <f t="shared" si="35"/>
        <v>Fixed</v>
      </c>
      <c r="R678" s="13" t="s">
        <v>1668</v>
      </c>
      <c r="S678" s="25">
        <v>1</v>
      </c>
      <c r="T678" s="25">
        <v>4</v>
      </c>
      <c r="U678" s="13">
        <v>0</v>
      </c>
      <c r="V678" s="13">
        <f t="shared" ref="V678:V741" si="37">T678+U678</f>
        <v>4</v>
      </c>
      <c r="W678" s="13" t="str">
        <f t="shared" ref="W678:W741" si="38">MID(A678, SEARCH("_", A678) +1, SEARCH("_", A678, SEARCH("_", A678) +1) - SEARCH("_", A678) -1)</f>
        <v>Math-50</v>
      </c>
      <c r="Y678"/>
    </row>
    <row r="679" spans="1:25" ht="15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6"/>
        <v>DynaMoth</v>
      </c>
      <c r="P679" s="13" t="str">
        <f t="shared" si="34"/>
        <v>True Semantic</v>
      </c>
      <c r="Q679" s="13" t="str">
        <f t="shared" si="35"/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f t="shared" si="37"/>
        <v>4</v>
      </c>
      <c r="W679" s="13" t="str">
        <f t="shared" si="38"/>
        <v>Math-8</v>
      </c>
      <c r="Y679"/>
    </row>
    <row r="680" spans="1:25" ht="15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6"/>
        <v>DynaMoth</v>
      </c>
      <c r="P680" s="13" t="str">
        <f t="shared" si="34"/>
        <v>True Semantic</v>
      </c>
      <c r="Q680" s="13" t="str">
        <f t="shared" si="35"/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f t="shared" si="37"/>
        <v>2</v>
      </c>
      <c r="W680" s="13" t="str">
        <f t="shared" si="38"/>
        <v>Math-80</v>
      </c>
      <c r="Y680"/>
    </row>
    <row r="681" spans="1:25" ht="15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6"/>
        <v>DynaMoth</v>
      </c>
      <c r="P681" s="13" t="str">
        <f t="shared" si="34"/>
        <v>True Semantic</v>
      </c>
      <c r="Q681" s="13" t="str">
        <f t="shared" si="35"/>
        <v>Fixed</v>
      </c>
      <c r="R681" s="13" t="s">
        <v>1669</v>
      </c>
      <c r="S681" s="25">
        <v>3</v>
      </c>
      <c r="T681" s="25">
        <v>3</v>
      </c>
      <c r="U681" s="25">
        <v>4</v>
      </c>
      <c r="V681" s="13">
        <f t="shared" si="37"/>
        <v>7</v>
      </c>
      <c r="W681" s="13" t="str">
        <f t="shared" si="38"/>
        <v>Math-81</v>
      </c>
      <c r="Y681"/>
    </row>
    <row r="682" spans="1:25" ht="15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6"/>
        <v>DynaMoth</v>
      </c>
      <c r="P682" s="13" t="str">
        <f t="shared" si="34"/>
        <v>True Semantic</v>
      </c>
      <c r="Q682" s="13" t="str">
        <f t="shared" si="35"/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f t="shared" si="37"/>
        <v>2</v>
      </c>
      <c r="W682" s="13" t="str">
        <f t="shared" si="38"/>
        <v>Math-82</v>
      </c>
      <c r="Y682"/>
    </row>
    <row r="683" spans="1:25" ht="15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6"/>
        <v>DynaMoth</v>
      </c>
      <c r="P683" s="13" t="str">
        <f t="shared" si="34"/>
        <v>True Semantic</v>
      </c>
      <c r="Q683" s="13" t="str">
        <f t="shared" si="35"/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f t="shared" si="37"/>
        <v>2</v>
      </c>
      <c r="W683" s="13" t="str">
        <f t="shared" si="38"/>
        <v>Math-85</v>
      </c>
      <c r="Y683"/>
    </row>
    <row r="684" spans="1:25" ht="15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6"/>
        <v>DynaMoth</v>
      </c>
      <c r="P684" s="13" t="str">
        <f t="shared" si="34"/>
        <v>True Semantic</v>
      </c>
      <c r="Q684" s="13" t="str">
        <f t="shared" si="35"/>
        <v>Fixed</v>
      </c>
      <c r="R684" s="13" t="s">
        <v>1669</v>
      </c>
      <c r="S684" s="25">
        <v>4</v>
      </c>
      <c r="T684" s="25">
        <v>6</v>
      </c>
      <c r="U684" s="25">
        <v>5</v>
      </c>
      <c r="V684" s="13">
        <f t="shared" si="37"/>
        <v>11</v>
      </c>
      <c r="W684" s="13" t="str">
        <f t="shared" si="38"/>
        <v>Math-88</v>
      </c>
      <c r="Y684"/>
    </row>
    <row r="685" spans="1:25" ht="15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6"/>
        <v>DynaMoth</v>
      </c>
      <c r="P685" s="13" t="str">
        <f t="shared" si="34"/>
        <v>True Semantic</v>
      </c>
      <c r="Q685" s="13" t="str">
        <f t="shared" si="35"/>
        <v>Fixed</v>
      </c>
      <c r="R685" s="13" t="s">
        <v>1669</v>
      </c>
      <c r="S685" s="25">
        <v>5</v>
      </c>
      <c r="T685" s="25">
        <v>2</v>
      </c>
      <c r="U685" s="25">
        <v>16</v>
      </c>
      <c r="V685" s="13">
        <f t="shared" si="37"/>
        <v>18</v>
      </c>
      <c r="W685" s="13" t="str">
        <f t="shared" si="38"/>
        <v>Math-97</v>
      </c>
      <c r="Y685"/>
    </row>
    <row r="686" spans="1:25" ht="15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6"/>
        <v>FixMiner</v>
      </c>
      <c r="P686" s="13" t="str">
        <f t="shared" si="34"/>
        <v>True Pattern</v>
      </c>
      <c r="Q686" s="13" t="str">
        <f t="shared" si="35"/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f t="shared" si="37"/>
        <v>2</v>
      </c>
      <c r="W686" s="13" t="str">
        <f t="shared" si="38"/>
        <v>Chart-1</v>
      </c>
      <c r="Y686"/>
    </row>
    <row r="687" spans="1:25" ht="15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6"/>
        <v>FixMiner</v>
      </c>
      <c r="P687" s="13" t="str">
        <f t="shared" si="34"/>
        <v>True Pattern</v>
      </c>
      <c r="Q687" s="13" t="str">
        <f t="shared" si="35"/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f t="shared" si="37"/>
        <v>2</v>
      </c>
      <c r="W687" s="13" t="str">
        <f t="shared" si="38"/>
        <v>Chart-11</v>
      </c>
      <c r="Y687"/>
    </row>
    <row r="688" spans="1:25" ht="15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6"/>
        <v>FixMiner</v>
      </c>
      <c r="P688" s="13" t="str">
        <f t="shared" si="34"/>
        <v>True Pattern</v>
      </c>
      <c r="Q688" s="13" t="str">
        <f t="shared" si="35"/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f t="shared" si="37"/>
        <v>2</v>
      </c>
      <c r="W688" s="13" t="str">
        <f t="shared" si="38"/>
        <v>Chart-12</v>
      </c>
      <c r="Y688"/>
    </row>
    <row r="689" spans="1:25" ht="15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6"/>
        <v>FixMiner</v>
      </c>
      <c r="P689" s="13" t="str">
        <f t="shared" si="34"/>
        <v>True Pattern</v>
      </c>
      <c r="Q689" s="13" t="str">
        <f t="shared" si="35"/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f t="shared" si="37"/>
        <v>2</v>
      </c>
      <c r="W689" s="13" t="str">
        <f t="shared" si="38"/>
        <v>Chart-13</v>
      </c>
      <c r="Y689"/>
    </row>
    <row r="690" spans="1:25" ht="15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6"/>
        <v>FixMiner</v>
      </c>
      <c r="P690" s="13" t="str">
        <f t="shared" si="34"/>
        <v>True Pattern</v>
      </c>
      <c r="Q690" s="13" t="str">
        <f t="shared" si="35"/>
        <v>Fixed</v>
      </c>
      <c r="R690" s="13" t="s">
        <v>1669</v>
      </c>
      <c r="S690" s="25">
        <v>1</v>
      </c>
      <c r="T690" s="25">
        <v>1</v>
      </c>
      <c r="U690" s="25">
        <v>2</v>
      </c>
      <c r="V690" s="13">
        <f t="shared" si="37"/>
        <v>3</v>
      </c>
      <c r="W690" s="13" t="str">
        <f t="shared" si="38"/>
        <v>Chart-17</v>
      </c>
      <c r="Y690"/>
    </row>
    <row r="691" spans="1:25" ht="15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6"/>
        <v>FixMiner</v>
      </c>
      <c r="P691" s="13" t="str">
        <f t="shared" si="34"/>
        <v>True Pattern</v>
      </c>
      <c r="Q691" s="13" t="str">
        <f t="shared" si="35"/>
        <v>Fixed</v>
      </c>
      <c r="R691" s="13" t="s">
        <v>1668</v>
      </c>
      <c r="S691" s="25">
        <v>2</v>
      </c>
      <c r="T691" s="13">
        <v>0</v>
      </c>
      <c r="U691" s="25">
        <v>6</v>
      </c>
      <c r="V691" s="13">
        <f t="shared" si="37"/>
        <v>6</v>
      </c>
      <c r="W691" s="13" t="str">
        <f t="shared" si="38"/>
        <v>Chart-19</v>
      </c>
      <c r="Y691"/>
    </row>
    <row r="692" spans="1:25" ht="15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6"/>
        <v>FixMiner</v>
      </c>
      <c r="P692" s="13" t="str">
        <f t="shared" si="34"/>
        <v>True Pattern</v>
      </c>
      <c r="Q692" s="13" t="str">
        <f t="shared" si="35"/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f t="shared" si="37"/>
        <v>2</v>
      </c>
      <c r="W692" s="13" t="str">
        <f t="shared" si="38"/>
        <v>Chart-24</v>
      </c>
      <c r="Y692"/>
    </row>
    <row r="693" spans="1:25" ht="15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6"/>
        <v>FixMiner</v>
      </c>
      <c r="P693" s="13" t="str">
        <f t="shared" si="34"/>
        <v>True Pattern</v>
      </c>
      <c r="Q693" s="13" t="str">
        <f t="shared" si="35"/>
        <v>Fixed</v>
      </c>
      <c r="R693" s="13" t="s">
        <v>1668</v>
      </c>
      <c r="S693" s="25">
        <v>2</v>
      </c>
      <c r="T693" s="13">
        <v>0</v>
      </c>
      <c r="U693" s="25">
        <v>2</v>
      </c>
      <c r="V693" s="13">
        <f t="shared" si="37"/>
        <v>2</v>
      </c>
      <c r="W693" s="13" t="str">
        <f t="shared" si="38"/>
        <v>Chart-26</v>
      </c>
      <c r="Y693"/>
    </row>
    <row r="694" spans="1:25" ht="15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6"/>
        <v>FixMiner</v>
      </c>
      <c r="P694" s="13" t="str">
        <f t="shared" si="34"/>
        <v>True Pattern</v>
      </c>
      <c r="Q694" s="13" t="str">
        <f t="shared" si="35"/>
        <v>Fixed</v>
      </c>
      <c r="R694" s="13" t="s">
        <v>1669</v>
      </c>
      <c r="S694" s="25">
        <v>1</v>
      </c>
      <c r="T694" s="13">
        <v>0</v>
      </c>
      <c r="U694" s="25">
        <v>2</v>
      </c>
      <c r="V694" s="13">
        <f t="shared" si="37"/>
        <v>2</v>
      </c>
      <c r="W694" s="13" t="str">
        <f t="shared" si="38"/>
        <v>Chart-3</v>
      </c>
      <c r="Y694"/>
    </row>
    <row r="695" spans="1:25" ht="15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6"/>
        <v>FixMiner</v>
      </c>
      <c r="P695" s="13" t="str">
        <f t="shared" si="34"/>
        <v>True Pattern</v>
      </c>
      <c r="Q695" s="13" t="str">
        <f t="shared" si="35"/>
        <v>Fixed</v>
      </c>
      <c r="R695" s="13" t="s">
        <v>1668</v>
      </c>
      <c r="S695" s="25">
        <v>2</v>
      </c>
      <c r="T695" s="13">
        <v>0</v>
      </c>
      <c r="U695" s="25">
        <v>2</v>
      </c>
      <c r="V695" s="13">
        <f t="shared" si="37"/>
        <v>2</v>
      </c>
      <c r="W695" s="13" t="str">
        <f t="shared" si="38"/>
        <v>Chart-4</v>
      </c>
      <c r="Y695"/>
    </row>
    <row r="696" spans="1:25" ht="15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6"/>
        <v>FixMiner</v>
      </c>
      <c r="P696" s="13" t="str">
        <f t="shared" si="34"/>
        <v>True Pattern</v>
      </c>
      <c r="Q696" s="13" t="str">
        <f t="shared" si="35"/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f t="shared" si="37"/>
        <v>4</v>
      </c>
      <c r="W696" s="13" t="str">
        <f t="shared" si="38"/>
        <v>Chart-7</v>
      </c>
      <c r="Y696"/>
    </row>
    <row r="697" spans="1:25" ht="15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6"/>
        <v>FixMiner</v>
      </c>
      <c r="P697" s="13" t="str">
        <f t="shared" si="34"/>
        <v>True Pattern</v>
      </c>
      <c r="Q697" s="13" t="str">
        <f t="shared" si="35"/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f t="shared" si="37"/>
        <v>2</v>
      </c>
      <c r="W697" s="13" t="str">
        <f t="shared" si="38"/>
        <v>Closure-10</v>
      </c>
      <c r="Y697"/>
    </row>
    <row r="698" spans="1:25" ht="15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6"/>
        <v>FixMiner</v>
      </c>
      <c r="P698" s="13" t="str">
        <f t="shared" si="34"/>
        <v>True Pattern</v>
      </c>
      <c r="Q698" s="13" t="str">
        <f t="shared" si="35"/>
        <v>Fixed</v>
      </c>
      <c r="R698" s="13" t="s">
        <v>1669</v>
      </c>
      <c r="S698" s="25">
        <v>2</v>
      </c>
      <c r="T698" s="25">
        <v>11</v>
      </c>
      <c r="U698" s="13">
        <v>0</v>
      </c>
      <c r="V698" s="13">
        <f t="shared" si="37"/>
        <v>11</v>
      </c>
      <c r="W698" s="13" t="str">
        <f t="shared" si="38"/>
        <v>Closure-115</v>
      </c>
      <c r="Y698"/>
    </row>
    <row r="699" spans="1:25" ht="15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6"/>
        <v>FixMiner</v>
      </c>
      <c r="P699" s="13" t="str">
        <f t="shared" si="34"/>
        <v>True Pattern</v>
      </c>
      <c r="Q699" s="13" t="str">
        <f t="shared" si="35"/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f t="shared" si="37"/>
        <v>2</v>
      </c>
      <c r="W699" s="13" t="str">
        <f t="shared" si="38"/>
        <v>Closure-13</v>
      </c>
      <c r="Y699"/>
    </row>
    <row r="700" spans="1:25" ht="15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6"/>
        <v>FixMiner</v>
      </c>
      <c r="P700" s="13" t="str">
        <f t="shared" si="34"/>
        <v>True Pattern</v>
      </c>
      <c r="Q700" s="13" t="str">
        <f t="shared" si="35"/>
        <v>Fixed</v>
      </c>
      <c r="R700" s="13" t="s">
        <v>1669</v>
      </c>
      <c r="S700" s="25">
        <v>2</v>
      </c>
      <c r="T700" s="13">
        <v>0</v>
      </c>
      <c r="U700" s="25">
        <v>2</v>
      </c>
      <c r="V700" s="13">
        <f t="shared" si="37"/>
        <v>2</v>
      </c>
      <c r="W700" s="13" t="str">
        <f t="shared" si="38"/>
        <v>Closure-19</v>
      </c>
      <c r="Y700"/>
    </row>
    <row r="701" spans="1:25" ht="15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6"/>
        <v>FixMiner</v>
      </c>
      <c r="P701" s="13" t="str">
        <f t="shared" si="34"/>
        <v>True Pattern</v>
      </c>
      <c r="Q701" s="13" t="str">
        <f t="shared" si="35"/>
        <v>Fixed</v>
      </c>
      <c r="R701" s="13" t="s">
        <v>1668</v>
      </c>
      <c r="S701" s="25">
        <v>3</v>
      </c>
      <c r="T701" s="13">
        <v>0</v>
      </c>
      <c r="U701" s="25">
        <v>4</v>
      </c>
      <c r="V701" s="13">
        <f t="shared" si="37"/>
        <v>4</v>
      </c>
      <c r="W701" s="13" t="str">
        <f t="shared" si="38"/>
        <v>Closure-2</v>
      </c>
      <c r="Y701"/>
    </row>
    <row r="702" spans="1:25" ht="15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6"/>
        <v>FixMiner</v>
      </c>
      <c r="P702" s="13" t="str">
        <f t="shared" si="34"/>
        <v>True Pattern</v>
      </c>
      <c r="Q702" s="13" t="str">
        <f t="shared" si="35"/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f t="shared" si="37"/>
        <v>2</v>
      </c>
      <c r="W702" s="13" t="str">
        <f t="shared" si="38"/>
        <v>Closure-38</v>
      </c>
      <c r="Y702"/>
    </row>
    <row r="703" spans="1:25" ht="15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6"/>
        <v>FixMiner</v>
      </c>
      <c r="P703" s="13" t="str">
        <f t="shared" si="34"/>
        <v>True Pattern</v>
      </c>
      <c r="Q703" s="13" t="str">
        <f t="shared" si="35"/>
        <v>Fixed</v>
      </c>
      <c r="R703" s="13" t="s">
        <v>1668</v>
      </c>
      <c r="S703" s="25">
        <v>1</v>
      </c>
      <c r="T703" s="25">
        <v>16</v>
      </c>
      <c r="U703" s="13">
        <v>0</v>
      </c>
      <c r="V703" s="13">
        <f t="shared" si="37"/>
        <v>16</v>
      </c>
      <c r="W703" s="13" t="str">
        <f t="shared" si="38"/>
        <v>Closure-46</v>
      </c>
      <c r="Y703"/>
    </row>
    <row r="704" spans="1:25" ht="15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6"/>
        <v>FixMiner</v>
      </c>
      <c r="P704" s="13" t="str">
        <f t="shared" si="34"/>
        <v>True Pattern</v>
      </c>
      <c r="Q704" s="13" t="str">
        <f t="shared" si="35"/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f t="shared" si="37"/>
        <v>2</v>
      </c>
      <c r="W704" s="13" t="str">
        <f t="shared" si="38"/>
        <v>Closure-62</v>
      </c>
      <c r="Y704"/>
    </row>
    <row r="705" spans="1:25" ht="15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6"/>
        <v>FixMiner</v>
      </c>
      <c r="P705" s="13" t="str">
        <f t="shared" si="34"/>
        <v>True Pattern</v>
      </c>
      <c r="Q705" s="13" t="str">
        <f t="shared" si="35"/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f t="shared" si="37"/>
        <v>2</v>
      </c>
      <c r="W705" s="13" t="str">
        <f t="shared" si="38"/>
        <v>Closure-73</v>
      </c>
      <c r="Y705"/>
    </row>
    <row r="706" spans="1:25" ht="15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6"/>
        <v>FixMiner</v>
      </c>
      <c r="P706" s="13" t="str">
        <f t="shared" si="34"/>
        <v>True Pattern</v>
      </c>
      <c r="Q706" s="13" t="str">
        <f t="shared" si="35"/>
        <v>Fixed</v>
      </c>
      <c r="R706" s="13" t="s">
        <v>1668</v>
      </c>
      <c r="S706" s="25">
        <v>2</v>
      </c>
      <c r="T706" s="25">
        <v>9</v>
      </c>
      <c r="U706" s="13">
        <v>0</v>
      </c>
      <c r="V706" s="13">
        <f t="shared" si="37"/>
        <v>9</v>
      </c>
      <c r="W706" s="13" t="str">
        <f t="shared" si="38"/>
        <v>Lang-10</v>
      </c>
      <c r="Y706"/>
    </row>
    <row r="707" spans="1:25" ht="15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6"/>
        <v>FixMiner</v>
      </c>
      <c r="P707" s="13" t="str">
        <f t="shared" si="34"/>
        <v>True Pattern</v>
      </c>
      <c r="Q707" s="13" t="str">
        <f t="shared" si="35"/>
        <v>Fixed</v>
      </c>
      <c r="R707" s="13" t="s">
        <v>1669</v>
      </c>
      <c r="S707" s="25">
        <v>5</v>
      </c>
      <c r="T707" s="25">
        <v>3</v>
      </c>
      <c r="U707" s="25">
        <v>9</v>
      </c>
      <c r="V707" s="13">
        <f t="shared" si="37"/>
        <v>12</v>
      </c>
      <c r="W707" s="13" t="str">
        <f t="shared" si="38"/>
        <v>Lang-19</v>
      </c>
      <c r="Y707"/>
    </row>
    <row r="708" spans="1:25" ht="15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6"/>
        <v>FixMiner</v>
      </c>
      <c r="P708" s="13" t="str">
        <f t="shared" si="34"/>
        <v>True Pattern</v>
      </c>
      <c r="Q708" s="13" t="str">
        <f t="shared" si="35"/>
        <v>Fixed</v>
      </c>
      <c r="R708" s="13" t="s">
        <v>1669</v>
      </c>
      <c r="S708" s="25">
        <v>2</v>
      </c>
      <c r="T708" s="25">
        <v>1</v>
      </c>
      <c r="U708" s="25">
        <v>7</v>
      </c>
      <c r="V708" s="13">
        <f t="shared" si="37"/>
        <v>8</v>
      </c>
      <c r="W708" s="13" t="str">
        <f t="shared" si="38"/>
        <v>Lang-22</v>
      </c>
      <c r="Y708"/>
    </row>
    <row r="709" spans="1:25" ht="15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6"/>
        <v>FixMiner</v>
      </c>
      <c r="P709" s="13" t="str">
        <f t="shared" si="34"/>
        <v>True Pattern</v>
      </c>
      <c r="Q709" s="13" t="str">
        <f t="shared" si="35"/>
        <v>Fixed</v>
      </c>
      <c r="R709" s="13" t="s">
        <v>1668</v>
      </c>
      <c r="S709" s="25">
        <v>3</v>
      </c>
      <c r="T709" s="25">
        <v>2</v>
      </c>
      <c r="U709" s="25">
        <v>6</v>
      </c>
      <c r="V709" s="13">
        <f t="shared" si="37"/>
        <v>8</v>
      </c>
      <c r="W709" s="13" t="str">
        <f t="shared" si="38"/>
        <v>Lang-56</v>
      </c>
      <c r="Y709"/>
    </row>
    <row r="710" spans="1:25" ht="15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6"/>
        <v>FixMiner</v>
      </c>
      <c r="P710" s="13" t="str">
        <f t="shared" si="34"/>
        <v>True Pattern</v>
      </c>
      <c r="Q710" s="13" t="str">
        <f t="shared" si="35"/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f t="shared" si="37"/>
        <v>2</v>
      </c>
      <c r="W710" s="13" t="str">
        <f t="shared" si="38"/>
        <v>Lang-57</v>
      </c>
      <c r="Y710"/>
    </row>
    <row r="711" spans="1:25" ht="15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6"/>
        <v>FixMiner</v>
      </c>
      <c r="P711" s="13" t="str">
        <f t="shared" si="34"/>
        <v>True Pattern</v>
      </c>
      <c r="Q711" s="13" t="str">
        <f t="shared" si="35"/>
        <v>Fixed</v>
      </c>
      <c r="R711" s="13" t="s">
        <v>1669</v>
      </c>
      <c r="S711" s="25">
        <v>1</v>
      </c>
      <c r="T711" s="25">
        <v>2</v>
      </c>
      <c r="U711" s="25">
        <v>1</v>
      </c>
      <c r="V711" s="13">
        <f t="shared" si="37"/>
        <v>3</v>
      </c>
      <c r="W711" s="13" t="str">
        <f t="shared" si="38"/>
        <v>Lang-58</v>
      </c>
      <c r="Y711"/>
    </row>
    <row r="712" spans="1:25" ht="15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6"/>
        <v>FixMiner</v>
      </c>
      <c r="P712" s="13" t="str">
        <f t="shared" si="34"/>
        <v>True Pattern</v>
      </c>
      <c r="Q712" s="13" t="str">
        <f t="shared" si="35"/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f t="shared" si="37"/>
        <v>2</v>
      </c>
      <c r="W712" s="13" t="str">
        <f t="shared" si="38"/>
        <v>Lang-59</v>
      </c>
      <c r="Y712"/>
    </row>
    <row r="713" spans="1:25" ht="15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6"/>
        <v>FixMiner</v>
      </c>
      <c r="P713" s="13" t="str">
        <f t="shared" si="34"/>
        <v>True Pattern</v>
      </c>
      <c r="Q713" s="13" t="str">
        <f t="shared" si="35"/>
        <v>Fixed</v>
      </c>
      <c r="R713" s="13" t="s">
        <v>1669</v>
      </c>
      <c r="S713" s="25">
        <v>4</v>
      </c>
      <c r="T713" s="25">
        <v>20</v>
      </c>
      <c r="U713" s="25">
        <v>3</v>
      </c>
      <c r="V713" s="13">
        <f t="shared" si="37"/>
        <v>23</v>
      </c>
      <c r="W713" s="13" t="str">
        <f t="shared" si="38"/>
        <v>Lang-63</v>
      </c>
      <c r="Y713"/>
    </row>
    <row r="714" spans="1:25" ht="15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6"/>
        <v>FixMiner</v>
      </c>
      <c r="P714" s="13" t="str">
        <f t="shared" ref="P714:P777" si="39"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 t="shared" si="35"/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f t="shared" si="37"/>
        <v>6</v>
      </c>
      <c r="W714" s="13" t="str">
        <f t="shared" si="38"/>
        <v>Lang-7</v>
      </c>
      <c r="Y714"/>
    </row>
    <row r="715" spans="1:25" ht="15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6"/>
        <v>FixMiner</v>
      </c>
      <c r="P715" s="13" t="str">
        <f t="shared" si="39"/>
        <v>True Pattern</v>
      </c>
      <c r="Q715" s="13" t="str">
        <f t="shared" si="35"/>
        <v>Fixed</v>
      </c>
      <c r="R715" s="13" t="s">
        <v>1669</v>
      </c>
      <c r="S715" s="25">
        <v>1</v>
      </c>
      <c r="T715" s="25">
        <v>1</v>
      </c>
      <c r="U715" s="25">
        <v>2</v>
      </c>
      <c r="V715" s="13">
        <f t="shared" si="37"/>
        <v>3</v>
      </c>
      <c r="W715" s="13" t="str">
        <f t="shared" si="38"/>
        <v>Math-20</v>
      </c>
      <c r="Y715"/>
    </row>
    <row r="716" spans="1:25" ht="15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6"/>
        <v>FixMiner</v>
      </c>
      <c r="P716" s="13" t="str">
        <f t="shared" si="39"/>
        <v>True Pattern</v>
      </c>
      <c r="Q716" s="13" t="str">
        <f t="shared" si="35"/>
        <v>Fixed</v>
      </c>
      <c r="R716" s="13" t="s">
        <v>1669</v>
      </c>
      <c r="S716" s="25">
        <v>4</v>
      </c>
      <c r="T716" s="13">
        <v>0</v>
      </c>
      <c r="U716" s="25">
        <v>4</v>
      </c>
      <c r="V716" s="13">
        <f t="shared" si="37"/>
        <v>4</v>
      </c>
      <c r="W716" s="13" t="str">
        <f t="shared" si="38"/>
        <v>Math-28</v>
      </c>
      <c r="Y716"/>
    </row>
    <row r="717" spans="1:25" ht="15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6"/>
        <v>FixMiner</v>
      </c>
      <c r="P717" s="13" t="str">
        <f t="shared" si="39"/>
        <v>True Pattern</v>
      </c>
      <c r="Q717" s="13" t="str">
        <f t="shared" si="35"/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f t="shared" si="37"/>
        <v>2</v>
      </c>
      <c r="W717" s="13" t="str">
        <f t="shared" si="38"/>
        <v>Math-30</v>
      </c>
      <c r="Y717"/>
    </row>
    <row r="718" spans="1:25" ht="15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6"/>
        <v>FixMiner</v>
      </c>
      <c r="P718" s="13" t="str">
        <f t="shared" si="39"/>
        <v>True Pattern</v>
      </c>
      <c r="Q718" s="13" t="str">
        <f t="shared" si="35"/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f t="shared" si="37"/>
        <v>2</v>
      </c>
      <c r="W718" s="13" t="str">
        <f t="shared" si="38"/>
        <v>Math-33</v>
      </c>
      <c r="Y718"/>
    </row>
    <row r="719" spans="1:25" ht="15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6"/>
        <v>FixMiner</v>
      </c>
      <c r="P719" s="13" t="str">
        <f t="shared" si="39"/>
        <v>True Pattern</v>
      </c>
      <c r="Q719" s="13" t="str">
        <f t="shared" si="35"/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f t="shared" si="37"/>
        <v>2</v>
      </c>
      <c r="W719" s="13" t="str">
        <f t="shared" si="38"/>
        <v>Math-34</v>
      </c>
      <c r="Y719"/>
    </row>
    <row r="720" spans="1:25" ht="15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6"/>
        <v>FixMiner</v>
      </c>
      <c r="P720" s="13" t="str">
        <f t="shared" si="39"/>
        <v>True Pattern</v>
      </c>
      <c r="Q720" s="13" t="str">
        <f t="shared" si="35"/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f t="shared" si="37"/>
        <v>4</v>
      </c>
      <c r="W720" s="13" t="str">
        <f t="shared" si="38"/>
        <v>Math-35</v>
      </c>
      <c r="Y720"/>
    </row>
    <row r="721" spans="1:25" ht="15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6"/>
        <v>FixMiner</v>
      </c>
      <c r="P721" s="13" t="str">
        <f t="shared" si="39"/>
        <v>True Pattern</v>
      </c>
      <c r="Q721" s="13" t="str">
        <f t="shared" si="35"/>
        <v>Fixed</v>
      </c>
      <c r="R721" s="13" t="s">
        <v>1669</v>
      </c>
      <c r="S721" s="25">
        <v>1</v>
      </c>
      <c r="T721" s="25">
        <v>4</v>
      </c>
      <c r="U721" s="13">
        <v>0</v>
      </c>
      <c r="V721" s="13">
        <f t="shared" si="37"/>
        <v>4</v>
      </c>
      <c r="W721" s="13" t="str">
        <f t="shared" si="38"/>
        <v>Math-50</v>
      </c>
      <c r="Y721"/>
    </row>
    <row r="722" spans="1:25" ht="15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6"/>
        <v>FixMiner</v>
      </c>
      <c r="P722" s="13" t="str">
        <f t="shared" si="39"/>
        <v>True Pattern</v>
      </c>
      <c r="Q722" s="13" t="str">
        <f t="shared" si="35"/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f t="shared" si="37"/>
        <v>2</v>
      </c>
      <c r="W722" s="13" t="str">
        <f t="shared" si="38"/>
        <v>Math-57</v>
      </c>
      <c r="Y722"/>
    </row>
    <row r="723" spans="1:25" ht="15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6"/>
        <v>FixMiner</v>
      </c>
      <c r="P723" s="13" t="str">
        <f t="shared" si="39"/>
        <v>True Pattern</v>
      </c>
      <c r="Q723" s="13" t="str">
        <f t="shared" si="35"/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f t="shared" si="37"/>
        <v>2</v>
      </c>
      <c r="W723" s="13" t="str">
        <f t="shared" si="38"/>
        <v>Math-63</v>
      </c>
      <c r="Y723"/>
    </row>
    <row r="724" spans="1:25" ht="15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6"/>
        <v>FixMiner</v>
      </c>
      <c r="P724" s="13" t="str">
        <f t="shared" si="39"/>
        <v>True Pattern</v>
      </c>
      <c r="Q724" s="13" t="str">
        <f t="shared" si="35"/>
        <v>Fixed</v>
      </c>
      <c r="R724" s="13" t="s">
        <v>1669</v>
      </c>
      <c r="S724" s="25">
        <v>13</v>
      </c>
      <c r="T724" s="25">
        <v>8</v>
      </c>
      <c r="U724" s="25">
        <v>22</v>
      </c>
      <c r="V724" s="13">
        <f t="shared" si="37"/>
        <v>30</v>
      </c>
      <c r="W724" s="13" t="str">
        <f t="shared" si="38"/>
        <v>Math-64</v>
      </c>
      <c r="Y724"/>
    </row>
    <row r="725" spans="1:25" ht="15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6"/>
        <v>FixMiner</v>
      </c>
      <c r="P725" s="13" t="str">
        <f t="shared" si="39"/>
        <v>True Pattern</v>
      </c>
      <c r="Q725" s="13" t="str">
        <f t="shared" si="35"/>
        <v>Fixed</v>
      </c>
      <c r="R725" s="13" t="s">
        <v>1669</v>
      </c>
      <c r="S725" s="25">
        <v>9</v>
      </c>
      <c r="T725" s="25">
        <v>2</v>
      </c>
      <c r="U725" s="25">
        <v>12</v>
      </c>
      <c r="V725" s="13">
        <f t="shared" si="37"/>
        <v>14</v>
      </c>
      <c r="W725" s="13" t="str">
        <f t="shared" si="38"/>
        <v>Math-68</v>
      </c>
      <c r="Y725"/>
    </row>
    <row r="726" spans="1:25" ht="15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6"/>
        <v>FixMiner</v>
      </c>
      <c r="P726" s="13" t="str">
        <f t="shared" si="39"/>
        <v>True Pattern</v>
      </c>
      <c r="Q726" s="13" t="str">
        <f t="shared" ref="Q726:Q789" si="40"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f t="shared" si="37"/>
        <v>2</v>
      </c>
      <c r="W726" s="13" t="str">
        <f t="shared" si="38"/>
        <v>Math-70</v>
      </c>
      <c r="Y726"/>
    </row>
    <row r="727" spans="1:25" ht="15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ref="O727:O790" si="41">LEFT($A727,FIND("_",$A727)-1)</f>
        <v>FixMiner</v>
      </c>
      <c r="P727" s="13" t="str">
        <f t="shared" si="39"/>
        <v>True Pattern</v>
      </c>
      <c r="Q727" s="13" t="str">
        <f t="shared" si="40"/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f t="shared" si="37"/>
        <v>2</v>
      </c>
      <c r="W727" s="13" t="str">
        <f t="shared" si="38"/>
        <v>Math-75</v>
      </c>
      <c r="Y727"/>
    </row>
    <row r="728" spans="1:25" ht="15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si="41"/>
        <v>FixMiner</v>
      </c>
      <c r="P728" s="13" t="str">
        <f t="shared" si="39"/>
        <v>True Pattern</v>
      </c>
      <c r="Q728" s="13" t="str">
        <f t="shared" si="40"/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f t="shared" si="37"/>
        <v>4</v>
      </c>
      <c r="W728" s="13" t="str">
        <f t="shared" si="38"/>
        <v>Math-79</v>
      </c>
      <c r="Y728"/>
    </row>
    <row r="729" spans="1:25" ht="15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41"/>
        <v>FixMiner</v>
      </c>
      <c r="P729" s="13" t="str">
        <f t="shared" si="39"/>
        <v>True Pattern</v>
      </c>
      <c r="Q729" s="13" t="str">
        <f t="shared" si="40"/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f t="shared" si="37"/>
        <v>2</v>
      </c>
      <c r="W729" s="13" t="str">
        <f t="shared" si="38"/>
        <v>Math-80</v>
      </c>
      <c r="Y729"/>
    </row>
    <row r="730" spans="1:25" ht="15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41"/>
        <v>FixMiner</v>
      </c>
      <c r="P730" s="13" t="str">
        <f t="shared" si="39"/>
        <v>True Pattern</v>
      </c>
      <c r="Q730" s="13" t="str">
        <f t="shared" si="40"/>
        <v>Fixed</v>
      </c>
      <c r="R730" s="13" t="s">
        <v>1669</v>
      </c>
      <c r="S730" s="25">
        <v>3</v>
      </c>
      <c r="T730" s="25">
        <v>3</v>
      </c>
      <c r="U730" s="25">
        <v>4</v>
      </c>
      <c r="V730" s="13">
        <f t="shared" si="37"/>
        <v>7</v>
      </c>
      <c r="W730" s="13" t="str">
        <f t="shared" si="38"/>
        <v>Math-81</v>
      </c>
      <c r="Y730"/>
    </row>
    <row r="731" spans="1:25" ht="15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41"/>
        <v>FixMiner</v>
      </c>
      <c r="P731" s="13" t="str">
        <f t="shared" si="39"/>
        <v>True Pattern</v>
      </c>
      <c r="Q731" s="13" t="str">
        <f t="shared" si="40"/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f t="shared" si="37"/>
        <v>2</v>
      </c>
      <c r="W731" s="13" t="str">
        <f t="shared" si="38"/>
        <v>Math-82</v>
      </c>
      <c r="Y731"/>
    </row>
    <row r="732" spans="1:25" ht="15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41"/>
        <v>FixMiner</v>
      </c>
      <c r="P732" s="13" t="str">
        <f t="shared" si="39"/>
        <v>True Pattern</v>
      </c>
      <c r="Q732" s="13" t="str">
        <f t="shared" si="40"/>
        <v>Fixed</v>
      </c>
      <c r="R732" s="13" t="s">
        <v>1669</v>
      </c>
      <c r="S732" s="25">
        <v>3</v>
      </c>
      <c r="T732" s="13">
        <v>0</v>
      </c>
      <c r="U732" s="25">
        <v>9</v>
      </c>
      <c r="V732" s="13">
        <f t="shared" si="37"/>
        <v>9</v>
      </c>
      <c r="W732" s="13" t="str">
        <f t="shared" si="38"/>
        <v>Math-84</v>
      </c>
      <c r="Y732"/>
    </row>
    <row r="733" spans="1:25" ht="15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41"/>
        <v>FixMiner</v>
      </c>
      <c r="P733" s="13" t="str">
        <f t="shared" si="39"/>
        <v>True Pattern</v>
      </c>
      <c r="Q733" s="13" t="str">
        <f t="shared" si="40"/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f t="shared" si="37"/>
        <v>2</v>
      </c>
      <c r="W733" s="13" t="str">
        <f t="shared" si="38"/>
        <v>Math-85</v>
      </c>
      <c r="Y733"/>
    </row>
    <row r="734" spans="1:25" ht="15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41"/>
        <v>FixMiner</v>
      </c>
      <c r="P734" s="13" t="str">
        <f t="shared" si="39"/>
        <v>True Pattern</v>
      </c>
      <c r="Q734" s="13" t="str">
        <f t="shared" si="40"/>
        <v>Fixed</v>
      </c>
      <c r="R734" s="13" t="s">
        <v>1669</v>
      </c>
      <c r="S734" s="25">
        <v>4</v>
      </c>
      <c r="T734" s="25">
        <v>6</v>
      </c>
      <c r="U734" s="25">
        <v>5</v>
      </c>
      <c r="V734" s="13">
        <f t="shared" si="37"/>
        <v>11</v>
      </c>
      <c r="W734" s="13" t="str">
        <f t="shared" si="38"/>
        <v>Math-88</v>
      </c>
      <c r="Y734"/>
    </row>
    <row r="735" spans="1:25" ht="15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41"/>
        <v>FixMiner</v>
      </c>
      <c r="P735" s="13" t="str">
        <f t="shared" si="39"/>
        <v>True Pattern</v>
      </c>
      <c r="Q735" s="13" t="str">
        <f t="shared" si="40"/>
        <v>Fixed</v>
      </c>
      <c r="R735" s="13" t="s">
        <v>1669</v>
      </c>
      <c r="S735" s="25">
        <v>3</v>
      </c>
      <c r="T735" s="25">
        <v>1</v>
      </c>
      <c r="U735" s="25">
        <v>3</v>
      </c>
      <c r="V735" s="13">
        <f t="shared" si="37"/>
        <v>4</v>
      </c>
      <c r="W735" s="13" t="str">
        <f t="shared" si="38"/>
        <v>Math-95</v>
      </c>
      <c r="Y735"/>
    </row>
    <row r="736" spans="1:25" ht="15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41"/>
        <v>FixMiner</v>
      </c>
      <c r="P736" s="13" t="str">
        <f t="shared" si="39"/>
        <v>True Pattern</v>
      </c>
      <c r="Q736" s="13" t="str">
        <f t="shared" si="40"/>
        <v>Fixed</v>
      </c>
      <c r="R736" s="13" t="s">
        <v>1669</v>
      </c>
      <c r="S736" s="25">
        <v>5</v>
      </c>
      <c r="T736" s="25">
        <v>2</v>
      </c>
      <c r="U736" s="25">
        <v>16</v>
      </c>
      <c r="V736" s="13">
        <f t="shared" si="37"/>
        <v>18</v>
      </c>
      <c r="W736" s="13" t="str">
        <f t="shared" si="38"/>
        <v>Math-97</v>
      </c>
      <c r="Y736"/>
    </row>
    <row r="737" spans="1:25" ht="15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41"/>
        <v>FixMiner</v>
      </c>
      <c r="P737" s="13" t="str">
        <f t="shared" si="39"/>
        <v>True Pattern</v>
      </c>
      <c r="Q737" s="13" t="str">
        <f t="shared" si="40"/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f t="shared" si="37"/>
        <v>2</v>
      </c>
      <c r="W737" s="13" t="str">
        <f t="shared" si="38"/>
        <v>Mockito-29</v>
      </c>
      <c r="Y737"/>
    </row>
    <row r="738" spans="1:25" ht="15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41"/>
        <v>FixMiner</v>
      </c>
      <c r="P738" s="13" t="str">
        <f t="shared" si="39"/>
        <v>True Pattern</v>
      </c>
      <c r="Q738" s="13" t="str">
        <f t="shared" si="40"/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f t="shared" si="37"/>
        <v>2</v>
      </c>
      <c r="W738" s="13" t="str">
        <f t="shared" si="38"/>
        <v>Mockito-38</v>
      </c>
      <c r="Y738"/>
    </row>
    <row r="739" spans="1:25" ht="15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41"/>
        <v>GenProg-A</v>
      </c>
      <c r="P739" s="13" t="str">
        <f t="shared" si="39"/>
        <v>Evolutionary Search</v>
      </c>
      <c r="Q739" s="13" t="str">
        <f t="shared" si="40"/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f t="shared" si="37"/>
        <v>2</v>
      </c>
      <c r="W739" s="13" t="str">
        <f t="shared" si="38"/>
        <v>Chart-1</v>
      </c>
      <c r="Y739"/>
    </row>
    <row r="740" spans="1:25" ht="15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41"/>
        <v>GenProg-A</v>
      </c>
      <c r="P740" s="13" t="str">
        <f t="shared" si="39"/>
        <v>Evolutionary Search</v>
      </c>
      <c r="Q740" s="13" t="str">
        <f t="shared" si="40"/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f t="shared" si="37"/>
        <v>2</v>
      </c>
      <c r="W740" s="13" t="str">
        <f t="shared" si="38"/>
        <v>Chart-12</v>
      </c>
      <c r="Y740"/>
    </row>
    <row r="741" spans="1:25" ht="15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41"/>
        <v>GenProg-A</v>
      </c>
      <c r="P741" s="13" t="str">
        <f t="shared" si="39"/>
        <v>Evolutionary Search</v>
      </c>
      <c r="Q741" s="13" t="str">
        <f t="shared" si="40"/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f t="shared" si="37"/>
        <v>2</v>
      </c>
      <c r="W741" s="13" t="str">
        <f t="shared" si="38"/>
        <v>Chart-13</v>
      </c>
      <c r="Y741"/>
    </row>
    <row r="742" spans="1:25" ht="15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41"/>
        <v>GenProg-A</v>
      </c>
      <c r="P742" s="13" t="str">
        <f t="shared" si="39"/>
        <v>Evolutionary Search</v>
      </c>
      <c r="Q742" s="13" t="str">
        <f t="shared" si="40"/>
        <v>Fixed</v>
      </c>
      <c r="R742" s="13" t="s">
        <v>1669</v>
      </c>
      <c r="S742" s="25">
        <v>1</v>
      </c>
      <c r="T742" s="13">
        <v>0</v>
      </c>
      <c r="U742" s="25">
        <v>2</v>
      </c>
      <c r="V742" s="13">
        <f t="shared" ref="V742:V805" si="42">T742+U742</f>
        <v>2</v>
      </c>
      <c r="W742" s="13" t="str">
        <f t="shared" ref="W742:W805" si="43">MID(A742, SEARCH("_", A742) +1, SEARCH("_", A742, SEARCH("_", A742) +1) - SEARCH("_", A742) -1)</f>
        <v>Chart-3</v>
      </c>
      <c r="Y742"/>
    </row>
    <row r="743" spans="1:25" ht="15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41"/>
        <v>GenProg-A</v>
      </c>
      <c r="P743" s="13" t="str">
        <f t="shared" si="39"/>
        <v>Evolutionary Search</v>
      </c>
      <c r="Q743" s="13" t="str">
        <f t="shared" si="40"/>
        <v>Fixed</v>
      </c>
      <c r="R743" s="13" t="s">
        <v>1669</v>
      </c>
      <c r="S743" s="25">
        <v>1</v>
      </c>
      <c r="T743" s="25">
        <v>3</v>
      </c>
      <c r="U743" s="25">
        <v>9</v>
      </c>
      <c r="V743" s="13">
        <f t="shared" si="42"/>
        <v>12</v>
      </c>
      <c r="W743" s="13" t="str">
        <f t="shared" si="43"/>
        <v>Closure-112</v>
      </c>
      <c r="Y743"/>
    </row>
    <row r="744" spans="1:25" ht="15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41"/>
        <v>GenProg-A</v>
      </c>
      <c r="P744" s="13" t="str">
        <f t="shared" si="39"/>
        <v>Evolutionary Search</v>
      </c>
      <c r="Q744" s="13" t="str">
        <f t="shared" si="40"/>
        <v>Fixed</v>
      </c>
      <c r="R744" s="13" t="s">
        <v>1668</v>
      </c>
      <c r="S744" s="25">
        <v>2</v>
      </c>
      <c r="T744" s="25">
        <v>11</v>
      </c>
      <c r="U744" s="13">
        <v>0</v>
      </c>
      <c r="V744" s="13">
        <f t="shared" si="42"/>
        <v>11</v>
      </c>
      <c r="W744" s="13" t="str">
        <f t="shared" si="43"/>
        <v>Closure-115</v>
      </c>
      <c r="Y744"/>
    </row>
    <row r="745" spans="1:25" ht="15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41"/>
        <v>GenProg-A</v>
      </c>
      <c r="P745" s="13" t="str">
        <f t="shared" si="39"/>
        <v>Evolutionary Search</v>
      </c>
      <c r="Q745" s="13" t="str">
        <f t="shared" si="40"/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f t="shared" si="42"/>
        <v>24</v>
      </c>
      <c r="W745" s="13" t="str">
        <f t="shared" si="43"/>
        <v>Closure-117</v>
      </c>
      <c r="Y745"/>
    </row>
    <row r="746" spans="1:25" ht="15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41"/>
        <v>GenProg-A</v>
      </c>
      <c r="P746" s="13" t="str">
        <f t="shared" si="39"/>
        <v>Evolutionary Search</v>
      </c>
      <c r="Q746" s="13" t="str">
        <f t="shared" si="40"/>
        <v>Fixed</v>
      </c>
      <c r="R746" s="13" t="s">
        <v>1669</v>
      </c>
      <c r="S746" s="25">
        <v>2</v>
      </c>
      <c r="T746" s="13">
        <v>0</v>
      </c>
      <c r="U746" s="25">
        <v>2</v>
      </c>
      <c r="V746" s="13">
        <f t="shared" si="42"/>
        <v>2</v>
      </c>
      <c r="W746" s="13" t="str">
        <f t="shared" si="43"/>
        <v>Closure-124</v>
      </c>
      <c r="Y746"/>
    </row>
    <row r="747" spans="1:25" ht="15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41"/>
        <v>GenProg-A</v>
      </c>
      <c r="P747" s="13" t="str">
        <f t="shared" si="39"/>
        <v>Evolutionary Search</v>
      </c>
      <c r="Q747" s="13" t="str">
        <f t="shared" si="40"/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f t="shared" si="42"/>
        <v>2</v>
      </c>
      <c r="W747" s="13" t="str">
        <f t="shared" si="43"/>
        <v>Closure-125</v>
      </c>
      <c r="Y747"/>
    </row>
    <row r="748" spans="1:25" ht="15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41"/>
        <v>GenProg-A</v>
      </c>
      <c r="P748" s="13" t="str">
        <f t="shared" si="39"/>
        <v>Evolutionary Search</v>
      </c>
      <c r="Q748" s="13" t="str">
        <f t="shared" si="40"/>
        <v>Fixed</v>
      </c>
      <c r="R748" s="13" t="s">
        <v>1668</v>
      </c>
      <c r="S748" s="25">
        <v>2</v>
      </c>
      <c r="T748" s="25">
        <v>19</v>
      </c>
      <c r="U748" s="25">
        <v>2</v>
      </c>
      <c r="V748" s="13">
        <f t="shared" si="42"/>
        <v>21</v>
      </c>
      <c r="W748" s="13" t="str">
        <f t="shared" si="43"/>
        <v>Closure-21</v>
      </c>
      <c r="Y748"/>
    </row>
    <row r="749" spans="1:25" ht="15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41"/>
        <v>GenProg-A</v>
      </c>
      <c r="P749" s="13" t="str">
        <f t="shared" si="39"/>
        <v>Evolutionary Search</v>
      </c>
      <c r="Q749" s="13" t="str">
        <f t="shared" si="40"/>
        <v>Fixed</v>
      </c>
      <c r="R749" s="13" t="s">
        <v>1669</v>
      </c>
      <c r="S749" s="25">
        <v>5</v>
      </c>
      <c r="T749" s="25">
        <v>26</v>
      </c>
      <c r="U749" s="25">
        <v>2</v>
      </c>
      <c r="V749" s="13">
        <f t="shared" si="42"/>
        <v>28</v>
      </c>
      <c r="W749" s="13" t="str">
        <f t="shared" si="43"/>
        <v>Closure-22</v>
      </c>
      <c r="Y749"/>
    </row>
    <row r="750" spans="1:25" ht="15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41"/>
        <v>GenProg-A</v>
      </c>
      <c r="P750" s="13" t="str">
        <f t="shared" si="39"/>
        <v>Evolutionary Search</v>
      </c>
      <c r="Q750" s="13" t="str">
        <f t="shared" si="40"/>
        <v>Fixed</v>
      </c>
      <c r="R750" s="13" t="s">
        <v>1669</v>
      </c>
      <c r="S750" s="25">
        <v>3</v>
      </c>
      <c r="T750" s="25">
        <v>2</v>
      </c>
      <c r="U750" s="25">
        <v>8</v>
      </c>
      <c r="V750" s="13">
        <f t="shared" si="42"/>
        <v>10</v>
      </c>
      <c r="W750" s="13" t="str">
        <f t="shared" si="43"/>
        <v>Closure-3</v>
      </c>
      <c r="Y750"/>
    </row>
    <row r="751" spans="1:25" ht="15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41"/>
        <v>GenProg-A</v>
      </c>
      <c r="P751" s="13" t="str">
        <f t="shared" si="39"/>
        <v>Evolutionary Search</v>
      </c>
      <c r="Q751" s="13" t="str">
        <f t="shared" si="40"/>
        <v>Fixed</v>
      </c>
      <c r="R751" s="13" t="s">
        <v>1669</v>
      </c>
      <c r="S751" s="25">
        <v>1</v>
      </c>
      <c r="T751" s="13">
        <v>0</v>
      </c>
      <c r="U751" s="25">
        <v>3</v>
      </c>
      <c r="V751" s="13">
        <f t="shared" si="42"/>
        <v>3</v>
      </c>
      <c r="W751" s="13" t="str">
        <f t="shared" si="43"/>
        <v>Closure-33</v>
      </c>
      <c r="Y751"/>
    </row>
    <row r="752" spans="1:25" ht="15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41"/>
        <v>GenProg-A</v>
      </c>
      <c r="P752" s="13" t="str">
        <f t="shared" si="39"/>
        <v>Evolutionary Search</v>
      </c>
      <c r="Q752" s="13" t="str">
        <f t="shared" si="40"/>
        <v>Fixed</v>
      </c>
      <c r="R752" s="13" t="s">
        <v>1669</v>
      </c>
      <c r="S752" s="25">
        <v>1</v>
      </c>
      <c r="T752" s="25">
        <v>1</v>
      </c>
      <c r="U752" s="25">
        <v>2</v>
      </c>
      <c r="V752" s="13">
        <f t="shared" si="42"/>
        <v>3</v>
      </c>
      <c r="W752" s="13" t="str">
        <f t="shared" si="43"/>
        <v>Closure-55</v>
      </c>
      <c r="Y752"/>
    </row>
    <row r="753" spans="1:25" ht="15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41"/>
        <v>GenProg-A</v>
      </c>
      <c r="P753" s="13" t="str">
        <f t="shared" si="39"/>
        <v>Evolutionary Search</v>
      </c>
      <c r="Q753" s="13" t="str">
        <f t="shared" si="40"/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f t="shared" si="42"/>
        <v>2</v>
      </c>
      <c r="W753" s="13" t="str">
        <f t="shared" si="43"/>
        <v>Closure-86</v>
      </c>
      <c r="Y753"/>
    </row>
    <row r="754" spans="1:25" ht="15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41"/>
        <v>GenProg-A</v>
      </c>
      <c r="P754" s="13" t="str">
        <f t="shared" si="39"/>
        <v>Evolutionary Search</v>
      </c>
      <c r="Q754" s="13" t="str">
        <f t="shared" si="40"/>
        <v>Fixed</v>
      </c>
      <c r="R754" s="13" t="s">
        <v>1669</v>
      </c>
      <c r="S754" s="25">
        <v>2</v>
      </c>
      <c r="T754" s="13">
        <v>0</v>
      </c>
      <c r="U754" s="25">
        <v>6</v>
      </c>
      <c r="V754" s="13">
        <f t="shared" si="42"/>
        <v>6</v>
      </c>
      <c r="W754" s="13" t="str">
        <f t="shared" si="43"/>
        <v>Closure-88</v>
      </c>
      <c r="Y754"/>
    </row>
    <row r="755" spans="1:25" ht="15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41"/>
        <v>GenProg-A</v>
      </c>
      <c r="P755" s="13" t="str">
        <f t="shared" si="39"/>
        <v>Evolutionary Search</v>
      </c>
      <c r="Q755" s="13" t="str">
        <f t="shared" si="40"/>
        <v>Fixed</v>
      </c>
      <c r="R755" s="13" t="s">
        <v>1668</v>
      </c>
      <c r="S755" s="25">
        <v>1</v>
      </c>
      <c r="T755" s="13">
        <v>0</v>
      </c>
      <c r="U755" s="25">
        <v>1</v>
      </c>
      <c r="V755" s="13">
        <f t="shared" si="42"/>
        <v>1</v>
      </c>
      <c r="W755" s="13" t="str">
        <f t="shared" si="43"/>
        <v>Lang-43</v>
      </c>
      <c r="Y755"/>
    </row>
    <row r="756" spans="1:25" ht="15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41"/>
        <v>GenProg-A</v>
      </c>
      <c r="P756" s="13" t="str">
        <f t="shared" si="39"/>
        <v>Evolutionary Search</v>
      </c>
      <c r="Q756" s="13" t="str">
        <f t="shared" si="40"/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f t="shared" si="42"/>
        <v>2</v>
      </c>
      <c r="W756" s="13" t="str">
        <f t="shared" si="43"/>
        <v>Lang-59</v>
      </c>
      <c r="Y756"/>
    </row>
    <row r="757" spans="1:25" ht="15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41"/>
        <v>GenProg-A</v>
      </c>
      <c r="P757" s="13" t="str">
        <f t="shared" si="39"/>
        <v>Evolutionary Search</v>
      </c>
      <c r="Q757" s="13" t="str">
        <f t="shared" si="40"/>
        <v>Fixed</v>
      </c>
      <c r="R757" s="13" t="s">
        <v>1669</v>
      </c>
      <c r="S757" s="25">
        <v>4</v>
      </c>
      <c r="T757" s="25">
        <v>20</v>
      </c>
      <c r="U757" s="25">
        <v>3</v>
      </c>
      <c r="V757" s="13">
        <f t="shared" si="42"/>
        <v>23</v>
      </c>
      <c r="W757" s="13" t="str">
        <f t="shared" si="43"/>
        <v>Lang-63</v>
      </c>
      <c r="Y757"/>
    </row>
    <row r="758" spans="1:25" ht="15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41"/>
        <v>GenProg-A</v>
      </c>
      <c r="P758" s="13" t="str">
        <f t="shared" si="39"/>
        <v>Evolutionary Search</v>
      </c>
      <c r="Q758" s="13" t="str">
        <f t="shared" si="40"/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f t="shared" si="42"/>
        <v>6</v>
      </c>
      <c r="W758" s="13" t="str">
        <f t="shared" si="43"/>
        <v>Lang-7</v>
      </c>
      <c r="Y758"/>
    </row>
    <row r="759" spans="1:25" ht="15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41"/>
        <v>GenProg-A</v>
      </c>
      <c r="P759" s="13" t="str">
        <f t="shared" si="39"/>
        <v>Evolutionary Search</v>
      </c>
      <c r="Q759" s="13" t="str">
        <f t="shared" si="40"/>
        <v>Fixed</v>
      </c>
      <c r="R759" s="13" t="s">
        <v>1669</v>
      </c>
      <c r="S759" s="25">
        <v>4</v>
      </c>
      <c r="T759" s="13">
        <v>0</v>
      </c>
      <c r="U759" s="25">
        <v>4</v>
      </c>
      <c r="V759" s="13">
        <f t="shared" si="42"/>
        <v>4</v>
      </c>
      <c r="W759" s="13" t="str">
        <f t="shared" si="43"/>
        <v>Math-28</v>
      </c>
      <c r="Y759"/>
    </row>
    <row r="760" spans="1:25" ht="15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41"/>
        <v>GenProg-A</v>
      </c>
      <c r="P760" s="13" t="str">
        <f t="shared" si="39"/>
        <v>Evolutionary Search</v>
      </c>
      <c r="Q760" s="13" t="str">
        <f t="shared" si="40"/>
        <v>Fixed</v>
      </c>
      <c r="R760" s="13" t="s">
        <v>1668</v>
      </c>
      <c r="S760" s="25">
        <v>1</v>
      </c>
      <c r="T760" s="25">
        <v>4</v>
      </c>
      <c r="U760" s="13">
        <v>0</v>
      </c>
      <c r="V760" s="13">
        <f t="shared" si="42"/>
        <v>4</v>
      </c>
      <c r="W760" s="13" t="str">
        <f t="shared" si="43"/>
        <v>Math-50</v>
      </c>
      <c r="Y760"/>
    </row>
    <row r="761" spans="1:25" ht="15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41"/>
        <v>GenProg-A</v>
      </c>
      <c r="P761" s="13" t="str">
        <f t="shared" si="39"/>
        <v>Evolutionary Search</v>
      </c>
      <c r="Q761" s="13" t="str">
        <f t="shared" si="40"/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f t="shared" si="42"/>
        <v>2</v>
      </c>
      <c r="W761" s="13" t="str">
        <f t="shared" si="43"/>
        <v>Math-70</v>
      </c>
      <c r="Y761"/>
    </row>
    <row r="762" spans="1:25" ht="15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41"/>
        <v>GenProg-A</v>
      </c>
      <c r="P762" s="13" t="str">
        <f t="shared" si="39"/>
        <v>Evolutionary Search</v>
      </c>
      <c r="Q762" s="13" t="str">
        <f t="shared" si="40"/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f t="shared" si="42"/>
        <v>2</v>
      </c>
      <c r="W762" s="13" t="str">
        <f t="shared" si="43"/>
        <v>Math-80</v>
      </c>
      <c r="Y762"/>
    </row>
    <row r="763" spans="1:25" ht="15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41"/>
        <v>GenProg-A</v>
      </c>
      <c r="P763" s="13" t="str">
        <f t="shared" si="39"/>
        <v>Evolutionary Search</v>
      </c>
      <c r="Q763" s="13" t="str">
        <f t="shared" si="40"/>
        <v>Fixed</v>
      </c>
      <c r="R763" s="13" t="s">
        <v>1669</v>
      </c>
      <c r="S763" s="25">
        <v>3</v>
      </c>
      <c r="T763" s="25">
        <v>3</v>
      </c>
      <c r="U763" s="25">
        <v>4</v>
      </c>
      <c r="V763" s="13">
        <f t="shared" si="42"/>
        <v>7</v>
      </c>
      <c r="W763" s="13" t="str">
        <f t="shared" si="43"/>
        <v>Math-81</v>
      </c>
      <c r="Y763"/>
    </row>
    <row r="764" spans="1:25" ht="15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41"/>
        <v>GenProg-A</v>
      </c>
      <c r="P764" s="13" t="str">
        <f t="shared" si="39"/>
        <v>Evolutionary Search</v>
      </c>
      <c r="Q764" s="13" t="str">
        <f t="shared" si="40"/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f t="shared" si="42"/>
        <v>2</v>
      </c>
      <c r="W764" s="13" t="str">
        <f t="shared" si="43"/>
        <v>Math-82</v>
      </c>
      <c r="Y764"/>
    </row>
    <row r="765" spans="1:25" ht="15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41"/>
        <v>GenProg-A</v>
      </c>
      <c r="P765" s="13" t="str">
        <f t="shared" si="39"/>
        <v>Evolutionary Search</v>
      </c>
      <c r="Q765" s="13" t="str">
        <f t="shared" si="40"/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f t="shared" si="42"/>
        <v>2</v>
      </c>
      <c r="W765" s="13" t="str">
        <f t="shared" si="43"/>
        <v>Math-85</v>
      </c>
      <c r="Y765"/>
    </row>
    <row r="766" spans="1:25" ht="15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41"/>
        <v>GenProg-A</v>
      </c>
      <c r="P766" s="13" t="str">
        <f t="shared" si="39"/>
        <v>Evolutionary Search</v>
      </c>
      <c r="Q766" s="13" t="str">
        <f t="shared" si="40"/>
        <v>Fixed</v>
      </c>
      <c r="R766" s="13" t="s">
        <v>1669</v>
      </c>
      <c r="S766" s="25">
        <v>3</v>
      </c>
      <c r="T766" s="25">
        <v>1</v>
      </c>
      <c r="U766" s="25">
        <v>3</v>
      </c>
      <c r="V766" s="13">
        <f t="shared" si="42"/>
        <v>4</v>
      </c>
      <c r="W766" s="13" t="str">
        <f t="shared" si="43"/>
        <v>Math-95</v>
      </c>
      <c r="Y766"/>
    </row>
    <row r="767" spans="1:25" ht="15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41"/>
        <v>Kali-A</v>
      </c>
      <c r="P767" s="13" t="str">
        <f t="shared" si="39"/>
        <v>True Search</v>
      </c>
      <c r="Q767" s="13" t="str">
        <f t="shared" si="40"/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f t="shared" si="42"/>
        <v>2</v>
      </c>
      <c r="W767" s="13" t="str">
        <f t="shared" si="43"/>
        <v>Chart-1</v>
      </c>
      <c r="Y767"/>
    </row>
    <row r="768" spans="1:25" ht="15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41"/>
        <v>Kali-A</v>
      </c>
      <c r="P768" s="13" t="str">
        <f t="shared" si="39"/>
        <v>True Search</v>
      </c>
      <c r="Q768" s="13" t="str">
        <f t="shared" si="40"/>
        <v>Fixed</v>
      </c>
      <c r="R768" s="13" t="s">
        <v>1669</v>
      </c>
      <c r="S768" s="25">
        <v>2</v>
      </c>
      <c r="T768" s="25">
        <v>1</v>
      </c>
      <c r="U768" s="25">
        <v>5</v>
      </c>
      <c r="V768" s="13">
        <f t="shared" si="42"/>
        <v>6</v>
      </c>
      <c r="W768" s="13" t="str">
        <f t="shared" si="43"/>
        <v>Chart-5</v>
      </c>
      <c r="Y768"/>
    </row>
    <row r="769" spans="1:25" ht="15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41"/>
        <v>Kali-A</v>
      </c>
      <c r="P769" s="13" t="str">
        <f t="shared" si="39"/>
        <v>True Search</v>
      </c>
      <c r="Q769" s="13" t="str">
        <f t="shared" si="40"/>
        <v>Fixed</v>
      </c>
      <c r="R769" s="13" t="s">
        <v>1669</v>
      </c>
      <c r="S769" s="25">
        <v>1</v>
      </c>
      <c r="T769" s="13">
        <v>0</v>
      </c>
      <c r="U769" s="25">
        <v>3</v>
      </c>
      <c r="V769" s="13">
        <f t="shared" si="42"/>
        <v>3</v>
      </c>
      <c r="W769" s="13" t="str">
        <f t="shared" si="43"/>
        <v>Closure-1</v>
      </c>
      <c r="Y769"/>
    </row>
    <row r="770" spans="1:25" ht="15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41"/>
        <v>Kali-A</v>
      </c>
      <c r="P770" s="13" t="str">
        <f t="shared" si="39"/>
        <v>True Search</v>
      </c>
      <c r="Q770" s="13" t="str">
        <f t="shared" si="40"/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f t="shared" si="42"/>
        <v>2</v>
      </c>
      <c r="W770" s="13" t="str">
        <f t="shared" si="43"/>
        <v>Closure-10</v>
      </c>
      <c r="Y770"/>
    </row>
    <row r="771" spans="1:25" ht="15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41"/>
        <v>Kali-A</v>
      </c>
      <c r="P771" s="13" t="str">
        <f t="shared" si="39"/>
        <v>True Search</v>
      </c>
      <c r="Q771" s="13" t="str">
        <f t="shared" si="40"/>
        <v>Fixed</v>
      </c>
      <c r="R771" s="13" t="s">
        <v>1669</v>
      </c>
      <c r="S771" s="25">
        <v>1</v>
      </c>
      <c r="T771" s="25">
        <v>3</v>
      </c>
      <c r="U771" s="25">
        <v>9</v>
      </c>
      <c r="V771" s="13">
        <f t="shared" si="42"/>
        <v>12</v>
      </c>
      <c r="W771" s="13" t="str">
        <f t="shared" si="43"/>
        <v>Closure-112</v>
      </c>
      <c r="Y771"/>
    </row>
    <row r="772" spans="1:25" ht="15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41"/>
        <v>Kali-A</v>
      </c>
      <c r="P772" s="13" t="str">
        <f t="shared" si="39"/>
        <v>True Search</v>
      </c>
      <c r="Q772" s="13" t="str">
        <f t="shared" si="40"/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f t="shared" si="42"/>
        <v>2</v>
      </c>
      <c r="W772" s="13" t="str">
        <f t="shared" si="43"/>
        <v>Closure-113</v>
      </c>
      <c r="Y772"/>
    </row>
    <row r="773" spans="1:25" ht="15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41"/>
        <v>Kali-A</v>
      </c>
      <c r="P773" s="13" t="str">
        <f t="shared" si="39"/>
        <v>True Search</v>
      </c>
      <c r="Q773" s="13" t="str">
        <f t="shared" si="40"/>
        <v>Fixed</v>
      </c>
      <c r="R773" s="13" t="s">
        <v>1668</v>
      </c>
      <c r="S773" s="25">
        <v>2</v>
      </c>
      <c r="T773" s="25">
        <v>11</v>
      </c>
      <c r="U773" s="13">
        <v>0</v>
      </c>
      <c r="V773" s="13">
        <f t="shared" si="42"/>
        <v>11</v>
      </c>
      <c r="W773" s="13" t="str">
        <f t="shared" si="43"/>
        <v>Closure-115</v>
      </c>
      <c r="Y773"/>
    </row>
    <row r="774" spans="1:25" ht="15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41"/>
        <v>Kali-A</v>
      </c>
      <c r="P774" s="13" t="str">
        <f t="shared" si="39"/>
        <v>True Search</v>
      </c>
      <c r="Q774" s="13" t="str">
        <f t="shared" si="40"/>
        <v>Fixed</v>
      </c>
      <c r="R774" s="13" t="s">
        <v>1669</v>
      </c>
      <c r="S774" s="25">
        <v>2</v>
      </c>
      <c r="T774" s="13">
        <v>0</v>
      </c>
      <c r="U774" s="25">
        <v>2</v>
      </c>
      <c r="V774" s="13">
        <f t="shared" si="42"/>
        <v>2</v>
      </c>
      <c r="W774" s="13" t="str">
        <f t="shared" si="43"/>
        <v>Closure-124</v>
      </c>
      <c r="Y774"/>
    </row>
    <row r="775" spans="1:25" ht="15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41"/>
        <v>Kali-A</v>
      </c>
      <c r="P775" s="13" t="str">
        <f t="shared" si="39"/>
        <v>True Search</v>
      </c>
      <c r="Q775" s="13" t="str">
        <f t="shared" si="40"/>
        <v>Fixed</v>
      </c>
      <c r="R775" s="13" t="s">
        <v>1669</v>
      </c>
      <c r="S775" s="25">
        <v>1</v>
      </c>
      <c r="T775" s="13">
        <v>0</v>
      </c>
      <c r="U775" s="25">
        <v>3</v>
      </c>
      <c r="V775" s="13">
        <f t="shared" si="42"/>
        <v>3</v>
      </c>
      <c r="W775" s="13" t="str">
        <f t="shared" si="43"/>
        <v>Closure-15</v>
      </c>
      <c r="Y775"/>
    </row>
    <row r="776" spans="1:25" ht="15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41"/>
        <v>Kali-A</v>
      </c>
      <c r="P776" s="13" t="str">
        <f t="shared" si="39"/>
        <v>True Search</v>
      </c>
      <c r="Q776" s="13" t="str">
        <f t="shared" si="40"/>
        <v>Fixed</v>
      </c>
      <c r="R776" s="13" t="s">
        <v>1669</v>
      </c>
      <c r="S776" s="25">
        <v>3</v>
      </c>
      <c r="T776" s="13">
        <v>0</v>
      </c>
      <c r="U776" s="25">
        <v>4</v>
      </c>
      <c r="V776" s="13">
        <f t="shared" si="42"/>
        <v>4</v>
      </c>
      <c r="W776" s="13" t="str">
        <f t="shared" si="43"/>
        <v>Closure-2</v>
      </c>
      <c r="Y776"/>
    </row>
    <row r="777" spans="1:25" ht="15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41"/>
        <v>Kali-A</v>
      </c>
      <c r="P777" s="13" t="str">
        <f t="shared" si="39"/>
        <v>True Search</v>
      </c>
      <c r="Q777" s="13" t="str">
        <f t="shared" si="40"/>
        <v>Fixed</v>
      </c>
      <c r="R777" s="13" t="s">
        <v>1669</v>
      </c>
      <c r="S777" s="25">
        <v>2</v>
      </c>
      <c r="T777" s="25">
        <v>19</v>
      </c>
      <c r="U777" s="25">
        <v>2</v>
      </c>
      <c r="V777" s="13">
        <f t="shared" si="42"/>
        <v>21</v>
      </c>
      <c r="W777" s="13" t="str">
        <f t="shared" si="43"/>
        <v>Closure-21</v>
      </c>
      <c r="Y777"/>
    </row>
    <row r="778" spans="1:25" ht="15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41"/>
        <v>Kali-A</v>
      </c>
      <c r="P778" s="13" t="str">
        <f t="shared" ref="P778:P841" si="44"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 t="shared" si="40"/>
        <v>Fixed</v>
      </c>
      <c r="R778" s="13" t="s">
        <v>1669</v>
      </c>
      <c r="S778" s="25">
        <v>5</v>
      </c>
      <c r="T778" s="25">
        <v>26</v>
      </c>
      <c r="U778" s="25">
        <v>2</v>
      </c>
      <c r="V778" s="13">
        <f t="shared" si="42"/>
        <v>28</v>
      </c>
      <c r="W778" s="13" t="str">
        <f t="shared" si="43"/>
        <v>Closure-22</v>
      </c>
      <c r="Y778"/>
    </row>
    <row r="779" spans="1:25" ht="15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41"/>
        <v>Kali-A</v>
      </c>
      <c r="P779" s="13" t="str">
        <f t="shared" si="44"/>
        <v>True Search</v>
      </c>
      <c r="Q779" s="13" t="str">
        <f t="shared" si="40"/>
        <v>Fixed</v>
      </c>
      <c r="R779" s="13" t="s">
        <v>1669</v>
      </c>
      <c r="S779" s="25">
        <v>3</v>
      </c>
      <c r="T779" s="25">
        <v>2</v>
      </c>
      <c r="U779" s="25">
        <v>8</v>
      </c>
      <c r="V779" s="13">
        <f t="shared" si="42"/>
        <v>10</v>
      </c>
      <c r="W779" s="13" t="str">
        <f t="shared" si="43"/>
        <v>Closure-3</v>
      </c>
      <c r="Y779"/>
    </row>
    <row r="780" spans="1:25" ht="15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41"/>
        <v>Kali-A</v>
      </c>
      <c r="P780" s="13" t="str">
        <f t="shared" si="44"/>
        <v>True Search</v>
      </c>
      <c r="Q780" s="13" t="str">
        <f t="shared" si="40"/>
        <v>Fixed</v>
      </c>
      <c r="R780" s="13" t="s">
        <v>1669</v>
      </c>
      <c r="S780" s="25">
        <v>1</v>
      </c>
      <c r="T780" s="13">
        <v>0</v>
      </c>
      <c r="U780" s="25">
        <v>3</v>
      </c>
      <c r="V780" s="13">
        <f t="shared" si="42"/>
        <v>3</v>
      </c>
      <c r="W780" s="13" t="str">
        <f t="shared" si="43"/>
        <v>Closure-33</v>
      </c>
      <c r="Y780"/>
    </row>
    <row r="781" spans="1:25" ht="15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41"/>
        <v>Kali-A</v>
      </c>
      <c r="P781" s="13" t="str">
        <f t="shared" si="44"/>
        <v>True Search</v>
      </c>
      <c r="Q781" s="13" t="str">
        <f t="shared" si="40"/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f t="shared" si="42"/>
        <v>2</v>
      </c>
      <c r="W781" s="13" t="str">
        <f t="shared" si="43"/>
        <v>Closure-38</v>
      </c>
      <c r="Y781"/>
    </row>
    <row r="782" spans="1:25" ht="15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41"/>
        <v>Kali-A</v>
      </c>
      <c r="P782" s="13" t="str">
        <f t="shared" si="44"/>
        <v>True Search</v>
      </c>
      <c r="Q782" s="13" t="str">
        <f t="shared" si="40"/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f t="shared" si="42"/>
        <v>4</v>
      </c>
      <c r="W782" s="13" t="str">
        <f t="shared" si="43"/>
        <v>Closure-4</v>
      </c>
      <c r="Y782"/>
    </row>
    <row r="783" spans="1:25" ht="15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41"/>
        <v>Kali-A</v>
      </c>
      <c r="P783" s="13" t="str">
        <f t="shared" si="44"/>
        <v>True Search</v>
      </c>
      <c r="Q783" s="13" t="str">
        <f t="shared" si="40"/>
        <v>Fixed</v>
      </c>
      <c r="R783" s="13" t="s">
        <v>1669</v>
      </c>
      <c r="S783" s="25">
        <v>1</v>
      </c>
      <c r="T783" s="25">
        <v>16</v>
      </c>
      <c r="U783" s="13">
        <v>0</v>
      </c>
      <c r="V783" s="13">
        <f t="shared" si="42"/>
        <v>16</v>
      </c>
      <c r="W783" s="13" t="str">
        <f t="shared" si="43"/>
        <v>Closure-46</v>
      </c>
      <c r="Y783"/>
    </row>
    <row r="784" spans="1:25" ht="15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41"/>
        <v>Kali-A</v>
      </c>
      <c r="P784" s="13" t="str">
        <f t="shared" si="44"/>
        <v>True Search</v>
      </c>
      <c r="Q784" s="13" t="str">
        <f t="shared" si="40"/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f t="shared" si="42"/>
        <v>2</v>
      </c>
      <c r="W784" s="13" t="str">
        <f t="shared" si="43"/>
        <v>Closure-51</v>
      </c>
      <c r="Y784"/>
    </row>
    <row r="785" spans="1:25" ht="15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41"/>
        <v>Kali-A</v>
      </c>
      <c r="P785" s="13" t="str">
        <f t="shared" si="44"/>
        <v>True Search</v>
      </c>
      <c r="Q785" s="13" t="str">
        <f t="shared" si="40"/>
        <v>Fixed</v>
      </c>
      <c r="R785" s="13" t="s">
        <v>1669</v>
      </c>
      <c r="S785" s="25">
        <v>1</v>
      </c>
      <c r="T785" s="25">
        <v>1</v>
      </c>
      <c r="U785" s="25">
        <v>2</v>
      </c>
      <c r="V785" s="13">
        <f t="shared" si="42"/>
        <v>3</v>
      </c>
      <c r="W785" s="13" t="str">
        <f t="shared" si="43"/>
        <v>Closure-55</v>
      </c>
      <c r="Y785"/>
    </row>
    <row r="786" spans="1:25" ht="15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41"/>
        <v>Kali-A</v>
      </c>
      <c r="P786" s="13" t="str">
        <f t="shared" si="44"/>
        <v>True Search</v>
      </c>
      <c r="Q786" s="13" t="str">
        <f t="shared" si="40"/>
        <v>Fixed</v>
      </c>
      <c r="R786" s="13" t="s">
        <v>1669</v>
      </c>
      <c r="S786" s="25">
        <v>2</v>
      </c>
      <c r="T786" s="13">
        <v>0</v>
      </c>
      <c r="U786" s="25">
        <v>2</v>
      </c>
      <c r="V786" s="13">
        <f t="shared" si="42"/>
        <v>2</v>
      </c>
      <c r="W786" s="13" t="str">
        <f t="shared" si="43"/>
        <v>Closure-66</v>
      </c>
      <c r="Y786"/>
    </row>
    <row r="787" spans="1:25" ht="15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41"/>
        <v>Kali-A</v>
      </c>
      <c r="P787" s="13" t="str">
        <f t="shared" si="44"/>
        <v>True Search</v>
      </c>
      <c r="Q787" s="13" t="str">
        <f t="shared" si="40"/>
        <v>Fixed</v>
      </c>
      <c r="R787" s="13" t="s">
        <v>1669</v>
      </c>
      <c r="S787" s="25">
        <v>3</v>
      </c>
      <c r="T787" s="25">
        <v>1</v>
      </c>
      <c r="U787" s="25">
        <v>5</v>
      </c>
      <c r="V787" s="13">
        <f t="shared" si="42"/>
        <v>6</v>
      </c>
      <c r="W787" s="13" t="str">
        <f t="shared" si="43"/>
        <v>Closure-7</v>
      </c>
      <c r="Y787"/>
    </row>
    <row r="788" spans="1:25" ht="15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41"/>
        <v>Kali-A</v>
      </c>
      <c r="P788" s="13" t="str">
        <f t="shared" si="44"/>
        <v>True Search</v>
      </c>
      <c r="Q788" s="13" t="str">
        <f t="shared" si="40"/>
        <v>Fixed</v>
      </c>
      <c r="R788" s="13" t="s">
        <v>1669</v>
      </c>
      <c r="S788" s="25">
        <v>3</v>
      </c>
      <c r="T788" s="25">
        <v>1</v>
      </c>
      <c r="U788" s="25">
        <v>4</v>
      </c>
      <c r="V788" s="13">
        <f t="shared" si="42"/>
        <v>5</v>
      </c>
      <c r="W788" s="13" t="str">
        <f t="shared" si="43"/>
        <v>Closure-75</v>
      </c>
      <c r="Y788"/>
    </row>
    <row r="789" spans="1:25" ht="15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41"/>
        <v>Kali-A</v>
      </c>
      <c r="P789" s="13" t="str">
        <f t="shared" si="44"/>
        <v>True Search</v>
      </c>
      <c r="Q789" s="13" t="str">
        <f t="shared" si="40"/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f t="shared" si="42"/>
        <v>2</v>
      </c>
      <c r="W789" s="13" t="str">
        <f t="shared" si="43"/>
        <v>Closure-86</v>
      </c>
      <c r="Y789"/>
    </row>
    <row r="790" spans="1:25" ht="15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41"/>
        <v>Kali-A</v>
      </c>
      <c r="P790" s="13" t="str">
        <f t="shared" si="44"/>
        <v>True Search</v>
      </c>
      <c r="Q790" s="13" t="str">
        <f t="shared" ref="Q790:Q853" si="45"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2</v>
      </c>
      <c r="U790" s="25">
        <v>1</v>
      </c>
      <c r="V790" s="13">
        <f t="shared" si="42"/>
        <v>3</v>
      </c>
      <c r="W790" s="13" t="str">
        <f t="shared" si="43"/>
        <v>Lang-58</v>
      </c>
      <c r="Y790"/>
    </row>
    <row r="791" spans="1:25" ht="15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ref="O791:O854" si="46">LEFT($A791,FIND("_",$A791)-1)</f>
        <v>Kali-A</v>
      </c>
      <c r="P791" s="13" t="str">
        <f t="shared" si="44"/>
        <v>True Search</v>
      </c>
      <c r="Q791" s="13" t="str">
        <f t="shared" si="45"/>
        <v>Fixed</v>
      </c>
      <c r="R791" s="13" t="s">
        <v>1669</v>
      </c>
      <c r="S791" s="25">
        <v>4</v>
      </c>
      <c r="T791" s="25">
        <v>20</v>
      </c>
      <c r="U791" s="25">
        <v>3</v>
      </c>
      <c r="V791" s="13">
        <f t="shared" si="42"/>
        <v>23</v>
      </c>
      <c r="W791" s="13" t="str">
        <f t="shared" si="43"/>
        <v>Lang-63</v>
      </c>
      <c r="Y791"/>
    </row>
    <row r="792" spans="1:25" ht="15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si="46"/>
        <v>Kali-A</v>
      </c>
      <c r="P792" s="13" t="str">
        <f t="shared" si="44"/>
        <v>True Search</v>
      </c>
      <c r="Q792" s="13" t="str">
        <f t="shared" si="45"/>
        <v>Fixed</v>
      </c>
      <c r="R792" s="13" t="s">
        <v>1669</v>
      </c>
      <c r="S792" s="25">
        <v>4</v>
      </c>
      <c r="T792" s="13">
        <v>0</v>
      </c>
      <c r="U792" s="25">
        <v>4</v>
      </c>
      <c r="V792" s="13">
        <f t="shared" si="42"/>
        <v>4</v>
      </c>
      <c r="W792" s="13" t="str">
        <f t="shared" si="43"/>
        <v>Math-28</v>
      </c>
      <c r="Y792"/>
    </row>
    <row r="793" spans="1:25" ht="15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6"/>
        <v>Kali-A</v>
      </c>
      <c r="P793" s="13" t="str">
        <f t="shared" si="44"/>
        <v>True Search</v>
      </c>
      <c r="Q793" s="13" t="str">
        <f t="shared" si="45"/>
        <v>Fixed</v>
      </c>
      <c r="R793" s="13" t="s">
        <v>1669</v>
      </c>
      <c r="S793" s="25">
        <v>4</v>
      </c>
      <c r="T793" s="25">
        <v>33</v>
      </c>
      <c r="U793" s="25">
        <v>13</v>
      </c>
      <c r="V793" s="13">
        <f t="shared" si="42"/>
        <v>46</v>
      </c>
      <c r="W793" s="13" t="str">
        <f t="shared" si="43"/>
        <v>Math-31</v>
      </c>
      <c r="Y793"/>
    </row>
    <row r="794" spans="1:25" ht="15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6"/>
        <v>Kali-A</v>
      </c>
      <c r="P794" s="13" t="str">
        <f t="shared" si="44"/>
        <v>True Search</v>
      </c>
      <c r="Q794" s="13" t="str">
        <f t="shared" si="45"/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f t="shared" si="42"/>
        <v>2</v>
      </c>
      <c r="W794" s="13" t="str">
        <f t="shared" si="43"/>
        <v>Math-32</v>
      </c>
      <c r="Y794"/>
    </row>
    <row r="795" spans="1:25" ht="15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6"/>
        <v>Kali-A</v>
      </c>
      <c r="P795" s="13" t="str">
        <f t="shared" si="44"/>
        <v>True Search</v>
      </c>
      <c r="Q795" s="13" t="str">
        <f t="shared" si="45"/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f t="shared" si="42"/>
        <v>8</v>
      </c>
      <c r="W795" s="13" t="str">
        <f t="shared" si="43"/>
        <v>Math-49</v>
      </c>
      <c r="Y795"/>
    </row>
    <row r="796" spans="1:25" ht="15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6"/>
        <v>Kali-A</v>
      </c>
      <c r="P796" s="13" t="str">
        <f t="shared" si="44"/>
        <v>True Search</v>
      </c>
      <c r="Q796" s="13" t="str">
        <f t="shared" si="45"/>
        <v>Fixed</v>
      </c>
      <c r="R796" s="13" t="s">
        <v>1668</v>
      </c>
      <c r="S796" s="25">
        <v>1</v>
      </c>
      <c r="T796" s="25">
        <v>4</v>
      </c>
      <c r="U796" s="13">
        <v>0</v>
      </c>
      <c r="V796" s="13">
        <f t="shared" si="42"/>
        <v>4</v>
      </c>
      <c r="W796" s="13" t="str">
        <f t="shared" si="43"/>
        <v>Math-50</v>
      </c>
      <c r="Y796"/>
    </row>
    <row r="797" spans="1:25" ht="15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6"/>
        <v>Kali-A</v>
      </c>
      <c r="P797" s="13" t="str">
        <f t="shared" si="44"/>
        <v>True Search</v>
      </c>
      <c r="Q797" s="13" t="str">
        <f t="shared" si="45"/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f t="shared" si="42"/>
        <v>2</v>
      </c>
      <c r="W797" s="13" t="str">
        <f t="shared" si="43"/>
        <v>Math-80</v>
      </c>
      <c r="Y797"/>
    </row>
    <row r="798" spans="1:25" ht="15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6"/>
        <v>Kali-A</v>
      </c>
      <c r="P798" s="13" t="str">
        <f t="shared" si="44"/>
        <v>True Search</v>
      </c>
      <c r="Q798" s="13" t="str">
        <f t="shared" si="45"/>
        <v>Fixed</v>
      </c>
      <c r="R798" s="13" t="s">
        <v>1669</v>
      </c>
      <c r="S798" s="25">
        <v>3</v>
      </c>
      <c r="T798" s="25">
        <v>3</v>
      </c>
      <c r="U798" s="25">
        <v>4</v>
      </c>
      <c r="V798" s="13">
        <f t="shared" si="42"/>
        <v>7</v>
      </c>
      <c r="W798" s="13" t="str">
        <f t="shared" si="43"/>
        <v>Math-81</v>
      </c>
      <c r="Y798"/>
    </row>
    <row r="799" spans="1:25" ht="15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6"/>
        <v>Kali-A</v>
      </c>
      <c r="P799" s="13" t="str">
        <f t="shared" si="44"/>
        <v>True Search</v>
      </c>
      <c r="Q799" s="13" t="str">
        <f t="shared" si="45"/>
        <v>Fixed</v>
      </c>
      <c r="R799" s="13" t="s">
        <v>1669</v>
      </c>
      <c r="S799" s="25">
        <v>3</v>
      </c>
      <c r="T799" s="13">
        <v>0</v>
      </c>
      <c r="U799" s="25">
        <v>9</v>
      </c>
      <c r="V799" s="13">
        <f t="shared" si="42"/>
        <v>9</v>
      </c>
      <c r="W799" s="13" t="str">
        <f t="shared" si="43"/>
        <v>Math-84</v>
      </c>
      <c r="Y799"/>
    </row>
    <row r="800" spans="1:25" ht="15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6"/>
        <v>Kali-A</v>
      </c>
      <c r="P800" s="13" t="str">
        <f t="shared" si="44"/>
        <v>True Search</v>
      </c>
      <c r="Q800" s="13" t="str">
        <f t="shared" si="45"/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f t="shared" si="42"/>
        <v>2</v>
      </c>
      <c r="W800" s="13" t="str">
        <f t="shared" si="43"/>
        <v>Math-85</v>
      </c>
      <c r="Y800"/>
    </row>
    <row r="801" spans="1:25" ht="15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6"/>
        <v>Kali-A</v>
      </c>
      <c r="P801" s="13" t="str">
        <f t="shared" si="44"/>
        <v>True Search</v>
      </c>
      <c r="Q801" s="13" t="str">
        <f t="shared" si="45"/>
        <v>Fixed</v>
      </c>
      <c r="R801" s="13" t="s">
        <v>1669</v>
      </c>
      <c r="S801" s="25">
        <v>3</v>
      </c>
      <c r="T801" s="25">
        <v>1</v>
      </c>
      <c r="U801" s="25">
        <v>3</v>
      </c>
      <c r="V801" s="13">
        <f t="shared" si="42"/>
        <v>4</v>
      </c>
      <c r="W801" s="13" t="str">
        <f t="shared" si="43"/>
        <v>Math-95</v>
      </c>
      <c r="Y801"/>
    </row>
    <row r="802" spans="1:25" ht="15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6"/>
        <v>kPAR</v>
      </c>
      <c r="P802" s="13" t="str">
        <f t="shared" si="44"/>
        <v>True Pattern</v>
      </c>
      <c r="Q802" s="13" t="str">
        <f t="shared" si="45"/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f t="shared" si="42"/>
        <v>2</v>
      </c>
      <c r="W802" s="13" t="str">
        <f t="shared" si="43"/>
        <v>Chart-1</v>
      </c>
      <c r="Y802"/>
    </row>
    <row r="803" spans="1:25" ht="15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6"/>
        <v>kPAR</v>
      </c>
      <c r="P803" s="13" t="str">
        <f t="shared" si="44"/>
        <v>True Pattern</v>
      </c>
      <c r="Q803" s="13" t="str">
        <f t="shared" si="45"/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f t="shared" si="42"/>
        <v>2</v>
      </c>
      <c r="W803" s="13" t="str">
        <f t="shared" si="43"/>
        <v>Chart-13</v>
      </c>
      <c r="Y803"/>
    </row>
    <row r="804" spans="1:25" ht="15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6"/>
        <v>kPAR</v>
      </c>
      <c r="P804" s="13" t="str">
        <f t="shared" si="44"/>
        <v>True Pattern</v>
      </c>
      <c r="Q804" s="13" t="str">
        <f t="shared" si="45"/>
        <v>Fixed</v>
      </c>
      <c r="R804" s="13" t="s">
        <v>1669</v>
      </c>
      <c r="S804" s="25">
        <v>1</v>
      </c>
      <c r="T804" s="25">
        <v>1</v>
      </c>
      <c r="U804" s="25">
        <v>2</v>
      </c>
      <c r="V804" s="13">
        <f t="shared" si="42"/>
        <v>3</v>
      </c>
      <c r="W804" s="13" t="str">
        <f t="shared" si="43"/>
        <v>Chart-17</v>
      </c>
      <c r="Y804"/>
    </row>
    <row r="805" spans="1:25" ht="15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6"/>
        <v>kPAR</v>
      </c>
      <c r="P805" s="13" t="str">
        <f t="shared" si="44"/>
        <v>True Pattern</v>
      </c>
      <c r="Q805" s="13" t="str">
        <f t="shared" si="45"/>
        <v>Fixed</v>
      </c>
      <c r="R805" s="13" t="s">
        <v>1668</v>
      </c>
      <c r="S805" s="25">
        <v>2</v>
      </c>
      <c r="T805" s="13">
        <v>0</v>
      </c>
      <c r="U805" s="25">
        <v>6</v>
      </c>
      <c r="V805" s="13">
        <f t="shared" si="42"/>
        <v>6</v>
      </c>
      <c r="W805" s="13" t="str">
        <f t="shared" si="43"/>
        <v>Chart-19</v>
      </c>
      <c r="Y805"/>
    </row>
    <row r="806" spans="1:25" ht="15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6"/>
        <v>kPAR</v>
      </c>
      <c r="P806" s="13" t="str">
        <f t="shared" si="44"/>
        <v>True Pattern</v>
      </c>
      <c r="Q806" s="13" t="str">
        <f t="shared" si="45"/>
        <v>Fixed</v>
      </c>
      <c r="R806" s="13" t="s">
        <v>1668</v>
      </c>
      <c r="S806" s="25">
        <v>2</v>
      </c>
      <c r="T806" s="13">
        <v>0</v>
      </c>
      <c r="U806" s="25">
        <v>2</v>
      </c>
      <c r="V806" s="13">
        <f t="shared" ref="V806:V869" si="47">T806+U806</f>
        <v>2</v>
      </c>
      <c r="W806" s="13" t="str">
        <f t="shared" ref="W806:W869" si="48">MID(A806, SEARCH("_", A806) +1, SEARCH("_", A806, SEARCH("_", A806) +1) - SEARCH("_", A806) -1)</f>
        <v>Chart-26</v>
      </c>
      <c r="Y806"/>
    </row>
    <row r="807" spans="1:25" ht="15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6"/>
        <v>kPAR</v>
      </c>
      <c r="P807" s="13" t="str">
        <f t="shared" si="44"/>
        <v>True Pattern</v>
      </c>
      <c r="Q807" s="13" t="str">
        <f t="shared" si="45"/>
        <v>Fixed</v>
      </c>
      <c r="R807" s="13" t="s">
        <v>1669</v>
      </c>
      <c r="S807" s="25">
        <v>1</v>
      </c>
      <c r="T807" s="13">
        <v>0</v>
      </c>
      <c r="U807" s="25">
        <v>2</v>
      </c>
      <c r="V807" s="13">
        <f t="shared" si="47"/>
        <v>2</v>
      </c>
      <c r="W807" s="13" t="str">
        <f t="shared" si="48"/>
        <v>Chart-3</v>
      </c>
      <c r="Y807"/>
    </row>
    <row r="808" spans="1:25" ht="15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6"/>
        <v>kPAR</v>
      </c>
      <c r="P808" s="13" t="str">
        <f t="shared" si="44"/>
        <v>True Pattern</v>
      </c>
      <c r="Q808" s="13" t="str">
        <f t="shared" si="45"/>
        <v>Fixed</v>
      </c>
      <c r="R808" s="13" t="s">
        <v>1668</v>
      </c>
      <c r="S808" s="25">
        <v>2</v>
      </c>
      <c r="T808" s="13">
        <v>0</v>
      </c>
      <c r="U808" s="25">
        <v>2</v>
      </c>
      <c r="V808" s="13">
        <f t="shared" si="47"/>
        <v>2</v>
      </c>
      <c r="W808" s="13" t="str">
        <f t="shared" si="48"/>
        <v>Chart-4</v>
      </c>
      <c r="Y808"/>
    </row>
    <row r="809" spans="1:25" ht="15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6"/>
        <v>kPAR</v>
      </c>
      <c r="P809" s="13" t="str">
        <f t="shared" si="44"/>
        <v>True Pattern</v>
      </c>
      <c r="Q809" s="13" t="str">
        <f t="shared" si="45"/>
        <v>Fixed</v>
      </c>
      <c r="R809" s="13" t="s">
        <v>1669</v>
      </c>
      <c r="S809" s="25">
        <v>2</v>
      </c>
      <c r="T809" s="25">
        <v>1</v>
      </c>
      <c r="U809" s="25">
        <v>5</v>
      </c>
      <c r="V809" s="13">
        <f t="shared" si="47"/>
        <v>6</v>
      </c>
      <c r="W809" s="13" t="str">
        <f t="shared" si="48"/>
        <v>Chart-5</v>
      </c>
      <c r="Y809"/>
    </row>
    <row r="810" spans="1:25" ht="15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6"/>
        <v>kPAR</v>
      </c>
      <c r="P810" s="13" t="str">
        <f t="shared" si="44"/>
        <v>True Pattern</v>
      </c>
      <c r="Q810" s="13" t="str">
        <f t="shared" si="45"/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f t="shared" si="47"/>
        <v>4</v>
      </c>
      <c r="W810" s="13" t="str">
        <f t="shared" si="48"/>
        <v>Chart-7</v>
      </c>
      <c r="Y810"/>
    </row>
    <row r="811" spans="1:25" ht="15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6"/>
        <v>kPAR</v>
      </c>
      <c r="P811" s="13" t="str">
        <f t="shared" si="44"/>
        <v>True Pattern</v>
      </c>
      <c r="Q811" s="13" t="str">
        <f t="shared" si="45"/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f t="shared" si="47"/>
        <v>2</v>
      </c>
      <c r="W811" s="13" t="str">
        <f t="shared" si="48"/>
        <v>Chart-8</v>
      </c>
      <c r="Y811"/>
    </row>
    <row r="812" spans="1:25" ht="15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6"/>
        <v>kPAR</v>
      </c>
      <c r="P812" s="13" t="str">
        <f t="shared" si="44"/>
        <v>True Pattern</v>
      </c>
      <c r="Q812" s="13" t="str">
        <f t="shared" si="45"/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f t="shared" si="47"/>
        <v>2</v>
      </c>
      <c r="W812" s="13" t="str">
        <f t="shared" si="48"/>
        <v>Closure-10</v>
      </c>
      <c r="Y812"/>
    </row>
    <row r="813" spans="1:25" ht="15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6"/>
        <v>kPAR</v>
      </c>
      <c r="P813" s="13" t="str">
        <f t="shared" si="44"/>
        <v>True Pattern</v>
      </c>
      <c r="Q813" s="13" t="str">
        <f t="shared" si="45"/>
        <v>Fixed</v>
      </c>
      <c r="R813" s="13" t="s">
        <v>1668</v>
      </c>
      <c r="S813" s="25">
        <v>1</v>
      </c>
      <c r="T813" s="25">
        <v>2</v>
      </c>
      <c r="U813" s="13">
        <v>0</v>
      </c>
      <c r="V813" s="13">
        <f t="shared" si="47"/>
        <v>2</v>
      </c>
      <c r="W813" s="13" t="str">
        <f t="shared" si="48"/>
        <v>Closure-11</v>
      </c>
      <c r="Y813"/>
    </row>
    <row r="814" spans="1:25" ht="15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6"/>
        <v>kPAR</v>
      </c>
      <c r="P814" s="13" t="str">
        <f t="shared" si="44"/>
        <v>True Pattern</v>
      </c>
      <c r="Q814" s="13" t="str">
        <f t="shared" si="45"/>
        <v>Fixed</v>
      </c>
      <c r="R814" s="13" t="s">
        <v>1668</v>
      </c>
      <c r="S814" s="25">
        <v>2</v>
      </c>
      <c r="T814" s="25">
        <v>11</v>
      </c>
      <c r="U814" s="13">
        <v>0</v>
      </c>
      <c r="V814" s="13">
        <f t="shared" si="47"/>
        <v>11</v>
      </c>
      <c r="W814" s="13" t="str">
        <f t="shared" si="48"/>
        <v>Closure-115</v>
      </c>
      <c r="Y814"/>
    </row>
    <row r="815" spans="1:25" ht="15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6"/>
        <v>kPAR</v>
      </c>
      <c r="P815" s="13" t="str">
        <f t="shared" si="44"/>
        <v>True Pattern</v>
      </c>
      <c r="Q815" s="13" t="str">
        <f t="shared" si="45"/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f t="shared" si="47"/>
        <v>2</v>
      </c>
      <c r="W815" s="13" t="str">
        <f t="shared" si="48"/>
        <v>Closure-125</v>
      </c>
      <c r="Y815"/>
    </row>
    <row r="816" spans="1:25" ht="15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6"/>
        <v>kPAR</v>
      </c>
      <c r="P816" s="13" t="str">
        <f t="shared" si="44"/>
        <v>True Pattern</v>
      </c>
      <c r="Q816" s="13" t="str">
        <f t="shared" si="45"/>
        <v>Fixed</v>
      </c>
      <c r="R816" s="13" t="s">
        <v>1668</v>
      </c>
      <c r="S816" s="25">
        <v>3</v>
      </c>
      <c r="T816" s="13">
        <v>0</v>
      </c>
      <c r="U816" s="25">
        <v>4</v>
      </c>
      <c r="V816" s="13">
        <f t="shared" si="47"/>
        <v>4</v>
      </c>
      <c r="W816" s="13" t="str">
        <f t="shared" si="48"/>
        <v>Closure-2</v>
      </c>
      <c r="Y816"/>
    </row>
    <row r="817" spans="1:25" ht="15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6"/>
        <v>kPAR</v>
      </c>
      <c r="P817" s="13" t="str">
        <f t="shared" si="44"/>
        <v>True Pattern</v>
      </c>
      <c r="Q817" s="13" t="str">
        <f t="shared" si="45"/>
        <v>Fixed</v>
      </c>
      <c r="R817" s="13" t="s">
        <v>1669</v>
      </c>
      <c r="S817" s="25">
        <v>2</v>
      </c>
      <c r="T817" s="25">
        <v>19</v>
      </c>
      <c r="U817" s="25">
        <v>2</v>
      </c>
      <c r="V817" s="13">
        <f t="shared" si="47"/>
        <v>21</v>
      </c>
      <c r="W817" s="13" t="str">
        <f t="shared" si="48"/>
        <v>Closure-21</v>
      </c>
      <c r="Y817"/>
    </row>
    <row r="818" spans="1:25" ht="15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6"/>
        <v>kPAR</v>
      </c>
      <c r="P818" s="13" t="str">
        <f t="shared" si="44"/>
        <v>True Pattern</v>
      </c>
      <c r="Q818" s="13" t="str">
        <f t="shared" si="45"/>
        <v>Fixed</v>
      </c>
      <c r="R818" s="13" t="s">
        <v>1669</v>
      </c>
      <c r="S818" s="25">
        <v>5</v>
      </c>
      <c r="T818" s="25">
        <v>26</v>
      </c>
      <c r="U818" s="25">
        <v>2</v>
      </c>
      <c r="V818" s="13">
        <f t="shared" si="47"/>
        <v>28</v>
      </c>
      <c r="W818" s="13" t="str">
        <f t="shared" si="48"/>
        <v>Closure-22</v>
      </c>
      <c r="Y818"/>
    </row>
    <row r="819" spans="1:25" ht="15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6"/>
        <v>kPAR</v>
      </c>
      <c r="P819" s="13" t="str">
        <f t="shared" si="44"/>
        <v>True Pattern</v>
      </c>
      <c r="Q819" s="13" t="str">
        <f t="shared" si="45"/>
        <v>Fixed</v>
      </c>
      <c r="R819" s="13" t="s">
        <v>1669</v>
      </c>
      <c r="S819" s="25">
        <v>1</v>
      </c>
      <c r="T819" s="25">
        <v>15</v>
      </c>
      <c r="U819" s="25">
        <v>2</v>
      </c>
      <c r="V819" s="13">
        <f t="shared" si="47"/>
        <v>17</v>
      </c>
      <c r="W819" s="13" t="str">
        <f t="shared" si="48"/>
        <v>Closure-35</v>
      </c>
      <c r="Y819"/>
    </row>
    <row r="820" spans="1:25" ht="15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6"/>
        <v>kPAR</v>
      </c>
      <c r="P820" s="13" t="str">
        <f t="shared" si="44"/>
        <v>True Pattern</v>
      </c>
      <c r="Q820" s="13" t="str">
        <f t="shared" si="45"/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f t="shared" si="47"/>
        <v>2</v>
      </c>
      <c r="W820" s="13" t="str">
        <f t="shared" si="48"/>
        <v>Closure-38</v>
      </c>
      <c r="Y820"/>
    </row>
    <row r="821" spans="1:25" ht="15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6"/>
        <v>kPAR</v>
      </c>
      <c r="P821" s="13" t="str">
        <f t="shared" si="44"/>
        <v>True Pattern</v>
      </c>
      <c r="Q821" s="13" t="str">
        <f t="shared" si="45"/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f t="shared" si="47"/>
        <v>4</v>
      </c>
      <c r="W821" s="13" t="str">
        <f t="shared" si="48"/>
        <v>Closure-4</v>
      </c>
      <c r="Y821"/>
    </row>
    <row r="822" spans="1:25" ht="15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6"/>
        <v>kPAR</v>
      </c>
      <c r="P822" s="13" t="str">
        <f t="shared" si="44"/>
        <v>True Pattern</v>
      </c>
      <c r="Q822" s="13" t="str">
        <f t="shared" si="45"/>
        <v>Fixed</v>
      </c>
      <c r="R822" s="13" t="s">
        <v>1668</v>
      </c>
      <c r="S822" s="25">
        <v>2</v>
      </c>
      <c r="T822" s="25">
        <v>3</v>
      </c>
      <c r="U822" s="25">
        <v>1</v>
      </c>
      <c r="V822" s="13">
        <f t="shared" si="47"/>
        <v>4</v>
      </c>
      <c r="W822" s="13" t="str">
        <f t="shared" si="48"/>
        <v>Closure-40</v>
      </c>
      <c r="Y822"/>
    </row>
    <row r="823" spans="1:25" ht="15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6"/>
        <v>kPAR</v>
      </c>
      <c r="P823" s="13" t="str">
        <f t="shared" si="44"/>
        <v>True Pattern</v>
      </c>
      <c r="Q823" s="13" t="str">
        <f t="shared" si="45"/>
        <v>Fixed</v>
      </c>
      <c r="R823" s="13" t="s">
        <v>1669</v>
      </c>
      <c r="S823" s="25">
        <v>1</v>
      </c>
      <c r="T823" s="25">
        <v>16</v>
      </c>
      <c r="U823" s="13">
        <v>0</v>
      </c>
      <c r="V823" s="13">
        <f t="shared" si="47"/>
        <v>16</v>
      </c>
      <c r="W823" s="13" t="str">
        <f t="shared" si="48"/>
        <v>Closure-46</v>
      </c>
      <c r="Y823"/>
    </row>
    <row r="824" spans="1:25" ht="15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6"/>
        <v>kPAR</v>
      </c>
      <c r="P824" s="13" t="str">
        <f t="shared" si="44"/>
        <v>True Pattern</v>
      </c>
      <c r="Q824" s="13" t="str">
        <f t="shared" si="45"/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f t="shared" si="47"/>
        <v>2</v>
      </c>
      <c r="W824" s="13" t="str">
        <f t="shared" si="48"/>
        <v>Closure-62</v>
      </c>
      <c r="Y824"/>
    </row>
    <row r="825" spans="1:25" ht="15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6"/>
        <v>kPAR</v>
      </c>
      <c r="P825" s="13" t="str">
        <f t="shared" si="44"/>
        <v>True Pattern</v>
      </c>
      <c r="Q825" s="13" t="str">
        <f t="shared" si="45"/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f t="shared" si="47"/>
        <v>2</v>
      </c>
      <c r="W825" s="13" t="str">
        <f t="shared" si="48"/>
        <v>Closure-70</v>
      </c>
      <c r="Y825"/>
    </row>
    <row r="826" spans="1:25" ht="15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6"/>
        <v>kPAR</v>
      </c>
      <c r="P826" s="13" t="str">
        <f t="shared" si="44"/>
        <v>True Pattern</v>
      </c>
      <c r="Q826" s="13" t="str">
        <f t="shared" si="45"/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f t="shared" si="47"/>
        <v>2</v>
      </c>
      <c r="W826" s="13" t="str">
        <f t="shared" si="48"/>
        <v>Closure-73</v>
      </c>
      <c r="Y826"/>
    </row>
    <row r="827" spans="1:25" ht="15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6"/>
        <v>kPAR</v>
      </c>
      <c r="P827" s="13" t="str">
        <f t="shared" si="44"/>
        <v>True Pattern</v>
      </c>
      <c r="Q827" s="13" t="str">
        <f t="shared" si="45"/>
        <v>Fixed</v>
      </c>
      <c r="R827" s="13" t="s">
        <v>1668</v>
      </c>
      <c r="S827" s="25">
        <v>2</v>
      </c>
      <c r="T827" s="25">
        <v>9</v>
      </c>
      <c r="U827" s="13">
        <v>0</v>
      </c>
      <c r="V827" s="13">
        <f t="shared" si="47"/>
        <v>9</v>
      </c>
      <c r="W827" s="13" t="str">
        <f t="shared" si="48"/>
        <v>Lang-10</v>
      </c>
      <c r="Y827"/>
    </row>
    <row r="828" spans="1:25" ht="15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6"/>
        <v>kPAR</v>
      </c>
      <c r="P828" s="13" t="str">
        <f t="shared" si="44"/>
        <v>True Pattern</v>
      </c>
      <c r="Q828" s="13" t="str">
        <f t="shared" si="45"/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f t="shared" si="47"/>
        <v>2</v>
      </c>
      <c r="W828" s="13" t="str">
        <f t="shared" si="48"/>
        <v>Lang-16</v>
      </c>
      <c r="Y828"/>
    </row>
    <row r="829" spans="1:25" ht="15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6"/>
        <v>kPAR</v>
      </c>
      <c r="P829" s="13" t="str">
        <f t="shared" si="44"/>
        <v>True Pattern</v>
      </c>
      <c r="Q829" s="13" t="str">
        <f t="shared" si="45"/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f t="shared" si="47"/>
        <v>6</v>
      </c>
      <c r="W829" s="13" t="str">
        <f t="shared" si="48"/>
        <v>Lang-18</v>
      </c>
      <c r="Y829"/>
    </row>
    <row r="830" spans="1:25" ht="15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6"/>
        <v>kPAR</v>
      </c>
      <c r="P830" s="13" t="str">
        <f t="shared" si="44"/>
        <v>True Pattern</v>
      </c>
      <c r="Q830" s="13" t="str">
        <f t="shared" si="45"/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f t="shared" si="47"/>
        <v>4</v>
      </c>
      <c r="W830" s="13" t="str">
        <f t="shared" si="48"/>
        <v>Lang-20</v>
      </c>
      <c r="Y830"/>
    </row>
    <row r="831" spans="1:25" ht="15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6"/>
        <v>kPAR</v>
      </c>
      <c r="P831" s="13" t="str">
        <f t="shared" si="44"/>
        <v>True Pattern</v>
      </c>
      <c r="Q831" s="13" t="str">
        <f t="shared" si="45"/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f t="shared" si="47"/>
        <v>2</v>
      </c>
      <c r="W831" s="13" t="str">
        <f t="shared" si="48"/>
        <v>Lang-21</v>
      </c>
      <c r="Y831"/>
    </row>
    <row r="832" spans="1:25" ht="15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6"/>
        <v>kPAR</v>
      </c>
      <c r="P832" s="13" t="str">
        <f t="shared" si="44"/>
        <v>True Pattern</v>
      </c>
      <c r="Q832" s="13" t="str">
        <f t="shared" si="45"/>
        <v>Fixed</v>
      </c>
      <c r="R832" s="13" t="s">
        <v>1669</v>
      </c>
      <c r="S832" s="25">
        <v>2</v>
      </c>
      <c r="T832" s="25">
        <v>1</v>
      </c>
      <c r="U832" s="25">
        <v>7</v>
      </c>
      <c r="V832" s="13">
        <f t="shared" si="47"/>
        <v>8</v>
      </c>
      <c r="W832" s="13" t="str">
        <f t="shared" si="48"/>
        <v>Lang-22</v>
      </c>
      <c r="Y832"/>
    </row>
    <row r="833" spans="1:25" ht="15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6"/>
        <v>kPAR</v>
      </c>
      <c r="P833" s="13" t="str">
        <f t="shared" si="44"/>
        <v>True Pattern</v>
      </c>
      <c r="Q833" s="13" t="str">
        <f t="shared" si="45"/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f t="shared" si="47"/>
        <v>2</v>
      </c>
      <c r="W833" s="13" t="str">
        <f t="shared" si="48"/>
        <v>Lang-24</v>
      </c>
      <c r="Y833"/>
    </row>
    <row r="834" spans="1:25" ht="15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6"/>
        <v>kPAR</v>
      </c>
      <c r="P834" s="13" t="str">
        <f t="shared" si="44"/>
        <v>True Pattern</v>
      </c>
      <c r="Q834" s="13" t="str">
        <f t="shared" si="45"/>
        <v>Fixed</v>
      </c>
      <c r="R834" s="13" t="s">
        <v>1669</v>
      </c>
      <c r="S834" s="25">
        <v>2</v>
      </c>
      <c r="T834" s="25">
        <v>1</v>
      </c>
      <c r="U834" s="25">
        <v>4</v>
      </c>
      <c r="V834" s="13">
        <f t="shared" si="47"/>
        <v>5</v>
      </c>
      <c r="W834" s="13" t="str">
        <f t="shared" si="48"/>
        <v>Lang-27</v>
      </c>
      <c r="Y834"/>
    </row>
    <row r="835" spans="1:25" ht="15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6"/>
        <v>kPAR</v>
      </c>
      <c r="P835" s="13" t="str">
        <f t="shared" si="44"/>
        <v>True Pattern</v>
      </c>
      <c r="Q835" s="13" t="str">
        <f t="shared" si="45"/>
        <v>Fixed</v>
      </c>
      <c r="R835" s="13" t="s">
        <v>1669</v>
      </c>
      <c r="S835" s="25">
        <v>8</v>
      </c>
      <c r="T835" s="25">
        <v>2</v>
      </c>
      <c r="U835" s="25">
        <v>21</v>
      </c>
      <c r="V835" s="13">
        <f t="shared" si="47"/>
        <v>23</v>
      </c>
      <c r="W835" s="13" t="str">
        <f t="shared" si="48"/>
        <v>Lang-41</v>
      </c>
      <c r="Y835"/>
    </row>
    <row r="836" spans="1:25" ht="15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6"/>
        <v>kPAR</v>
      </c>
      <c r="P836" s="13" t="str">
        <f t="shared" si="44"/>
        <v>True Pattern</v>
      </c>
      <c r="Q836" s="13" t="str">
        <f t="shared" si="45"/>
        <v>Fixed</v>
      </c>
      <c r="R836" s="13" t="s">
        <v>1669</v>
      </c>
      <c r="S836" s="25">
        <v>1</v>
      </c>
      <c r="T836" s="13">
        <v>0</v>
      </c>
      <c r="U836" s="25">
        <v>1</v>
      </c>
      <c r="V836" s="13">
        <f t="shared" si="47"/>
        <v>1</v>
      </c>
      <c r="W836" s="13" t="str">
        <f t="shared" si="48"/>
        <v>Lang-43</v>
      </c>
      <c r="Y836"/>
    </row>
    <row r="837" spans="1:25" ht="15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6"/>
        <v>kPAR</v>
      </c>
      <c r="P837" s="13" t="str">
        <f t="shared" si="44"/>
        <v>True Pattern</v>
      </c>
      <c r="Q837" s="13" t="str">
        <f t="shared" si="45"/>
        <v>Fixed</v>
      </c>
      <c r="R837" s="13" t="s">
        <v>1669</v>
      </c>
      <c r="S837" s="25">
        <v>1</v>
      </c>
      <c r="T837" s="13">
        <v>0</v>
      </c>
      <c r="U837" s="25">
        <v>3</v>
      </c>
      <c r="V837" s="13">
        <f t="shared" si="47"/>
        <v>3</v>
      </c>
      <c r="W837" s="13" t="str">
        <f t="shared" si="48"/>
        <v>Lang-44</v>
      </c>
      <c r="Y837"/>
    </row>
    <row r="838" spans="1:25" ht="15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6"/>
        <v>kPAR</v>
      </c>
      <c r="P838" s="13" t="str">
        <f t="shared" si="44"/>
        <v>True Pattern</v>
      </c>
      <c r="Q838" s="13" t="str">
        <f t="shared" si="45"/>
        <v>Fixed</v>
      </c>
      <c r="R838" s="13" t="s">
        <v>1669</v>
      </c>
      <c r="S838" s="25">
        <v>1</v>
      </c>
      <c r="T838" s="13">
        <v>0</v>
      </c>
      <c r="U838" s="25">
        <v>3</v>
      </c>
      <c r="V838" s="13">
        <f t="shared" si="47"/>
        <v>3</v>
      </c>
      <c r="W838" s="13" t="str">
        <f t="shared" si="48"/>
        <v>Lang-45</v>
      </c>
      <c r="Y838"/>
    </row>
    <row r="839" spans="1:25" ht="15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6"/>
        <v>kPAR</v>
      </c>
      <c r="P839" s="13" t="str">
        <f t="shared" si="44"/>
        <v>True Pattern</v>
      </c>
      <c r="Q839" s="13" t="str">
        <f t="shared" si="45"/>
        <v>Fixed</v>
      </c>
      <c r="R839" s="13" t="s">
        <v>1669</v>
      </c>
      <c r="S839" s="25">
        <v>1</v>
      </c>
      <c r="T839" s="13">
        <v>0</v>
      </c>
      <c r="U839" s="25">
        <v>1</v>
      </c>
      <c r="V839" s="13">
        <f t="shared" si="47"/>
        <v>1</v>
      </c>
      <c r="W839" s="13" t="str">
        <f t="shared" si="48"/>
        <v>Lang-51</v>
      </c>
      <c r="Y839"/>
    </row>
    <row r="840" spans="1:25" ht="15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6"/>
        <v>kPAR</v>
      </c>
      <c r="P840" s="13" t="str">
        <f t="shared" si="44"/>
        <v>True Pattern</v>
      </c>
      <c r="Q840" s="13" t="str">
        <f t="shared" si="45"/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f t="shared" si="47"/>
        <v>4</v>
      </c>
      <c r="W840" s="13" t="str">
        <f t="shared" si="48"/>
        <v>Lang-53</v>
      </c>
      <c r="Y840"/>
    </row>
    <row r="841" spans="1:25" ht="15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6"/>
        <v>kPAR</v>
      </c>
      <c r="P841" s="13" t="str">
        <f t="shared" si="44"/>
        <v>True Pattern</v>
      </c>
      <c r="Q841" s="13" t="str">
        <f t="shared" si="45"/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f t="shared" si="47"/>
        <v>2</v>
      </c>
      <c r="W841" s="13" t="str">
        <f t="shared" si="48"/>
        <v>Lang-57</v>
      </c>
      <c r="Y841"/>
    </row>
    <row r="842" spans="1:25" ht="15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6"/>
        <v>kPAR</v>
      </c>
      <c r="P842" s="13" t="str">
        <f t="shared" ref="P842:P905" si="49"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 t="shared" si="45"/>
        <v>Fixed</v>
      </c>
      <c r="R842" s="13" t="s">
        <v>1669</v>
      </c>
      <c r="S842" s="25">
        <v>1</v>
      </c>
      <c r="T842" s="25">
        <v>2</v>
      </c>
      <c r="U842" s="25">
        <v>1</v>
      </c>
      <c r="V842" s="13">
        <f t="shared" si="47"/>
        <v>3</v>
      </c>
      <c r="W842" s="13" t="str">
        <f t="shared" si="48"/>
        <v>Lang-58</v>
      </c>
      <c r="Y842"/>
    </row>
    <row r="843" spans="1:25" ht="15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6"/>
        <v>kPAR</v>
      </c>
      <c r="P843" s="13" t="str">
        <f t="shared" si="49"/>
        <v>True Pattern</v>
      </c>
      <c r="Q843" s="13" t="str">
        <f t="shared" si="45"/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f t="shared" si="47"/>
        <v>2</v>
      </c>
      <c r="W843" s="13" t="str">
        <f t="shared" si="48"/>
        <v>Lang-59</v>
      </c>
      <c r="Y843"/>
    </row>
    <row r="844" spans="1:25" ht="15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6"/>
        <v>kPAR</v>
      </c>
      <c r="P844" s="13" t="str">
        <f t="shared" si="49"/>
        <v>True Pattern</v>
      </c>
      <c r="Q844" s="13" t="str">
        <f t="shared" si="45"/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f t="shared" si="47"/>
        <v>2</v>
      </c>
      <c r="W844" s="13" t="str">
        <f t="shared" si="48"/>
        <v>Lang-6</v>
      </c>
      <c r="Y844"/>
    </row>
    <row r="845" spans="1:25" ht="15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6"/>
        <v>kPAR</v>
      </c>
      <c r="P845" s="13" t="str">
        <f t="shared" si="49"/>
        <v>True Pattern</v>
      </c>
      <c r="Q845" s="13" t="str">
        <f t="shared" si="45"/>
        <v>Fixed</v>
      </c>
      <c r="R845" s="13" t="s">
        <v>1669</v>
      </c>
      <c r="S845" s="25">
        <v>4</v>
      </c>
      <c r="T845" s="25">
        <v>20</v>
      </c>
      <c r="U845" s="25">
        <v>3</v>
      </c>
      <c r="V845" s="13">
        <f t="shared" si="47"/>
        <v>23</v>
      </c>
      <c r="W845" s="13" t="str">
        <f t="shared" si="48"/>
        <v>Lang-63</v>
      </c>
      <c r="Y845"/>
    </row>
    <row r="846" spans="1:25" ht="15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6"/>
        <v>kPAR</v>
      </c>
      <c r="P846" s="13" t="str">
        <f t="shared" si="49"/>
        <v>True Pattern</v>
      </c>
      <c r="Q846" s="13" t="str">
        <f t="shared" si="45"/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f t="shared" si="47"/>
        <v>6</v>
      </c>
      <c r="W846" s="13" t="str">
        <f t="shared" si="48"/>
        <v>Lang-7</v>
      </c>
      <c r="Y846"/>
    </row>
    <row r="847" spans="1:25" ht="15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6"/>
        <v>kPAR</v>
      </c>
      <c r="P847" s="13" t="str">
        <f t="shared" si="49"/>
        <v>True Pattern</v>
      </c>
      <c r="Q847" s="13" t="str">
        <f t="shared" si="45"/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f t="shared" si="47"/>
        <v>2</v>
      </c>
      <c r="W847" s="13" t="str">
        <f t="shared" si="48"/>
        <v>Math-104</v>
      </c>
      <c r="Y847"/>
    </row>
    <row r="848" spans="1:25" ht="15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46"/>
        <v>kPAR</v>
      </c>
      <c r="P848" s="13" t="str">
        <f t="shared" si="49"/>
        <v>True Pattern</v>
      </c>
      <c r="Q848" s="13" t="str">
        <f t="shared" si="45"/>
        <v>Fixed</v>
      </c>
      <c r="R848" s="13" t="s">
        <v>1669</v>
      </c>
      <c r="S848" s="25">
        <v>2</v>
      </c>
      <c r="T848" s="25">
        <v>1</v>
      </c>
      <c r="U848" s="25">
        <v>2</v>
      </c>
      <c r="V848" s="13">
        <f t="shared" si="47"/>
        <v>3</v>
      </c>
      <c r="W848" s="13" t="str">
        <f t="shared" si="48"/>
        <v>Math-15</v>
      </c>
      <c r="Y848"/>
    </row>
    <row r="849" spans="1:25" ht="15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6"/>
        <v>kPAR</v>
      </c>
      <c r="P849" s="13" t="str">
        <f t="shared" si="49"/>
        <v>True Pattern</v>
      </c>
      <c r="Q849" s="13" t="str">
        <f t="shared" si="45"/>
        <v>Fixed</v>
      </c>
      <c r="R849" s="13" t="s">
        <v>1669</v>
      </c>
      <c r="S849" s="25">
        <v>2</v>
      </c>
      <c r="T849" s="25">
        <v>2</v>
      </c>
      <c r="U849" s="25">
        <v>8</v>
      </c>
      <c r="V849" s="13">
        <f t="shared" si="47"/>
        <v>10</v>
      </c>
      <c r="W849" s="13" t="str">
        <f t="shared" si="48"/>
        <v>Math-40</v>
      </c>
      <c r="Y849"/>
    </row>
    <row r="850" spans="1:25" ht="15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6"/>
        <v>kPAR</v>
      </c>
      <c r="P850" s="13" t="str">
        <f t="shared" si="49"/>
        <v>True Pattern</v>
      </c>
      <c r="Q850" s="13" t="str">
        <f t="shared" si="45"/>
        <v>Fixed</v>
      </c>
      <c r="R850" s="13" t="s">
        <v>1669</v>
      </c>
      <c r="S850" s="25">
        <v>2</v>
      </c>
      <c r="T850" s="25">
        <v>1</v>
      </c>
      <c r="U850" s="25">
        <v>3</v>
      </c>
      <c r="V850" s="13">
        <f t="shared" si="47"/>
        <v>4</v>
      </c>
      <c r="W850" s="13" t="str">
        <f t="shared" si="48"/>
        <v>Math-42</v>
      </c>
      <c r="Y850"/>
    </row>
    <row r="851" spans="1:25" ht="15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6"/>
        <v>kPAR</v>
      </c>
      <c r="P851" s="13" t="str">
        <f t="shared" si="49"/>
        <v>True Pattern</v>
      </c>
      <c r="Q851" s="13" t="str">
        <f t="shared" si="45"/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f t="shared" si="47"/>
        <v>6</v>
      </c>
      <c r="W851" s="13" t="str">
        <f t="shared" si="48"/>
        <v>Math-43</v>
      </c>
      <c r="Y851"/>
    </row>
    <row r="852" spans="1:25" ht="15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6"/>
        <v>kPAR</v>
      </c>
      <c r="P852" s="13" t="str">
        <f t="shared" si="49"/>
        <v>True Pattern</v>
      </c>
      <c r="Q852" s="13" t="str">
        <f t="shared" si="45"/>
        <v>Fixed</v>
      </c>
      <c r="R852" s="13" t="s">
        <v>1668</v>
      </c>
      <c r="S852" s="25">
        <v>1</v>
      </c>
      <c r="T852" s="25">
        <v>4</v>
      </c>
      <c r="U852" s="13">
        <v>0</v>
      </c>
      <c r="V852" s="13">
        <f t="shared" si="47"/>
        <v>4</v>
      </c>
      <c r="W852" s="13" t="str">
        <f t="shared" si="48"/>
        <v>Math-50</v>
      </c>
      <c r="Y852"/>
    </row>
    <row r="853" spans="1:25" ht="15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6"/>
        <v>kPAR</v>
      </c>
      <c r="P853" s="13" t="str">
        <f t="shared" si="49"/>
        <v>True Pattern</v>
      </c>
      <c r="Q853" s="13" t="str">
        <f t="shared" si="45"/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f t="shared" si="47"/>
        <v>2</v>
      </c>
      <c r="W853" s="13" t="str">
        <f t="shared" si="48"/>
        <v>Math-58</v>
      </c>
      <c r="Y853"/>
    </row>
    <row r="854" spans="1:25" ht="15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6"/>
        <v>kPAR</v>
      </c>
      <c r="P854" s="13" t="str">
        <f t="shared" si="49"/>
        <v>True Pattern</v>
      </c>
      <c r="Q854" s="13" t="str">
        <f t="shared" ref="Q854:Q917" si="50"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4</v>
      </c>
      <c r="U854" s="25">
        <v>3</v>
      </c>
      <c r="V854" s="13">
        <f t="shared" si="47"/>
        <v>7</v>
      </c>
      <c r="W854" s="13" t="str">
        <f t="shared" si="48"/>
        <v>Math-62</v>
      </c>
      <c r="Y854"/>
    </row>
    <row r="855" spans="1:25" ht="15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ref="O855:O918" si="51">LEFT($A855,FIND("_",$A855)-1)</f>
        <v>kPAR</v>
      </c>
      <c r="P855" s="13" t="str">
        <f t="shared" si="49"/>
        <v>True Pattern</v>
      </c>
      <c r="Q855" s="13" t="str">
        <f t="shared" si="50"/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f t="shared" si="47"/>
        <v>2</v>
      </c>
      <c r="W855" s="13" t="str">
        <f t="shared" si="48"/>
        <v>Math-63</v>
      </c>
      <c r="Y855"/>
    </row>
    <row r="856" spans="1:25" ht="15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si="51"/>
        <v>kPAR</v>
      </c>
      <c r="P856" s="13" t="str">
        <f t="shared" si="49"/>
        <v>True Pattern</v>
      </c>
      <c r="Q856" s="13" t="str">
        <f t="shared" si="50"/>
        <v>Fixed</v>
      </c>
      <c r="R856" s="13" t="s">
        <v>1669</v>
      </c>
      <c r="S856" s="25">
        <v>4</v>
      </c>
      <c r="T856" s="25">
        <v>9</v>
      </c>
      <c r="U856" s="25">
        <v>8</v>
      </c>
      <c r="V856" s="13">
        <f t="shared" si="47"/>
        <v>17</v>
      </c>
      <c r="W856" s="13" t="str">
        <f t="shared" si="48"/>
        <v>Math-7</v>
      </c>
      <c r="Y856"/>
    </row>
    <row r="857" spans="1:25" ht="15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51"/>
        <v>kPAR</v>
      </c>
      <c r="P857" s="13" t="str">
        <f t="shared" si="49"/>
        <v>True Pattern</v>
      </c>
      <c r="Q857" s="13" t="str">
        <f t="shared" si="50"/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f t="shared" si="47"/>
        <v>2</v>
      </c>
      <c r="W857" s="13" t="str">
        <f t="shared" si="48"/>
        <v>Math-70</v>
      </c>
      <c r="Y857"/>
    </row>
    <row r="858" spans="1:25" ht="15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51"/>
        <v>kPAR</v>
      </c>
      <c r="P858" s="13" t="str">
        <f t="shared" si="49"/>
        <v>True Pattern</v>
      </c>
      <c r="Q858" s="13" t="str">
        <f t="shared" si="50"/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f t="shared" si="47"/>
        <v>2</v>
      </c>
      <c r="W858" s="13" t="str">
        <f t="shared" si="48"/>
        <v>Math-75</v>
      </c>
      <c r="Y858"/>
    </row>
    <row r="859" spans="1:25" ht="15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51"/>
        <v>kPAR</v>
      </c>
      <c r="P859" s="13" t="str">
        <f t="shared" si="49"/>
        <v>True Pattern</v>
      </c>
      <c r="Q859" s="13" t="str">
        <f t="shared" si="50"/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f t="shared" si="47"/>
        <v>4</v>
      </c>
      <c r="W859" s="13" t="str">
        <f t="shared" si="48"/>
        <v>Math-8</v>
      </c>
      <c r="Y859"/>
    </row>
    <row r="860" spans="1:25" ht="15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51"/>
        <v>kPAR</v>
      </c>
      <c r="P860" s="13" t="str">
        <f t="shared" si="49"/>
        <v>True Pattern</v>
      </c>
      <c r="Q860" s="13" t="str">
        <f t="shared" si="50"/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f t="shared" si="47"/>
        <v>2</v>
      </c>
      <c r="W860" s="13" t="str">
        <f t="shared" si="48"/>
        <v>Math-80</v>
      </c>
      <c r="Y860"/>
    </row>
    <row r="861" spans="1:25" ht="15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51"/>
        <v>kPAR</v>
      </c>
      <c r="P861" s="13" t="str">
        <f t="shared" si="49"/>
        <v>True Pattern</v>
      </c>
      <c r="Q861" s="13" t="str">
        <f t="shared" si="50"/>
        <v>Fixed</v>
      </c>
      <c r="R861" s="13" t="s">
        <v>1669</v>
      </c>
      <c r="S861" s="25">
        <v>3</v>
      </c>
      <c r="T861" s="25">
        <v>3</v>
      </c>
      <c r="U861" s="25">
        <v>4</v>
      </c>
      <c r="V861" s="13">
        <f t="shared" si="47"/>
        <v>7</v>
      </c>
      <c r="W861" s="13" t="str">
        <f t="shared" si="48"/>
        <v>Math-81</v>
      </c>
      <c r="Y861"/>
    </row>
    <row r="862" spans="1:25" ht="15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51"/>
        <v>kPAR</v>
      </c>
      <c r="P862" s="13" t="str">
        <f t="shared" si="49"/>
        <v>True Pattern</v>
      </c>
      <c r="Q862" s="13" t="str">
        <f t="shared" si="50"/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f t="shared" si="47"/>
        <v>2</v>
      </c>
      <c r="W862" s="13" t="str">
        <f t="shared" si="48"/>
        <v>Math-82</v>
      </c>
      <c r="Y862"/>
    </row>
    <row r="863" spans="1:25" ht="15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51"/>
        <v>kPAR</v>
      </c>
      <c r="P863" s="13" t="str">
        <f t="shared" si="49"/>
        <v>True Pattern</v>
      </c>
      <c r="Q863" s="13" t="str">
        <f t="shared" si="50"/>
        <v>Fixed</v>
      </c>
      <c r="R863" s="13" t="s">
        <v>1669</v>
      </c>
      <c r="S863" s="25">
        <v>3</v>
      </c>
      <c r="T863" s="13">
        <v>0</v>
      </c>
      <c r="U863" s="25">
        <v>9</v>
      </c>
      <c r="V863" s="13">
        <f t="shared" si="47"/>
        <v>9</v>
      </c>
      <c r="W863" s="13" t="str">
        <f t="shared" si="48"/>
        <v>Math-84</v>
      </c>
      <c r="Y863"/>
    </row>
    <row r="864" spans="1:25" ht="15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51"/>
        <v>kPAR</v>
      </c>
      <c r="P864" s="13" t="str">
        <f t="shared" si="49"/>
        <v>True Pattern</v>
      </c>
      <c r="Q864" s="13" t="str">
        <f t="shared" si="50"/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f t="shared" si="47"/>
        <v>2</v>
      </c>
      <c r="W864" s="13" t="str">
        <f t="shared" si="48"/>
        <v>Math-85</v>
      </c>
      <c r="Y864"/>
    </row>
    <row r="865" spans="1:25" ht="15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51"/>
        <v>kPAR</v>
      </c>
      <c r="P865" s="13" t="str">
        <f t="shared" si="49"/>
        <v>True Pattern</v>
      </c>
      <c r="Q865" s="13" t="str">
        <f t="shared" si="50"/>
        <v>Fixed</v>
      </c>
      <c r="R865" s="13" t="s">
        <v>1669</v>
      </c>
      <c r="S865" s="25">
        <v>4</v>
      </c>
      <c r="T865" s="25">
        <v>6</v>
      </c>
      <c r="U865" s="25">
        <v>5</v>
      </c>
      <c r="V865" s="13">
        <f t="shared" si="47"/>
        <v>11</v>
      </c>
      <c r="W865" s="13" t="str">
        <f t="shared" si="48"/>
        <v>Math-88</v>
      </c>
      <c r="Y865"/>
    </row>
    <row r="866" spans="1:25" ht="15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51"/>
        <v>kPAR</v>
      </c>
      <c r="P866" s="13" t="str">
        <f t="shared" si="49"/>
        <v>True Pattern</v>
      </c>
      <c r="Q866" s="13" t="str">
        <f t="shared" si="50"/>
        <v>Fixed</v>
      </c>
      <c r="R866" s="13" t="s">
        <v>1668</v>
      </c>
      <c r="S866" s="25">
        <v>2</v>
      </c>
      <c r="T866" s="13">
        <v>0</v>
      </c>
      <c r="U866" s="25">
        <v>4</v>
      </c>
      <c r="V866" s="13">
        <f t="shared" si="47"/>
        <v>4</v>
      </c>
      <c r="W866" s="13" t="str">
        <f t="shared" si="48"/>
        <v>Math-89</v>
      </c>
      <c r="Y866"/>
    </row>
    <row r="867" spans="1:25" ht="15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51"/>
        <v>Nopol</v>
      </c>
      <c r="P867" s="13" t="str">
        <f t="shared" si="49"/>
        <v>True Semantic</v>
      </c>
      <c r="Q867" s="13" t="str">
        <f t="shared" si="50"/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f t="shared" si="47"/>
        <v>2</v>
      </c>
      <c r="W867" s="13" t="str">
        <f t="shared" si="48"/>
        <v>Chart-13</v>
      </c>
      <c r="Y867"/>
    </row>
    <row r="868" spans="1:25" ht="15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51"/>
        <v>Nopol</v>
      </c>
      <c r="P868" s="13" t="str">
        <f t="shared" si="49"/>
        <v>True Semantic</v>
      </c>
      <c r="Q868" s="13" t="str">
        <f t="shared" si="50"/>
        <v>Fixed</v>
      </c>
      <c r="R868" s="13" t="s">
        <v>1669</v>
      </c>
      <c r="S868" s="25">
        <v>1</v>
      </c>
      <c r="T868" s="25">
        <v>1</v>
      </c>
      <c r="U868" s="25">
        <v>2</v>
      </c>
      <c r="V868" s="13">
        <f t="shared" si="47"/>
        <v>3</v>
      </c>
      <c r="W868" s="13" t="str">
        <f t="shared" si="48"/>
        <v>Chart-17</v>
      </c>
      <c r="Y868"/>
    </row>
    <row r="869" spans="1:25" ht="15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51"/>
        <v>Nopol</v>
      </c>
      <c r="P869" s="13" t="str">
        <f t="shared" si="49"/>
        <v>True Semantic</v>
      </c>
      <c r="Q869" s="13" t="str">
        <f t="shared" si="50"/>
        <v>Fixed</v>
      </c>
      <c r="R869" s="13" t="s">
        <v>1669</v>
      </c>
      <c r="S869" s="25">
        <v>6</v>
      </c>
      <c r="T869" s="25">
        <v>2</v>
      </c>
      <c r="U869" s="25">
        <v>14</v>
      </c>
      <c r="V869" s="13">
        <f t="shared" si="47"/>
        <v>16</v>
      </c>
      <c r="W869" s="13" t="str">
        <f t="shared" si="48"/>
        <v>Chart-25</v>
      </c>
      <c r="Y869"/>
    </row>
    <row r="870" spans="1:25" ht="15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51"/>
        <v>Nopol</v>
      </c>
      <c r="P870" s="13" t="str">
        <f t="shared" si="49"/>
        <v>True Semantic</v>
      </c>
      <c r="Q870" s="13" t="str">
        <f t="shared" si="50"/>
        <v>Fixed</v>
      </c>
      <c r="R870" s="13" t="s">
        <v>1669</v>
      </c>
      <c r="S870" s="25">
        <v>2</v>
      </c>
      <c r="T870" s="25">
        <v>1</v>
      </c>
      <c r="U870" s="25">
        <v>5</v>
      </c>
      <c r="V870" s="13">
        <f t="shared" ref="V870:V933" si="52">T870+U870</f>
        <v>6</v>
      </c>
      <c r="W870" s="13" t="str">
        <f t="shared" ref="W870:W933" si="53">MID(A870, SEARCH("_", A870) +1, SEARCH("_", A870, SEARCH("_", A870) +1) - SEARCH("_", A870) -1)</f>
        <v>Chart-5</v>
      </c>
      <c r="Y870"/>
    </row>
    <row r="871" spans="1:25" ht="15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51"/>
        <v>Nopol</v>
      </c>
      <c r="P871" s="13" t="str">
        <f t="shared" si="49"/>
        <v>True Semantic</v>
      </c>
      <c r="Q871" s="13" t="str">
        <f t="shared" si="50"/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f t="shared" si="52"/>
        <v>2</v>
      </c>
      <c r="W871" s="13" t="str">
        <f t="shared" si="53"/>
        <v>Chart-9</v>
      </c>
      <c r="Y871"/>
    </row>
    <row r="872" spans="1:25" ht="15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51"/>
        <v>Nopol</v>
      </c>
      <c r="P872" s="13" t="str">
        <f t="shared" si="49"/>
        <v>True Semantic</v>
      </c>
      <c r="Q872" s="13" t="str">
        <f t="shared" si="50"/>
        <v>Fixed</v>
      </c>
      <c r="R872" s="13" t="s">
        <v>1669</v>
      </c>
      <c r="S872" s="25">
        <v>1</v>
      </c>
      <c r="T872" s="13">
        <v>0</v>
      </c>
      <c r="U872" s="25">
        <v>3</v>
      </c>
      <c r="V872" s="13">
        <f t="shared" si="52"/>
        <v>3</v>
      </c>
      <c r="W872" s="13" t="str">
        <f t="shared" si="53"/>
        <v>Lang-44</v>
      </c>
      <c r="Y872"/>
    </row>
    <row r="873" spans="1:25" ht="15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51"/>
        <v>Nopol</v>
      </c>
      <c r="P873" s="13" t="str">
        <f t="shared" si="49"/>
        <v>True Semantic</v>
      </c>
      <c r="Q873" s="13" t="str">
        <f t="shared" si="50"/>
        <v>Fixed</v>
      </c>
      <c r="R873" s="13" t="s">
        <v>1668</v>
      </c>
      <c r="S873" s="25">
        <v>9</v>
      </c>
      <c r="T873" s="25">
        <v>7</v>
      </c>
      <c r="U873" s="25">
        <v>10</v>
      </c>
      <c r="V873" s="13">
        <f t="shared" si="52"/>
        <v>17</v>
      </c>
      <c r="W873" s="13" t="str">
        <f t="shared" si="53"/>
        <v>Lang-46</v>
      </c>
      <c r="Y873"/>
    </row>
    <row r="874" spans="1:25" ht="15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51"/>
        <v>Nopol</v>
      </c>
      <c r="P874" s="13" t="str">
        <f t="shared" si="49"/>
        <v>True Semantic</v>
      </c>
      <c r="Q874" s="13" t="str">
        <f t="shared" si="50"/>
        <v>Fixed</v>
      </c>
      <c r="R874" s="13" t="s">
        <v>1669</v>
      </c>
      <c r="S874" s="25">
        <v>1</v>
      </c>
      <c r="T874" s="13">
        <v>0</v>
      </c>
      <c r="U874" s="25">
        <v>1</v>
      </c>
      <c r="V874" s="13">
        <f t="shared" si="52"/>
        <v>1</v>
      </c>
      <c r="W874" s="13" t="str">
        <f t="shared" si="53"/>
        <v>Lang-51</v>
      </c>
      <c r="Y874"/>
    </row>
    <row r="875" spans="1:25" ht="15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51"/>
        <v>Nopol</v>
      </c>
      <c r="P875" s="13" t="str">
        <f t="shared" si="49"/>
        <v>True Semantic</v>
      </c>
      <c r="Q875" s="13" t="str">
        <f t="shared" si="50"/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f t="shared" si="52"/>
        <v>4</v>
      </c>
      <c r="W875" s="13" t="str">
        <f t="shared" si="53"/>
        <v>Lang-53</v>
      </c>
      <c r="Y875"/>
    </row>
    <row r="876" spans="1:25" ht="15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51"/>
        <v>Nopol</v>
      </c>
      <c r="P876" s="13" t="str">
        <f t="shared" si="49"/>
        <v>True Semantic</v>
      </c>
      <c r="Q876" s="13" t="str">
        <f t="shared" si="50"/>
        <v>Fixed</v>
      </c>
      <c r="R876" s="13" t="s">
        <v>1669</v>
      </c>
      <c r="S876" s="25">
        <v>2</v>
      </c>
      <c r="T876" s="13">
        <v>0</v>
      </c>
      <c r="U876" s="25">
        <v>2</v>
      </c>
      <c r="V876" s="13">
        <f t="shared" si="52"/>
        <v>2</v>
      </c>
      <c r="W876" s="13" t="str">
        <f t="shared" si="53"/>
        <v>Lang-55</v>
      </c>
      <c r="Y876"/>
    </row>
    <row r="877" spans="1:25" ht="15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51"/>
        <v>Nopol</v>
      </c>
      <c r="P877" s="13" t="str">
        <f t="shared" si="49"/>
        <v>True Semantic</v>
      </c>
      <c r="Q877" s="13" t="str">
        <f t="shared" si="50"/>
        <v>Fixed</v>
      </c>
      <c r="R877" s="13" t="s">
        <v>1669</v>
      </c>
      <c r="S877" s="25">
        <v>1</v>
      </c>
      <c r="T877" s="25">
        <v>2</v>
      </c>
      <c r="U877" s="25">
        <v>1</v>
      </c>
      <c r="V877" s="13">
        <f t="shared" si="52"/>
        <v>3</v>
      </c>
      <c r="W877" s="13" t="str">
        <f t="shared" si="53"/>
        <v>Lang-58</v>
      </c>
      <c r="Y877"/>
    </row>
    <row r="878" spans="1:25" ht="15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51"/>
        <v>Nopol</v>
      </c>
      <c r="P878" s="13" t="str">
        <f t="shared" si="49"/>
        <v>True Semantic</v>
      </c>
      <c r="Q878" s="13" t="str">
        <f t="shared" si="50"/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f t="shared" si="52"/>
        <v>2</v>
      </c>
      <c r="W878" s="13" t="str">
        <f t="shared" si="53"/>
        <v>Math-105</v>
      </c>
      <c r="Y878"/>
    </row>
    <row r="879" spans="1:25" ht="15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51"/>
        <v>Nopol</v>
      </c>
      <c r="P879" s="13" t="str">
        <f t="shared" si="49"/>
        <v>True Semantic</v>
      </c>
      <c r="Q879" s="13" t="str">
        <f t="shared" si="50"/>
        <v>Fixed</v>
      </c>
      <c r="R879" s="13" t="s">
        <v>1669</v>
      </c>
      <c r="S879" s="25">
        <v>5</v>
      </c>
      <c r="T879" s="25">
        <v>4</v>
      </c>
      <c r="U879" s="25">
        <v>6</v>
      </c>
      <c r="V879" s="13">
        <f t="shared" si="52"/>
        <v>10</v>
      </c>
      <c r="W879" s="13" t="str">
        <f t="shared" si="53"/>
        <v>Math-18</v>
      </c>
      <c r="Y879"/>
    </row>
    <row r="880" spans="1:25" ht="15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51"/>
        <v>Nopol</v>
      </c>
      <c r="P880" s="13" t="str">
        <f t="shared" si="49"/>
        <v>True Semantic</v>
      </c>
      <c r="Q880" s="13" t="str">
        <f t="shared" si="50"/>
        <v>Fixed</v>
      </c>
      <c r="R880" s="13" t="s">
        <v>1669</v>
      </c>
      <c r="S880" s="25">
        <v>1</v>
      </c>
      <c r="T880" s="25">
        <v>1</v>
      </c>
      <c r="U880" s="25">
        <v>2</v>
      </c>
      <c r="V880" s="13">
        <f t="shared" si="52"/>
        <v>3</v>
      </c>
      <c r="W880" s="13" t="str">
        <f t="shared" si="53"/>
        <v>Math-20</v>
      </c>
      <c r="Y880"/>
    </row>
    <row r="881" spans="1:25" ht="15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51"/>
        <v>Nopol</v>
      </c>
      <c r="P881" s="13" t="str">
        <f t="shared" si="49"/>
        <v>True Semantic</v>
      </c>
      <c r="Q881" s="13" t="str">
        <f t="shared" si="50"/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f t="shared" si="52"/>
        <v>2</v>
      </c>
      <c r="W881" s="13" t="str">
        <f t="shared" si="53"/>
        <v>Math-33</v>
      </c>
      <c r="Y881"/>
    </row>
    <row r="882" spans="1:25" ht="15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51"/>
        <v>Nopol</v>
      </c>
      <c r="P882" s="13" t="str">
        <f t="shared" si="49"/>
        <v>True Semantic</v>
      </c>
      <c r="Q882" s="13" t="str">
        <f t="shared" si="50"/>
        <v>Fixed</v>
      </c>
      <c r="R882" s="13" t="s">
        <v>1669</v>
      </c>
      <c r="S882" s="25">
        <v>2</v>
      </c>
      <c r="T882" s="25">
        <v>1</v>
      </c>
      <c r="U882" s="25">
        <v>3</v>
      </c>
      <c r="V882" s="13">
        <f t="shared" si="52"/>
        <v>4</v>
      </c>
      <c r="W882" s="13" t="str">
        <f t="shared" si="53"/>
        <v>Math-42</v>
      </c>
      <c r="Y882"/>
    </row>
    <row r="883" spans="1:25" ht="15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51"/>
        <v>Nopol</v>
      </c>
      <c r="P883" s="13" t="str">
        <f t="shared" si="49"/>
        <v>True Semantic</v>
      </c>
      <c r="Q883" s="13" t="str">
        <f t="shared" si="50"/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f t="shared" si="52"/>
        <v>8</v>
      </c>
      <c r="W883" s="13" t="str">
        <f t="shared" si="53"/>
        <v>Math-49</v>
      </c>
      <c r="Y883"/>
    </row>
    <row r="884" spans="1:25" ht="15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51"/>
        <v>Nopol</v>
      </c>
      <c r="P884" s="13" t="str">
        <f t="shared" si="49"/>
        <v>True Semantic</v>
      </c>
      <c r="Q884" s="13" t="str">
        <f t="shared" si="50"/>
        <v>Fixed</v>
      </c>
      <c r="R884" s="13" t="s">
        <v>1668</v>
      </c>
      <c r="S884" s="25">
        <v>1</v>
      </c>
      <c r="T884" s="25">
        <v>4</v>
      </c>
      <c r="U884" s="13">
        <v>0</v>
      </c>
      <c r="V884" s="13">
        <f t="shared" si="52"/>
        <v>4</v>
      </c>
      <c r="W884" s="13" t="str">
        <f t="shared" si="53"/>
        <v>Math-50</v>
      </c>
      <c r="Y884"/>
    </row>
    <row r="885" spans="1:25" ht="15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51"/>
        <v>Nopol</v>
      </c>
      <c r="P885" s="13" t="str">
        <f t="shared" si="49"/>
        <v>True Semantic</v>
      </c>
      <c r="Q885" s="13" t="str">
        <f t="shared" si="50"/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f t="shared" si="52"/>
        <v>2</v>
      </c>
      <c r="W885" s="13" t="str">
        <f t="shared" si="53"/>
        <v>Math-69</v>
      </c>
      <c r="Y885"/>
    </row>
    <row r="886" spans="1:25" ht="15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51"/>
        <v>Nopol</v>
      </c>
      <c r="P886" s="13" t="str">
        <f t="shared" si="49"/>
        <v>True Semantic</v>
      </c>
      <c r="Q886" s="13" t="str">
        <f t="shared" si="50"/>
        <v>Fixed</v>
      </c>
      <c r="R886" s="13" t="s">
        <v>1669</v>
      </c>
      <c r="S886" s="25">
        <v>4</v>
      </c>
      <c r="T886" s="25">
        <v>9</v>
      </c>
      <c r="U886" s="25">
        <v>8</v>
      </c>
      <c r="V886" s="13">
        <f t="shared" si="52"/>
        <v>17</v>
      </c>
      <c r="W886" s="13" t="str">
        <f t="shared" si="53"/>
        <v>Math-7</v>
      </c>
      <c r="Y886"/>
    </row>
    <row r="887" spans="1:25" ht="15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51"/>
        <v>Nopol</v>
      </c>
      <c r="P887" s="13" t="str">
        <f t="shared" si="49"/>
        <v>True Semantic</v>
      </c>
      <c r="Q887" s="13" t="str">
        <f t="shared" si="50"/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f t="shared" si="52"/>
        <v>2</v>
      </c>
      <c r="W887" s="13" t="str">
        <f t="shared" si="53"/>
        <v>Math-80</v>
      </c>
      <c r="Y887"/>
    </row>
    <row r="888" spans="1:25" ht="15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51"/>
        <v>Nopol</v>
      </c>
      <c r="P888" s="13" t="str">
        <f t="shared" si="49"/>
        <v>True Semantic</v>
      </c>
      <c r="Q888" s="13" t="str">
        <f t="shared" si="50"/>
        <v>Fixed</v>
      </c>
      <c r="R888" s="13" t="s">
        <v>1669</v>
      </c>
      <c r="S888" s="25">
        <v>3</v>
      </c>
      <c r="T888" s="25">
        <v>3</v>
      </c>
      <c r="U888" s="25">
        <v>4</v>
      </c>
      <c r="V888" s="13">
        <f t="shared" si="52"/>
        <v>7</v>
      </c>
      <c r="W888" s="13" t="str">
        <f t="shared" si="53"/>
        <v>Math-81</v>
      </c>
      <c r="Y888"/>
    </row>
    <row r="889" spans="1:25" ht="15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51"/>
        <v>Nopol</v>
      </c>
      <c r="P889" s="13" t="str">
        <f t="shared" si="49"/>
        <v>True Semantic</v>
      </c>
      <c r="Q889" s="13" t="str">
        <f t="shared" si="50"/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f t="shared" si="52"/>
        <v>2</v>
      </c>
      <c r="W889" s="13" t="str">
        <f t="shared" si="53"/>
        <v>Math-82</v>
      </c>
      <c r="Y889"/>
    </row>
    <row r="890" spans="1:25" ht="15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51"/>
        <v>Nopol</v>
      </c>
      <c r="P890" s="13" t="str">
        <f t="shared" si="49"/>
        <v>True Semantic</v>
      </c>
      <c r="Q890" s="13" t="str">
        <f t="shared" si="50"/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f t="shared" si="52"/>
        <v>2</v>
      </c>
      <c r="W890" s="13" t="str">
        <f t="shared" si="53"/>
        <v>Math-85</v>
      </c>
      <c r="Y890"/>
    </row>
    <row r="891" spans="1:25" ht="15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51"/>
        <v>Nopol</v>
      </c>
      <c r="P891" s="13" t="str">
        <f t="shared" si="49"/>
        <v>True Semantic</v>
      </c>
      <c r="Q891" s="13" t="str">
        <f t="shared" si="50"/>
        <v>Fixed</v>
      </c>
      <c r="R891" s="13" t="s">
        <v>1669</v>
      </c>
      <c r="S891" s="25">
        <v>3</v>
      </c>
      <c r="T891" s="25">
        <v>4</v>
      </c>
      <c r="U891" s="25">
        <v>2</v>
      </c>
      <c r="V891" s="13">
        <f t="shared" si="52"/>
        <v>6</v>
      </c>
      <c r="W891" s="13" t="str">
        <f t="shared" si="53"/>
        <v>Math-87</v>
      </c>
      <c r="Y891"/>
    </row>
    <row r="892" spans="1:25" ht="15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51"/>
        <v>Nopol</v>
      </c>
      <c r="P892" s="13" t="str">
        <f t="shared" si="49"/>
        <v>True Semantic</v>
      </c>
      <c r="Q892" s="13" t="str">
        <f t="shared" si="50"/>
        <v>Fixed</v>
      </c>
      <c r="R892" s="13" t="s">
        <v>1669</v>
      </c>
      <c r="S892" s="25">
        <v>4</v>
      </c>
      <c r="T892" s="25">
        <v>6</v>
      </c>
      <c r="U892" s="25">
        <v>5</v>
      </c>
      <c r="V892" s="13">
        <f t="shared" si="52"/>
        <v>11</v>
      </c>
      <c r="W892" s="13" t="str">
        <f t="shared" si="53"/>
        <v>Math-88</v>
      </c>
      <c r="Y892"/>
    </row>
    <row r="893" spans="1:25" ht="15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51"/>
        <v>Nopol</v>
      </c>
      <c r="P893" s="13" t="str">
        <f t="shared" si="49"/>
        <v>True Semantic</v>
      </c>
      <c r="Q893" s="13" t="str">
        <f t="shared" si="50"/>
        <v>Fixed</v>
      </c>
      <c r="R893" s="13" t="s">
        <v>1669</v>
      </c>
      <c r="S893" s="25">
        <v>2</v>
      </c>
      <c r="T893" s="13">
        <v>0</v>
      </c>
      <c r="U893" s="25">
        <v>5</v>
      </c>
      <c r="V893" s="13">
        <f t="shared" si="52"/>
        <v>5</v>
      </c>
      <c r="W893" s="13" t="str">
        <f t="shared" si="53"/>
        <v>Time-14</v>
      </c>
      <c r="Y893"/>
    </row>
    <row r="894" spans="1:25" ht="15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51"/>
        <v>RSRepair-A</v>
      </c>
      <c r="P894" s="13" t="str">
        <f t="shared" si="49"/>
        <v>Evolutionary Search</v>
      </c>
      <c r="Q894" s="13" t="str">
        <f t="shared" si="50"/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f t="shared" si="52"/>
        <v>2</v>
      </c>
      <c r="W894" s="13" t="str">
        <f t="shared" si="53"/>
        <v>Chart-1</v>
      </c>
      <c r="Y894"/>
    </row>
    <row r="895" spans="1:25" ht="15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51"/>
        <v>RSRepair-A</v>
      </c>
      <c r="P895" s="13" t="str">
        <f t="shared" si="49"/>
        <v>Evolutionary Search</v>
      </c>
      <c r="Q895" s="13" t="str">
        <f t="shared" si="50"/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f t="shared" si="52"/>
        <v>2</v>
      </c>
      <c r="W895" s="13" t="str">
        <f t="shared" si="53"/>
        <v>Chart-12</v>
      </c>
      <c r="Y895"/>
    </row>
    <row r="896" spans="1:25" ht="15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51"/>
        <v>RSRepair-A</v>
      </c>
      <c r="P896" s="13" t="str">
        <f t="shared" si="49"/>
        <v>Evolutionary Search</v>
      </c>
      <c r="Q896" s="13" t="str">
        <f t="shared" si="50"/>
        <v>Fixed</v>
      </c>
      <c r="R896" s="13" t="s">
        <v>1669</v>
      </c>
      <c r="S896" s="25">
        <v>2</v>
      </c>
      <c r="T896" s="25">
        <v>1</v>
      </c>
      <c r="U896" s="25">
        <v>5</v>
      </c>
      <c r="V896" s="13">
        <f t="shared" si="52"/>
        <v>6</v>
      </c>
      <c r="W896" s="13" t="str">
        <f t="shared" si="53"/>
        <v>Chart-5</v>
      </c>
      <c r="Y896"/>
    </row>
    <row r="897" spans="1:25" ht="15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51"/>
        <v>RSRepair-A</v>
      </c>
      <c r="P897" s="13" t="str">
        <f t="shared" si="49"/>
        <v>Evolutionary Search</v>
      </c>
      <c r="Q897" s="13" t="str">
        <f t="shared" si="50"/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f t="shared" si="52"/>
        <v>2</v>
      </c>
      <c r="W897" s="13" t="str">
        <f t="shared" si="53"/>
        <v>Closure-10</v>
      </c>
      <c r="Y897"/>
    </row>
    <row r="898" spans="1:25" ht="15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51"/>
        <v>RSRepair-A</v>
      </c>
      <c r="P898" s="13" t="str">
        <f t="shared" si="49"/>
        <v>Evolutionary Search</v>
      </c>
      <c r="Q898" s="13" t="str">
        <f t="shared" si="50"/>
        <v>Fixed</v>
      </c>
      <c r="R898" s="13" t="s">
        <v>1669</v>
      </c>
      <c r="S898" s="25">
        <v>1</v>
      </c>
      <c r="T898" s="25">
        <v>3</v>
      </c>
      <c r="U898" s="25">
        <v>9</v>
      </c>
      <c r="V898" s="13">
        <f t="shared" si="52"/>
        <v>12</v>
      </c>
      <c r="W898" s="13" t="str">
        <f t="shared" si="53"/>
        <v>Closure-112</v>
      </c>
      <c r="Y898"/>
    </row>
    <row r="899" spans="1:25" ht="15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51"/>
        <v>RSRepair-A</v>
      </c>
      <c r="P899" s="13" t="str">
        <f t="shared" si="49"/>
        <v>Evolutionary Search</v>
      </c>
      <c r="Q899" s="13" t="str">
        <f t="shared" si="50"/>
        <v>Fixed</v>
      </c>
      <c r="R899" s="13" t="s">
        <v>1668</v>
      </c>
      <c r="S899" s="25">
        <v>2</v>
      </c>
      <c r="T899" s="25">
        <v>11</v>
      </c>
      <c r="U899" s="13">
        <v>0</v>
      </c>
      <c r="V899" s="13">
        <f t="shared" si="52"/>
        <v>11</v>
      </c>
      <c r="W899" s="13" t="str">
        <f t="shared" si="53"/>
        <v>Closure-115</v>
      </c>
      <c r="Y899"/>
    </row>
    <row r="900" spans="1:25" ht="15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51"/>
        <v>RSRepair-A</v>
      </c>
      <c r="P900" s="13" t="str">
        <f t="shared" si="49"/>
        <v>Evolutionary Search</v>
      </c>
      <c r="Q900" s="13" t="str">
        <f t="shared" si="50"/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f t="shared" si="52"/>
        <v>24</v>
      </c>
      <c r="W900" s="13" t="str">
        <f t="shared" si="53"/>
        <v>Closure-117</v>
      </c>
      <c r="Y900"/>
    </row>
    <row r="901" spans="1:25" ht="15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51"/>
        <v>RSRepair-A</v>
      </c>
      <c r="P901" s="13" t="str">
        <f t="shared" si="49"/>
        <v>Evolutionary Search</v>
      </c>
      <c r="Q901" s="13" t="str">
        <f t="shared" si="50"/>
        <v>Fixed</v>
      </c>
      <c r="R901" s="13" t="s">
        <v>1669</v>
      </c>
      <c r="S901" s="25">
        <v>1</v>
      </c>
      <c r="T901" s="13">
        <v>0</v>
      </c>
      <c r="U901" s="25">
        <v>3</v>
      </c>
      <c r="V901" s="13">
        <f t="shared" si="52"/>
        <v>3</v>
      </c>
      <c r="W901" s="13" t="str">
        <f t="shared" si="53"/>
        <v>Closure-120</v>
      </c>
      <c r="Y901"/>
    </row>
    <row r="902" spans="1:25" ht="15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51"/>
        <v>RSRepair-A</v>
      </c>
      <c r="P902" s="13" t="str">
        <f t="shared" si="49"/>
        <v>Evolutionary Search</v>
      </c>
      <c r="Q902" s="13" t="str">
        <f t="shared" si="50"/>
        <v>Fixed</v>
      </c>
      <c r="R902" s="13" t="s">
        <v>1669</v>
      </c>
      <c r="S902" s="25">
        <v>2</v>
      </c>
      <c r="T902" s="25">
        <v>1</v>
      </c>
      <c r="U902" s="25">
        <v>3</v>
      </c>
      <c r="V902" s="13">
        <f t="shared" si="52"/>
        <v>4</v>
      </c>
      <c r="W902" s="13" t="str">
        <f t="shared" si="53"/>
        <v>Closure-121</v>
      </c>
      <c r="Y902"/>
    </row>
    <row r="903" spans="1:25" ht="15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51"/>
        <v>RSRepair-A</v>
      </c>
      <c r="P903" s="13" t="str">
        <f t="shared" si="49"/>
        <v>Evolutionary Search</v>
      </c>
      <c r="Q903" s="13" t="str">
        <f t="shared" si="50"/>
        <v>Fixed</v>
      </c>
      <c r="R903" s="13" t="s">
        <v>1669</v>
      </c>
      <c r="S903" s="25">
        <v>2</v>
      </c>
      <c r="T903" s="13">
        <v>0</v>
      </c>
      <c r="U903" s="25">
        <v>2</v>
      </c>
      <c r="V903" s="13">
        <f t="shared" si="52"/>
        <v>2</v>
      </c>
      <c r="W903" s="13" t="str">
        <f t="shared" si="53"/>
        <v>Closure-124</v>
      </c>
      <c r="Y903"/>
    </row>
    <row r="904" spans="1:25" ht="15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51"/>
        <v>RSRepair-A</v>
      </c>
      <c r="P904" s="13" t="str">
        <f t="shared" si="49"/>
        <v>Evolutionary Search</v>
      </c>
      <c r="Q904" s="13" t="str">
        <f t="shared" si="50"/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f t="shared" si="52"/>
        <v>2</v>
      </c>
      <c r="W904" s="13" t="str">
        <f t="shared" si="53"/>
        <v>Closure-125</v>
      </c>
      <c r="Y904"/>
    </row>
    <row r="905" spans="1:25" ht="15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51"/>
        <v>RSRepair-A</v>
      </c>
      <c r="P905" s="13" t="str">
        <f t="shared" si="49"/>
        <v>Evolutionary Search</v>
      </c>
      <c r="Q905" s="13" t="str">
        <f t="shared" si="50"/>
        <v>Fixed</v>
      </c>
      <c r="R905" s="13" t="s">
        <v>1668</v>
      </c>
      <c r="S905" s="25">
        <v>2</v>
      </c>
      <c r="T905" s="25">
        <v>19</v>
      </c>
      <c r="U905" s="25">
        <v>2</v>
      </c>
      <c r="V905" s="13">
        <f t="shared" si="52"/>
        <v>21</v>
      </c>
      <c r="W905" s="13" t="str">
        <f t="shared" si="53"/>
        <v>Closure-21</v>
      </c>
      <c r="Y905"/>
    </row>
    <row r="906" spans="1:25" ht="15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51"/>
        <v>RSRepair-A</v>
      </c>
      <c r="P906" s="13" t="str">
        <f t="shared" ref="P906:P969" si="54"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 t="shared" si="50"/>
        <v>Fixed</v>
      </c>
      <c r="R906" s="13" t="s">
        <v>1668</v>
      </c>
      <c r="S906" s="25">
        <v>5</v>
      </c>
      <c r="T906" s="25">
        <v>26</v>
      </c>
      <c r="U906" s="25">
        <v>2</v>
      </c>
      <c r="V906" s="13">
        <f t="shared" si="52"/>
        <v>28</v>
      </c>
      <c r="W906" s="13" t="str">
        <f t="shared" si="53"/>
        <v>Closure-22</v>
      </c>
      <c r="Y906"/>
    </row>
    <row r="907" spans="1:25" ht="15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51"/>
        <v>RSRepair-A</v>
      </c>
      <c r="P907" s="13" t="str">
        <f t="shared" si="54"/>
        <v>Evolutionary Search</v>
      </c>
      <c r="Q907" s="13" t="str">
        <f t="shared" si="50"/>
        <v>Fixed</v>
      </c>
      <c r="R907" s="13" t="s">
        <v>1669</v>
      </c>
      <c r="S907" s="25">
        <v>3</v>
      </c>
      <c r="T907" s="25">
        <v>2</v>
      </c>
      <c r="U907" s="25">
        <v>8</v>
      </c>
      <c r="V907" s="13">
        <f t="shared" si="52"/>
        <v>10</v>
      </c>
      <c r="W907" s="13" t="str">
        <f t="shared" si="53"/>
        <v>Closure-3</v>
      </c>
      <c r="Y907"/>
    </row>
    <row r="908" spans="1:25" ht="15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51"/>
        <v>RSRepair-A</v>
      </c>
      <c r="P908" s="13" t="str">
        <f t="shared" si="54"/>
        <v>Evolutionary Search</v>
      </c>
      <c r="Q908" s="13" t="str">
        <f t="shared" si="50"/>
        <v>Fixed</v>
      </c>
      <c r="R908" s="13" t="s">
        <v>1669</v>
      </c>
      <c r="S908" s="25">
        <v>1</v>
      </c>
      <c r="T908" s="13">
        <v>0</v>
      </c>
      <c r="U908" s="25">
        <v>3</v>
      </c>
      <c r="V908" s="13">
        <f t="shared" si="52"/>
        <v>3</v>
      </c>
      <c r="W908" s="13" t="str">
        <f t="shared" si="53"/>
        <v>Closure-33</v>
      </c>
      <c r="Y908"/>
    </row>
    <row r="909" spans="1:25" ht="15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51"/>
        <v>RSRepair-A</v>
      </c>
      <c r="P909" s="13" t="str">
        <f t="shared" si="54"/>
        <v>Evolutionary Search</v>
      </c>
      <c r="Q909" s="13" t="str">
        <f t="shared" si="50"/>
        <v>Fixed</v>
      </c>
      <c r="R909" s="13" t="s">
        <v>1669</v>
      </c>
      <c r="S909" s="25">
        <v>1</v>
      </c>
      <c r="T909" s="25">
        <v>1</v>
      </c>
      <c r="U909" s="25">
        <v>2</v>
      </c>
      <c r="V909" s="13">
        <f t="shared" si="52"/>
        <v>3</v>
      </c>
      <c r="W909" s="13" t="str">
        <f t="shared" si="53"/>
        <v>Closure-55</v>
      </c>
      <c r="Y909"/>
    </row>
    <row r="910" spans="1:25" ht="15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51"/>
        <v>RSRepair-A</v>
      </c>
      <c r="P910" s="13" t="str">
        <f t="shared" si="54"/>
        <v>Evolutionary Search</v>
      </c>
      <c r="Q910" s="13" t="str">
        <f t="shared" si="50"/>
        <v>Fixed</v>
      </c>
      <c r="R910" s="13" t="s">
        <v>1669</v>
      </c>
      <c r="S910" s="25">
        <v>3</v>
      </c>
      <c r="T910" s="25">
        <v>1</v>
      </c>
      <c r="U910" s="25">
        <v>4</v>
      </c>
      <c r="V910" s="13">
        <f t="shared" si="52"/>
        <v>5</v>
      </c>
      <c r="W910" s="13" t="str">
        <f t="shared" si="53"/>
        <v>Closure-75</v>
      </c>
      <c r="Y910"/>
    </row>
    <row r="911" spans="1:25" ht="15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51"/>
        <v>RSRepair-A</v>
      </c>
      <c r="P911" s="13" t="str">
        <f t="shared" si="54"/>
        <v>Evolutionary Search</v>
      </c>
      <c r="Q911" s="13" t="str">
        <f t="shared" si="50"/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f t="shared" si="52"/>
        <v>2</v>
      </c>
      <c r="W911" s="13" t="str">
        <f t="shared" si="53"/>
        <v>Closure-86</v>
      </c>
      <c r="Y911"/>
    </row>
    <row r="912" spans="1:25" ht="15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51"/>
        <v>RSRepair-A</v>
      </c>
      <c r="P912" s="13" t="str">
        <f t="shared" si="54"/>
        <v>Evolutionary Search</v>
      </c>
      <c r="Q912" s="13" t="str">
        <f t="shared" si="50"/>
        <v>Fixed</v>
      </c>
      <c r="R912" s="13" t="s">
        <v>1669</v>
      </c>
      <c r="S912" s="25">
        <v>2</v>
      </c>
      <c r="T912" s="13">
        <v>0</v>
      </c>
      <c r="U912" s="25">
        <v>6</v>
      </c>
      <c r="V912" s="13">
        <f t="shared" si="52"/>
        <v>6</v>
      </c>
      <c r="W912" s="13" t="str">
        <f t="shared" si="53"/>
        <v>Closure-88</v>
      </c>
      <c r="Y912"/>
    </row>
    <row r="913" spans="1:25" ht="15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51"/>
        <v>RSRepair-A</v>
      </c>
      <c r="P913" s="13" t="str">
        <f t="shared" si="54"/>
        <v>Evolutionary Search</v>
      </c>
      <c r="Q913" s="13" t="str">
        <f t="shared" si="50"/>
        <v>Fixed</v>
      </c>
      <c r="R913" s="13" t="s">
        <v>1669</v>
      </c>
      <c r="S913" s="25">
        <v>4</v>
      </c>
      <c r="T913" s="13">
        <v>0</v>
      </c>
      <c r="U913" s="25">
        <v>19</v>
      </c>
      <c r="V913" s="13">
        <f t="shared" si="52"/>
        <v>19</v>
      </c>
      <c r="W913" s="13" t="str">
        <f t="shared" si="53"/>
        <v>Lang-13</v>
      </c>
      <c r="Y913"/>
    </row>
    <row r="914" spans="1:25" ht="15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51"/>
        <v>RSRepair-A</v>
      </c>
      <c r="P914" s="13" t="str">
        <f t="shared" si="54"/>
        <v>Evolutionary Search</v>
      </c>
      <c r="Q914" s="13" t="str">
        <f t="shared" si="50"/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f t="shared" si="52"/>
        <v>2</v>
      </c>
      <c r="W914" s="13" t="str">
        <f t="shared" si="53"/>
        <v>Lang-16</v>
      </c>
      <c r="Y914"/>
    </row>
    <row r="915" spans="1:25" ht="15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51"/>
        <v>RSRepair-A</v>
      </c>
      <c r="P915" s="13" t="str">
        <f t="shared" si="54"/>
        <v>Evolutionary Search</v>
      </c>
      <c r="Q915" s="13" t="str">
        <f t="shared" si="50"/>
        <v>Fixed</v>
      </c>
      <c r="R915" s="13" t="s">
        <v>1669</v>
      </c>
      <c r="S915" s="25">
        <v>1</v>
      </c>
      <c r="T915" s="13">
        <v>0</v>
      </c>
      <c r="U915" s="25">
        <v>1</v>
      </c>
      <c r="V915" s="13">
        <f t="shared" si="52"/>
        <v>1</v>
      </c>
      <c r="W915" s="13" t="str">
        <f t="shared" si="53"/>
        <v>Lang-43</v>
      </c>
      <c r="Y915"/>
    </row>
    <row r="916" spans="1:25" ht="15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51"/>
        <v>RSRepair-A</v>
      </c>
      <c r="P916" s="13" t="str">
        <f t="shared" si="54"/>
        <v>Evolutionary Search</v>
      </c>
      <c r="Q916" s="13" t="str">
        <f t="shared" si="50"/>
        <v>Fixed</v>
      </c>
      <c r="R916" s="13" t="s">
        <v>1668</v>
      </c>
      <c r="S916" s="25">
        <v>9</v>
      </c>
      <c r="T916" s="25">
        <v>7</v>
      </c>
      <c r="U916" s="25">
        <v>10</v>
      </c>
      <c r="V916" s="13">
        <f t="shared" si="52"/>
        <v>17</v>
      </c>
      <c r="W916" s="13" t="str">
        <f t="shared" si="53"/>
        <v>Lang-46</v>
      </c>
      <c r="Y916"/>
    </row>
    <row r="917" spans="1:25" ht="15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51"/>
        <v>RSRepair-A</v>
      </c>
      <c r="P917" s="13" t="str">
        <f t="shared" si="54"/>
        <v>Evolutionary Search</v>
      </c>
      <c r="Q917" s="13" t="str">
        <f t="shared" si="50"/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f t="shared" si="52"/>
        <v>2</v>
      </c>
      <c r="W917" s="13" t="str">
        <f t="shared" si="53"/>
        <v>Lang-59</v>
      </c>
      <c r="Y917"/>
    </row>
    <row r="918" spans="1:25" ht="15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51"/>
        <v>RSRepair-A</v>
      </c>
      <c r="P918" s="13" t="str">
        <f t="shared" si="54"/>
        <v>Evolutionary Search</v>
      </c>
      <c r="Q918" s="13" t="str">
        <f t="shared" ref="Q918:Q981" si="55"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20</v>
      </c>
      <c r="U918" s="25">
        <v>3</v>
      </c>
      <c r="V918" s="13">
        <f t="shared" si="52"/>
        <v>23</v>
      </c>
      <c r="W918" s="13" t="str">
        <f t="shared" si="53"/>
        <v>Lang-63</v>
      </c>
      <c r="Y918"/>
    </row>
    <row r="919" spans="1:25" ht="15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ref="O919:O982" si="56">LEFT($A919,FIND("_",$A919)-1)</f>
        <v>RSRepair-A</v>
      </c>
      <c r="P919" s="13" t="str">
        <f t="shared" si="54"/>
        <v>Evolutionary Search</v>
      </c>
      <c r="Q919" s="13" t="str">
        <f t="shared" si="55"/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f t="shared" si="52"/>
        <v>6</v>
      </c>
      <c r="W919" s="13" t="str">
        <f t="shared" si="53"/>
        <v>Lang-7</v>
      </c>
      <c r="Y919"/>
    </row>
    <row r="920" spans="1:25" ht="15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si="56"/>
        <v>RSRepair-A</v>
      </c>
      <c r="P920" s="13" t="str">
        <f t="shared" si="54"/>
        <v>Evolutionary Search</v>
      </c>
      <c r="Q920" s="13" t="str">
        <f t="shared" si="55"/>
        <v>Fixed</v>
      </c>
      <c r="R920" s="13" t="s">
        <v>1669</v>
      </c>
      <c r="S920" s="25">
        <v>4</v>
      </c>
      <c r="T920" s="13">
        <v>0</v>
      </c>
      <c r="U920" s="25">
        <v>4</v>
      </c>
      <c r="V920" s="13">
        <f t="shared" si="52"/>
        <v>4</v>
      </c>
      <c r="W920" s="13" t="str">
        <f t="shared" si="53"/>
        <v>Math-28</v>
      </c>
      <c r="Y920"/>
    </row>
    <row r="921" spans="1:25" ht="15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56"/>
        <v>RSRepair-A</v>
      </c>
      <c r="P921" s="13" t="str">
        <f t="shared" si="54"/>
        <v>Evolutionary Search</v>
      </c>
      <c r="Q921" s="13" t="str">
        <f t="shared" si="55"/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f t="shared" si="52"/>
        <v>2</v>
      </c>
      <c r="W921" s="13" t="str">
        <f t="shared" si="53"/>
        <v>Math-33</v>
      </c>
      <c r="Y921"/>
    </row>
    <row r="922" spans="1:25" ht="15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56"/>
        <v>RSRepair-A</v>
      </c>
      <c r="P922" s="13" t="str">
        <f t="shared" si="54"/>
        <v>Evolutionary Search</v>
      </c>
      <c r="Q922" s="13" t="str">
        <f t="shared" si="55"/>
        <v>Fixed</v>
      </c>
      <c r="R922" s="13" t="s">
        <v>1669</v>
      </c>
      <c r="S922" s="25">
        <v>2</v>
      </c>
      <c r="T922" s="25">
        <v>2</v>
      </c>
      <c r="U922" s="25">
        <v>8</v>
      </c>
      <c r="V922" s="13">
        <f t="shared" si="52"/>
        <v>10</v>
      </c>
      <c r="W922" s="13" t="str">
        <f t="shared" si="53"/>
        <v>Math-40</v>
      </c>
      <c r="Y922"/>
    </row>
    <row r="923" spans="1:25" ht="15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56"/>
        <v>RSRepair-A</v>
      </c>
      <c r="P923" s="13" t="str">
        <f t="shared" si="54"/>
        <v>Evolutionary Search</v>
      </c>
      <c r="Q923" s="13" t="str">
        <f t="shared" si="55"/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f t="shared" si="52"/>
        <v>2</v>
      </c>
      <c r="W923" s="13" t="str">
        <f t="shared" si="53"/>
        <v>Math-5</v>
      </c>
      <c r="Y923"/>
    </row>
    <row r="924" spans="1:25" ht="15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56"/>
        <v>RSRepair-A</v>
      </c>
      <c r="P924" s="13" t="str">
        <f t="shared" si="54"/>
        <v>Evolutionary Search</v>
      </c>
      <c r="Q924" s="13" t="str">
        <f t="shared" si="55"/>
        <v>Fixed</v>
      </c>
      <c r="R924" s="13" t="s">
        <v>1668</v>
      </c>
      <c r="S924" s="25">
        <v>1</v>
      </c>
      <c r="T924" s="25">
        <v>4</v>
      </c>
      <c r="U924" s="13">
        <v>0</v>
      </c>
      <c r="V924" s="13">
        <f t="shared" si="52"/>
        <v>4</v>
      </c>
      <c r="W924" s="13" t="str">
        <f t="shared" si="53"/>
        <v>Math-50</v>
      </c>
      <c r="Y924"/>
    </row>
    <row r="925" spans="1:25" ht="15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56"/>
        <v>RSRepair-A</v>
      </c>
      <c r="P925" s="13" t="str">
        <f t="shared" si="54"/>
        <v>Evolutionary Search</v>
      </c>
      <c r="Q925" s="13" t="str">
        <f t="shared" si="55"/>
        <v>Fixed</v>
      </c>
      <c r="R925" s="13" t="s">
        <v>1669</v>
      </c>
      <c r="S925" s="25">
        <v>1</v>
      </c>
      <c r="T925" s="13">
        <v>0</v>
      </c>
      <c r="U925" s="25">
        <v>3</v>
      </c>
      <c r="V925" s="13">
        <f t="shared" si="52"/>
        <v>3</v>
      </c>
      <c r="W925" s="13" t="str">
        <f t="shared" si="53"/>
        <v>Math-53</v>
      </c>
      <c r="Y925"/>
    </row>
    <row r="926" spans="1:25" ht="15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56"/>
        <v>RSRepair-A</v>
      </c>
      <c r="P926" s="13" t="str">
        <f t="shared" si="54"/>
        <v>Evolutionary Search</v>
      </c>
      <c r="Q926" s="13" t="str">
        <f t="shared" si="55"/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f t="shared" si="52"/>
        <v>2</v>
      </c>
      <c r="W926" s="13" t="str">
        <f t="shared" si="53"/>
        <v>Math-58</v>
      </c>
      <c r="Y926"/>
    </row>
    <row r="927" spans="1:25" ht="15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56"/>
        <v>RSRepair-A</v>
      </c>
      <c r="P927" s="13" t="str">
        <f t="shared" si="54"/>
        <v>Evolutionary Search</v>
      </c>
      <c r="Q927" s="13" t="str">
        <f t="shared" si="55"/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f t="shared" si="52"/>
        <v>2</v>
      </c>
      <c r="W927" s="13" t="str">
        <f t="shared" si="53"/>
        <v>Math-70</v>
      </c>
      <c r="Y927"/>
    </row>
    <row r="928" spans="1:25" ht="15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56"/>
        <v>RSRepair-A</v>
      </c>
      <c r="P928" s="13" t="str">
        <f t="shared" si="54"/>
        <v>Evolutionary Search</v>
      </c>
      <c r="Q928" s="13" t="str">
        <f t="shared" si="55"/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f t="shared" si="52"/>
        <v>2</v>
      </c>
      <c r="W928" s="13" t="str">
        <f t="shared" si="53"/>
        <v>Math-80</v>
      </c>
      <c r="Y928"/>
    </row>
    <row r="929" spans="1:25" ht="15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56"/>
        <v>RSRepair-A</v>
      </c>
      <c r="P929" s="13" t="str">
        <f t="shared" si="54"/>
        <v>Evolutionary Search</v>
      </c>
      <c r="Q929" s="13" t="str">
        <f t="shared" si="55"/>
        <v>Fixed</v>
      </c>
      <c r="R929" s="13" t="s">
        <v>1669</v>
      </c>
      <c r="S929" s="25">
        <v>3</v>
      </c>
      <c r="T929" s="25">
        <v>3</v>
      </c>
      <c r="U929" s="25">
        <v>4</v>
      </c>
      <c r="V929" s="13">
        <f t="shared" si="52"/>
        <v>7</v>
      </c>
      <c r="W929" s="13" t="str">
        <f t="shared" si="53"/>
        <v>Math-81</v>
      </c>
      <c r="Y929"/>
    </row>
    <row r="930" spans="1:25" ht="15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56"/>
        <v>RSRepair-A</v>
      </c>
      <c r="P930" s="13" t="str">
        <f t="shared" si="54"/>
        <v>Evolutionary Search</v>
      </c>
      <c r="Q930" s="13" t="str">
        <f t="shared" si="55"/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f t="shared" si="52"/>
        <v>2</v>
      </c>
      <c r="W930" s="13" t="str">
        <f t="shared" si="53"/>
        <v>Math-82</v>
      </c>
      <c r="Y930"/>
    </row>
    <row r="931" spans="1:25" ht="15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56"/>
        <v>RSRepair-A</v>
      </c>
      <c r="P931" s="13" t="str">
        <f t="shared" si="54"/>
        <v>Evolutionary Search</v>
      </c>
      <c r="Q931" s="13" t="str">
        <f t="shared" si="55"/>
        <v>Fixed</v>
      </c>
      <c r="R931" s="13" t="s">
        <v>1669</v>
      </c>
      <c r="S931" s="25">
        <v>3</v>
      </c>
      <c r="T931" s="13">
        <v>0</v>
      </c>
      <c r="U931" s="25">
        <v>9</v>
      </c>
      <c r="V931" s="13">
        <f t="shared" si="52"/>
        <v>9</v>
      </c>
      <c r="W931" s="13" t="str">
        <f t="shared" si="53"/>
        <v>Math-84</v>
      </c>
      <c r="Y931"/>
    </row>
    <row r="932" spans="1:25" ht="15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56"/>
        <v>RSRepair-A</v>
      </c>
      <c r="P932" s="13" t="str">
        <f t="shared" si="54"/>
        <v>Evolutionary Search</v>
      </c>
      <c r="Q932" s="13" t="str">
        <f t="shared" si="55"/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f t="shared" si="52"/>
        <v>2</v>
      </c>
      <c r="W932" s="13" t="str">
        <f t="shared" si="53"/>
        <v>Math-85</v>
      </c>
      <c r="Y932"/>
    </row>
    <row r="933" spans="1:25" ht="15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56"/>
        <v>RSRepair-A</v>
      </c>
      <c r="P933" s="13" t="str">
        <f t="shared" si="54"/>
        <v>Evolutionary Search</v>
      </c>
      <c r="Q933" s="13" t="str">
        <f t="shared" si="55"/>
        <v>Fixed</v>
      </c>
      <c r="R933" s="13" t="s">
        <v>1669</v>
      </c>
      <c r="S933" s="25">
        <v>4</v>
      </c>
      <c r="T933" s="25">
        <v>6</v>
      </c>
      <c r="U933" s="25">
        <v>5</v>
      </c>
      <c r="V933" s="13">
        <f t="shared" si="52"/>
        <v>11</v>
      </c>
      <c r="W933" s="13" t="str">
        <f t="shared" si="53"/>
        <v>Math-88</v>
      </c>
      <c r="Y933"/>
    </row>
    <row r="934" spans="1:25" ht="15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56"/>
        <v>RSRepair-A</v>
      </c>
      <c r="P934" s="13" t="str">
        <f t="shared" si="54"/>
        <v>Evolutionary Search</v>
      </c>
      <c r="Q934" s="13" t="str">
        <f t="shared" si="55"/>
        <v>Fixed</v>
      </c>
      <c r="R934" s="13" t="s">
        <v>1669</v>
      </c>
      <c r="S934" s="25">
        <v>3</v>
      </c>
      <c r="T934" s="25">
        <v>1</v>
      </c>
      <c r="U934" s="25">
        <v>3</v>
      </c>
      <c r="V934" s="13">
        <f t="shared" ref="V934:V997" si="57">T934+U934</f>
        <v>4</v>
      </c>
      <c r="W934" s="13" t="str">
        <f t="shared" ref="W934:W997" si="58">MID(A934, SEARCH("_", A934) +1, SEARCH("_", A934, SEARCH("_", A934) +1) - SEARCH("_", A934) -1)</f>
        <v>Math-95</v>
      </c>
      <c r="Y934"/>
    </row>
    <row r="935" spans="1:25" ht="15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56"/>
        <v>SimFix</v>
      </c>
      <c r="P935" s="13" t="str">
        <f t="shared" si="54"/>
        <v>Search Like Pattern</v>
      </c>
      <c r="Q935" s="13" t="str">
        <f t="shared" si="55"/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f t="shared" si="57"/>
        <v>2</v>
      </c>
      <c r="W935" s="13" t="str">
        <f t="shared" si="58"/>
        <v>Chart-1</v>
      </c>
      <c r="Y935"/>
    </row>
    <row r="936" spans="1:25" ht="15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56"/>
        <v>SimFix</v>
      </c>
      <c r="P936" s="13" t="str">
        <f t="shared" si="54"/>
        <v>Search Like Pattern</v>
      </c>
      <c r="Q936" s="13" t="str">
        <f t="shared" si="55"/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f t="shared" si="57"/>
        <v>2</v>
      </c>
      <c r="W936" s="13" t="str">
        <f t="shared" si="58"/>
        <v>Chart-12</v>
      </c>
      <c r="Y936"/>
    </row>
    <row r="937" spans="1:25" ht="15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56"/>
        <v>SimFix</v>
      </c>
      <c r="P937" s="13" t="str">
        <f t="shared" si="54"/>
        <v>Search Like Pattern</v>
      </c>
      <c r="Q937" s="13" t="str">
        <f t="shared" si="55"/>
        <v>Fixed</v>
      </c>
      <c r="R937" s="13" t="s">
        <v>1669</v>
      </c>
      <c r="S937" s="25">
        <v>7</v>
      </c>
      <c r="T937" s="25">
        <v>3</v>
      </c>
      <c r="U937" s="25">
        <v>32</v>
      </c>
      <c r="V937" s="13">
        <f t="shared" si="57"/>
        <v>35</v>
      </c>
      <c r="W937" s="13" t="str">
        <f t="shared" si="58"/>
        <v>Chart-22</v>
      </c>
      <c r="Y937"/>
    </row>
    <row r="938" spans="1:25" ht="15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56"/>
        <v>SimFix</v>
      </c>
      <c r="P938" s="13" t="str">
        <f t="shared" si="54"/>
        <v>Search Like Pattern</v>
      </c>
      <c r="Q938" s="13" t="str">
        <f t="shared" si="55"/>
        <v>Fixed</v>
      </c>
      <c r="R938" s="13" t="s">
        <v>1669</v>
      </c>
      <c r="S938" s="25">
        <v>6</v>
      </c>
      <c r="T938" s="25">
        <v>2</v>
      </c>
      <c r="U938" s="25">
        <v>14</v>
      </c>
      <c r="V938" s="13">
        <f t="shared" si="57"/>
        <v>16</v>
      </c>
      <c r="W938" s="13" t="str">
        <f t="shared" si="58"/>
        <v>Chart-25</v>
      </c>
      <c r="Y938"/>
    </row>
    <row r="939" spans="1:25" ht="15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56"/>
        <v>SimFix</v>
      </c>
      <c r="P939" s="13" t="str">
        <f t="shared" si="54"/>
        <v>Search Like Pattern</v>
      </c>
      <c r="Q939" s="13" t="str">
        <f t="shared" si="55"/>
        <v>Fixed</v>
      </c>
      <c r="R939" s="13" t="s">
        <v>1669</v>
      </c>
      <c r="S939" s="25">
        <v>1</v>
      </c>
      <c r="T939" s="25">
        <v>2</v>
      </c>
      <c r="U939" s="13">
        <v>0</v>
      </c>
      <c r="V939" s="13">
        <f t="shared" si="57"/>
        <v>2</v>
      </c>
      <c r="W939" s="13" t="str">
        <f t="shared" si="58"/>
        <v>Closure-11</v>
      </c>
      <c r="Y939"/>
    </row>
    <row r="940" spans="1:25" ht="15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56"/>
        <v>SimFix</v>
      </c>
      <c r="P940" s="13" t="str">
        <f t="shared" si="54"/>
        <v>Search Like Pattern</v>
      </c>
      <c r="Q940" s="13" t="str">
        <f t="shared" si="55"/>
        <v>Fixed</v>
      </c>
      <c r="R940" s="13" t="s">
        <v>1668</v>
      </c>
      <c r="S940" s="25">
        <v>2</v>
      </c>
      <c r="T940" s="25">
        <v>11</v>
      </c>
      <c r="U940" s="13">
        <v>0</v>
      </c>
      <c r="V940" s="13">
        <f t="shared" si="57"/>
        <v>11</v>
      </c>
      <c r="W940" s="13" t="str">
        <f t="shared" si="58"/>
        <v>Closure-115</v>
      </c>
      <c r="Y940"/>
    </row>
    <row r="941" spans="1:25" ht="15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56"/>
        <v>SimFix</v>
      </c>
      <c r="P941" s="13" t="str">
        <f t="shared" si="54"/>
        <v>Search Like Pattern</v>
      </c>
      <c r="Q941" s="13" t="str">
        <f t="shared" si="55"/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f t="shared" si="57"/>
        <v>2</v>
      </c>
      <c r="W941" s="13" t="str">
        <f t="shared" si="58"/>
        <v>Closure-125</v>
      </c>
      <c r="Y941"/>
    </row>
    <row r="942" spans="1:25" ht="15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56"/>
        <v>SimFix</v>
      </c>
      <c r="P942" s="13" t="str">
        <f t="shared" si="54"/>
        <v>Search Like Pattern</v>
      </c>
      <c r="Q942" s="13" t="str">
        <f t="shared" si="55"/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f t="shared" si="57"/>
        <v>2</v>
      </c>
      <c r="W942" s="13" t="str">
        <f t="shared" si="58"/>
        <v>Closure-14</v>
      </c>
      <c r="Y942"/>
    </row>
    <row r="943" spans="1:25" ht="15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56"/>
        <v>SimFix</v>
      </c>
      <c r="P943" s="13" t="str">
        <f t="shared" si="54"/>
        <v>Search Like Pattern</v>
      </c>
      <c r="Q943" s="13" t="str">
        <f t="shared" si="55"/>
        <v>Fixed</v>
      </c>
      <c r="R943" s="13" t="s">
        <v>1668</v>
      </c>
      <c r="S943" s="25">
        <v>2</v>
      </c>
      <c r="T943" s="13">
        <v>0</v>
      </c>
      <c r="U943" s="25">
        <v>2</v>
      </c>
      <c r="V943" s="13">
        <f t="shared" si="57"/>
        <v>2</v>
      </c>
      <c r="W943" s="13" t="str">
        <f t="shared" si="58"/>
        <v>Closure-19</v>
      </c>
      <c r="Y943"/>
    </row>
    <row r="944" spans="1:25" ht="15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56"/>
        <v>SimFix</v>
      </c>
      <c r="P944" s="13" t="str">
        <f t="shared" si="54"/>
        <v>Search Like Pattern</v>
      </c>
      <c r="Q944" s="13" t="str">
        <f t="shared" si="55"/>
        <v>Fixed</v>
      </c>
      <c r="R944" s="13" t="s">
        <v>1669</v>
      </c>
      <c r="S944" s="25">
        <v>2</v>
      </c>
      <c r="T944" s="25">
        <v>19</v>
      </c>
      <c r="U944" s="25">
        <v>2</v>
      </c>
      <c r="V944" s="13">
        <f t="shared" si="57"/>
        <v>21</v>
      </c>
      <c r="W944" s="13" t="str">
        <f t="shared" si="58"/>
        <v>Closure-21</v>
      </c>
      <c r="Y944"/>
    </row>
    <row r="945" spans="1:25" ht="15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56"/>
        <v>SimFix</v>
      </c>
      <c r="P945" s="13" t="str">
        <f t="shared" si="54"/>
        <v>Search Like Pattern</v>
      </c>
      <c r="Q945" s="13" t="str">
        <f t="shared" si="55"/>
        <v>Fixed</v>
      </c>
      <c r="R945" s="13" t="s">
        <v>1669</v>
      </c>
      <c r="S945" s="25">
        <v>5</v>
      </c>
      <c r="T945" s="25">
        <v>26</v>
      </c>
      <c r="U945" s="25">
        <v>2</v>
      </c>
      <c r="V945" s="13">
        <f t="shared" si="57"/>
        <v>28</v>
      </c>
      <c r="W945" s="13" t="str">
        <f t="shared" si="58"/>
        <v>Closure-22</v>
      </c>
      <c r="Y945"/>
    </row>
    <row r="946" spans="1:25" ht="15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56"/>
        <v>SimFix</v>
      </c>
      <c r="P946" s="13" t="str">
        <f t="shared" si="54"/>
        <v>Search Like Pattern</v>
      </c>
      <c r="Q946" s="13" t="str">
        <f t="shared" si="55"/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f t="shared" si="57"/>
        <v>2</v>
      </c>
      <c r="W946" s="13" t="str">
        <f t="shared" si="58"/>
        <v>Closure-38</v>
      </c>
      <c r="Y946"/>
    </row>
    <row r="947" spans="1:25" ht="15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56"/>
        <v>SimFix</v>
      </c>
      <c r="P947" s="13" t="str">
        <f t="shared" si="54"/>
        <v>Search Like Pattern</v>
      </c>
      <c r="Q947" s="13" t="str">
        <f t="shared" si="55"/>
        <v>Fixed</v>
      </c>
      <c r="R947" s="13" t="s">
        <v>1669</v>
      </c>
      <c r="S947" s="25">
        <v>1</v>
      </c>
      <c r="T947" s="25">
        <v>16</v>
      </c>
      <c r="U947" s="13">
        <v>0</v>
      </c>
      <c r="V947" s="13">
        <f t="shared" si="57"/>
        <v>16</v>
      </c>
      <c r="W947" s="13" t="str">
        <f t="shared" si="58"/>
        <v>Closure-46</v>
      </c>
      <c r="Y947"/>
    </row>
    <row r="948" spans="1:25" ht="15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56"/>
        <v>SimFix</v>
      </c>
      <c r="P948" s="13" t="str">
        <f t="shared" si="54"/>
        <v>Search Like Pattern</v>
      </c>
      <c r="Q948" s="13" t="str">
        <f t="shared" si="55"/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f t="shared" si="57"/>
        <v>2</v>
      </c>
      <c r="W948" s="13" t="str">
        <f t="shared" si="58"/>
        <v>Closure-57</v>
      </c>
      <c r="Y948"/>
    </row>
    <row r="949" spans="1:25" ht="15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56"/>
        <v>SimFix</v>
      </c>
      <c r="P949" s="13" t="str">
        <f t="shared" si="54"/>
        <v>Search Like Pattern</v>
      </c>
      <c r="Q949" s="13" t="str">
        <f t="shared" si="55"/>
        <v>Fixed</v>
      </c>
      <c r="R949" s="13" t="s">
        <v>1669</v>
      </c>
      <c r="S949" s="25">
        <v>4</v>
      </c>
      <c r="T949" s="25">
        <v>8</v>
      </c>
      <c r="U949" s="13">
        <v>0</v>
      </c>
      <c r="V949" s="13">
        <f t="shared" si="57"/>
        <v>8</v>
      </c>
      <c r="W949" s="13" t="str">
        <f t="shared" si="58"/>
        <v>Closure-6</v>
      </c>
      <c r="Y949"/>
    </row>
    <row r="950" spans="1:25" ht="15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56"/>
        <v>SimFix</v>
      </c>
      <c r="P950" s="13" t="str">
        <f t="shared" si="54"/>
        <v>Search Like Pattern</v>
      </c>
      <c r="Q950" s="13" t="str">
        <f t="shared" si="55"/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f t="shared" si="57"/>
        <v>2</v>
      </c>
      <c r="W950" s="13" t="str">
        <f t="shared" si="58"/>
        <v>Closure-62</v>
      </c>
      <c r="Y950"/>
    </row>
    <row r="951" spans="1:25" ht="15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56"/>
        <v>SimFix</v>
      </c>
      <c r="P951" s="13" t="str">
        <f t="shared" si="54"/>
        <v>Search Like Pattern</v>
      </c>
      <c r="Q951" s="13" t="str">
        <f t="shared" si="55"/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f t="shared" si="57"/>
        <v>2</v>
      </c>
      <c r="W951" s="13" t="str">
        <f t="shared" si="58"/>
        <v>Closure-73</v>
      </c>
      <c r="Y951"/>
    </row>
    <row r="952" spans="1:25" ht="15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56"/>
        <v>SimFix</v>
      </c>
      <c r="P952" s="13" t="str">
        <f t="shared" si="54"/>
        <v>Search Like Pattern</v>
      </c>
      <c r="Q952" s="13" t="str">
        <f t="shared" si="55"/>
        <v>Fixed</v>
      </c>
      <c r="R952" s="13" t="s">
        <v>1669</v>
      </c>
      <c r="S952" s="25">
        <v>3</v>
      </c>
      <c r="T952" s="25">
        <v>2</v>
      </c>
      <c r="U952" s="25">
        <v>11</v>
      </c>
      <c r="V952" s="13">
        <f t="shared" si="57"/>
        <v>13</v>
      </c>
      <c r="W952" s="13" t="str">
        <f t="shared" si="58"/>
        <v>Lang-1</v>
      </c>
      <c r="Y952"/>
    </row>
    <row r="953" spans="1:25" ht="15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56"/>
        <v>SimFix</v>
      </c>
      <c r="P953" s="13" t="str">
        <f t="shared" si="54"/>
        <v>Search Like Pattern</v>
      </c>
      <c r="Q953" s="13" t="str">
        <f t="shared" si="55"/>
        <v>Fixed</v>
      </c>
      <c r="R953" s="13" t="s">
        <v>1669</v>
      </c>
      <c r="S953" s="25">
        <v>3</v>
      </c>
      <c r="T953" s="13">
        <v>0</v>
      </c>
      <c r="U953" s="25">
        <v>7</v>
      </c>
      <c r="V953" s="13">
        <f t="shared" si="57"/>
        <v>7</v>
      </c>
      <c r="W953" s="13" t="str">
        <f t="shared" si="58"/>
        <v>Lang-12</v>
      </c>
      <c r="Y953"/>
    </row>
    <row r="954" spans="1:25" ht="15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56"/>
        <v>SimFix</v>
      </c>
      <c r="P954" s="13" t="str">
        <f t="shared" si="54"/>
        <v>Search Like Pattern</v>
      </c>
      <c r="Q954" s="13" t="str">
        <f t="shared" si="55"/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f t="shared" si="57"/>
        <v>2</v>
      </c>
      <c r="W954" s="13" t="str">
        <f t="shared" si="58"/>
        <v>Lang-16</v>
      </c>
      <c r="Y954"/>
    </row>
    <row r="955" spans="1:25" ht="15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56"/>
        <v>SimFix</v>
      </c>
      <c r="P955" s="13" t="str">
        <f t="shared" si="54"/>
        <v>Search Like Pattern</v>
      </c>
      <c r="Q955" s="13" t="str">
        <f t="shared" si="55"/>
        <v>Fixed</v>
      </c>
      <c r="R955" s="13" t="s">
        <v>1669</v>
      </c>
      <c r="S955" s="25">
        <v>2</v>
      </c>
      <c r="T955" s="25">
        <v>1</v>
      </c>
      <c r="U955" s="25">
        <v>4</v>
      </c>
      <c r="V955" s="13">
        <f t="shared" si="57"/>
        <v>5</v>
      </c>
      <c r="W955" s="13" t="str">
        <f t="shared" si="58"/>
        <v>Lang-27</v>
      </c>
      <c r="Y955"/>
    </row>
    <row r="956" spans="1:25" ht="15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56"/>
        <v>SimFix</v>
      </c>
      <c r="P956" s="13" t="str">
        <f t="shared" si="54"/>
        <v>Search Like Pattern</v>
      </c>
      <c r="Q956" s="13" t="str">
        <f t="shared" si="55"/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f t="shared" si="57"/>
        <v>2</v>
      </c>
      <c r="W956" s="13" t="str">
        <f t="shared" si="58"/>
        <v>Lang-33</v>
      </c>
      <c r="Y956"/>
    </row>
    <row r="957" spans="1:25" ht="15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56"/>
        <v>SimFix</v>
      </c>
      <c r="P957" s="13" t="str">
        <f t="shared" si="54"/>
        <v>Search Like Pattern</v>
      </c>
      <c r="Q957" s="13" t="str">
        <f t="shared" si="55"/>
        <v>Fixed</v>
      </c>
      <c r="R957" s="13" t="s">
        <v>1668</v>
      </c>
      <c r="S957" s="25">
        <v>1</v>
      </c>
      <c r="T957" s="13">
        <v>0</v>
      </c>
      <c r="U957" s="25">
        <v>3</v>
      </c>
      <c r="V957" s="13">
        <f t="shared" si="57"/>
        <v>3</v>
      </c>
      <c r="W957" s="13" t="str">
        <f t="shared" si="58"/>
        <v>Lang-39</v>
      </c>
      <c r="Y957"/>
    </row>
    <row r="958" spans="1:25" ht="15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56"/>
        <v>SimFix</v>
      </c>
      <c r="P958" s="13" t="str">
        <f t="shared" si="54"/>
        <v>Search Like Pattern</v>
      </c>
      <c r="Q958" s="13" t="str">
        <f t="shared" si="55"/>
        <v>Fixed</v>
      </c>
      <c r="R958" s="13" t="s">
        <v>1669</v>
      </c>
      <c r="S958" s="25">
        <v>8</v>
      </c>
      <c r="T958" s="25">
        <v>2</v>
      </c>
      <c r="U958" s="25">
        <v>21</v>
      </c>
      <c r="V958" s="13">
        <f t="shared" si="57"/>
        <v>23</v>
      </c>
      <c r="W958" s="13" t="str">
        <f t="shared" si="58"/>
        <v>Lang-41</v>
      </c>
      <c r="Y958"/>
    </row>
    <row r="959" spans="1:25" ht="15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56"/>
        <v>SimFix</v>
      </c>
      <c r="P959" s="13" t="str">
        <f t="shared" si="54"/>
        <v>Search Like Pattern</v>
      </c>
      <c r="Q959" s="13" t="str">
        <f t="shared" si="55"/>
        <v>Fixed</v>
      </c>
      <c r="R959" s="13" t="s">
        <v>1668</v>
      </c>
      <c r="S959" s="25">
        <v>1</v>
      </c>
      <c r="T959" s="13">
        <v>0</v>
      </c>
      <c r="U959" s="25">
        <v>1</v>
      </c>
      <c r="V959" s="13">
        <f t="shared" si="57"/>
        <v>1</v>
      </c>
      <c r="W959" s="13" t="str">
        <f t="shared" si="58"/>
        <v>Lang-43</v>
      </c>
      <c r="Y959"/>
    </row>
    <row r="960" spans="1:25" ht="15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56"/>
        <v>SimFix</v>
      </c>
      <c r="P960" s="13" t="str">
        <f t="shared" si="54"/>
        <v>Search Like Pattern</v>
      </c>
      <c r="Q960" s="13" t="str">
        <f t="shared" si="55"/>
        <v>Fixed</v>
      </c>
      <c r="R960" s="13" t="s">
        <v>1669</v>
      </c>
      <c r="S960" s="25">
        <v>1</v>
      </c>
      <c r="T960" s="13">
        <v>0</v>
      </c>
      <c r="U960" s="25">
        <v>3</v>
      </c>
      <c r="V960" s="13">
        <f t="shared" si="57"/>
        <v>3</v>
      </c>
      <c r="W960" s="13" t="str">
        <f t="shared" si="58"/>
        <v>Lang-45</v>
      </c>
      <c r="Y960"/>
    </row>
    <row r="961" spans="1:25" ht="15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56"/>
        <v>SimFix</v>
      </c>
      <c r="P961" s="13" t="str">
        <f t="shared" si="54"/>
        <v>Search Like Pattern</v>
      </c>
      <c r="Q961" s="13" t="str">
        <f t="shared" si="55"/>
        <v>Fixed</v>
      </c>
      <c r="R961" s="13" t="s">
        <v>1669</v>
      </c>
      <c r="S961" s="25">
        <v>6</v>
      </c>
      <c r="T961" s="25">
        <v>10</v>
      </c>
      <c r="U961" s="25">
        <v>6</v>
      </c>
      <c r="V961" s="13">
        <f t="shared" si="57"/>
        <v>16</v>
      </c>
      <c r="W961" s="13" t="str">
        <f t="shared" si="58"/>
        <v>Lang-50</v>
      </c>
      <c r="Y961"/>
    </row>
    <row r="962" spans="1:25" ht="15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56"/>
        <v>SimFix</v>
      </c>
      <c r="P962" s="13" t="str">
        <f t="shared" si="54"/>
        <v>Search Like Pattern</v>
      </c>
      <c r="Q962" s="13" t="str">
        <f t="shared" si="55"/>
        <v>Fixed</v>
      </c>
      <c r="R962" s="13" t="s">
        <v>1668</v>
      </c>
      <c r="S962" s="25">
        <v>1</v>
      </c>
      <c r="T962" s="25">
        <v>2</v>
      </c>
      <c r="U962" s="25">
        <v>1</v>
      </c>
      <c r="V962" s="13">
        <f t="shared" si="57"/>
        <v>3</v>
      </c>
      <c r="W962" s="13" t="str">
        <f t="shared" si="58"/>
        <v>Lang-58</v>
      </c>
      <c r="Y962"/>
    </row>
    <row r="963" spans="1:25" ht="15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56"/>
        <v>SimFix</v>
      </c>
      <c r="P963" s="13" t="str">
        <f t="shared" si="54"/>
        <v>Search Like Pattern</v>
      </c>
      <c r="Q963" s="13" t="str">
        <f t="shared" si="55"/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f t="shared" si="57"/>
        <v>4</v>
      </c>
      <c r="W963" s="13" t="str">
        <f t="shared" si="58"/>
        <v>Lang-60</v>
      </c>
      <c r="Y963"/>
    </row>
    <row r="964" spans="1:25" ht="15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56"/>
        <v>SimFix</v>
      </c>
      <c r="P964" s="13" t="str">
        <f t="shared" si="54"/>
        <v>Search Like Pattern</v>
      </c>
      <c r="Q964" s="13" t="str">
        <f t="shared" si="55"/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f t="shared" si="57"/>
        <v>2</v>
      </c>
      <c r="W964" s="13" t="str">
        <f t="shared" si="58"/>
        <v>Lang-61</v>
      </c>
      <c r="Y964"/>
    </row>
    <row r="965" spans="1:25" ht="15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56"/>
        <v>SimFix</v>
      </c>
      <c r="P965" s="13" t="str">
        <f t="shared" si="54"/>
        <v>Search Like Pattern</v>
      </c>
      <c r="Q965" s="13" t="str">
        <f t="shared" si="55"/>
        <v>Fixed</v>
      </c>
      <c r="R965" s="13" t="s">
        <v>1669</v>
      </c>
      <c r="S965" s="25">
        <v>4</v>
      </c>
      <c r="T965" s="25">
        <v>20</v>
      </c>
      <c r="U965" s="25">
        <v>3</v>
      </c>
      <c r="V965" s="13">
        <f t="shared" si="57"/>
        <v>23</v>
      </c>
      <c r="W965" s="13" t="str">
        <f t="shared" si="58"/>
        <v>Lang-63</v>
      </c>
      <c r="Y965"/>
    </row>
    <row r="966" spans="1:25" ht="15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56"/>
        <v>SimFix</v>
      </c>
      <c r="P966" s="13" t="str">
        <f t="shared" si="54"/>
        <v>Search Like Pattern</v>
      </c>
      <c r="Q966" s="13" t="str">
        <f t="shared" si="55"/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f t="shared" si="57"/>
        <v>2</v>
      </c>
      <c r="W966" s="13" t="str">
        <f t="shared" si="58"/>
        <v>Math-33</v>
      </c>
      <c r="Y966"/>
    </row>
    <row r="967" spans="1:25" ht="15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56"/>
        <v>SimFix</v>
      </c>
      <c r="P967" s="13" t="str">
        <f t="shared" si="54"/>
        <v>Search Like Pattern</v>
      </c>
      <c r="Q967" s="13" t="str">
        <f t="shared" si="55"/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f t="shared" si="57"/>
        <v>4</v>
      </c>
      <c r="W967" s="13" t="str">
        <f t="shared" si="58"/>
        <v>Math-35</v>
      </c>
      <c r="Y967"/>
    </row>
    <row r="968" spans="1:25" ht="15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56"/>
        <v>SimFix</v>
      </c>
      <c r="P968" s="13" t="str">
        <f t="shared" si="54"/>
        <v>Search Like Pattern</v>
      </c>
      <c r="Q968" s="13" t="str">
        <f t="shared" si="55"/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f t="shared" si="57"/>
        <v>2</v>
      </c>
      <c r="W968" s="13" t="str">
        <f t="shared" si="58"/>
        <v>Math-41</v>
      </c>
      <c r="Y968"/>
    </row>
    <row r="969" spans="1:25" ht="15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56"/>
        <v>SimFix</v>
      </c>
      <c r="P969" s="13" t="str">
        <f t="shared" si="54"/>
        <v>Search Like Pattern</v>
      </c>
      <c r="Q969" s="13" t="str">
        <f t="shared" si="55"/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f t="shared" si="57"/>
        <v>6</v>
      </c>
      <c r="W969" s="13" t="str">
        <f t="shared" si="58"/>
        <v>Math-43</v>
      </c>
      <c r="Y969"/>
    </row>
    <row r="970" spans="1:25" ht="15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56"/>
        <v>SimFix</v>
      </c>
      <c r="P970" s="13" t="str">
        <f t="shared" ref="P970:P1033" si="59"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 t="shared" si="55"/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f t="shared" si="57"/>
        <v>2</v>
      </c>
      <c r="W970" s="13" t="str">
        <f t="shared" si="58"/>
        <v>Math-5</v>
      </c>
      <c r="Y970"/>
    </row>
    <row r="971" spans="1:25" ht="15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56"/>
        <v>SimFix</v>
      </c>
      <c r="P971" s="13" t="str">
        <f t="shared" si="59"/>
        <v>Search Like Pattern</v>
      </c>
      <c r="Q971" s="13" t="str">
        <f t="shared" si="55"/>
        <v>Fixed</v>
      </c>
      <c r="R971" s="13" t="s">
        <v>1669</v>
      </c>
      <c r="S971" s="25">
        <v>1</v>
      </c>
      <c r="T971" s="25">
        <v>4</v>
      </c>
      <c r="U971" s="13">
        <v>0</v>
      </c>
      <c r="V971" s="13">
        <f t="shared" si="57"/>
        <v>4</v>
      </c>
      <c r="W971" s="13" t="str">
        <f t="shared" si="58"/>
        <v>Math-50</v>
      </c>
      <c r="Y971"/>
    </row>
    <row r="972" spans="1:25" ht="15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56"/>
        <v>SimFix</v>
      </c>
      <c r="P972" s="13" t="str">
        <f t="shared" si="59"/>
        <v>Search Like Pattern</v>
      </c>
      <c r="Q972" s="13" t="str">
        <f t="shared" si="55"/>
        <v>Fixed</v>
      </c>
      <c r="R972" s="13" t="s">
        <v>1668</v>
      </c>
      <c r="S972" s="25">
        <v>1</v>
      </c>
      <c r="T972" s="13">
        <v>0</v>
      </c>
      <c r="U972" s="25">
        <v>3</v>
      </c>
      <c r="V972" s="13">
        <f t="shared" si="57"/>
        <v>3</v>
      </c>
      <c r="W972" s="13" t="str">
        <f t="shared" si="58"/>
        <v>Math-53</v>
      </c>
      <c r="Y972"/>
    </row>
    <row r="973" spans="1:25" ht="15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56"/>
        <v>SimFix</v>
      </c>
      <c r="P973" s="13" t="str">
        <f t="shared" si="59"/>
        <v>Search Like Pattern</v>
      </c>
      <c r="Q973" s="13" t="str">
        <f t="shared" si="55"/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f t="shared" si="57"/>
        <v>2</v>
      </c>
      <c r="W973" s="13" t="str">
        <f t="shared" si="58"/>
        <v>Math-57</v>
      </c>
      <c r="Y973"/>
    </row>
    <row r="974" spans="1:25" ht="15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56"/>
        <v>SimFix</v>
      </c>
      <c r="P974" s="13" t="str">
        <f t="shared" si="59"/>
        <v>Search Like Pattern</v>
      </c>
      <c r="Q974" s="13" t="str">
        <f t="shared" si="55"/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f t="shared" si="57"/>
        <v>2</v>
      </c>
      <c r="W974" s="13" t="str">
        <f t="shared" si="58"/>
        <v>Math-59</v>
      </c>
      <c r="Y974"/>
    </row>
    <row r="975" spans="1:25" ht="15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56"/>
        <v>SimFix</v>
      </c>
      <c r="P975" s="13" t="str">
        <f t="shared" si="59"/>
        <v>Search Like Pattern</v>
      </c>
      <c r="Q975" s="13" t="str">
        <f t="shared" si="55"/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f t="shared" si="57"/>
        <v>2</v>
      </c>
      <c r="W975" s="13" t="str">
        <f t="shared" si="58"/>
        <v>Math-63</v>
      </c>
      <c r="Y975"/>
    </row>
    <row r="976" spans="1:25" ht="15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56"/>
        <v>SimFix</v>
      </c>
      <c r="P976" s="13" t="str">
        <f t="shared" si="59"/>
        <v>Search Like Pattern</v>
      </c>
      <c r="Q976" s="13" t="str">
        <f t="shared" si="55"/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f t="shared" si="57"/>
        <v>2</v>
      </c>
      <c r="W976" s="13" t="str">
        <f t="shared" si="58"/>
        <v>Math-69</v>
      </c>
      <c r="Y976"/>
    </row>
    <row r="977" spans="1:25" ht="15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56"/>
        <v>SimFix</v>
      </c>
      <c r="P977" s="13" t="str">
        <f t="shared" si="59"/>
        <v>Search Like Pattern</v>
      </c>
      <c r="Q977" s="13" t="str">
        <f t="shared" si="55"/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f t="shared" si="57"/>
        <v>2</v>
      </c>
      <c r="W977" s="13" t="str">
        <f t="shared" si="58"/>
        <v>Math-70</v>
      </c>
      <c r="Y977"/>
    </row>
    <row r="978" spans="1:25" ht="15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56"/>
        <v>SimFix</v>
      </c>
      <c r="P978" s="13" t="str">
        <f t="shared" si="59"/>
        <v>Search Like Pattern</v>
      </c>
      <c r="Q978" s="13" t="str">
        <f t="shared" si="55"/>
        <v>Fixed</v>
      </c>
      <c r="R978" s="13" t="s">
        <v>1668</v>
      </c>
      <c r="S978" s="25">
        <v>1</v>
      </c>
      <c r="T978" s="13">
        <v>0</v>
      </c>
      <c r="U978" s="25">
        <v>3</v>
      </c>
      <c r="V978" s="13">
        <f t="shared" si="57"/>
        <v>3</v>
      </c>
      <c r="W978" s="13" t="str">
        <f t="shared" si="58"/>
        <v>Math-71</v>
      </c>
      <c r="Y978"/>
    </row>
    <row r="979" spans="1:25" ht="15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56"/>
        <v>SimFix</v>
      </c>
      <c r="P979" s="13" t="str">
        <f t="shared" si="59"/>
        <v>Search Like Pattern</v>
      </c>
      <c r="Q979" s="13" t="str">
        <f t="shared" si="55"/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f t="shared" si="57"/>
        <v>4</v>
      </c>
      <c r="W979" s="13" t="str">
        <f t="shared" si="58"/>
        <v>Math-72</v>
      </c>
      <c r="Y979"/>
    </row>
    <row r="980" spans="1:25" ht="15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56"/>
        <v>SimFix</v>
      </c>
      <c r="P980" s="13" t="str">
        <f t="shared" si="59"/>
        <v>Search Like Pattern</v>
      </c>
      <c r="Q980" s="13" t="str">
        <f t="shared" si="55"/>
        <v>Fixed</v>
      </c>
      <c r="R980" s="13" t="s">
        <v>1669</v>
      </c>
      <c r="S980" s="25">
        <v>1</v>
      </c>
      <c r="T980" s="13">
        <v>0</v>
      </c>
      <c r="U980" s="25">
        <v>4</v>
      </c>
      <c r="V980" s="13">
        <f t="shared" si="57"/>
        <v>4</v>
      </c>
      <c r="W980" s="13" t="str">
        <f t="shared" si="58"/>
        <v>Math-73</v>
      </c>
      <c r="Y980"/>
    </row>
    <row r="981" spans="1:25" ht="15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56"/>
        <v>SimFix</v>
      </c>
      <c r="P981" s="13" t="str">
        <f t="shared" si="59"/>
        <v>Search Like Pattern</v>
      </c>
      <c r="Q981" s="13" t="str">
        <f t="shared" si="55"/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f t="shared" si="57"/>
        <v>2</v>
      </c>
      <c r="W981" s="13" t="str">
        <f t="shared" si="58"/>
        <v>Math-75</v>
      </c>
      <c r="Y981"/>
    </row>
    <row r="982" spans="1:25" ht="15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56"/>
        <v>SimFix</v>
      </c>
      <c r="P982" s="13" t="str">
        <f t="shared" si="59"/>
        <v>Search Like Pattern</v>
      </c>
      <c r="Q982" s="13" t="str">
        <f t="shared" ref="Q982:Q1045" si="60"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f t="shared" si="57"/>
        <v>4</v>
      </c>
      <c r="W982" s="13" t="str">
        <f t="shared" si="58"/>
        <v>Math-79</v>
      </c>
      <c r="Y982"/>
    </row>
    <row r="983" spans="1:25" ht="15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ref="O983:O1046" si="61">LEFT($A983,FIND("_",$A983)-1)</f>
        <v>SimFix</v>
      </c>
      <c r="P983" s="13" t="str">
        <f t="shared" si="59"/>
        <v>Search Like Pattern</v>
      </c>
      <c r="Q983" s="13" t="str">
        <f t="shared" si="60"/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f t="shared" si="57"/>
        <v>4</v>
      </c>
      <c r="W983" s="13" t="str">
        <f t="shared" si="58"/>
        <v>Math-8</v>
      </c>
      <c r="Y983"/>
    </row>
    <row r="984" spans="1:25" ht="15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si="61"/>
        <v>SimFix</v>
      </c>
      <c r="P984" s="13" t="str">
        <f t="shared" si="59"/>
        <v>Search Like Pattern</v>
      </c>
      <c r="Q984" s="13" t="str">
        <f t="shared" si="60"/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f t="shared" si="57"/>
        <v>2</v>
      </c>
      <c r="W984" s="13" t="str">
        <f t="shared" si="58"/>
        <v>Math-80</v>
      </c>
      <c r="Y984"/>
    </row>
    <row r="985" spans="1:25" ht="15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61"/>
        <v>SimFix</v>
      </c>
      <c r="P985" s="13" t="str">
        <f t="shared" si="59"/>
        <v>Search Like Pattern</v>
      </c>
      <c r="Q985" s="13" t="str">
        <f t="shared" si="60"/>
        <v>Fixed</v>
      </c>
      <c r="R985" s="13" t="s">
        <v>1669</v>
      </c>
      <c r="S985" s="25">
        <v>3</v>
      </c>
      <c r="T985" s="25">
        <v>3</v>
      </c>
      <c r="U985" s="25">
        <v>4</v>
      </c>
      <c r="V985" s="13">
        <f t="shared" si="57"/>
        <v>7</v>
      </c>
      <c r="W985" s="13" t="str">
        <f t="shared" si="58"/>
        <v>Math-81</v>
      </c>
      <c r="Y985"/>
    </row>
    <row r="986" spans="1:25" ht="15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61"/>
        <v>SimFix</v>
      </c>
      <c r="P986" s="13" t="str">
        <f t="shared" si="59"/>
        <v>Search Like Pattern</v>
      </c>
      <c r="Q986" s="13" t="str">
        <f t="shared" si="60"/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f t="shared" si="57"/>
        <v>2</v>
      </c>
      <c r="W986" s="13" t="str">
        <f t="shared" si="58"/>
        <v>Math-82</v>
      </c>
      <c r="Y986"/>
    </row>
    <row r="987" spans="1:25" ht="15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61"/>
        <v>SimFix</v>
      </c>
      <c r="P987" s="13" t="str">
        <f t="shared" si="59"/>
        <v>Search Like Pattern</v>
      </c>
      <c r="Q987" s="13" t="str">
        <f t="shared" si="60"/>
        <v>Fixed</v>
      </c>
      <c r="R987" s="13" t="s">
        <v>1669</v>
      </c>
      <c r="S987" s="25">
        <v>3</v>
      </c>
      <c r="T987" s="13">
        <v>0</v>
      </c>
      <c r="U987" s="25">
        <v>9</v>
      </c>
      <c r="V987" s="13">
        <f t="shared" si="57"/>
        <v>9</v>
      </c>
      <c r="W987" s="13" t="str">
        <f t="shared" si="58"/>
        <v>Math-84</v>
      </c>
      <c r="Y987"/>
    </row>
    <row r="988" spans="1:25" ht="15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61"/>
        <v>SimFix</v>
      </c>
      <c r="P988" s="13" t="str">
        <f t="shared" si="59"/>
        <v>Search Like Pattern</v>
      </c>
      <c r="Q988" s="13" t="str">
        <f t="shared" si="60"/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f t="shared" si="57"/>
        <v>2</v>
      </c>
      <c r="W988" s="13" t="str">
        <f t="shared" si="58"/>
        <v>Math-85</v>
      </c>
      <c r="Y988"/>
    </row>
    <row r="989" spans="1:25" ht="15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61"/>
        <v>TBar</v>
      </c>
      <c r="P989" s="13" t="str">
        <f t="shared" si="59"/>
        <v>True Pattern</v>
      </c>
      <c r="Q989" s="13" t="str">
        <f t="shared" si="60"/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f t="shared" si="57"/>
        <v>2</v>
      </c>
      <c r="W989" s="13" t="str">
        <f t="shared" si="58"/>
        <v>Chart-1</v>
      </c>
      <c r="Y989"/>
    </row>
    <row r="990" spans="1:25" ht="15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61"/>
        <v>TBar</v>
      </c>
      <c r="P990" s="13" t="str">
        <f t="shared" si="59"/>
        <v>True Pattern</v>
      </c>
      <c r="Q990" s="13" t="str">
        <f t="shared" si="60"/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f t="shared" si="57"/>
        <v>2</v>
      </c>
      <c r="W990" s="13" t="str">
        <f t="shared" si="58"/>
        <v>Chart-11</v>
      </c>
      <c r="Y990"/>
    </row>
    <row r="991" spans="1:25" ht="15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61"/>
        <v>TBar</v>
      </c>
      <c r="P991" s="13" t="str">
        <f t="shared" si="59"/>
        <v>True Pattern</v>
      </c>
      <c r="Q991" s="13" t="str">
        <f t="shared" si="60"/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f t="shared" si="57"/>
        <v>2</v>
      </c>
      <c r="W991" s="13" t="str">
        <f t="shared" si="58"/>
        <v>Chart-12</v>
      </c>
      <c r="Y991"/>
    </row>
    <row r="992" spans="1:25" ht="15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61"/>
        <v>TBar</v>
      </c>
      <c r="P992" s="13" t="str">
        <f t="shared" si="59"/>
        <v>True Pattern</v>
      </c>
      <c r="Q992" s="13" t="str">
        <f t="shared" si="60"/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f t="shared" si="57"/>
        <v>2</v>
      </c>
      <c r="W992" s="13" t="str">
        <f t="shared" si="58"/>
        <v>Chart-13</v>
      </c>
      <c r="Y992"/>
    </row>
    <row r="993" spans="1:25" ht="15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61"/>
        <v>TBar</v>
      </c>
      <c r="P993" s="13" t="str">
        <f t="shared" si="59"/>
        <v>True Pattern</v>
      </c>
      <c r="Q993" s="13" t="str">
        <f t="shared" si="60"/>
        <v>Fixed</v>
      </c>
      <c r="R993" s="13" t="s">
        <v>1668</v>
      </c>
      <c r="S993" s="25">
        <v>2</v>
      </c>
      <c r="T993" s="13">
        <v>0</v>
      </c>
      <c r="U993" s="25">
        <v>6</v>
      </c>
      <c r="V993" s="13">
        <f t="shared" si="57"/>
        <v>6</v>
      </c>
      <c r="W993" s="13" t="str">
        <f t="shared" si="58"/>
        <v>Chart-19</v>
      </c>
      <c r="Y993"/>
    </row>
    <row r="994" spans="1:25" ht="15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61"/>
        <v>TBar</v>
      </c>
      <c r="P994" s="13" t="str">
        <f t="shared" si="59"/>
        <v>True Pattern</v>
      </c>
      <c r="Q994" s="13" t="str">
        <f t="shared" si="60"/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f t="shared" si="57"/>
        <v>2</v>
      </c>
      <c r="W994" s="13" t="str">
        <f t="shared" si="58"/>
        <v>Chart-20</v>
      </c>
      <c r="Y994"/>
    </row>
    <row r="995" spans="1:25" ht="15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61"/>
        <v>TBar</v>
      </c>
      <c r="P995" s="13" t="str">
        <f t="shared" si="59"/>
        <v>True Pattern</v>
      </c>
      <c r="Q995" s="13" t="str">
        <f t="shared" si="60"/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f t="shared" si="57"/>
        <v>2</v>
      </c>
      <c r="W995" s="13" t="str">
        <f t="shared" si="58"/>
        <v>Chart-24</v>
      </c>
      <c r="Y995"/>
    </row>
    <row r="996" spans="1:25" ht="15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61"/>
        <v>TBar</v>
      </c>
      <c r="P996" s="13" t="str">
        <f t="shared" si="59"/>
        <v>True Pattern</v>
      </c>
      <c r="Q996" s="13" t="str">
        <f t="shared" si="60"/>
        <v>Fixed</v>
      </c>
      <c r="R996" s="13" t="s">
        <v>1669</v>
      </c>
      <c r="S996" s="25">
        <v>6</v>
      </c>
      <c r="T996" s="25">
        <v>2</v>
      </c>
      <c r="U996" s="25">
        <v>14</v>
      </c>
      <c r="V996" s="13">
        <f t="shared" si="57"/>
        <v>16</v>
      </c>
      <c r="W996" s="13" t="str">
        <f t="shared" si="58"/>
        <v>Chart-25</v>
      </c>
      <c r="Y996"/>
    </row>
    <row r="997" spans="1:25" ht="15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61"/>
        <v>TBar</v>
      </c>
      <c r="P997" s="13" t="str">
        <f t="shared" si="59"/>
        <v>True Pattern</v>
      </c>
      <c r="Q997" s="13" t="str">
        <f t="shared" si="60"/>
        <v>Fixed</v>
      </c>
      <c r="R997" s="13" t="s">
        <v>1668</v>
      </c>
      <c r="S997" s="25">
        <v>2</v>
      </c>
      <c r="T997" s="13">
        <v>0</v>
      </c>
      <c r="U997" s="25">
        <v>2</v>
      </c>
      <c r="V997" s="13">
        <f t="shared" si="57"/>
        <v>2</v>
      </c>
      <c r="W997" s="13" t="str">
        <f t="shared" si="58"/>
        <v>Chart-26</v>
      </c>
      <c r="Y997"/>
    </row>
    <row r="998" spans="1:25" ht="15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61"/>
        <v>TBar</v>
      </c>
      <c r="P998" s="13" t="str">
        <f t="shared" si="59"/>
        <v>True Pattern</v>
      </c>
      <c r="Q998" s="13" t="str">
        <f t="shared" si="60"/>
        <v>Fixed</v>
      </c>
      <c r="R998" s="13" t="s">
        <v>1669</v>
      </c>
      <c r="S998" s="25">
        <v>1</v>
      </c>
      <c r="T998" s="13">
        <v>0</v>
      </c>
      <c r="U998" s="25">
        <v>2</v>
      </c>
      <c r="V998" s="13">
        <f t="shared" ref="V998:V1061" si="62">T998+U998</f>
        <v>2</v>
      </c>
      <c r="W998" s="13" t="str">
        <f t="shared" ref="W998:W1061" si="63">MID(A998, SEARCH("_", A998) +1, SEARCH("_", A998, SEARCH("_", A998) +1) - SEARCH("_", A998) -1)</f>
        <v>Chart-3</v>
      </c>
      <c r="Y998"/>
    </row>
    <row r="999" spans="1:25" ht="15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61"/>
        <v>TBar</v>
      </c>
      <c r="P999" s="13" t="str">
        <f t="shared" si="59"/>
        <v>True Pattern</v>
      </c>
      <c r="Q999" s="13" t="str">
        <f t="shared" si="60"/>
        <v>Fixed</v>
      </c>
      <c r="R999" s="13" t="s">
        <v>1668</v>
      </c>
      <c r="S999" s="25">
        <v>2</v>
      </c>
      <c r="T999" s="13">
        <v>0</v>
      </c>
      <c r="U999" s="25">
        <v>2</v>
      </c>
      <c r="V999" s="13">
        <f t="shared" si="62"/>
        <v>2</v>
      </c>
      <c r="W999" s="13" t="str">
        <f t="shared" si="63"/>
        <v>Chart-4</v>
      </c>
      <c r="Y999"/>
    </row>
    <row r="1000" spans="1:25" ht="15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61"/>
        <v>TBar</v>
      </c>
      <c r="P1000" s="13" t="str">
        <f t="shared" si="59"/>
        <v>True Pattern</v>
      </c>
      <c r="Q1000" s="13" t="str">
        <f t="shared" si="60"/>
        <v>Fixed</v>
      </c>
      <c r="R1000" s="13" t="s">
        <v>1669</v>
      </c>
      <c r="S1000" s="25">
        <v>2</v>
      </c>
      <c r="T1000" s="25">
        <v>1</v>
      </c>
      <c r="U1000" s="25">
        <v>5</v>
      </c>
      <c r="V1000" s="13">
        <f t="shared" si="62"/>
        <v>6</v>
      </c>
      <c r="W1000" s="13" t="str">
        <f t="shared" si="63"/>
        <v>Chart-5</v>
      </c>
      <c r="Y1000"/>
    </row>
    <row r="1001" spans="1:25" ht="15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61"/>
        <v>TBar</v>
      </c>
      <c r="P1001" s="13" t="str">
        <f t="shared" si="59"/>
        <v>True Pattern</v>
      </c>
      <c r="Q1001" s="13" t="str">
        <f t="shared" si="60"/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f t="shared" si="62"/>
        <v>4</v>
      </c>
      <c r="W1001" s="13" t="str">
        <f t="shared" si="63"/>
        <v>Chart-7</v>
      </c>
      <c r="Y1001"/>
    </row>
    <row r="1002" spans="1:25" ht="15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61"/>
        <v>TBar</v>
      </c>
      <c r="P1002" s="13" t="str">
        <f t="shared" si="59"/>
        <v>True Pattern</v>
      </c>
      <c r="Q1002" s="13" t="str">
        <f t="shared" si="60"/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f t="shared" si="62"/>
        <v>2</v>
      </c>
      <c r="W1002" s="13" t="str">
        <f t="shared" si="63"/>
        <v>Chart-8</v>
      </c>
      <c r="Y1002"/>
    </row>
    <row r="1003" spans="1:25" ht="15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61"/>
        <v>TBar</v>
      </c>
      <c r="P1003" s="13" t="str">
        <f t="shared" si="59"/>
        <v>True Pattern</v>
      </c>
      <c r="Q1003" s="13" t="str">
        <f t="shared" si="60"/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f t="shared" si="62"/>
        <v>2</v>
      </c>
      <c r="W1003" s="13" t="str">
        <f t="shared" si="63"/>
        <v>Chart-9</v>
      </c>
      <c r="Y1003"/>
    </row>
    <row r="1004" spans="1:25" ht="15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61"/>
        <v>TBar</v>
      </c>
      <c r="P1004" s="13" t="str">
        <f t="shared" si="59"/>
        <v>True Pattern</v>
      </c>
      <c r="Q1004" s="13" t="str">
        <f t="shared" si="60"/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f t="shared" si="62"/>
        <v>2</v>
      </c>
      <c r="W1004" s="13" t="str">
        <f t="shared" si="63"/>
        <v>Closure-10</v>
      </c>
      <c r="Y1004"/>
    </row>
    <row r="1005" spans="1:25" ht="15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61"/>
        <v>TBar</v>
      </c>
      <c r="P1005" s="13" t="str">
        <f t="shared" si="59"/>
        <v>True Pattern</v>
      </c>
      <c r="Q1005" s="13" t="str">
        <f t="shared" si="60"/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f t="shared" si="62"/>
        <v>2</v>
      </c>
      <c r="W1005" s="13" t="str">
        <f t="shared" si="63"/>
        <v>Closure-102</v>
      </c>
      <c r="Y1005"/>
    </row>
    <row r="1006" spans="1:25" ht="15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61"/>
        <v>TBar</v>
      </c>
      <c r="P1006" s="13" t="str">
        <f t="shared" si="59"/>
        <v>True Pattern</v>
      </c>
      <c r="Q1006" s="13" t="str">
        <f t="shared" si="60"/>
        <v>Fixed</v>
      </c>
      <c r="R1006" s="13" t="s">
        <v>1668</v>
      </c>
      <c r="S1006" s="25">
        <v>1</v>
      </c>
      <c r="T1006" s="25">
        <v>2</v>
      </c>
      <c r="U1006" s="13">
        <v>0</v>
      </c>
      <c r="V1006" s="13">
        <f t="shared" si="62"/>
        <v>2</v>
      </c>
      <c r="W1006" s="13" t="str">
        <f t="shared" si="63"/>
        <v>Closure-11</v>
      </c>
      <c r="Y1006"/>
    </row>
    <row r="1007" spans="1:25" ht="15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61"/>
        <v>TBar</v>
      </c>
      <c r="P1007" s="13" t="str">
        <f t="shared" si="59"/>
        <v>True Pattern</v>
      </c>
      <c r="Q1007" s="13" t="str">
        <f t="shared" si="60"/>
        <v>Fixed</v>
      </c>
      <c r="R1007" s="13" t="s">
        <v>1668</v>
      </c>
      <c r="S1007" s="25">
        <v>2</v>
      </c>
      <c r="T1007" s="25">
        <v>11</v>
      </c>
      <c r="U1007" s="13">
        <v>0</v>
      </c>
      <c r="V1007" s="13">
        <f t="shared" si="62"/>
        <v>11</v>
      </c>
      <c r="W1007" s="13" t="str">
        <f t="shared" si="63"/>
        <v>Closure-115</v>
      </c>
      <c r="Y1007"/>
    </row>
    <row r="1008" spans="1:25" ht="15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61"/>
        <v>TBar</v>
      </c>
      <c r="P1008" s="13" t="str">
        <f t="shared" si="59"/>
        <v>True Pattern</v>
      </c>
      <c r="Q1008" s="13" t="str">
        <f t="shared" si="60"/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f t="shared" si="62"/>
        <v>24</v>
      </c>
      <c r="W1008" s="13" t="str">
        <f t="shared" si="63"/>
        <v>Closure-117</v>
      </c>
      <c r="Y1008"/>
    </row>
    <row r="1009" spans="1:25" ht="15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61"/>
        <v>TBar</v>
      </c>
      <c r="P1009" s="13" t="str">
        <f t="shared" si="59"/>
        <v>True Pattern</v>
      </c>
      <c r="Q1009" s="13" t="str">
        <f t="shared" si="60"/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f t="shared" si="62"/>
        <v>2</v>
      </c>
      <c r="W1009" s="13" t="str">
        <f t="shared" si="63"/>
        <v>Closure-13</v>
      </c>
      <c r="Y1009"/>
    </row>
    <row r="1010" spans="1:25" ht="15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61"/>
        <v>TBar</v>
      </c>
      <c r="P1010" s="13" t="str">
        <f t="shared" si="59"/>
        <v>True Pattern</v>
      </c>
      <c r="Q1010" s="13" t="str">
        <f t="shared" si="60"/>
        <v>Fixed</v>
      </c>
      <c r="R1010" s="13" t="s">
        <v>1669</v>
      </c>
      <c r="S1010" s="25">
        <v>2</v>
      </c>
      <c r="T1010" s="13">
        <v>0</v>
      </c>
      <c r="U1010" s="25">
        <v>2</v>
      </c>
      <c r="V1010" s="13">
        <f t="shared" si="62"/>
        <v>2</v>
      </c>
      <c r="W1010" s="13" t="str">
        <f t="shared" si="63"/>
        <v>Closure-19</v>
      </c>
      <c r="Y1010"/>
    </row>
    <row r="1011" spans="1:25" ht="15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61"/>
        <v>TBar</v>
      </c>
      <c r="P1011" s="13" t="str">
        <f t="shared" si="59"/>
        <v>True Pattern</v>
      </c>
      <c r="Q1011" s="13" t="str">
        <f t="shared" si="60"/>
        <v>Fixed</v>
      </c>
      <c r="R1011" s="13" t="s">
        <v>1668</v>
      </c>
      <c r="S1011" s="25">
        <v>3</v>
      </c>
      <c r="T1011" s="13">
        <v>0</v>
      </c>
      <c r="U1011" s="25">
        <v>4</v>
      </c>
      <c r="V1011" s="13">
        <f t="shared" si="62"/>
        <v>4</v>
      </c>
      <c r="W1011" s="13" t="str">
        <f t="shared" si="63"/>
        <v>Closure-2</v>
      </c>
      <c r="Y1011"/>
    </row>
    <row r="1012" spans="1:25" ht="15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61"/>
        <v>TBar</v>
      </c>
      <c r="P1012" s="13" t="str">
        <f t="shared" si="59"/>
        <v>True Pattern</v>
      </c>
      <c r="Q1012" s="13" t="str">
        <f t="shared" si="60"/>
        <v>Fixed</v>
      </c>
      <c r="R1012" s="13" t="s">
        <v>1669</v>
      </c>
      <c r="S1012" s="25">
        <v>2</v>
      </c>
      <c r="T1012" s="25">
        <v>19</v>
      </c>
      <c r="U1012" s="25">
        <v>2</v>
      </c>
      <c r="V1012" s="13">
        <f t="shared" si="62"/>
        <v>21</v>
      </c>
      <c r="W1012" s="13" t="str">
        <f t="shared" si="63"/>
        <v>Closure-21</v>
      </c>
      <c r="Y1012"/>
    </row>
    <row r="1013" spans="1:25" ht="15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61"/>
        <v>TBar</v>
      </c>
      <c r="P1013" s="13" t="str">
        <f t="shared" si="59"/>
        <v>True Pattern</v>
      </c>
      <c r="Q1013" s="13" t="str">
        <f t="shared" si="60"/>
        <v>Fixed</v>
      </c>
      <c r="R1013" s="13" t="s">
        <v>1669</v>
      </c>
      <c r="S1013" s="25">
        <v>5</v>
      </c>
      <c r="T1013" s="25">
        <v>26</v>
      </c>
      <c r="U1013" s="25">
        <v>2</v>
      </c>
      <c r="V1013" s="13">
        <f t="shared" si="62"/>
        <v>28</v>
      </c>
      <c r="W1013" s="13" t="str">
        <f t="shared" si="63"/>
        <v>Closure-22</v>
      </c>
      <c r="Y1013"/>
    </row>
    <row r="1014" spans="1:25" ht="15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61"/>
        <v>TBar</v>
      </c>
      <c r="P1014" s="13" t="str">
        <f t="shared" si="59"/>
        <v>True Pattern</v>
      </c>
      <c r="Q1014" s="13" t="str">
        <f t="shared" si="60"/>
        <v>Fixed</v>
      </c>
      <c r="R1014" s="13" t="s">
        <v>1669</v>
      </c>
      <c r="S1014" s="25">
        <v>1</v>
      </c>
      <c r="T1014" s="25">
        <v>15</v>
      </c>
      <c r="U1014" s="25">
        <v>2</v>
      </c>
      <c r="V1014" s="13">
        <f t="shared" si="62"/>
        <v>17</v>
      </c>
      <c r="W1014" s="13" t="str">
        <f t="shared" si="63"/>
        <v>Closure-35</v>
      </c>
      <c r="Y1014"/>
    </row>
    <row r="1015" spans="1:25" ht="15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61"/>
        <v>TBar</v>
      </c>
      <c r="P1015" s="13" t="str">
        <f t="shared" si="59"/>
        <v>True Pattern</v>
      </c>
      <c r="Q1015" s="13" t="str">
        <f t="shared" si="60"/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f t="shared" si="62"/>
        <v>2</v>
      </c>
      <c r="W1015" s="13" t="str">
        <f t="shared" si="63"/>
        <v>Closure-38</v>
      </c>
      <c r="Y1015"/>
    </row>
    <row r="1016" spans="1:25" ht="15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61"/>
        <v>TBar</v>
      </c>
      <c r="P1016" s="13" t="str">
        <f t="shared" si="59"/>
        <v>True Pattern</v>
      </c>
      <c r="Q1016" s="13" t="str">
        <f t="shared" si="60"/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f t="shared" si="62"/>
        <v>4</v>
      </c>
      <c r="W1016" s="13" t="str">
        <f t="shared" si="63"/>
        <v>Closure-4</v>
      </c>
      <c r="Y1016"/>
    </row>
    <row r="1017" spans="1:25" ht="15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61"/>
        <v>TBar</v>
      </c>
      <c r="P1017" s="13" t="str">
        <f t="shared" si="59"/>
        <v>True Pattern</v>
      </c>
      <c r="Q1017" s="13" t="str">
        <f t="shared" si="60"/>
        <v>Fixed</v>
      </c>
      <c r="R1017" s="13" t="s">
        <v>1668</v>
      </c>
      <c r="S1017" s="25">
        <v>2</v>
      </c>
      <c r="T1017" s="25">
        <v>3</v>
      </c>
      <c r="U1017" s="25">
        <v>1</v>
      </c>
      <c r="V1017" s="13">
        <f t="shared" si="62"/>
        <v>4</v>
      </c>
      <c r="W1017" s="13" t="str">
        <f t="shared" si="63"/>
        <v>Closure-40</v>
      </c>
      <c r="Y1017"/>
    </row>
    <row r="1018" spans="1:25" ht="15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61"/>
        <v>TBar</v>
      </c>
      <c r="P1018" s="13" t="str">
        <f t="shared" si="59"/>
        <v>True Pattern</v>
      </c>
      <c r="Q1018" s="13" t="str">
        <f t="shared" si="60"/>
        <v>Fixed</v>
      </c>
      <c r="R1018" s="13" t="s">
        <v>1668</v>
      </c>
      <c r="S1018" s="25">
        <v>1</v>
      </c>
      <c r="T1018" s="25">
        <v>16</v>
      </c>
      <c r="U1018" s="13">
        <v>0</v>
      </c>
      <c r="V1018" s="13">
        <f t="shared" si="62"/>
        <v>16</v>
      </c>
      <c r="W1018" s="13" t="str">
        <f t="shared" si="63"/>
        <v>Closure-46</v>
      </c>
      <c r="Y1018"/>
    </row>
    <row r="1019" spans="1:25" ht="15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61"/>
        <v>TBar</v>
      </c>
      <c r="P1019" s="13" t="str">
        <f t="shared" si="59"/>
        <v>True Pattern</v>
      </c>
      <c r="Q1019" s="13" t="str">
        <f t="shared" si="60"/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f t="shared" si="62"/>
        <v>2</v>
      </c>
      <c r="W1019" s="13" t="str">
        <f t="shared" si="63"/>
        <v>Closure-62</v>
      </c>
      <c r="Y1019"/>
    </row>
    <row r="1020" spans="1:25" ht="15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61"/>
        <v>TBar</v>
      </c>
      <c r="P1020" s="13" t="str">
        <f t="shared" si="59"/>
        <v>True Pattern</v>
      </c>
      <c r="Q1020" s="13" t="str">
        <f t="shared" si="60"/>
        <v>Fixed</v>
      </c>
      <c r="R1020" s="13" t="s">
        <v>1669</v>
      </c>
      <c r="S1020" s="25">
        <v>2</v>
      </c>
      <c r="T1020" s="13">
        <v>0</v>
      </c>
      <c r="U1020" s="25">
        <v>2</v>
      </c>
      <c r="V1020" s="13">
        <f t="shared" si="62"/>
        <v>2</v>
      </c>
      <c r="W1020" s="13" t="str">
        <f t="shared" si="63"/>
        <v>Closure-66</v>
      </c>
      <c r="Y1020"/>
    </row>
    <row r="1021" spans="1:25" ht="15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61"/>
        <v>TBar</v>
      </c>
      <c r="P1021" s="13" t="str">
        <f t="shared" si="59"/>
        <v>True Pattern</v>
      </c>
      <c r="Q1021" s="13" t="str">
        <f t="shared" si="60"/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f t="shared" si="62"/>
        <v>2</v>
      </c>
      <c r="W1021" s="13" t="str">
        <f t="shared" si="63"/>
        <v>Closure-70</v>
      </c>
      <c r="Y1021"/>
    </row>
    <row r="1022" spans="1:25" ht="15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61"/>
        <v>TBar</v>
      </c>
      <c r="P1022" s="13" t="str">
        <f t="shared" si="59"/>
        <v>True Pattern</v>
      </c>
      <c r="Q1022" s="13" t="str">
        <f t="shared" si="60"/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f t="shared" si="62"/>
        <v>2</v>
      </c>
      <c r="W1022" s="13" t="str">
        <f t="shared" si="63"/>
        <v>Closure-73</v>
      </c>
      <c r="Y1022"/>
    </row>
    <row r="1023" spans="1:25" ht="15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61"/>
        <v>TBar</v>
      </c>
      <c r="P1023" s="13" t="str">
        <f t="shared" si="59"/>
        <v>True Pattern</v>
      </c>
      <c r="Q1023" s="13" t="str">
        <f t="shared" si="60"/>
        <v>Fixed</v>
      </c>
      <c r="R1023" s="13" t="s">
        <v>1668</v>
      </c>
      <c r="S1023" s="25">
        <v>2</v>
      </c>
      <c r="T1023" s="25">
        <v>9</v>
      </c>
      <c r="U1023" s="13">
        <v>0</v>
      </c>
      <c r="V1023" s="13">
        <f t="shared" si="62"/>
        <v>9</v>
      </c>
      <c r="W1023" s="13" t="str">
        <f t="shared" si="63"/>
        <v>Lang-10</v>
      </c>
      <c r="Y1023"/>
    </row>
    <row r="1024" spans="1:25" ht="15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61"/>
        <v>TBar</v>
      </c>
      <c r="P1024" s="13" t="str">
        <f t="shared" si="59"/>
        <v>True Pattern</v>
      </c>
      <c r="Q1024" s="13" t="str">
        <f t="shared" si="60"/>
        <v>Fixed</v>
      </c>
      <c r="R1024" s="13" t="s">
        <v>1669</v>
      </c>
      <c r="S1024" s="25">
        <v>4</v>
      </c>
      <c r="T1024" s="13">
        <v>0</v>
      </c>
      <c r="U1024" s="25">
        <v>19</v>
      </c>
      <c r="V1024" s="13">
        <f t="shared" si="62"/>
        <v>19</v>
      </c>
      <c r="W1024" s="13" t="str">
        <f t="shared" si="63"/>
        <v>Lang-13</v>
      </c>
      <c r="Y1024"/>
    </row>
    <row r="1025" spans="1:25" ht="15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61"/>
        <v>TBar</v>
      </c>
      <c r="P1025" s="13" t="str">
        <f t="shared" si="59"/>
        <v>True Pattern</v>
      </c>
      <c r="Q1025" s="13" t="str">
        <f t="shared" si="60"/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f t="shared" si="62"/>
        <v>6</v>
      </c>
      <c r="W1025" s="13" t="str">
        <f t="shared" si="63"/>
        <v>Lang-18</v>
      </c>
      <c r="Y1025"/>
    </row>
    <row r="1026" spans="1:25" ht="15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61"/>
        <v>TBar</v>
      </c>
      <c r="P1026" s="13" t="str">
        <f t="shared" si="59"/>
        <v>True Pattern</v>
      </c>
      <c r="Q1026" s="13" t="str">
        <f t="shared" si="60"/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f t="shared" si="62"/>
        <v>4</v>
      </c>
      <c r="W1026" s="13" t="str">
        <f t="shared" si="63"/>
        <v>Lang-20</v>
      </c>
      <c r="Y1026"/>
    </row>
    <row r="1027" spans="1:25" ht="15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61"/>
        <v>TBar</v>
      </c>
      <c r="P1027" s="13" t="str">
        <f t="shared" si="59"/>
        <v>True Pattern</v>
      </c>
      <c r="Q1027" s="13" t="str">
        <f t="shared" si="60"/>
        <v>Fixed</v>
      </c>
      <c r="R1027" s="13" t="s">
        <v>1669</v>
      </c>
      <c r="S1027" s="25">
        <v>2</v>
      </c>
      <c r="T1027" s="25">
        <v>1</v>
      </c>
      <c r="U1027" s="25">
        <v>7</v>
      </c>
      <c r="V1027" s="13">
        <f t="shared" si="62"/>
        <v>8</v>
      </c>
      <c r="W1027" s="13" t="str">
        <f t="shared" si="63"/>
        <v>Lang-22</v>
      </c>
      <c r="Y1027"/>
    </row>
    <row r="1028" spans="1:25" ht="15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61"/>
        <v>TBar</v>
      </c>
      <c r="P1028" s="13" t="str">
        <f t="shared" si="59"/>
        <v>True Pattern</v>
      </c>
      <c r="Q1028" s="13" t="str">
        <f t="shared" si="60"/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f t="shared" si="62"/>
        <v>2</v>
      </c>
      <c r="W1028" s="13" t="str">
        <f t="shared" si="63"/>
        <v>Lang-24</v>
      </c>
      <c r="Y1028"/>
    </row>
    <row r="1029" spans="1:25" ht="15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61"/>
        <v>TBar</v>
      </c>
      <c r="P1029" s="13" t="str">
        <f t="shared" si="59"/>
        <v>True Pattern</v>
      </c>
      <c r="Q1029" s="13" t="str">
        <f t="shared" si="60"/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f t="shared" si="62"/>
        <v>2</v>
      </c>
      <c r="W1029" s="13" t="str">
        <f t="shared" si="63"/>
        <v>Lang-26</v>
      </c>
      <c r="Y1029"/>
    </row>
    <row r="1030" spans="1:25" ht="15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61"/>
        <v>TBar</v>
      </c>
      <c r="P1030" s="13" t="str">
        <f t="shared" si="59"/>
        <v>True Pattern</v>
      </c>
      <c r="Q1030" s="13" t="str">
        <f t="shared" si="60"/>
        <v>Fixed</v>
      </c>
      <c r="R1030" s="13" t="s">
        <v>1669</v>
      </c>
      <c r="S1030" s="25">
        <v>2</v>
      </c>
      <c r="T1030" s="25">
        <v>1</v>
      </c>
      <c r="U1030" s="25">
        <v>4</v>
      </c>
      <c r="V1030" s="13">
        <f t="shared" si="62"/>
        <v>5</v>
      </c>
      <c r="W1030" s="13" t="str">
        <f t="shared" si="63"/>
        <v>Lang-27</v>
      </c>
      <c r="Y1030"/>
    </row>
    <row r="1031" spans="1:25" ht="15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61"/>
        <v>TBar</v>
      </c>
      <c r="P1031" s="13" t="str">
        <f t="shared" si="59"/>
        <v>True Pattern</v>
      </c>
      <c r="Q1031" s="13" t="str">
        <f t="shared" si="60"/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f t="shared" si="62"/>
        <v>2</v>
      </c>
      <c r="W1031" s="13" t="str">
        <f t="shared" si="63"/>
        <v>Lang-33</v>
      </c>
      <c r="Y1031"/>
    </row>
    <row r="1032" spans="1:25" ht="15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61"/>
        <v>TBar</v>
      </c>
      <c r="P1032" s="13" t="str">
        <f t="shared" si="59"/>
        <v>True Pattern</v>
      </c>
      <c r="Q1032" s="13" t="str">
        <f t="shared" si="60"/>
        <v>Fixed</v>
      </c>
      <c r="R1032" s="13" t="s">
        <v>1668</v>
      </c>
      <c r="S1032" s="25">
        <v>1</v>
      </c>
      <c r="T1032" s="13">
        <v>0</v>
      </c>
      <c r="U1032" s="25">
        <v>3</v>
      </c>
      <c r="V1032" s="13">
        <f t="shared" si="62"/>
        <v>3</v>
      </c>
      <c r="W1032" s="13" t="str">
        <f t="shared" si="63"/>
        <v>Lang-39</v>
      </c>
      <c r="Y1032"/>
    </row>
    <row r="1033" spans="1:25" ht="15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61"/>
        <v>TBar</v>
      </c>
      <c r="P1033" s="13" t="str">
        <f t="shared" si="59"/>
        <v>True Pattern</v>
      </c>
      <c r="Q1033" s="13" t="str">
        <f t="shared" si="60"/>
        <v>Fixed</v>
      </c>
      <c r="R1033" s="13" t="s">
        <v>1669</v>
      </c>
      <c r="S1033" s="25">
        <v>8</v>
      </c>
      <c r="T1033" s="25">
        <v>2</v>
      </c>
      <c r="U1033" s="25">
        <v>21</v>
      </c>
      <c r="V1033" s="13">
        <f t="shared" si="62"/>
        <v>23</v>
      </c>
      <c r="W1033" s="13" t="str">
        <f t="shared" si="63"/>
        <v>Lang-41</v>
      </c>
      <c r="Y1033"/>
    </row>
    <row r="1034" spans="1:25" ht="15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61"/>
        <v>TBar</v>
      </c>
      <c r="P1034" s="13" t="str">
        <f t="shared" ref="P1034:P1097" si="64"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 t="shared" si="60"/>
        <v>Fixed</v>
      </c>
      <c r="R1034" s="13" t="s">
        <v>1669</v>
      </c>
      <c r="S1034" s="25">
        <v>1</v>
      </c>
      <c r="T1034" s="13">
        <v>0</v>
      </c>
      <c r="U1034" s="25">
        <v>1</v>
      </c>
      <c r="V1034" s="13">
        <f t="shared" si="62"/>
        <v>1</v>
      </c>
      <c r="W1034" s="13" t="str">
        <f t="shared" si="63"/>
        <v>Lang-43</v>
      </c>
      <c r="Y1034"/>
    </row>
    <row r="1035" spans="1:25" ht="15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61"/>
        <v>TBar</v>
      </c>
      <c r="P1035" s="13" t="str">
        <f t="shared" si="64"/>
        <v>True Pattern</v>
      </c>
      <c r="Q1035" s="13" t="str">
        <f t="shared" si="60"/>
        <v>Fixed</v>
      </c>
      <c r="R1035" s="13" t="s">
        <v>1669</v>
      </c>
      <c r="S1035" s="25">
        <v>1</v>
      </c>
      <c r="T1035" s="13">
        <v>0</v>
      </c>
      <c r="U1035" s="25">
        <v>3</v>
      </c>
      <c r="V1035" s="13">
        <f t="shared" si="62"/>
        <v>3</v>
      </c>
      <c r="W1035" s="13" t="str">
        <f t="shared" si="63"/>
        <v>Lang-44</v>
      </c>
      <c r="Y1035"/>
    </row>
    <row r="1036" spans="1:25" ht="15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61"/>
        <v>TBar</v>
      </c>
      <c r="P1036" s="13" t="str">
        <f t="shared" si="64"/>
        <v>True Pattern</v>
      </c>
      <c r="Q1036" s="13" t="str">
        <f t="shared" si="60"/>
        <v>Fixed</v>
      </c>
      <c r="R1036" s="13" t="s">
        <v>1669</v>
      </c>
      <c r="S1036" s="25">
        <v>1</v>
      </c>
      <c r="T1036" s="13">
        <v>0</v>
      </c>
      <c r="U1036" s="25">
        <v>3</v>
      </c>
      <c r="V1036" s="13">
        <f t="shared" si="62"/>
        <v>3</v>
      </c>
      <c r="W1036" s="13" t="str">
        <f t="shared" si="63"/>
        <v>Lang-45</v>
      </c>
      <c r="Y1036"/>
    </row>
    <row r="1037" spans="1:25" ht="15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61"/>
        <v>TBar</v>
      </c>
      <c r="P1037" s="13" t="str">
        <f t="shared" si="64"/>
        <v>True Pattern</v>
      </c>
      <c r="Q1037" s="13" t="str">
        <f t="shared" si="60"/>
        <v>Fixed</v>
      </c>
      <c r="R1037" s="13" t="s">
        <v>1668</v>
      </c>
      <c r="S1037" s="25">
        <v>2</v>
      </c>
      <c r="T1037" s="13">
        <v>0</v>
      </c>
      <c r="U1037" s="25">
        <v>6</v>
      </c>
      <c r="V1037" s="13">
        <f t="shared" si="62"/>
        <v>6</v>
      </c>
      <c r="W1037" s="13" t="str">
        <f t="shared" si="63"/>
        <v>Lang-47</v>
      </c>
      <c r="Y1037"/>
    </row>
    <row r="1038" spans="1:25" ht="15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61"/>
        <v>TBar</v>
      </c>
      <c r="P1038" s="13" t="str">
        <f t="shared" si="64"/>
        <v>True Pattern</v>
      </c>
      <c r="Q1038" s="13" t="str">
        <f t="shared" si="60"/>
        <v>Fixed</v>
      </c>
      <c r="R1038" s="13" t="s">
        <v>1669</v>
      </c>
      <c r="S1038" s="25">
        <v>6</v>
      </c>
      <c r="T1038" s="25">
        <v>10</v>
      </c>
      <c r="U1038" s="25">
        <v>6</v>
      </c>
      <c r="V1038" s="13">
        <f t="shared" si="62"/>
        <v>16</v>
      </c>
      <c r="W1038" s="13" t="str">
        <f t="shared" si="63"/>
        <v>Lang-50</v>
      </c>
      <c r="Y1038"/>
    </row>
    <row r="1039" spans="1:25" ht="15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61"/>
        <v>TBar</v>
      </c>
      <c r="P1039" s="13" t="str">
        <f t="shared" si="64"/>
        <v>True Pattern</v>
      </c>
      <c r="Q1039" s="13" t="str">
        <f t="shared" si="60"/>
        <v>Fixed</v>
      </c>
      <c r="R1039" s="13" t="s">
        <v>1668</v>
      </c>
      <c r="S1039" s="25">
        <v>1</v>
      </c>
      <c r="T1039" s="13">
        <v>0</v>
      </c>
      <c r="U1039" s="25">
        <v>1</v>
      </c>
      <c r="V1039" s="13">
        <f t="shared" si="62"/>
        <v>1</v>
      </c>
      <c r="W1039" s="13" t="str">
        <f t="shared" si="63"/>
        <v>Lang-51</v>
      </c>
      <c r="Y1039"/>
    </row>
    <row r="1040" spans="1:25" ht="15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61"/>
        <v>TBar</v>
      </c>
      <c r="P1040" s="13" t="str">
        <f t="shared" si="64"/>
        <v>True Pattern</v>
      </c>
      <c r="Q1040" s="13" t="str">
        <f t="shared" si="60"/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f t="shared" si="62"/>
        <v>2</v>
      </c>
      <c r="W1040" s="13" t="str">
        <f t="shared" si="63"/>
        <v>Lang-57</v>
      </c>
      <c r="Y1040"/>
    </row>
    <row r="1041" spans="1:25" ht="15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61"/>
        <v>TBar</v>
      </c>
      <c r="P1041" s="13" t="str">
        <f t="shared" si="64"/>
        <v>True Pattern</v>
      </c>
      <c r="Q1041" s="13" t="str">
        <f t="shared" si="60"/>
        <v>Fixed</v>
      </c>
      <c r="R1041" s="13" t="s">
        <v>1669</v>
      </c>
      <c r="S1041" s="25">
        <v>1</v>
      </c>
      <c r="T1041" s="25">
        <v>2</v>
      </c>
      <c r="U1041" s="25">
        <v>1</v>
      </c>
      <c r="V1041" s="13">
        <f t="shared" si="62"/>
        <v>3</v>
      </c>
      <c r="W1041" s="13" t="str">
        <f t="shared" si="63"/>
        <v>Lang-58</v>
      </c>
      <c r="Y1041"/>
    </row>
    <row r="1042" spans="1:25" ht="15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61"/>
        <v>TBar</v>
      </c>
      <c r="P1042" s="13" t="str">
        <f t="shared" si="64"/>
        <v>True Pattern</v>
      </c>
      <c r="Q1042" s="13" t="str">
        <f t="shared" si="60"/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f t="shared" si="62"/>
        <v>2</v>
      </c>
      <c r="W1042" s="13" t="str">
        <f t="shared" si="63"/>
        <v>Lang-59</v>
      </c>
      <c r="Y1042"/>
    </row>
    <row r="1043" spans="1:25" ht="15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61"/>
        <v>TBar</v>
      </c>
      <c r="P1043" s="13" t="str">
        <f t="shared" si="64"/>
        <v>True Pattern</v>
      </c>
      <c r="Q1043" s="13" t="str">
        <f t="shared" si="60"/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f t="shared" si="62"/>
        <v>2</v>
      </c>
      <c r="W1043" s="13" t="str">
        <f t="shared" si="63"/>
        <v>Lang-6</v>
      </c>
      <c r="Y1043"/>
    </row>
    <row r="1044" spans="1:25" ht="15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61"/>
        <v>TBar</v>
      </c>
      <c r="P1044" s="13" t="str">
        <f t="shared" si="64"/>
        <v>True Pattern</v>
      </c>
      <c r="Q1044" s="13" t="str">
        <f t="shared" si="60"/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f t="shared" si="62"/>
        <v>4</v>
      </c>
      <c r="W1044" s="13" t="str">
        <f t="shared" si="63"/>
        <v>Lang-60</v>
      </c>
      <c r="Y1044"/>
    </row>
    <row r="1045" spans="1:25" ht="15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61"/>
        <v>TBar</v>
      </c>
      <c r="P1045" s="13" t="str">
        <f t="shared" si="64"/>
        <v>True Pattern</v>
      </c>
      <c r="Q1045" s="13" t="str">
        <f t="shared" si="60"/>
        <v>Fixed</v>
      </c>
      <c r="R1045" s="13" t="s">
        <v>1669</v>
      </c>
      <c r="S1045" s="25">
        <v>4</v>
      </c>
      <c r="T1045" s="25">
        <v>20</v>
      </c>
      <c r="U1045" s="25">
        <v>3</v>
      </c>
      <c r="V1045" s="13">
        <f t="shared" si="62"/>
        <v>23</v>
      </c>
      <c r="W1045" s="13" t="str">
        <f t="shared" si="63"/>
        <v>Lang-63</v>
      </c>
      <c r="Y1045"/>
    </row>
    <row r="1046" spans="1:25" ht="15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61"/>
        <v>TBar</v>
      </c>
      <c r="P1046" s="13" t="str">
        <f t="shared" si="64"/>
        <v>True Pattern</v>
      </c>
      <c r="Q1046" s="13" t="str">
        <f t="shared" ref="Q1046:Q1109" si="65"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f t="shared" si="62"/>
        <v>6</v>
      </c>
      <c r="W1046" s="13" t="str">
        <f t="shared" si="63"/>
        <v>Lang-7</v>
      </c>
      <c r="Y1046"/>
    </row>
    <row r="1047" spans="1:25" ht="15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ref="O1047:O1110" si="66">LEFT($A1047,FIND("_",$A1047)-1)</f>
        <v>TBar</v>
      </c>
      <c r="P1047" s="13" t="str">
        <f t="shared" si="64"/>
        <v>True Pattern</v>
      </c>
      <c r="Q1047" s="13" t="str">
        <f t="shared" si="65"/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f t="shared" si="62"/>
        <v>2</v>
      </c>
      <c r="W1047" s="13" t="str">
        <f t="shared" si="63"/>
        <v>Math-11</v>
      </c>
      <c r="Y1047"/>
    </row>
    <row r="1048" spans="1:25" ht="15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si="66"/>
        <v>TBar</v>
      </c>
      <c r="P1048" s="13" t="str">
        <f t="shared" si="64"/>
        <v>True Pattern</v>
      </c>
      <c r="Q1048" s="13" t="str">
        <f t="shared" si="65"/>
        <v>Fixed</v>
      </c>
      <c r="R1048" s="13" t="s">
        <v>1669</v>
      </c>
      <c r="S1048" s="25">
        <v>2</v>
      </c>
      <c r="T1048" s="25">
        <v>1</v>
      </c>
      <c r="U1048" s="25">
        <v>2</v>
      </c>
      <c r="V1048" s="13">
        <f t="shared" si="62"/>
        <v>3</v>
      </c>
      <c r="W1048" s="13" t="str">
        <f t="shared" si="63"/>
        <v>Math-15</v>
      </c>
      <c r="Y1048"/>
    </row>
    <row r="1049" spans="1:25" ht="15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66"/>
        <v>TBar</v>
      </c>
      <c r="P1049" s="13" t="str">
        <f t="shared" si="64"/>
        <v>True Pattern</v>
      </c>
      <c r="Q1049" s="13" t="str">
        <f t="shared" si="65"/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f t="shared" si="62"/>
        <v>2</v>
      </c>
      <c r="W1049" s="13" t="str">
        <f t="shared" si="63"/>
        <v>Math-2</v>
      </c>
      <c r="Y1049"/>
    </row>
    <row r="1050" spans="1:25" ht="15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66"/>
        <v>TBar</v>
      </c>
      <c r="P1050" s="13" t="str">
        <f t="shared" si="64"/>
        <v>True Pattern</v>
      </c>
      <c r="Q1050" s="13" t="str">
        <f t="shared" si="65"/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f t="shared" si="62"/>
        <v>2</v>
      </c>
      <c r="W1050" s="13" t="str">
        <f t="shared" si="63"/>
        <v>Math-5</v>
      </c>
      <c r="Y1050"/>
    </row>
    <row r="1051" spans="1:25" ht="15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66"/>
        <v>TBar</v>
      </c>
      <c r="P1051" s="13" t="str">
        <f t="shared" si="64"/>
        <v>True Pattern</v>
      </c>
      <c r="Q1051" s="13" t="str">
        <f t="shared" si="65"/>
        <v>Fixed</v>
      </c>
      <c r="R1051" s="13" t="s">
        <v>1669</v>
      </c>
      <c r="S1051" s="25">
        <v>1</v>
      </c>
      <c r="T1051" s="25">
        <v>4</v>
      </c>
      <c r="U1051" s="13">
        <v>0</v>
      </c>
      <c r="V1051" s="13">
        <f t="shared" si="62"/>
        <v>4</v>
      </c>
      <c r="W1051" s="13" t="str">
        <f t="shared" si="63"/>
        <v>Math-50</v>
      </c>
      <c r="Y1051"/>
    </row>
    <row r="1052" spans="1:25" ht="15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66"/>
        <v>TBar</v>
      </c>
      <c r="P1052" s="13" t="str">
        <f t="shared" si="64"/>
        <v>True Pattern</v>
      </c>
      <c r="Q1052" s="13" t="str">
        <f t="shared" si="65"/>
        <v>Fixed</v>
      </c>
      <c r="R1052" s="13" t="s">
        <v>1669</v>
      </c>
      <c r="S1052" s="25">
        <v>3</v>
      </c>
      <c r="T1052" s="25">
        <v>3</v>
      </c>
      <c r="U1052" s="25">
        <v>4</v>
      </c>
      <c r="V1052" s="13">
        <f t="shared" si="62"/>
        <v>7</v>
      </c>
      <c r="W1052" s="13" t="str">
        <f t="shared" si="63"/>
        <v>Math-52</v>
      </c>
      <c r="Y1052"/>
    </row>
    <row r="1053" spans="1:25" ht="15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66"/>
        <v>TBar</v>
      </c>
      <c r="P1053" s="13" t="str">
        <f t="shared" si="64"/>
        <v>True Pattern</v>
      </c>
      <c r="Q1053" s="13" t="str">
        <f t="shared" si="65"/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f t="shared" si="62"/>
        <v>2</v>
      </c>
      <c r="W1053" s="13" t="str">
        <f t="shared" si="63"/>
        <v>Math-57</v>
      </c>
      <c r="Y1053"/>
    </row>
    <row r="1054" spans="1:25" ht="15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66"/>
        <v>TBar</v>
      </c>
      <c r="P1054" s="13" t="str">
        <f t="shared" si="64"/>
        <v>True Pattern</v>
      </c>
      <c r="Q1054" s="13" t="str">
        <f t="shared" si="65"/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f t="shared" si="62"/>
        <v>2</v>
      </c>
      <c r="W1054" s="13" t="str">
        <f t="shared" si="63"/>
        <v>Math-58</v>
      </c>
      <c r="Y1054"/>
    </row>
    <row r="1055" spans="1:25" ht="15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66"/>
        <v>TBar</v>
      </c>
      <c r="P1055" s="13" t="str">
        <f t="shared" si="64"/>
        <v>True Pattern</v>
      </c>
      <c r="Q1055" s="13" t="str">
        <f t="shared" si="65"/>
        <v>Fixed</v>
      </c>
      <c r="R1055" s="13" t="s">
        <v>1669</v>
      </c>
      <c r="S1055" s="25">
        <v>2</v>
      </c>
      <c r="T1055" s="25">
        <v>4</v>
      </c>
      <c r="U1055" s="25">
        <v>3</v>
      </c>
      <c r="V1055" s="13">
        <f t="shared" si="62"/>
        <v>7</v>
      </c>
      <c r="W1055" s="13" t="str">
        <f t="shared" si="63"/>
        <v>Math-62</v>
      </c>
      <c r="Y1055"/>
    </row>
    <row r="1056" spans="1:25" ht="15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66"/>
        <v>TBar</v>
      </c>
      <c r="P1056" s="13" t="str">
        <f t="shared" si="64"/>
        <v>True Pattern</v>
      </c>
      <c r="Q1056" s="13" t="str">
        <f t="shared" si="65"/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f t="shared" si="62"/>
        <v>2</v>
      </c>
      <c r="W1056" s="13" t="str">
        <f t="shared" si="63"/>
        <v>Math-63</v>
      </c>
      <c r="Y1056"/>
    </row>
    <row r="1057" spans="1:25" ht="1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66"/>
        <v>TBar</v>
      </c>
      <c r="P1057" s="13" t="str">
        <f t="shared" si="64"/>
        <v>True Pattern</v>
      </c>
      <c r="Q1057" s="13" t="str">
        <f t="shared" si="65"/>
        <v>Fixed</v>
      </c>
      <c r="R1057" s="13" t="s">
        <v>1668</v>
      </c>
      <c r="S1057" s="25">
        <v>2</v>
      </c>
      <c r="T1057" s="25">
        <v>7</v>
      </c>
      <c r="U1057" s="25">
        <v>2</v>
      </c>
      <c r="V1057" s="13">
        <f t="shared" si="62"/>
        <v>9</v>
      </c>
      <c r="W1057" s="13" t="str">
        <f t="shared" si="63"/>
        <v>Math-65</v>
      </c>
      <c r="Y1057"/>
    </row>
    <row r="1058" spans="1:25" ht="15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66"/>
        <v>TBar</v>
      </c>
      <c r="P1058" s="13" t="str">
        <f t="shared" si="64"/>
        <v>True Pattern</v>
      </c>
      <c r="Q1058" s="13" t="str">
        <f t="shared" si="65"/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f t="shared" si="62"/>
        <v>2</v>
      </c>
      <c r="W1058" s="13" t="str">
        <f t="shared" si="63"/>
        <v>Math-70</v>
      </c>
      <c r="Y1058"/>
    </row>
    <row r="1059" spans="1:25" ht="15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66"/>
        <v>TBar</v>
      </c>
      <c r="P1059" s="13" t="str">
        <f t="shared" si="64"/>
        <v>True Pattern</v>
      </c>
      <c r="Q1059" s="13" t="str">
        <f t="shared" si="65"/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f t="shared" si="62"/>
        <v>2</v>
      </c>
      <c r="W1059" s="13" t="str">
        <f t="shared" si="63"/>
        <v>Math-75</v>
      </c>
      <c r="Y1059"/>
    </row>
    <row r="1060" spans="1:25" ht="15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66"/>
        <v>TBar</v>
      </c>
      <c r="P1060" s="13" t="str">
        <f t="shared" si="64"/>
        <v>True Pattern</v>
      </c>
      <c r="Q1060" s="13" t="str">
        <f t="shared" si="65"/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f t="shared" si="62"/>
        <v>4</v>
      </c>
      <c r="W1060" s="13" t="str">
        <f t="shared" si="63"/>
        <v>Math-79</v>
      </c>
      <c r="Y1060"/>
    </row>
    <row r="1061" spans="1:25" ht="15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66"/>
        <v>TBar</v>
      </c>
      <c r="P1061" s="13" t="str">
        <f t="shared" si="64"/>
        <v>True Pattern</v>
      </c>
      <c r="Q1061" s="13" t="str">
        <f t="shared" si="65"/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f t="shared" si="62"/>
        <v>4</v>
      </c>
      <c r="W1061" s="13" t="str">
        <f t="shared" si="63"/>
        <v>Math-8</v>
      </c>
      <c r="Y1061"/>
    </row>
    <row r="1062" spans="1:25" ht="15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66"/>
        <v>TBar</v>
      </c>
      <c r="P1062" s="13" t="str">
        <f t="shared" si="64"/>
        <v>True Pattern</v>
      </c>
      <c r="Q1062" s="13" t="str">
        <f t="shared" si="65"/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f t="shared" ref="V1062:V1125" si="67">T1062+U1062</f>
        <v>2</v>
      </c>
      <c r="W1062" s="13" t="str">
        <f t="shared" ref="W1062:W1125" si="68">MID(A1062, SEARCH("_", A1062) +1, SEARCH("_", A1062, SEARCH("_", A1062) +1) - SEARCH("_", A1062) -1)</f>
        <v>Math-80</v>
      </c>
      <c r="Y1062"/>
    </row>
    <row r="1063" spans="1:25" ht="15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66"/>
        <v>TBar</v>
      </c>
      <c r="P1063" s="13" t="str">
        <f t="shared" si="64"/>
        <v>True Pattern</v>
      </c>
      <c r="Q1063" s="13" t="str">
        <f t="shared" si="65"/>
        <v>Fixed</v>
      </c>
      <c r="R1063" s="13" t="s">
        <v>1669</v>
      </c>
      <c r="S1063" s="25">
        <v>3</v>
      </c>
      <c r="T1063" s="25">
        <v>3</v>
      </c>
      <c r="U1063" s="25">
        <v>4</v>
      </c>
      <c r="V1063" s="13">
        <f t="shared" si="67"/>
        <v>7</v>
      </c>
      <c r="W1063" s="13" t="str">
        <f t="shared" si="68"/>
        <v>Math-81</v>
      </c>
      <c r="Y1063"/>
    </row>
    <row r="1064" spans="1:25" ht="15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66"/>
        <v>TBar</v>
      </c>
      <c r="P1064" s="13" t="str">
        <f t="shared" si="64"/>
        <v>True Pattern</v>
      </c>
      <c r="Q1064" s="13" t="str">
        <f t="shared" si="65"/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f t="shared" si="67"/>
        <v>2</v>
      </c>
      <c r="W1064" s="13" t="str">
        <f t="shared" si="68"/>
        <v>Math-82</v>
      </c>
      <c r="Y1064"/>
    </row>
    <row r="1065" spans="1:25" ht="15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66"/>
        <v>TBar</v>
      </c>
      <c r="P1065" s="13" t="str">
        <f t="shared" si="64"/>
        <v>True Pattern</v>
      </c>
      <c r="Q1065" s="13" t="str">
        <f t="shared" si="65"/>
        <v>Fixed</v>
      </c>
      <c r="R1065" s="13" t="s">
        <v>1669</v>
      </c>
      <c r="S1065" s="25">
        <v>3</v>
      </c>
      <c r="T1065" s="13">
        <v>0</v>
      </c>
      <c r="U1065" s="25">
        <v>9</v>
      </c>
      <c r="V1065" s="13">
        <f t="shared" si="67"/>
        <v>9</v>
      </c>
      <c r="W1065" s="13" t="str">
        <f t="shared" si="68"/>
        <v>Math-84</v>
      </c>
      <c r="Y1065"/>
    </row>
    <row r="1066" spans="1:25" ht="15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66"/>
        <v>TBar</v>
      </c>
      <c r="P1066" s="13" t="str">
        <f t="shared" si="64"/>
        <v>True Pattern</v>
      </c>
      <c r="Q1066" s="13" t="str">
        <f t="shared" si="65"/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f t="shared" si="67"/>
        <v>2</v>
      </c>
      <c r="W1066" s="13" t="str">
        <f t="shared" si="68"/>
        <v>Math-85</v>
      </c>
      <c r="Y1066"/>
    </row>
    <row r="1067" spans="1:25" ht="15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66"/>
        <v>TBar</v>
      </c>
      <c r="P1067" s="13" t="str">
        <f t="shared" si="64"/>
        <v>True Pattern</v>
      </c>
      <c r="Q1067" s="13" t="str">
        <f t="shared" si="65"/>
        <v>Fixed</v>
      </c>
      <c r="R1067" s="13" t="s">
        <v>1669</v>
      </c>
      <c r="S1067" s="25">
        <v>4</v>
      </c>
      <c r="T1067" s="25">
        <v>6</v>
      </c>
      <c r="U1067" s="25">
        <v>5</v>
      </c>
      <c r="V1067" s="13">
        <f t="shared" si="67"/>
        <v>11</v>
      </c>
      <c r="W1067" s="13" t="str">
        <f t="shared" si="68"/>
        <v>Math-88</v>
      </c>
      <c r="Y1067"/>
    </row>
    <row r="1068" spans="1:25" ht="15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66"/>
        <v>TBar</v>
      </c>
      <c r="P1068" s="13" t="str">
        <f t="shared" si="64"/>
        <v>True Pattern</v>
      </c>
      <c r="Q1068" s="13" t="str">
        <f t="shared" si="65"/>
        <v>Fixed</v>
      </c>
      <c r="R1068" s="13" t="s">
        <v>1668</v>
      </c>
      <c r="S1068" s="25">
        <v>2</v>
      </c>
      <c r="T1068" s="13">
        <v>0</v>
      </c>
      <c r="U1068" s="25">
        <v>4</v>
      </c>
      <c r="V1068" s="13">
        <f t="shared" si="67"/>
        <v>4</v>
      </c>
      <c r="W1068" s="13" t="str">
        <f t="shared" si="68"/>
        <v>Math-89</v>
      </c>
      <c r="Y1068"/>
    </row>
    <row r="1069" spans="1:25" ht="15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66"/>
        <v>TBar</v>
      </c>
      <c r="P1069" s="13" t="str">
        <f t="shared" si="64"/>
        <v>True Pattern</v>
      </c>
      <c r="Q1069" s="13" t="str">
        <f t="shared" si="65"/>
        <v>Fixed</v>
      </c>
      <c r="R1069" s="13" t="s">
        <v>1669</v>
      </c>
      <c r="S1069" s="25">
        <v>3</v>
      </c>
      <c r="T1069" s="25">
        <v>1</v>
      </c>
      <c r="U1069" s="25">
        <v>3</v>
      </c>
      <c r="V1069" s="13">
        <f t="shared" si="67"/>
        <v>4</v>
      </c>
      <c r="W1069" s="13" t="str">
        <f t="shared" si="68"/>
        <v>Math-95</v>
      </c>
      <c r="Y1069"/>
    </row>
    <row r="1070" spans="1:25" ht="15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66"/>
        <v>TBar</v>
      </c>
      <c r="P1070" s="13" t="str">
        <f t="shared" si="64"/>
        <v>True Pattern</v>
      </c>
      <c r="Q1070" s="13" t="str">
        <f t="shared" si="65"/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f t="shared" si="67"/>
        <v>2</v>
      </c>
      <c r="W1070" s="13" t="str">
        <f t="shared" si="68"/>
        <v>Math-96</v>
      </c>
      <c r="Y1070"/>
    </row>
    <row r="1071" spans="1:25" ht="15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66"/>
        <v>TBar</v>
      </c>
      <c r="P1071" s="13" t="str">
        <f t="shared" si="64"/>
        <v>True Pattern</v>
      </c>
      <c r="Q1071" s="13" t="str">
        <f t="shared" si="65"/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f t="shared" si="67"/>
        <v>2</v>
      </c>
      <c r="W1071" s="13" t="str">
        <f t="shared" si="68"/>
        <v>Mockito-26</v>
      </c>
      <c r="Y1071"/>
    </row>
    <row r="1072" spans="1:25" ht="15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66"/>
        <v>TBar</v>
      </c>
      <c r="P1072" s="13" t="str">
        <f t="shared" si="64"/>
        <v>True Pattern</v>
      </c>
      <c r="Q1072" s="13" t="str">
        <f t="shared" si="65"/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f t="shared" si="67"/>
        <v>2</v>
      </c>
      <c r="W1072" s="13" t="str">
        <f t="shared" si="68"/>
        <v>Mockito-29</v>
      </c>
      <c r="Y1072"/>
    </row>
    <row r="1073" spans="1:25" ht="15.6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66"/>
        <v>TBar</v>
      </c>
      <c r="P1073" s="21" t="str">
        <f t="shared" si="64"/>
        <v>True Pattern</v>
      </c>
      <c r="Q1073" s="21" t="str">
        <f t="shared" si="65"/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f t="shared" si="67"/>
        <v>2</v>
      </c>
      <c r="W1073" s="21" t="str">
        <f t="shared" si="68"/>
        <v>Mockito-38</v>
      </c>
      <c r="Y1073"/>
    </row>
    <row r="1074" spans="1:2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66"/>
        <v>ACS</v>
      </c>
      <c r="P1074" s="13" t="str">
        <f t="shared" si="64"/>
        <v>True Search</v>
      </c>
      <c r="Q1074" s="18" t="str">
        <f t="shared" si="65"/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f t="shared" si="67"/>
        <v>4</v>
      </c>
      <c r="W1074" s="18" t="str">
        <f t="shared" si="68"/>
        <v>Chart-19</v>
      </c>
    </row>
    <row r="1075" spans="1:2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66"/>
        <v>ACS</v>
      </c>
      <c r="P1075" s="13" t="str">
        <f t="shared" si="64"/>
        <v>True Search</v>
      </c>
      <c r="Q1075" s="13" t="str">
        <f t="shared" si="65"/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f t="shared" si="67"/>
        <v>2</v>
      </c>
      <c r="W1075" s="13" t="str">
        <f t="shared" si="68"/>
        <v>Lang-24</v>
      </c>
    </row>
    <row r="1076" spans="1:2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66"/>
        <v>ACS</v>
      </c>
      <c r="P1076" s="13" t="str">
        <f t="shared" si="64"/>
        <v>True Search</v>
      </c>
      <c r="Q1076" s="13" t="str">
        <f t="shared" si="65"/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f t="shared" si="67"/>
        <v>4</v>
      </c>
      <c r="W1076" s="13" t="str">
        <f t="shared" si="68"/>
        <v>Lang-35</v>
      </c>
    </row>
    <row r="1077" spans="1:2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66"/>
        <v>ACS</v>
      </c>
      <c r="P1077" s="13" t="str">
        <f t="shared" si="64"/>
        <v>True Search</v>
      </c>
      <c r="Q1077" s="13" t="str">
        <f t="shared" si="65"/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f t="shared" si="67"/>
        <v>2</v>
      </c>
      <c r="W1077" s="13" t="str">
        <f t="shared" si="68"/>
        <v>Lang-7</v>
      </c>
    </row>
    <row r="1078" spans="1:2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66"/>
        <v>ACS</v>
      </c>
      <c r="P1078" s="13" t="str">
        <f t="shared" si="64"/>
        <v>True Search</v>
      </c>
      <c r="Q1078" s="13" t="str">
        <f t="shared" si="65"/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f t="shared" si="67"/>
        <v>2</v>
      </c>
      <c r="W1078" s="13" t="str">
        <f t="shared" si="68"/>
        <v>Math-25</v>
      </c>
    </row>
    <row r="1079" spans="1:2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66"/>
        <v>ACS</v>
      </c>
      <c r="P1079" s="13" t="str">
        <f t="shared" si="64"/>
        <v>True Search</v>
      </c>
      <c r="Q1079" s="13" t="str">
        <f t="shared" si="65"/>
        <v>Repaired</v>
      </c>
      <c r="R1079" s="13" t="s">
        <v>1669</v>
      </c>
      <c r="S1079" s="25">
        <v>1</v>
      </c>
      <c r="T1079" s="25">
        <v>2</v>
      </c>
      <c r="U1079" s="25">
        <v>1</v>
      </c>
      <c r="V1079" s="13">
        <f t="shared" si="67"/>
        <v>3</v>
      </c>
      <c r="W1079" s="13" t="str">
        <f t="shared" si="68"/>
        <v>Math-28</v>
      </c>
    </row>
    <row r="1080" spans="1:2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66"/>
        <v>ACS</v>
      </c>
      <c r="P1080" s="13" t="str">
        <f t="shared" si="64"/>
        <v>True Search</v>
      </c>
      <c r="Q1080" s="13" t="str">
        <f t="shared" si="65"/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f t="shared" si="67"/>
        <v>2</v>
      </c>
      <c r="W1080" s="13" t="str">
        <f t="shared" si="68"/>
        <v>Math-3</v>
      </c>
    </row>
    <row r="1081" spans="1:2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66"/>
        <v>ACS</v>
      </c>
      <c r="P1081" s="13" t="str">
        <f t="shared" si="64"/>
        <v>True Search</v>
      </c>
      <c r="Q1081" s="13" t="str">
        <f t="shared" si="65"/>
        <v>Repaired</v>
      </c>
      <c r="R1081" s="13" t="s">
        <v>1668</v>
      </c>
      <c r="S1081" s="25">
        <v>2</v>
      </c>
      <c r="T1081" s="13">
        <v>0</v>
      </c>
      <c r="U1081" s="25">
        <v>4</v>
      </c>
      <c r="V1081" s="13">
        <f t="shared" si="67"/>
        <v>4</v>
      </c>
      <c r="W1081" s="13" t="str">
        <f t="shared" si="68"/>
        <v>Math-35</v>
      </c>
    </row>
    <row r="1082" spans="1:2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66"/>
        <v>ACS</v>
      </c>
      <c r="P1082" s="13" t="str">
        <f t="shared" si="64"/>
        <v>True Search</v>
      </c>
      <c r="Q1082" s="13" t="str">
        <f t="shared" si="65"/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f t="shared" si="67"/>
        <v>2</v>
      </c>
      <c r="W1082" s="13" t="str">
        <f t="shared" si="68"/>
        <v>Math-5</v>
      </c>
    </row>
    <row r="1083" spans="1:2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66"/>
        <v>ACS</v>
      </c>
      <c r="P1083" s="13" t="str">
        <f t="shared" si="64"/>
        <v>True Search</v>
      </c>
      <c r="Q1083" s="13" t="str">
        <f t="shared" si="65"/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f t="shared" si="67"/>
        <v>2</v>
      </c>
      <c r="W1083" s="13" t="str">
        <f t="shared" si="68"/>
        <v>Math-73</v>
      </c>
    </row>
    <row r="1084" spans="1:2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66"/>
        <v>ACS</v>
      </c>
      <c r="P1084" s="13" t="str">
        <f t="shared" si="64"/>
        <v>True Search</v>
      </c>
      <c r="Q1084" s="13" t="str">
        <f t="shared" si="65"/>
        <v>Repaired</v>
      </c>
      <c r="R1084" s="13" t="s">
        <v>1669</v>
      </c>
      <c r="S1084" s="25">
        <v>1</v>
      </c>
      <c r="T1084" s="25">
        <v>2</v>
      </c>
      <c r="U1084" s="25">
        <v>1</v>
      </c>
      <c r="V1084" s="13">
        <f t="shared" si="67"/>
        <v>3</v>
      </c>
      <c r="W1084" s="13" t="str">
        <f t="shared" si="68"/>
        <v>Math-81</v>
      </c>
    </row>
    <row r="1085" spans="1:2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66"/>
        <v>ACS</v>
      </c>
      <c r="P1085" s="13" t="str">
        <f t="shared" si="64"/>
        <v>True Search</v>
      </c>
      <c r="Q1085" s="13" t="str">
        <f t="shared" si="65"/>
        <v>Repaired</v>
      </c>
      <c r="R1085" s="13" t="s">
        <v>1668</v>
      </c>
      <c r="S1085" s="25">
        <v>1</v>
      </c>
      <c r="T1085" s="25">
        <v>2</v>
      </c>
      <c r="U1085" s="25">
        <v>1</v>
      </c>
      <c r="V1085" s="13">
        <f t="shared" si="67"/>
        <v>3</v>
      </c>
      <c r="W1085" s="13" t="str">
        <f t="shared" si="68"/>
        <v>Math-82</v>
      </c>
    </row>
    <row r="1086" spans="1:2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66"/>
        <v>ACS</v>
      </c>
      <c r="P1086" s="13" t="str">
        <f t="shared" si="64"/>
        <v>True Search</v>
      </c>
      <c r="Q1086" s="13" t="str">
        <f t="shared" si="65"/>
        <v>Repaired</v>
      </c>
      <c r="R1086" s="13" t="s">
        <v>1668</v>
      </c>
      <c r="S1086" s="25">
        <v>1</v>
      </c>
      <c r="T1086" s="25">
        <v>2</v>
      </c>
      <c r="U1086" s="25">
        <v>1</v>
      </c>
      <c r="V1086" s="13">
        <f t="shared" si="67"/>
        <v>3</v>
      </c>
      <c r="W1086" s="13" t="str">
        <f t="shared" si="68"/>
        <v>Math-85</v>
      </c>
    </row>
    <row r="1087" spans="1:2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66"/>
        <v>ACS</v>
      </c>
      <c r="P1087" s="13" t="str">
        <f t="shared" si="64"/>
        <v>True Search</v>
      </c>
      <c r="Q1087" s="13" t="str">
        <f t="shared" si="65"/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f t="shared" si="67"/>
        <v>2</v>
      </c>
      <c r="W1087" s="13" t="str">
        <f t="shared" si="68"/>
        <v>Math-89</v>
      </c>
    </row>
    <row r="1088" spans="1:2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66"/>
        <v>ACS</v>
      </c>
      <c r="P1088" s="13" t="str">
        <f t="shared" si="64"/>
        <v>True Search</v>
      </c>
      <c r="Q1088" s="13" t="str">
        <f t="shared" si="65"/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f t="shared" si="67"/>
        <v>2</v>
      </c>
      <c r="W1088" s="13" t="str">
        <f t="shared" si="68"/>
        <v>Math-90</v>
      </c>
    </row>
    <row r="1089" spans="1:23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66"/>
        <v>ACS</v>
      </c>
      <c r="P1089" s="13" t="str">
        <f t="shared" si="64"/>
        <v>True Search</v>
      </c>
      <c r="Q1089" s="13" t="str">
        <f t="shared" si="65"/>
        <v>Repaired</v>
      </c>
      <c r="R1089" s="13" t="s">
        <v>1669</v>
      </c>
      <c r="S1089" s="25">
        <v>2</v>
      </c>
      <c r="T1089" s="25">
        <v>1</v>
      </c>
      <c r="U1089" s="25">
        <v>8</v>
      </c>
      <c r="V1089" s="13">
        <f t="shared" si="67"/>
        <v>9</v>
      </c>
      <c r="W1089" s="13" t="str">
        <f t="shared" si="68"/>
        <v>Math-93</v>
      </c>
    </row>
    <row r="1090" spans="1:23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66"/>
        <v>ACS</v>
      </c>
      <c r="P1090" s="13" t="str">
        <f t="shared" si="64"/>
        <v>True Search</v>
      </c>
      <c r="Q1090" s="13" t="str">
        <f t="shared" si="65"/>
        <v>Repaired</v>
      </c>
      <c r="R1090" s="13" t="s">
        <v>1669</v>
      </c>
      <c r="S1090" s="25">
        <v>1</v>
      </c>
      <c r="T1090" s="25">
        <v>2</v>
      </c>
      <c r="U1090" s="25">
        <v>1</v>
      </c>
      <c r="V1090" s="13">
        <f t="shared" si="67"/>
        <v>3</v>
      </c>
      <c r="W1090" s="13" t="str">
        <f t="shared" si="68"/>
        <v>Math-97</v>
      </c>
    </row>
    <row r="1091" spans="1:23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66"/>
        <v>ACS</v>
      </c>
      <c r="P1091" s="13" t="str">
        <f t="shared" si="64"/>
        <v>True Search</v>
      </c>
      <c r="Q1091" s="13" t="str">
        <f t="shared" si="65"/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f t="shared" si="67"/>
        <v>4</v>
      </c>
      <c r="W1091" s="13" t="str">
        <f t="shared" si="68"/>
        <v>Math-99</v>
      </c>
    </row>
    <row r="1092" spans="1:23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66"/>
        <v>ACS</v>
      </c>
      <c r="P1092" s="13" t="str">
        <f t="shared" si="64"/>
        <v>True Search</v>
      </c>
      <c r="Q1092" s="13" t="str">
        <f t="shared" si="65"/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f t="shared" si="67"/>
        <v>2</v>
      </c>
      <c r="W1092" s="13" t="str">
        <f t="shared" si="68"/>
        <v>Time-15</v>
      </c>
    </row>
    <row r="1093" spans="1:23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66"/>
        <v>ARJA</v>
      </c>
      <c r="P1093" s="13" t="str">
        <f t="shared" si="64"/>
        <v>Evolutionary Search</v>
      </c>
      <c r="Q1093" s="13" t="str">
        <f t="shared" si="65"/>
        <v>Repaired</v>
      </c>
      <c r="R1093" s="13" t="s">
        <v>1669</v>
      </c>
      <c r="S1093" s="25">
        <v>1</v>
      </c>
      <c r="T1093" s="25">
        <v>3</v>
      </c>
      <c r="U1093" s="13">
        <v>0</v>
      </c>
      <c r="V1093" s="13">
        <f t="shared" si="67"/>
        <v>3</v>
      </c>
      <c r="W1093" s="13" t="str">
        <f t="shared" si="68"/>
        <v>Chart-1</v>
      </c>
    </row>
    <row r="1094" spans="1:23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66"/>
        <v>ARJA</v>
      </c>
      <c r="P1094" s="13" t="str">
        <f t="shared" si="64"/>
        <v>Evolutionary Search</v>
      </c>
      <c r="Q1094" s="13" t="str">
        <f t="shared" si="65"/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f t="shared" si="67"/>
        <v>2</v>
      </c>
      <c r="W1094" s="13" t="str">
        <f t="shared" si="68"/>
        <v>Chart-12</v>
      </c>
    </row>
    <row r="1095" spans="1:23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66"/>
        <v>ARJA</v>
      </c>
      <c r="P1095" s="13" t="str">
        <f t="shared" si="64"/>
        <v>Evolutionary Search</v>
      </c>
      <c r="Q1095" s="13" t="str">
        <f t="shared" si="65"/>
        <v>Repaired</v>
      </c>
      <c r="R1095" s="13" t="s">
        <v>1669</v>
      </c>
      <c r="S1095" s="25">
        <v>1</v>
      </c>
      <c r="T1095" s="25">
        <v>1</v>
      </c>
      <c r="U1095" s="25">
        <v>2</v>
      </c>
      <c r="V1095" s="13">
        <f t="shared" si="67"/>
        <v>3</v>
      </c>
      <c r="W1095" s="13" t="str">
        <f t="shared" si="68"/>
        <v>Chart-13</v>
      </c>
    </row>
    <row r="1096" spans="1:23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66"/>
        <v>ARJA</v>
      </c>
      <c r="P1096" s="13" t="str">
        <f t="shared" si="64"/>
        <v>Evolutionary Search</v>
      </c>
      <c r="Q1096" s="13" t="str">
        <f t="shared" si="65"/>
        <v>Repaired</v>
      </c>
      <c r="R1096" s="13" t="s">
        <v>1669</v>
      </c>
      <c r="S1096" s="25">
        <v>2</v>
      </c>
      <c r="T1096" s="25">
        <v>12</v>
      </c>
      <c r="U1096" s="25">
        <v>6</v>
      </c>
      <c r="V1096" s="13">
        <f t="shared" si="67"/>
        <v>18</v>
      </c>
      <c r="W1096" s="13" t="str">
        <f t="shared" si="68"/>
        <v>Chart-3</v>
      </c>
    </row>
    <row r="1097" spans="1:23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66"/>
        <v>ARJA</v>
      </c>
      <c r="P1097" s="13" t="str">
        <f t="shared" si="64"/>
        <v>Evolutionary Search</v>
      </c>
      <c r="Q1097" s="13" t="str">
        <f t="shared" si="65"/>
        <v>Repaired</v>
      </c>
      <c r="R1097" s="13" t="s">
        <v>1669</v>
      </c>
      <c r="S1097" s="25">
        <v>1</v>
      </c>
      <c r="T1097" s="25">
        <v>11</v>
      </c>
      <c r="U1097" s="25">
        <v>2</v>
      </c>
      <c r="V1097" s="13">
        <f t="shared" si="67"/>
        <v>13</v>
      </c>
      <c r="W1097" s="13" t="str">
        <f t="shared" si="68"/>
        <v>Chart-5</v>
      </c>
    </row>
    <row r="1098" spans="1:23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66"/>
        <v>ARJA</v>
      </c>
      <c r="P1098" s="13" t="str">
        <f t="shared" ref="P1098:P1161" si="69"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 t="shared" si="65"/>
        <v>Repaired</v>
      </c>
      <c r="R1098" s="13" t="s">
        <v>1669</v>
      </c>
      <c r="S1098" s="25">
        <v>1</v>
      </c>
      <c r="T1098" s="25">
        <v>1</v>
      </c>
      <c r="U1098" s="25">
        <v>2</v>
      </c>
      <c r="V1098" s="13">
        <f t="shared" si="67"/>
        <v>3</v>
      </c>
      <c r="W1098" s="13" t="str">
        <f t="shared" si="68"/>
        <v>Chart-7</v>
      </c>
    </row>
    <row r="1099" spans="1:23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66"/>
        <v>ARJA</v>
      </c>
      <c r="P1099" s="13" t="str">
        <f t="shared" si="69"/>
        <v>Evolutionary Search</v>
      </c>
      <c r="Q1099" s="13" t="str">
        <f t="shared" si="65"/>
        <v>Repaired</v>
      </c>
      <c r="R1099" s="13" t="s">
        <v>1669</v>
      </c>
      <c r="S1099" s="25">
        <v>2</v>
      </c>
      <c r="T1099" s="25">
        <v>43</v>
      </c>
      <c r="U1099" s="25">
        <v>3</v>
      </c>
      <c r="V1099" s="13">
        <f t="shared" si="67"/>
        <v>46</v>
      </c>
      <c r="W1099" s="13" t="str">
        <f t="shared" si="68"/>
        <v>Closure-112</v>
      </c>
    </row>
    <row r="1100" spans="1:23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66"/>
        <v>ARJA</v>
      </c>
      <c r="P1100" s="13" t="str">
        <f t="shared" si="69"/>
        <v>Evolutionary Search</v>
      </c>
      <c r="Q1100" s="13" t="str">
        <f t="shared" si="65"/>
        <v>Repaired</v>
      </c>
      <c r="R1100" s="13" t="s">
        <v>1669</v>
      </c>
      <c r="S1100" s="25">
        <v>1</v>
      </c>
      <c r="T1100" s="25">
        <v>16</v>
      </c>
      <c r="U1100" s="13">
        <v>0</v>
      </c>
      <c r="V1100" s="13">
        <f t="shared" si="67"/>
        <v>16</v>
      </c>
      <c r="W1100" s="13" t="str">
        <f t="shared" si="68"/>
        <v>Closure-114</v>
      </c>
    </row>
    <row r="1101" spans="1:23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66"/>
        <v>ARJA</v>
      </c>
      <c r="P1101" s="13" t="str">
        <f t="shared" si="69"/>
        <v>Evolutionary Search</v>
      </c>
      <c r="Q1101" s="13" t="str">
        <f t="shared" si="65"/>
        <v>Repaired</v>
      </c>
      <c r="R1101" s="13" t="s">
        <v>1668</v>
      </c>
      <c r="S1101" s="25">
        <v>1</v>
      </c>
      <c r="T1101" s="25">
        <v>3</v>
      </c>
      <c r="U1101" s="13">
        <v>0</v>
      </c>
      <c r="V1101" s="13">
        <f t="shared" si="67"/>
        <v>3</v>
      </c>
      <c r="W1101" s="13" t="str">
        <f t="shared" si="68"/>
        <v>Closure-115</v>
      </c>
    </row>
    <row r="1102" spans="1:23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66"/>
        <v>ARJA</v>
      </c>
      <c r="P1102" s="13" t="str">
        <f t="shared" si="69"/>
        <v>Evolutionary Search</v>
      </c>
      <c r="Q1102" s="13" t="str">
        <f t="shared" si="65"/>
        <v>Repaired</v>
      </c>
      <c r="R1102" s="13" t="s">
        <v>1669</v>
      </c>
      <c r="S1102" s="25">
        <v>1</v>
      </c>
      <c r="T1102" s="25">
        <v>28</v>
      </c>
      <c r="U1102" s="13">
        <v>0</v>
      </c>
      <c r="V1102" s="13">
        <f t="shared" si="67"/>
        <v>28</v>
      </c>
      <c r="W1102" s="13" t="str">
        <f t="shared" si="68"/>
        <v>Closure-117</v>
      </c>
    </row>
    <row r="1103" spans="1:23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66"/>
        <v>ARJA</v>
      </c>
      <c r="P1103" s="13" t="str">
        <f t="shared" si="69"/>
        <v>Evolutionary Search</v>
      </c>
      <c r="Q1103" s="13" t="str">
        <f t="shared" si="65"/>
        <v>Repaired</v>
      </c>
      <c r="R1103" s="13" t="s">
        <v>1669</v>
      </c>
      <c r="S1103" s="25">
        <v>1</v>
      </c>
      <c r="T1103" s="25">
        <v>1</v>
      </c>
      <c r="U1103" s="13">
        <v>0</v>
      </c>
      <c r="V1103" s="13">
        <f t="shared" si="67"/>
        <v>1</v>
      </c>
      <c r="W1103" s="13" t="str">
        <f t="shared" si="68"/>
        <v>Closure-124</v>
      </c>
    </row>
    <row r="1104" spans="1:23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66"/>
        <v>ARJA</v>
      </c>
      <c r="P1104" s="13" t="str">
        <f t="shared" si="69"/>
        <v>Evolutionary Search</v>
      </c>
      <c r="Q1104" s="13" t="str">
        <f t="shared" si="65"/>
        <v>Repaired</v>
      </c>
      <c r="R1104" s="13" t="s">
        <v>1669</v>
      </c>
      <c r="S1104" s="25">
        <v>1</v>
      </c>
      <c r="T1104" s="25">
        <v>6</v>
      </c>
      <c r="U1104" s="13">
        <v>0</v>
      </c>
      <c r="V1104" s="13">
        <f t="shared" si="67"/>
        <v>6</v>
      </c>
      <c r="W1104" s="13" t="str">
        <f t="shared" si="68"/>
        <v>Closure-125</v>
      </c>
    </row>
    <row r="1105" spans="1:23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66"/>
        <v>ARJA</v>
      </c>
      <c r="P1105" s="13" t="str">
        <f t="shared" si="69"/>
        <v>Evolutionary Search</v>
      </c>
      <c r="Q1105" s="13" t="str">
        <f t="shared" si="65"/>
        <v>Repaired</v>
      </c>
      <c r="R1105" s="13" t="s">
        <v>1669</v>
      </c>
      <c r="S1105" s="25">
        <v>1</v>
      </c>
      <c r="T1105" s="25">
        <v>1</v>
      </c>
      <c r="U1105" s="25">
        <v>2</v>
      </c>
      <c r="V1105" s="13">
        <f t="shared" si="67"/>
        <v>3</v>
      </c>
      <c r="W1105" s="13" t="str">
        <f t="shared" si="68"/>
        <v>Closure-21</v>
      </c>
    </row>
    <row r="1106" spans="1:23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66"/>
        <v>ARJA</v>
      </c>
      <c r="P1106" s="13" t="str">
        <f t="shared" si="69"/>
        <v>Evolutionary Search</v>
      </c>
      <c r="Q1106" s="13" t="str">
        <f t="shared" si="65"/>
        <v>Repaired</v>
      </c>
      <c r="R1106" s="13" t="s">
        <v>1669</v>
      </c>
      <c r="S1106" s="25">
        <v>1</v>
      </c>
      <c r="T1106" s="25">
        <v>32</v>
      </c>
      <c r="U1106" s="13">
        <v>0</v>
      </c>
      <c r="V1106" s="13">
        <f t="shared" si="67"/>
        <v>32</v>
      </c>
      <c r="W1106" s="13" t="str">
        <f t="shared" si="68"/>
        <v>Closure-22</v>
      </c>
    </row>
    <row r="1107" spans="1:23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66"/>
        <v>ARJA</v>
      </c>
      <c r="P1107" s="13" t="str">
        <f t="shared" si="69"/>
        <v>Evolutionary Search</v>
      </c>
      <c r="Q1107" s="13" t="str">
        <f t="shared" si="65"/>
        <v>Repaired</v>
      </c>
      <c r="R1107" s="13" t="s">
        <v>1669</v>
      </c>
      <c r="S1107" s="25">
        <v>1</v>
      </c>
      <c r="T1107" s="25">
        <v>14</v>
      </c>
      <c r="U1107" s="25">
        <v>1</v>
      </c>
      <c r="V1107" s="13">
        <f t="shared" si="67"/>
        <v>15</v>
      </c>
      <c r="W1107" s="13" t="str">
        <f t="shared" si="68"/>
        <v>Closure-3</v>
      </c>
    </row>
    <row r="1108" spans="1:23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66"/>
        <v>ARJA</v>
      </c>
      <c r="P1108" s="13" t="str">
        <f t="shared" si="69"/>
        <v>Evolutionary Search</v>
      </c>
      <c r="Q1108" s="13" t="str">
        <f t="shared" si="65"/>
        <v>Repaired</v>
      </c>
      <c r="R1108" s="13" t="s">
        <v>1669</v>
      </c>
      <c r="S1108" s="25">
        <v>1</v>
      </c>
      <c r="T1108" s="25">
        <v>22</v>
      </c>
      <c r="U1108" s="25">
        <v>1</v>
      </c>
      <c r="V1108" s="13">
        <f t="shared" si="67"/>
        <v>23</v>
      </c>
      <c r="W1108" s="13" t="str">
        <f t="shared" si="68"/>
        <v>Closure-33</v>
      </c>
    </row>
    <row r="1109" spans="1:23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66"/>
        <v>ARJA</v>
      </c>
      <c r="P1109" s="13" t="str">
        <f t="shared" si="69"/>
        <v>Evolutionary Search</v>
      </c>
      <c r="Q1109" s="13" t="str">
        <f t="shared" si="65"/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f t="shared" si="67"/>
        <v>2</v>
      </c>
      <c r="W1109" s="13" t="str">
        <f t="shared" si="68"/>
        <v>Closure-55</v>
      </c>
    </row>
    <row r="1110" spans="1:23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66"/>
        <v>ARJA</v>
      </c>
      <c r="P1110" s="13" t="str">
        <f t="shared" si="69"/>
        <v>Evolutionary Search</v>
      </c>
      <c r="Q1110" s="13" t="str">
        <f t="shared" ref="Q1110:Q1173" si="70"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36</v>
      </c>
      <c r="U1110" s="13">
        <v>0</v>
      </c>
      <c r="V1110" s="13">
        <f t="shared" si="67"/>
        <v>36</v>
      </c>
      <c r="W1110" s="13" t="str">
        <f t="shared" si="68"/>
        <v>Closure-8</v>
      </c>
    </row>
    <row r="1111" spans="1:23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ref="O1111:O1174" si="71">LEFT($A1111,FIND("_",$A1111)-1)</f>
        <v>ARJA</v>
      </c>
      <c r="P1111" s="13" t="str">
        <f t="shared" si="69"/>
        <v>Evolutionary Search</v>
      </c>
      <c r="Q1111" s="13" t="str">
        <f t="shared" si="70"/>
        <v>Repaired</v>
      </c>
      <c r="R1111" s="13" t="s">
        <v>1668</v>
      </c>
      <c r="S1111" s="25">
        <v>1</v>
      </c>
      <c r="T1111" s="25">
        <v>4</v>
      </c>
      <c r="U1111" s="25">
        <v>1</v>
      </c>
      <c r="V1111" s="13">
        <f t="shared" si="67"/>
        <v>5</v>
      </c>
      <c r="W1111" s="13" t="str">
        <f t="shared" si="68"/>
        <v>Closure-86</v>
      </c>
    </row>
    <row r="1112" spans="1:23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si="71"/>
        <v>ARJA</v>
      </c>
      <c r="P1112" s="13" t="str">
        <f t="shared" si="69"/>
        <v>Evolutionary Search</v>
      </c>
      <c r="Q1112" s="13" t="str">
        <f t="shared" si="70"/>
        <v>Repaired</v>
      </c>
      <c r="R1112" s="13" t="s">
        <v>1669</v>
      </c>
      <c r="S1112" s="25">
        <v>1</v>
      </c>
      <c r="T1112" s="25">
        <v>4</v>
      </c>
      <c r="U1112" s="13">
        <v>0</v>
      </c>
      <c r="V1112" s="13">
        <f t="shared" si="67"/>
        <v>4</v>
      </c>
      <c r="W1112" s="13" t="str">
        <f t="shared" si="68"/>
        <v>Closure-88</v>
      </c>
    </row>
    <row r="1113" spans="1:23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71"/>
        <v>ARJA</v>
      </c>
      <c r="P1113" s="13" t="str">
        <f t="shared" si="69"/>
        <v>Evolutionary Search</v>
      </c>
      <c r="Q1113" s="13" t="str">
        <f t="shared" si="70"/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f t="shared" si="67"/>
        <v>2</v>
      </c>
      <c r="W1113" s="13" t="str">
        <f t="shared" si="68"/>
        <v>Lang-16</v>
      </c>
    </row>
    <row r="1114" spans="1:23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71"/>
        <v>ARJA</v>
      </c>
      <c r="P1114" s="13" t="str">
        <f t="shared" si="69"/>
        <v>Evolutionary Search</v>
      </c>
      <c r="Q1114" s="13" t="str">
        <f t="shared" si="70"/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f t="shared" si="67"/>
        <v>4</v>
      </c>
      <c r="W1114" s="13" t="str">
        <f t="shared" si="68"/>
        <v>Lang-20</v>
      </c>
    </row>
    <row r="1115" spans="1:23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71"/>
        <v>ARJA</v>
      </c>
      <c r="P1115" s="13" t="str">
        <f t="shared" si="69"/>
        <v>Evolutionary Search</v>
      </c>
      <c r="Q1115" s="13" t="str">
        <f t="shared" si="70"/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f t="shared" si="67"/>
        <v>2</v>
      </c>
      <c r="W1115" s="13" t="str">
        <f t="shared" si="68"/>
        <v>Lang-43</v>
      </c>
    </row>
    <row r="1116" spans="1:23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71"/>
        <v>ARJA</v>
      </c>
      <c r="P1116" s="13" t="str">
        <f t="shared" si="69"/>
        <v>Evolutionary Search</v>
      </c>
      <c r="Q1116" s="13" t="str">
        <f t="shared" si="70"/>
        <v>Repaired</v>
      </c>
      <c r="R1116" s="13" t="s">
        <v>1668</v>
      </c>
      <c r="S1116" s="25">
        <v>1</v>
      </c>
      <c r="T1116" s="25">
        <v>1</v>
      </c>
      <c r="U1116" s="25">
        <v>3</v>
      </c>
      <c r="V1116" s="13">
        <f t="shared" si="67"/>
        <v>4</v>
      </c>
      <c r="W1116" s="13" t="str">
        <f t="shared" si="68"/>
        <v>Lang-46</v>
      </c>
    </row>
    <row r="1117" spans="1:23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71"/>
        <v>ARJA</v>
      </c>
      <c r="P1117" s="13" t="str">
        <f t="shared" si="69"/>
        <v>Evolutionary Search</v>
      </c>
      <c r="Q1117" s="13" t="str">
        <f t="shared" si="70"/>
        <v>Repaired</v>
      </c>
      <c r="R1117" s="13" t="s">
        <v>1669</v>
      </c>
      <c r="S1117" s="25">
        <v>3</v>
      </c>
      <c r="T1117" s="25">
        <v>3</v>
      </c>
      <c r="U1117" s="25">
        <v>6</v>
      </c>
      <c r="V1117" s="13">
        <f t="shared" si="67"/>
        <v>9</v>
      </c>
      <c r="W1117" s="13" t="str">
        <f t="shared" si="68"/>
        <v>Lang-50</v>
      </c>
    </row>
    <row r="1118" spans="1:23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71"/>
        <v>ARJA</v>
      </c>
      <c r="P1118" s="13" t="str">
        <f t="shared" si="69"/>
        <v>Evolutionary Search</v>
      </c>
      <c r="Q1118" s="13" t="str">
        <f t="shared" si="70"/>
        <v>Repaired</v>
      </c>
      <c r="R1118" s="13" t="s">
        <v>1669</v>
      </c>
      <c r="S1118" s="25">
        <v>1</v>
      </c>
      <c r="T1118" s="25">
        <v>1</v>
      </c>
      <c r="U1118" s="25">
        <v>2</v>
      </c>
      <c r="V1118" s="13">
        <f t="shared" si="67"/>
        <v>3</v>
      </c>
      <c r="W1118" s="13" t="str">
        <f t="shared" si="68"/>
        <v>Lang-59</v>
      </c>
    </row>
    <row r="1119" spans="1:23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71"/>
        <v>ARJA</v>
      </c>
      <c r="P1119" s="13" t="str">
        <f t="shared" si="69"/>
        <v>Evolutionary Search</v>
      </c>
      <c r="Q1119" s="13" t="str">
        <f t="shared" si="70"/>
        <v>Repaired</v>
      </c>
      <c r="R1119" s="13" t="s">
        <v>1669</v>
      </c>
      <c r="S1119" s="25">
        <v>1</v>
      </c>
      <c r="T1119" s="25">
        <v>1</v>
      </c>
      <c r="U1119" s="25">
        <v>2</v>
      </c>
      <c r="V1119" s="13">
        <f t="shared" si="67"/>
        <v>3</v>
      </c>
      <c r="W1119" s="13" t="str">
        <f t="shared" si="68"/>
        <v>Lang-63</v>
      </c>
    </row>
    <row r="1120" spans="1:23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71"/>
        <v>ARJA</v>
      </c>
      <c r="P1120" s="13" t="str">
        <f t="shared" si="69"/>
        <v>Evolutionary Search</v>
      </c>
      <c r="Q1120" s="13" t="str">
        <f t="shared" si="70"/>
        <v>Repaired</v>
      </c>
      <c r="R1120" s="13" t="s">
        <v>1669</v>
      </c>
      <c r="S1120" s="25">
        <v>1</v>
      </c>
      <c r="T1120" s="25">
        <v>1</v>
      </c>
      <c r="U1120" s="13">
        <v>0</v>
      </c>
      <c r="V1120" s="13">
        <f t="shared" si="67"/>
        <v>1</v>
      </c>
      <c r="W1120" s="13" t="str">
        <f t="shared" si="68"/>
        <v>Math-28</v>
      </c>
    </row>
    <row r="1121" spans="1:23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71"/>
        <v>ARJA</v>
      </c>
      <c r="P1121" s="13" t="str">
        <f t="shared" si="69"/>
        <v>Evolutionary Search</v>
      </c>
      <c r="Q1121" s="13" t="str">
        <f t="shared" si="70"/>
        <v>Repaired</v>
      </c>
      <c r="R1121" s="13" t="s">
        <v>1668</v>
      </c>
      <c r="S1121" s="25">
        <v>2</v>
      </c>
      <c r="T1121" s="25">
        <v>2</v>
      </c>
      <c r="U1121" s="25">
        <v>7</v>
      </c>
      <c r="V1121" s="13">
        <f t="shared" si="67"/>
        <v>9</v>
      </c>
      <c r="W1121" s="13" t="str">
        <f t="shared" si="68"/>
        <v>Math-35</v>
      </c>
    </row>
    <row r="1122" spans="1:23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71"/>
        <v>ARJA</v>
      </c>
      <c r="P1122" s="13" t="str">
        <f t="shared" si="69"/>
        <v>Evolutionary Search</v>
      </c>
      <c r="Q1122" s="13" t="str">
        <f t="shared" si="70"/>
        <v>Repaired</v>
      </c>
      <c r="R1122" s="13" t="s">
        <v>1669</v>
      </c>
      <c r="S1122" s="25">
        <v>1</v>
      </c>
      <c r="T1122" s="25">
        <v>1</v>
      </c>
      <c r="U1122" s="25">
        <v>2</v>
      </c>
      <c r="V1122" s="13">
        <f t="shared" si="67"/>
        <v>3</v>
      </c>
      <c r="W1122" s="13" t="str">
        <f t="shared" si="68"/>
        <v>Math-40</v>
      </c>
    </row>
    <row r="1123" spans="1:23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71"/>
        <v>ARJA</v>
      </c>
      <c r="P1123" s="13" t="str">
        <f t="shared" si="69"/>
        <v>Evolutionary Search</v>
      </c>
      <c r="Q1123" s="13" t="str">
        <f t="shared" si="70"/>
        <v>Repaired</v>
      </c>
      <c r="R1123" s="13" t="s">
        <v>1669</v>
      </c>
      <c r="S1123" s="25">
        <v>3</v>
      </c>
      <c r="T1123" s="25">
        <v>3</v>
      </c>
      <c r="U1123" s="25">
        <v>4</v>
      </c>
      <c r="V1123" s="13">
        <f t="shared" si="67"/>
        <v>7</v>
      </c>
      <c r="W1123" s="13" t="str">
        <f t="shared" si="68"/>
        <v>Math-49</v>
      </c>
    </row>
    <row r="1124" spans="1:23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71"/>
        <v>ARJA</v>
      </c>
      <c r="P1124" s="13" t="str">
        <f t="shared" si="69"/>
        <v>Evolutionary Search</v>
      </c>
      <c r="Q1124" s="13" t="str">
        <f t="shared" si="70"/>
        <v>Repaired</v>
      </c>
      <c r="R1124" s="13" t="s">
        <v>1668</v>
      </c>
      <c r="S1124" s="25">
        <v>1</v>
      </c>
      <c r="T1124" s="25">
        <v>1</v>
      </c>
      <c r="U1124" s="13">
        <v>0</v>
      </c>
      <c r="V1124" s="13">
        <f t="shared" si="67"/>
        <v>1</v>
      </c>
      <c r="W1124" s="13" t="str">
        <f t="shared" si="68"/>
        <v>Math-50</v>
      </c>
    </row>
    <row r="1125" spans="1:23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71"/>
        <v>ARJA</v>
      </c>
      <c r="P1125" s="13" t="str">
        <f t="shared" si="69"/>
        <v>Evolutionary Search</v>
      </c>
      <c r="Q1125" s="13" t="str">
        <f t="shared" si="70"/>
        <v>Repaired</v>
      </c>
      <c r="R1125" s="13" t="s">
        <v>1669</v>
      </c>
      <c r="S1125" s="25">
        <v>1</v>
      </c>
      <c r="T1125" s="25">
        <v>1</v>
      </c>
      <c r="U1125" s="25">
        <v>3</v>
      </c>
      <c r="V1125" s="13">
        <f t="shared" si="67"/>
        <v>4</v>
      </c>
      <c r="W1125" s="13" t="str">
        <f t="shared" si="68"/>
        <v>Math-53</v>
      </c>
    </row>
    <row r="1126" spans="1:23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71"/>
        <v>ARJA</v>
      </c>
      <c r="P1126" s="13" t="str">
        <f t="shared" si="69"/>
        <v>Evolutionary Search</v>
      </c>
      <c r="Q1126" s="13" t="str">
        <f t="shared" si="70"/>
        <v>Repaired</v>
      </c>
      <c r="R1126" s="13" t="s">
        <v>1669</v>
      </c>
      <c r="S1126" s="25">
        <v>1</v>
      </c>
      <c r="T1126" s="25">
        <v>1</v>
      </c>
      <c r="U1126" s="25">
        <v>5</v>
      </c>
      <c r="V1126" s="13">
        <f t="shared" ref="V1126:V1189" si="72">T1126+U1126</f>
        <v>6</v>
      </c>
      <c r="W1126" s="13" t="str">
        <f t="shared" ref="W1126:W1189" si="73">MID(A1126, SEARCH("_", A1126) +1, SEARCH("_", A1126, SEARCH("_", A1126) +1) - SEARCH("_", A1126) -1)</f>
        <v>Math-56</v>
      </c>
    </row>
    <row r="1127" spans="1:23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71"/>
        <v>ARJA</v>
      </c>
      <c r="P1127" s="13" t="str">
        <f t="shared" si="69"/>
        <v>Evolutionary Search</v>
      </c>
      <c r="Q1127" s="13" t="str">
        <f t="shared" si="70"/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f t="shared" si="72"/>
        <v>2</v>
      </c>
      <c r="W1127" s="13" t="str">
        <f t="shared" si="73"/>
        <v>Math-58</v>
      </c>
    </row>
    <row r="1128" spans="1:23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71"/>
        <v>ARJA</v>
      </c>
      <c r="P1128" s="13" t="str">
        <f t="shared" si="69"/>
        <v>Evolutionary Search</v>
      </c>
      <c r="Q1128" s="13" t="str">
        <f t="shared" si="70"/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f t="shared" si="72"/>
        <v>2</v>
      </c>
      <c r="W1128" s="13" t="str">
        <f t="shared" si="73"/>
        <v>Math-70</v>
      </c>
    </row>
    <row r="1129" spans="1:23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71"/>
        <v>ARJA</v>
      </c>
      <c r="P1129" s="13" t="str">
        <f t="shared" si="69"/>
        <v>Evolutionary Search</v>
      </c>
      <c r="Q1129" s="13" t="str">
        <f t="shared" si="70"/>
        <v>Repaired</v>
      </c>
      <c r="R1129" s="13" t="s">
        <v>1669</v>
      </c>
      <c r="S1129" s="25">
        <v>3</v>
      </c>
      <c r="T1129" s="25">
        <v>7</v>
      </c>
      <c r="U1129" s="25">
        <v>2</v>
      </c>
      <c r="V1129" s="13">
        <f t="shared" si="72"/>
        <v>9</v>
      </c>
      <c r="W1129" s="13" t="str">
        <f t="shared" si="73"/>
        <v>Math-80</v>
      </c>
    </row>
    <row r="1130" spans="1:23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71"/>
        <v>ARJA</v>
      </c>
      <c r="P1130" s="13" t="str">
        <f t="shared" si="69"/>
        <v>Evolutionary Search</v>
      </c>
      <c r="Q1130" s="13" t="str">
        <f t="shared" si="70"/>
        <v>Repaired</v>
      </c>
      <c r="R1130" s="13" t="s">
        <v>1669</v>
      </c>
      <c r="S1130" s="25">
        <v>2</v>
      </c>
      <c r="T1130" s="25">
        <v>36</v>
      </c>
      <c r="U1130" s="13">
        <v>0</v>
      </c>
      <c r="V1130" s="13">
        <f t="shared" si="72"/>
        <v>36</v>
      </c>
      <c r="W1130" s="13" t="str">
        <f t="shared" si="73"/>
        <v>Math-81</v>
      </c>
    </row>
    <row r="1131" spans="1:23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71"/>
        <v>ARJA</v>
      </c>
      <c r="P1131" s="13" t="str">
        <f t="shared" si="69"/>
        <v>Evolutionary Search</v>
      </c>
      <c r="Q1131" s="13" t="str">
        <f t="shared" si="70"/>
        <v>Repaired</v>
      </c>
      <c r="R1131" s="13" t="s">
        <v>1669</v>
      </c>
      <c r="S1131" s="25">
        <v>1</v>
      </c>
      <c r="T1131" s="25">
        <v>6</v>
      </c>
      <c r="U1131" s="25">
        <v>1</v>
      </c>
      <c r="V1131" s="13">
        <f t="shared" si="72"/>
        <v>7</v>
      </c>
      <c r="W1131" s="13" t="str">
        <f t="shared" si="73"/>
        <v>Math-84</v>
      </c>
    </row>
    <row r="1132" spans="1:23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71"/>
        <v>ARJA</v>
      </c>
      <c r="P1132" s="13" t="str">
        <f t="shared" si="69"/>
        <v>Evolutionary Search</v>
      </c>
      <c r="Q1132" s="13" t="str">
        <f t="shared" si="70"/>
        <v>Repaired</v>
      </c>
      <c r="R1132" s="13" t="s">
        <v>1669</v>
      </c>
      <c r="S1132" s="25">
        <v>1</v>
      </c>
      <c r="T1132" s="25">
        <v>9</v>
      </c>
      <c r="U1132" s="13">
        <v>0</v>
      </c>
      <c r="V1132" s="13">
        <f t="shared" si="72"/>
        <v>9</v>
      </c>
      <c r="W1132" s="13" t="str">
        <f t="shared" si="73"/>
        <v>Math-85</v>
      </c>
    </row>
    <row r="1133" spans="1:23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71"/>
        <v>ARJA</v>
      </c>
      <c r="P1133" s="13" t="str">
        <f t="shared" si="69"/>
        <v>Evolutionary Search</v>
      </c>
      <c r="Q1133" s="13" t="str">
        <f t="shared" si="70"/>
        <v>Repaired</v>
      </c>
      <c r="R1133" s="13" t="s">
        <v>1669</v>
      </c>
      <c r="S1133" s="25">
        <v>1</v>
      </c>
      <c r="T1133" s="25">
        <v>1</v>
      </c>
      <c r="U1133" s="25">
        <v>3</v>
      </c>
      <c r="V1133" s="13">
        <f t="shared" si="72"/>
        <v>4</v>
      </c>
      <c r="W1133" s="13" t="str">
        <f t="shared" si="73"/>
        <v>Math-88</v>
      </c>
    </row>
    <row r="1134" spans="1:23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71"/>
        <v>ARJA</v>
      </c>
      <c r="P1134" s="13" t="str">
        <f t="shared" si="69"/>
        <v>Evolutionary Search</v>
      </c>
      <c r="Q1134" s="13" t="str">
        <f t="shared" si="70"/>
        <v>Repaired</v>
      </c>
      <c r="R1134" s="13" t="s">
        <v>1669</v>
      </c>
      <c r="S1134" s="25">
        <v>1</v>
      </c>
      <c r="T1134" s="25">
        <v>2</v>
      </c>
      <c r="U1134" s="25">
        <v>1</v>
      </c>
      <c r="V1134" s="13">
        <f t="shared" si="72"/>
        <v>3</v>
      </c>
      <c r="W1134" s="13" t="str">
        <f t="shared" si="73"/>
        <v>Math-95</v>
      </c>
    </row>
    <row r="1135" spans="1:23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71"/>
        <v>AVATAR</v>
      </c>
      <c r="P1135" s="13" t="str">
        <f t="shared" si="69"/>
        <v>True Pattern</v>
      </c>
      <c r="Q1135" s="13" t="str">
        <f t="shared" si="70"/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f t="shared" si="72"/>
        <v>2</v>
      </c>
      <c r="W1135" s="13" t="str">
        <f t="shared" si="73"/>
        <v>Chart-1</v>
      </c>
    </row>
    <row r="1136" spans="1:23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71"/>
        <v>AVATAR</v>
      </c>
      <c r="P1136" s="13" t="str">
        <f t="shared" si="69"/>
        <v>True Pattern</v>
      </c>
      <c r="Q1136" s="13" t="str">
        <f t="shared" si="70"/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f t="shared" si="72"/>
        <v>2</v>
      </c>
      <c r="W1136" s="13" t="str">
        <f t="shared" si="73"/>
        <v>Chart-11</v>
      </c>
    </row>
    <row r="1137" spans="1:23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71"/>
        <v>AVATAR</v>
      </c>
      <c r="P1137" s="13" t="str">
        <f t="shared" si="69"/>
        <v>True Pattern</v>
      </c>
      <c r="Q1137" s="13" t="str">
        <f t="shared" si="70"/>
        <v>Repaired</v>
      </c>
      <c r="R1137" s="13" t="s">
        <v>1668</v>
      </c>
      <c r="S1137" s="25">
        <v>1</v>
      </c>
      <c r="T1137" s="25">
        <v>1</v>
      </c>
      <c r="U1137" s="25">
        <v>4</v>
      </c>
      <c r="V1137" s="13">
        <f t="shared" si="72"/>
        <v>5</v>
      </c>
      <c r="W1137" s="13" t="str">
        <f t="shared" si="73"/>
        <v>Chart-19</v>
      </c>
    </row>
    <row r="1138" spans="1:23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71"/>
        <v>AVATAR</v>
      </c>
      <c r="P1138" s="13" t="str">
        <f t="shared" si="69"/>
        <v>True Pattern</v>
      </c>
      <c r="Q1138" s="13" t="str">
        <f t="shared" si="70"/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f t="shared" si="72"/>
        <v>2</v>
      </c>
      <c r="W1138" s="13" t="str">
        <f t="shared" si="73"/>
        <v>Chart-24</v>
      </c>
    </row>
    <row r="1139" spans="1:23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71"/>
        <v>AVATAR</v>
      </c>
      <c r="P1139" s="13" t="str">
        <f t="shared" si="69"/>
        <v>True Pattern</v>
      </c>
      <c r="Q1139" s="13" t="str">
        <f t="shared" si="70"/>
        <v>Repaired</v>
      </c>
      <c r="R1139" s="13" t="s">
        <v>1669</v>
      </c>
      <c r="S1139" s="25">
        <v>1</v>
      </c>
      <c r="T1139" s="25">
        <v>43</v>
      </c>
      <c r="U1139" s="25">
        <v>1</v>
      </c>
      <c r="V1139" s="13">
        <f t="shared" si="72"/>
        <v>44</v>
      </c>
      <c r="W1139" s="13" t="str">
        <f t="shared" si="73"/>
        <v>Chart-25</v>
      </c>
    </row>
    <row r="1140" spans="1:23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71"/>
        <v>AVATAR</v>
      </c>
      <c r="P1140" s="13" t="str">
        <f t="shared" si="69"/>
        <v>True Pattern</v>
      </c>
      <c r="Q1140" s="13" t="str">
        <f t="shared" si="70"/>
        <v>Repaired</v>
      </c>
      <c r="R1140" s="13" t="s">
        <v>1668</v>
      </c>
      <c r="S1140" s="25">
        <v>2</v>
      </c>
      <c r="T1140" s="25">
        <v>1</v>
      </c>
      <c r="U1140" s="25">
        <v>4</v>
      </c>
      <c r="V1140" s="13">
        <f t="shared" si="72"/>
        <v>5</v>
      </c>
      <c r="W1140" s="13" t="str">
        <f t="shared" si="73"/>
        <v>Chart-26</v>
      </c>
    </row>
    <row r="1141" spans="1:23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71"/>
        <v>AVATAR</v>
      </c>
      <c r="P1141" s="13" t="str">
        <f t="shared" si="69"/>
        <v>True Pattern</v>
      </c>
      <c r="Q1141" s="13" t="str">
        <f t="shared" si="70"/>
        <v>Repaired</v>
      </c>
      <c r="R1141" s="13" t="s">
        <v>1668</v>
      </c>
      <c r="S1141" s="25">
        <v>2</v>
      </c>
      <c r="T1141" s="25">
        <v>1</v>
      </c>
      <c r="U1141" s="25">
        <v>4</v>
      </c>
      <c r="V1141" s="13">
        <f t="shared" si="72"/>
        <v>5</v>
      </c>
      <c r="W1141" s="13" t="str">
        <f t="shared" si="73"/>
        <v>Chart-4</v>
      </c>
    </row>
    <row r="1142" spans="1:23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71"/>
        <v>AVATAR</v>
      </c>
      <c r="P1142" s="13" t="str">
        <f t="shared" si="69"/>
        <v>True Pattern</v>
      </c>
      <c r="Q1142" s="13" t="str">
        <f t="shared" si="70"/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f t="shared" si="72"/>
        <v>2</v>
      </c>
      <c r="W1142" s="13" t="str">
        <f t="shared" si="73"/>
        <v>Chart-5</v>
      </c>
    </row>
    <row r="1143" spans="1:23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71"/>
        <v>AVATAR</v>
      </c>
      <c r="P1143" s="13" t="str">
        <f t="shared" si="69"/>
        <v>True Pattern</v>
      </c>
      <c r="Q1143" s="13" t="str">
        <f t="shared" si="70"/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f t="shared" si="72"/>
        <v>2</v>
      </c>
      <c r="W1143" s="13" t="str">
        <f t="shared" si="73"/>
        <v>Chart-7</v>
      </c>
    </row>
    <row r="1144" spans="1:23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71"/>
        <v>AVATAR</v>
      </c>
      <c r="P1144" s="13" t="str">
        <f t="shared" si="69"/>
        <v>True Pattern</v>
      </c>
      <c r="Q1144" s="13" t="str">
        <f t="shared" si="70"/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f t="shared" si="72"/>
        <v>2</v>
      </c>
      <c r="W1144" s="13" t="str">
        <f t="shared" si="73"/>
        <v>Closure-108</v>
      </c>
    </row>
    <row r="1145" spans="1:23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71"/>
        <v>AVATAR</v>
      </c>
      <c r="P1145" s="13" t="str">
        <f t="shared" si="69"/>
        <v>True Pattern</v>
      </c>
      <c r="Q1145" s="13" t="str">
        <f t="shared" si="70"/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f t="shared" si="72"/>
        <v>2</v>
      </c>
      <c r="W1145" s="13" t="str">
        <f t="shared" si="73"/>
        <v>Closure-11</v>
      </c>
    </row>
    <row r="1146" spans="1:23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71"/>
        <v>AVATAR</v>
      </c>
      <c r="P1146" s="13" t="str">
        <f t="shared" si="69"/>
        <v>True Pattern</v>
      </c>
      <c r="Q1146" s="13" t="str">
        <f t="shared" si="70"/>
        <v>Repaired</v>
      </c>
      <c r="R1146" s="13" t="s">
        <v>1668</v>
      </c>
      <c r="S1146" s="25">
        <v>1</v>
      </c>
      <c r="T1146" s="25">
        <v>7</v>
      </c>
      <c r="U1146" s="25">
        <v>1</v>
      </c>
      <c r="V1146" s="13">
        <f t="shared" si="72"/>
        <v>8</v>
      </c>
      <c r="W1146" s="13" t="str">
        <f t="shared" si="73"/>
        <v>Closure-115</v>
      </c>
    </row>
    <row r="1147" spans="1:23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71"/>
        <v>AVATAR</v>
      </c>
      <c r="P1147" s="13" t="str">
        <f t="shared" si="69"/>
        <v>True Pattern</v>
      </c>
      <c r="Q1147" s="13" t="str">
        <f t="shared" si="70"/>
        <v>Repaired</v>
      </c>
      <c r="R1147" s="13" t="s">
        <v>1668</v>
      </c>
      <c r="S1147" s="25">
        <v>2</v>
      </c>
      <c r="T1147" s="25">
        <v>1</v>
      </c>
      <c r="U1147" s="25">
        <v>4</v>
      </c>
      <c r="V1147" s="13">
        <f t="shared" si="72"/>
        <v>5</v>
      </c>
      <c r="W1147" s="13" t="str">
        <f t="shared" si="73"/>
        <v>Closure-2</v>
      </c>
    </row>
    <row r="1148" spans="1:23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71"/>
        <v>AVATAR</v>
      </c>
      <c r="P1148" s="13" t="str">
        <f t="shared" si="69"/>
        <v>True Pattern</v>
      </c>
      <c r="Q1148" s="13" t="str">
        <f t="shared" si="70"/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f t="shared" si="72"/>
        <v>2</v>
      </c>
      <c r="W1148" s="13" t="str">
        <f t="shared" si="73"/>
        <v>Closure-21</v>
      </c>
    </row>
    <row r="1149" spans="1:23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71"/>
        <v>AVATAR</v>
      </c>
      <c r="P1149" s="13" t="str">
        <f t="shared" si="69"/>
        <v>True Pattern</v>
      </c>
      <c r="Q1149" s="13" t="str">
        <f t="shared" si="70"/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f t="shared" si="72"/>
        <v>2</v>
      </c>
      <c r="W1149" s="13" t="str">
        <f t="shared" si="73"/>
        <v>Closure-22</v>
      </c>
    </row>
    <row r="1150" spans="1:23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71"/>
        <v>AVATAR</v>
      </c>
      <c r="P1150" s="13" t="str">
        <f t="shared" si="69"/>
        <v>True Pattern</v>
      </c>
      <c r="Q1150" s="13" t="str">
        <f t="shared" si="70"/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f t="shared" si="72"/>
        <v>2</v>
      </c>
      <c r="W1150" s="13" t="str">
        <f t="shared" si="73"/>
        <v>Closure-38</v>
      </c>
    </row>
    <row r="1151" spans="1:23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71"/>
        <v>AVATAR</v>
      </c>
      <c r="P1151" s="13" t="str">
        <f t="shared" si="69"/>
        <v>True Pattern</v>
      </c>
      <c r="Q1151" s="13" t="str">
        <f t="shared" si="70"/>
        <v>Repaired</v>
      </c>
      <c r="R1151" s="13" t="s">
        <v>1669</v>
      </c>
      <c r="S1151" s="25">
        <v>1</v>
      </c>
      <c r="T1151" s="25">
        <v>4</v>
      </c>
      <c r="U1151" s="25">
        <v>1</v>
      </c>
      <c r="V1151" s="13">
        <f t="shared" si="72"/>
        <v>5</v>
      </c>
      <c r="W1151" s="13" t="str">
        <f t="shared" si="73"/>
        <v>Closure-45</v>
      </c>
    </row>
    <row r="1152" spans="1:23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71"/>
        <v>AVATAR</v>
      </c>
      <c r="P1152" s="13" t="str">
        <f t="shared" si="69"/>
        <v>True Pattern</v>
      </c>
      <c r="Q1152" s="13" t="str">
        <f t="shared" si="70"/>
        <v>Repaired</v>
      </c>
      <c r="R1152" s="13" t="s">
        <v>1668</v>
      </c>
      <c r="S1152" s="25">
        <v>1</v>
      </c>
      <c r="T1152" s="25">
        <v>16</v>
      </c>
      <c r="U1152" s="25">
        <v>1</v>
      </c>
      <c r="V1152" s="13">
        <f t="shared" si="72"/>
        <v>17</v>
      </c>
      <c r="W1152" s="13" t="str">
        <f t="shared" si="73"/>
        <v>Closure-46</v>
      </c>
    </row>
    <row r="1153" spans="1:23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71"/>
        <v>AVATAR</v>
      </c>
      <c r="P1153" s="13" t="str">
        <f t="shared" si="69"/>
        <v>True Pattern</v>
      </c>
      <c r="Q1153" s="13" t="str">
        <f t="shared" si="70"/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f t="shared" si="72"/>
        <v>2</v>
      </c>
      <c r="W1153" s="13" t="str">
        <f t="shared" si="73"/>
        <v>Closure-48</v>
      </c>
    </row>
    <row r="1154" spans="1:23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71"/>
        <v>AVATAR</v>
      </c>
      <c r="P1154" s="13" t="str">
        <f t="shared" si="69"/>
        <v>True Pattern</v>
      </c>
      <c r="Q1154" s="13" t="str">
        <f t="shared" si="70"/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f t="shared" si="72"/>
        <v>2</v>
      </c>
      <c r="W1154" s="13" t="str">
        <f t="shared" si="73"/>
        <v>Closure-62</v>
      </c>
    </row>
    <row r="1155" spans="1:23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71"/>
        <v>AVATAR</v>
      </c>
      <c r="P1155" s="13" t="str">
        <f t="shared" si="69"/>
        <v>True Pattern</v>
      </c>
      <c r="Q1155" s="13" t="str">
        <f t="shared" si="70"/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f t="shared" si="72"/>
        <v>2</v>
      </c>
      <c r="W1155" s="13" t="str">
        <f t="shared" si="73"/>
        <v>Closure-66</v>
      </c>
    </row>
    <row r="1156" spans="1:23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71"/>
        <v>AVATAR</v>
      </c>
      <c r="P1156" s="13" t="str">
        <f t="shared" si="69"/>
        <v>True Pattern</v>
      </c>
      <c r="Q1156" s="13" t="str">
        <f t="shared" si="70"/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f t="shared" si="72"/>
        <v>2</v>
      </c>
      <c r="W1156" s="13" t="str">
        <f t="shared" si="73"/>
        <v>Closure-73</v>
      </c>
    </row>
    <row r="1157" spans="1:23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71"/>
        <v>AVATAR</v>
      </c>
      <c r="P1157" s="13" t="str">
        <f t="shared" si="69"/>
        <v>True Pattern</v>
      </c>
      <c r="Q1157" s="13" t="str">
        <f t="shared" si="70"/>
        <v>Repaired</v>
      </c>
      <c r="R1157" s="13" t="s">
        <v>1668</v>
      </c>
      <c r="S1157" s="25">
        <v>1</v>
      </c>
      <c r="T1157" s="25">
        <v>7</v>
      </c>
      <c r="U1157" s="25">
        <v>1</v>
      </c>
      <c r="V1157" s="13">
        <f t="shared" si="72"/>
        <v>8</v>
      </c>
      <c r="W1157" s="13" t="str">
        <f t="shared" si="73"/>
        <v>Lang-10</v>
      </c>
    </row>
    <row r="1158" spans="1:23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71"/>
        <v>AVATAR</v>
      </c>
      <c r="P1158" s="13" t="str">
        <f t="shared" si="69"/>
        <v>True Pattern</v>
      </c>
      <c r="Q1158" s="13" t="str">
        <f t="shared" si="70"/>
        <v>Repaired</v>
      </c>
      <c r="R1158" s="13" t="s">
        <v>1669</v>
      </c>
      <c r="S1158" s="25">
        <v>1</v>
      </c>
      <c r="T1158" s="25">
        <v>17</v>
      </c>
      <c r="U1158" s="25">
        <v>1</v>
      </c>
      <c r="V1158" s="13">
        <f t="shared" si="72"/>
        <v>18</v>
      </c>
      <c r="W1158" s="13" t="str">
        <f t="shared" si="73"/>
        <v>Lang-13</v>
      </c>
    </row>
    <row r="1159" spans="1:23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71"/>
        <v>AVATAR</v>
      </c>
      <c r="P1159" s="13" t="str">
        <f t="shared" si="69"/>
        <v>True Pattern</v>
      </c>
      <c r="Q1159" s="13" t="str">
        <f t="shared" si="70"/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f t="shared" si="72"/>
        <v>2</v>
      </c>
      <c r="W1159" s="13" t="str">
        <f t="shared" si="73"/>
        <v>Lang-20</v>
      </c>
    </row>
    <row r="1160" spans="1:23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71"/>
        <v>AVATAR</v>
      </c>
      <c r="P1160" s="13" t="str">
        <f t="shared" si="69"/>
        <v>True Pattern</v>
      </c>
      <c r="Q1160" s="13" t="str">
        <f t="shared" si="70"/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f t="shared" si="72"/>
        <v>2</v>
      </c>
      <c r="W1160" s="13" t="str">
        <f t="shared" si="73"/>
        <v>Lang-22</v>
      </c>
    </row>
    <row r="1161" spans="1:23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71"/>
        <v>AVATAR</v>
      </c>
      <c r="P1161" s="13" t="str">
        <f t="shared" si="69"/>
        <v>True Pattern</v>
      </c>
      <c r="Q1161" s="13" t="str">
        <f t="shared" si="70"/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f t="shared" si="72"/>
        <v>2</v>
      </c>
      <c r="W1161" s="13" t="str">
        <f t="shared" si="73"/>
        <v>Lang-27</v>
      </c>
    </row>
    <row r="1162" spans="1:23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71"/>
        <v>AVATAR</v>
      </c>
      <c r="P1162" s="13" t="str">
        <f t="shared" ref="P1162:P1225" si="74"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 t="shared" si="70"/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f t="shared" si="72"/>
        <v>2</v>
      </c>
      <c r="W1162" s="13" t="str">
        <f t="shared" si="73"/>
        <v>Lang-39</v>
      </c>
    </row>
    <row r="1163" spans="1:23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71"/>
        <v>AVATAR</v>
      </c>
      <c r="P1163" s="13" t="str">
        <f t="shared" si="74"/>
        <v>True Pattern</v>
      </c>
      <c r="Q1163" s="13" t="str">
        <f t="shared" si="70"/>
        <v>Repaired</v>
      </c>
      <c r="R1163" s="13" t="s">
        <v>1669</v>
      </c>
      <c r="S1163" s="25">
        <v>2</v>
      </c>
      <c r="T1163" s="25">
        <v>3</v>
      </c>
      <c r="U1163" s="25">
        <v>1</v>
      </c>
      <c r="V1163" s="13">
        <f t="shared" si="72"/>
        <v>4</v>
      </c>
      <c r="W1163" s="13" t="str">
        <f t="shared" si="73"/>
        <v>Lang-51</v>
      </c>
    </row>
    <row r="1164" spans="1:23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71"/>
        <v>AVATAR</v>
      </c>
      <c r="P1164" s="13" t="str">
        <f t="shared" si="74"/>
        <v>True Pattern</v>
      </c>
      <c r="Q1164" s="13" t="str">
        <f t="shared" si="70"/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f t="shared" si="72"/>
        <v>2</v>
      </c>
      <c r="W1164" s="13" t="str">
        <f t="shared" si="73"/>
        <v>Lang-57</v>
      </c>
    </row>
    <row r="1165" spans="1:23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71"/>
        <v>AVATAR</v>
      </c>
      <c r="P1165" s="13" t="str">
        <f t="shared" si="74"/>
        <v>True Pattern</v>
      </c>
      <c r="Q1165" s="13" t="str">
        <f t="shared" si="70"/>
        <v>Repaired</v>
      </c>
      <c r="R1165" s="13" t="s">
        <v>1669</v>
      </c>
      <c r="S1165" s="25">
        <v>1</v>
      </c>
      <c r="T1165" s="25">
        <v>1</v>
      </c>
      <c r="U1165" s="13">
        <v>0</v>
      </c>
      <c r="V1165" s="13">
        <f t="shared" si="72"/>
        <v>1</v>
      </c>
      <c r="W1165" s="13" t="str">
        <f t="shared" si="73"/>
        <v>Lang-58</v>
      </c>
    </row>
    <row r="1166" spans="1:23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71"/>
        <v>AVATAR</v>
      </c>
      <c r="P1166" s="13" t="str">
        <f t="shared" si="74"/>
        <v>True Pattern</v>
      </c>
      <c r="Q1166" s="13" t="str">
        <f t="shared" si="70"/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f t="shared" si="72"/>
        <v>2</v>
      </c>
      <c r="W1166" s="13" t="str">
        <f t="shared" si="73"/>
        <v>Lang-59</v>
      </c>
    </row>
    <row r="1167" spans="1:23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71"/>
        <v>AVATAR</v>
      </c>
      <c r="P1167" s="13" t="str">
        <f t="shared" si="74"/>
        <v>True Pattern</v>
      </c>
      <c r="Q1167" s="13" t="str">
        <f t="shared" si="70"/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f t="shared" si="72"/>
        <v>2</v>
      </c>
      <c r="W1167" s="13" t="str">
        <f t="shared" si="73"/>
        <v>Lang-6</v>
      </c>
    </row>
    <row r="1168" spans="1:23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71"/>
        <v>AVATAR</v>
      </c>
      <c r="P1168" s="13" t="str">
        <f t="shared" si="74"/>
        <v>True Pattern</v>
      </c>
      <c r="Q1168" s="13" t="str">
        <f t="shared" si="70"/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f t="shared" si="72"/>
        <v>2</v>
      </c>
      <c r="W1168" s="13" t="str">
        <f t="shared" si="73"/>
        <v>Lang-63</v>
      </c>
    </row>
    <row r="1169" spans="1:23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71"/>
        <v>AVATAR</v>
      </c>
      <c r="P1169" s="13" t="str">
        <f t="shared" si="74"/>
        <v>True Pattern</v>
      </c>
      <c r="Q1169" s="13" t="str">
        <f t="shared" si="70"/>
        <v>Repaired</v>
      </c>
      <c r="R1169" s="13" t="s">
        <v>1668</v>
      </c>
      <c r="S1169" s="25">
        <v>1</v>
      </c>
      <c r="T1169" s="25">
        <v>3</v>
      </c>
      <c r="U1169" s="25">
        <v>1</v>
      </c>
      <c r="V1169" s="13">
        <f t="shared" si="72"/>
        <v>4</v>
      </c>
      <c r="W1169" s="13" t="str">
        <f t="shared" si="73"/>
        <v>Lang-7</v>
      </c>
    </row>
    <row r="1170" spans="1:23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71"/>
        <v>AVATAR</v>
      </c>
      <c r="P1170" s="13" t="str">
        <f t="shared" si="74"/>
        <v>True Pattern</v>
      </c>
      <c r="Q1170" s="13" t="str">
        <f t="shared" si="70"/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f t="shared" si="72"/>
        <v>2</v>
      </c>
      <c r="W1170" s="13" t="str">
        <f t="shared" si="73"/>
        <v>Math-104</v>
      </c>
    </row>
    <row r="1171" spans="1:23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71"/>
        <v>AVATAR</v>
      </c>
      <c r="P1171" s="13" t="str">
        <f t="shared" si="74"/>
        <v>True Pattern</v>
      </c>
      <c r="Q1171" s="13" t="str">
        <f t="shared" si="70"/>
        <v>Repaired</v>
      </c>
      <c r="R1171" s="13" t="s">
        <v>1669</v>
      </c>
      <c r="S1171" s="25">
        <v>1</v>
      </c>
      <c r="T1171" s="25">
        <v>14</v>
      </c>
      <c r="U1171" s="25">
        <v>1</v>
      </c>
      <c r="V1171" s="13">
        <f t="shared" si="72"/>
        <v>15</v>
      </c>
      <c r="W1171" s="13" t="str">
        <f t="shared" si="73"/>
        <v>Math-28</v>
      </c>
    </row>
    <row r="1172" spans="1:23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71"/>
        <v>AVATAR</v>
      </c>
      <c r="P1172" s="13" t="str">
        <f t="shared" si="74"/>
        <v>True Pattern</v>
      </c>
      <c r="Q1172" s="13" t="str">
        <f t="shared" si="70"/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f t="shared" si="72"/>
        <v>2</v>
      </c>
      <c r="W1172" s="13" t="str">
        <f t="shared" si="73"/>
        <v>Math-33</v>
      </c>
    </row>
    <row r="1173" spans="1:23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71"/>
        <v>AVATAR</v>
      </c>
      <c r="P1173" s="13" t="str">
        <f t="shared" si="74"/>
        <v>True Pattern</v>
      </c>
      <c r="Q1173" s="13" t="str">
        <f t="shared" si="70"/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f t="shared" si="72"/>
        <v>2</v>
      </c>
      <c r="W1173" s="13" t="str">
        <f t="shared" si="73"/>
        <v>Math-50</v>
      </c>
    </row>
    <row r="1174" spans="1:23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71"/>
        <v>AVATAR</v>
      </c>
      <c r="P1174" s="13" t="str">
        <f t="shared" si="74"/>
        <v>True Pattern</v>
      </c>
      <c r="Q1174" s="13" t="str">
        <f t="shared" ref="Q1174:Q1237" si="75"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f t="shared" si="72"/>
        <v>2</v>
      </c>
      <c r="W1174" s="13" t="str">
        <f t="shared" si="73"/>
        <v>Math-57</v>
      </c>
    </row>
    <row r="1175" spans="1:23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ref="O1175:O1238" si="76">LEFT($A1175,FIND("_",$A1175)-1)</f>
        <v>AVATAR</v>
      </c>
      <c r="P1175" s="13" t="str">
        <f t="shared" si="74"/>
        <v>True Pattern</v>
      </c>
      <c r="Q1175" s="13" t="str">
        <f t="shared" si="75"/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f t="shared" si="72"/>
        <v>2</v>
      </c>
      <c r="W1175" s="13" t="str">
        <f t="shared" si="73"/>
        <v>Math-62</v>
      </c>
    </row>
    <row r="1176" spans="1:23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si="76"/>
        <v>AVATAR</v>
      </c>
      <c r="P1176" s="13" t="str">
        <f t="shared" si="74"/>
        <v>True Pattern</v>
      </c>
      <c r="Q1176" s="13" t="str">
        <f t="shared" si="75"/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f t="shared" si="72"/>
        <v>2</v>
      </c>
      <c r="W1176" s="13" t="str">
        <f t="shared" si="73"/>
        <v>Math-80</v>
      </c>
    </row>
    <row r="1177" spans="1:23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76"/>
        <v>AVATAR</v>
      </c>
      <c r="P1177" s="13" t="str">
        <f t="shared" si="74"/>
        <v>True Pattern</v>
      </c>
      <c r="Q1177" s="13" t="str">
        <f t="shared" si="75"/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f t="shared" si="72"/>
        <v>2</v>
      </c>
      <c r="W1177" s="13" t="str">
        <f t="shared" si="73"/>
        <v>Math-81</v>
      </c>
    </row>
    <row r="1178" spans="1:23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76"/>
        <v>AVATAR</v>
      </c>
      <c r="P1178" s="13" t="str">
        <f t="shared" si="74"/>
        <v>True Pattern</v>
      </c>
      <c r="Q1178" s="13" t="str">
        <f t="shared" si="75"/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f t="shared" si="72"/>
        <v>2</v>
      </c>
      <c r="W1178" s="13" t="str">
        <f t="shared" si="73"/>
        <v>Math-82</v>
      </c>
    </row>
    <row r="1179" spans="1:23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76"/>
        <v>AVATAR</v>
      </c>
      <c r="P1179" s="13" t="str">
        <f t="shared" si="74"/>
        <v>True Pattern</v>
      </c>
      <c r="Q1179" s="13" t="str">
        <f t="shared" si="75"/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f t="shared" si="72"/>
        <v>2</v>
      </c>
      <c r="W1179" s="13" t="str">
        <f t="shared" si="73"/>
        <v>Math-84</v>
      </c>
    </row>
    <row r="1180" spans="1:23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76"/>
        <v>AVATAR</v>
      </c>
      <c r="P1180" s="13" t="str">
        <f t="shared" si="74"/>
        <v>True Pattern</v>
      </c>
      <c r="Q1180" s="13" t="str">
        <f t="shared" si="75"/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f t="shared" si="72"/>
        <v>2</v>
      </c>
      <c r="W1180" s="13" t="str">
        <f t="shared" si="73"/>
        <v>Math-85</v>
      </c>
    </row>
    <row r="1181" spans="1:23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76"/>
        <v>AVATAR</v>
      </c>
      <c r="P1181" s="13" t="str">
        <f t="shared" si="74"/>
        <v>True Pattern</v>
      </c>
      <c r="Q1181" s="13" t="str">
        <f t="shared" si="75"/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f t="shared" si="72"/>
        <v>2</v>
      </c>
      <c r="W1181" s="13" t="str">
        <f t="shared" si="73"/>
        <v>Math-88</v>
      </c>
    </row>
    <row r="1182" spans="1:23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76"/>
        <v>AVATAR</v>
      </c>
      <c r="P1182" s="13" t="str">
        <f t="shared" si="74"/>
        <v>True Pattern</v>
      </c>
      <c r="Q1182" s="13" t="str">
        <f t="shared" si="75"/>
        <v>Repaired</v>
      </c>
      <c r="R1182" s="13" t="s">
        <v>1668</v>
      </c>
      <c r="S1182" s="25">
        <v>1</v>
      </c>
      <c r="T1182" s="25">
        <v>1</v>
      </c>
      <c r="U1182" s="25">
        <v>6</v>
      </c>
      <c r="V1182" s="13">
        <f t="shared" si="72"/>
        <v>7</v>
      </c>
      <c r="W1182" s="13" t="str">
        <f t="shared" si="73"/>
        <v>Math-89</v>
      </c>
    </row>
    <row r="1183" spans="1:23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76"/>
        <v>AVATAR</v>
      </c>
      <c r="P1183" s="13" t="str">
        <f t="shared" si="74"/>
        <v>True Pattern</v>
      </c>
      <c r="Q1183" s="13" t="str">
        <f t="shared" si="75"/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f t="shared" si="72"/>
        <v>2</v>
      </c>
      <c r="W1183" s="13" t="str">
        <f t="shared" si="73"/>
        <v>Math-95</v>
      </c>
    </row>
    <row r="1184" spans="1:23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76"/>
        <v>AVATAR</v>
      </c>
      <c r="P1184" s="13" t="str">
        <f t="shared" si="74"/>
        <v>True Pattern</v>
      </c>
      <c r="Q1184" s="13" t="str">
        <f t="shared" si="75"/>
        <v>Repaired</v>
      </c>
      <c r="R1184" s="13" t="s">
        <v>1668</v>
      </c>
      <c r="S1184" s="25">
        <v>1</v>
      </c>
      <c r="T1184" s="25">
        <v>1</v>
      </c>
      <c r="U1184" s="25">
        <v>4</v>
      </c>
      <c r="V1184" s="13">
        <f t="shared" si="72"/>
        <v>5</v>
      </c>
      <c r="W1184" s="13" t="str">
        <f t="shared" si="73"/>
        <v>Mockito-29</v>
      </c>
    </row>
    <row r="1185" spans="1:23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76"/>
        <v>AVATAR</v>
      </c>
      <c r="P1185" s="13" t="str">
        <f t="shared" si="74"/>
        <v>True Pattern</v>
      </c>
      <c r="Q1185" s="13" t="str">
        <f t="shared" si="75"/>
        <v>Repaired</v>
      </c>
      <c r="R1185" s="13" t="s">
        <v>1668</v>
      </c>
      <c r="S1185" s="25">
        <v>1</v>
      </c>
      <c r="T1185" s="25">
        <v>1</v>
      </c>
      <c r="U1185" s="25">
        <v>4</v>
      </c>
      <c r="V1185" s="13">
        <f t="shared" si="72"/>
        <v>5</v>
      </c>
      <c r="W1185" s="13" t="str">
        <f t="shared" si="73"/>
        <v>Mockito-38</v>
      </c>
    </row>
    <row r="1186" spans="1:23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76"/>
        <v>AVATAR</v>
      </c>
      <c r="P1186" s="13" t="str">
        <f t="shared" si="74"/>
        <v>True Pattern</v>
      </c>
      <c r="Q1186" s="13" t="str">
        <f t="shared" si="75"/>
        <v>Repaired</v>
      </c>
      <c r="R1186" s="13" t="s">
        <v>1669</v>
      </c>
      <c r="S1186" s="25">
        <v>1</v>
      </c>
      <c r="T1186" s="25">
        <v>29</v>
      </c>
      <c r="U1186" s="25">
        <v>1</v>
      </c>
      <c r="V1186" s="13">
        <f t="shared" si="72"/>
        <v>30</v>
      </c>
      <c r="W1186" s="13" t="str">
        <f t="shared" si="73"/>
        <v>Time-18</v>
      </c>
    </row>
    <row r="1187" spans="1:23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76"/>
        <v>DynaMoth</v>
      </c>
      <c r="P1187" s="13" t="str">
        <f t="shared" si="74"/>
        <v>True Semantic</v>
      </c>
      <c r="Q1187" s="13" t="str">
        <f t="shared" si="75"/>
        <v>Repaired</v>
      </c>
      <c r="R1187" s="13" t="s">
        <v>1669</v>
      </c>
      <c r="S1187" s="25">
        <v>1</v>
      </c>
      <c r="T1187" s="25">
        <v>2</v>
      </c>
      <c r="U1187" s="25">
        <v>4</v>
      </c>
      <c r="V1187" s="13">
        <f t="shared" si="72"/>
        <v>6</v>
      </c>
      <c r="W1187" s="13" t="str">
        <f t="shared" si="73"/>
        <v>Chart-1</v>
      </c>
    </row>
    <row r="1188" spans="1:23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76"/>
        <v>DynaMoth</v>
      </c>
      <c r="P1188" s="13" t="str">
        <f t="shared" si="74"/>
        <v>True Semantic</v>
      </c>
      <c r="Q1188" s="13" t="str">
        <f t="shared" si="75"/>
        <v>Repaired</v>
      </c>
      <c r="R1188" s="13" t="s">
        <v>1669</v>
      </c>
      <c r="S1188" s="25">
        <v>1</v>
      </c>
      <c r="T1188" s="25">
        <v>7</v>
      </c>
      <c r="U1188" s="25">
        <v>9</v>
      </c>
      <c r="V1188" s="13">
        <f t="shared" si="72"/>
        <v>16</v>
      </c>
      <c r="W1188" s="13" t="str">
        <f t="shared" si="73"/>
        <v>Chart-13</v>
      </c>
    </row>
    <row r="1189" spans="1:23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76"/>
        <v>DynaMoth</v>
      </c>
      <c r="P1189" s="13" t="str">
        <f t="shared" si="74"/>
        <v>True Semantic</v>
      </c>
      <c r="Q1189" s="13" t="str">
        <f t="shared" si="75"/>
        <v>Repaired</v>
      </c>
      <c r="R1189" s="13" t="s">
        <v>1669</v>
      </c>
      <c r="S1189" s="25">
        <v>1</v>
      </c>
      <c r="T1189" s="25">
        <v>7</v>
      </c>
      <c r="U1189" s="25">
        <v>9</v>
      </c>
      <c r="V1189" s="13">
        <f t="shared" si="72"/>
        <v>16</v>
      </c>
      <c r="W1189" s="13" t="str">
        <f t="shared" si="73"/>
        <v>Chart-25</v>
      </c>
    </row>
    <row r="1190" spans="1:23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76"/>
        <v>DynaMoth</v>
      </c>
      <c r="P1190" s="13" t="str">
        <f t="shared" si="74"/>
        <v>True Semantic</v>
      </c>
      <c r="Q1190" s="13" t="str">
        <f t="shared" si="75"/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f t="shared" ref="V1190:V1253" si="77">T1190+U1190</f>
        <v>2</v>
      </c>
      <c r="W1190" s="13" t="str">
        <f t="shared" ref="W1190:W1253" si="78">MID(A1190, SEARCH("_", A1190) +1, SEARCH("_", A1190, SEARCH("_", A1190) +1) - SEARCH("_", A1190) -1)</f>
        <v>Chart-5</v>
      </c>
    </row>
    <row r="1191" spans="1:23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76"/>
        <v>DynaMoth</v>
      </c>
      <c r="P1191" s="13" t="str">
        <f t="shared" si="74"/>
        <v>True Semantic</v>
      </c>
      <c r="Q1191" s="13" t="str">
        <f t="shared" si="75"/>
        <v>Repaired</v>
      </c>
      <c r="R1191" s="13" t="s">
        <v>1668</v>
      </c>
      <c r="S1191" s="25">
        <v>1</v>
      </c>
      <c r="T1191" s="25">
        <v>1</v>
      </c>
      <c r="U1191" s="25">
        <v>3</v>
      </c>
      <c r="V1191" s="13">
        <f t="shared" si="77"/>
        <v>4</v>
      </c>
      <c r="W1191" s="13" t="str">
        <f t="shared" si="78"/>
        <v>Lang-46</v>
      </c>
    </row>
    <row r="1192" spans="1:23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76"/>
        <v>DynaMoth</v>
      </c>
      <c r="P1192" s="13" t="str">
        <f t="shared" si="74"/>
        <v>True Semantic</v>
      </c>
      <c r="Q1192" s="13" t="str">
        <f t="shared" si="75"/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f t="shared" si="77"/>
        <v>8</v>
      </c>
      <c r="W1192" s="13" t="str">
        <f t="shared" si="78"/>
        <v>Lang-51</v>
      </c>
    </row>
    <row r="1193" spans="1:23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76"/>
        <v>DynaMoth</v>
      </c>
      <c r="P1193" s="13" t="str">
        <f t="shared" si="74"/>
        <v>True Semantic</v>
      </c>
      <c r="Q1193" s="13" t="str">
        <f t="shared" si="75"/>
        <v>Repaired</v>
      </c>
      <c r="R1193" s="13" t="s">
        <v>1668</v>
      </c>
      <c r="S1193" s="25">
        <v>1</v>
      </c>
      <c r="T1193" s="25">
        <v>1</v>
      </c>
      <c r="U1193" s="25">
        <v>3</v>
      </c>
      <c r="V1193" s="13">
        <f t="shared" si="77"/>
        <v>4</v>
      </c>
      <c r="W1193" s="13" t="str">
        <f t="shared" si="78"/>
        <v>Lang-55</v>
      </c>
    </row>
    <row r="1194" spans="1:23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76"/>
        <v>DynaMoth</v>
      </c>
      <c r="P1194" s="13" t="str">
        <f t="shared" si="74"/>
        <v>True Semantic</v>
      </c>
      <c r="Q1194" s="13" t="str">
        <f t="shared" si="75"/>
        <v>Repaired</v>
      </c>
      <c r="R1194" s="13" t="s">
        <v>1669</v>
      </c>
      <c r="S1194" s="25">
        <v>2</v>
      </c>
      <c r="T1194" s="25">
        <v>5</v>
      </c>
      <c r="U1194" s="25">
        <v>2</v>
      </c>
      <c r="V1194" s="13">
        <f t="shared" si="77"/>
        <v>7</v>
      </c>
      <c r="W1194" s="13" t="str">
        <f t="shared" si="78"/>
        <v>Lang-58</v>
      </c>
    </row>
    <row r="1195" spans="1:23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76"/>
        <v>DynaMoth</v>
      </c>
      <c r="P1195" s="13" t="str">
        <f t="shared" si="74"/>
        <v>True Semantic</v>
      </c>
      <c r="Q1195" s="13" t="str">
        <f t="shared" si="75"/>
        <v>Repaired</v>
      </c>
      <c r="R1195" s="13" t="s">
        <v>1669</v>
      </c>
      <c r="S1195" s="25">
        <v>1</v>
      </c>
      <c r="T1195" s="25">
        <v>1</v>
      </c>
      <c r="U1195" s="25">
        <v>3</v>
      </c>
      <c r="V1195" s="13">
        <f t="shared" si="77"/>
        <v>4</v>
      </c>
      <c r="W1195" s="13" t="str">
        <f t="shared" si="78"/>
        <v>Lang-63</v>
      </c>
    </row>
    <row r="1196" spans="1:23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76"/>
        <v>DynaMoth</v>
      </c>
      <c r="P1196" s="13" t="str">
        <f t="shared" si="74"/>
        <v>True Semantic</v>
      </c>
      <c r="Q1196" s="13" t="str">
        <f t="shared" si="75"/>
        <v>Repaired</v>
      </c>
      <c r="R1196" s="13" t="s">
        <v>1669</v>
      </c>
      <c r="S1196" s="25">
        <v>1</v>
      </c>
      <c r="T1196" s="25">
        <v>2</v>
      </c>
      <c r="U1196" s="25">
        <v>1</v>
      </c>
      <c r="V1196" s="13">
        <f t="shared" si="77"/>
        <v>3</v>
      </c>
      <c r="W1196" s="13" t="str">
        <f t="shared" si="78"/>
        <v>Math-101</v>
      </c>
    </row>
    <row r="1197" spans="1:23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76"/>
        <v>DynaMoth</v>
      </c>
      <c r="P1197" s="13" t="str">
        <f t="shared" si="74"/>
        <v>True Semantic</v>
      </c>
      <c r="Q1197" s="13" t="str">
        <f t="shared" si="75"/>
        <v>Repaired</v>
      </c>
      <c r="R1197" s="13" t="s">
        <v>1669</v>
      </c>
      <c r="S1197" s="25">
        <v>1</v>
      </c>
      <c r="T1197" s="25">
        <v>1</v>
      </c>
      <c r="U1197" s="25">
        <v>3</v>
      </c>
      <c r="V1197" s="13">
        <f t="shared" si="77"/>
        <v>4</v>
      </c>
      <c r="W1197" s="13" t="str">
        <f t="shared" si="78"/>
        <v>Math-105</v>
      </c>
    </row>
    <row r="1198" spans="1:23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76"/>
        <v>DynaMoth</v>
      </c>
      <c r="P1198" s="13" t="str">
        <f t="shared" si="74"/>
        <v>True Semantic</v>
      </c>
      <c r="Q1198" s="13" t="str">
        <f t="shared" si="75"/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f t="shared" si="77"/>
        <v>2</v>
      </c>
      <c r="W1198" s="13" t="str">
        <f t="shared" si="78"/>
        <v>Math-20</v>
      </c>
    </row>
    <row r="1199" spans="1:23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76"/>
        <v>DynaMoth</v>
      </c>
      <c r="P1199" s="13" t="str">
        <f t="shared" si="74"/>
        <v>True Semantic</v>
      </c>
      <c r="Q1199" s="13" t="str">
        <f t="shared" si="75"/>
        <v>Repaired</v>
      </c>
      <c r="R1199" s="13" t="s">
        <v>1669</v>
      </c>
      <c r="S1199" s="25">
        <v>1</v>
      </c>
      <c r="T1199" s="25">
        <v>1</v>
      </c>
      <c r="U1199" s="25">
        <v>3</v>
      </c>
      <c r="V1199" s="13">
        <f t="shared" si="77"/>
        <v>4</v>
      </c>
      <c r="W1199" s="13" t="str">
        <f t="shared" si="78"/>
        <v>Math-28</v>
      </c>
    </row>
    <row r="1200" spans="1:23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76"/>
        <v>DynaMoth</v>
      </c>
      <c r="P1200" s="13" t="str">
        <f t="shared" si="74"/>
        <v>True Semantic</v>
      </c>
      <c r="Q1200" s="13" t="str">
        <f t="shared" si="75"/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f t="shared" si="77"/>
        <v>2</v>
      </c>
      <c r="W1200" s="13" t="str">
        <f t="shared" si="78"/>
        <v>Math-32</v>
      </c>
    </row>
    <row r="1201" spans="1:23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76"/>
        <v>DynaMoth</v>
      </c>
      <c r="P1201" s="13" t="str">
        <f t="shared" si="74"/>
        <v>True Semantic</v>
      </c>
      <c r="Q1201" s="13" t="str">
        <f t="shared" si="75"/>
        <v>Repaired</v>
      </c>
      <c r="R1201" s="13" t="s">
        <v>1669</v>
      </c>
      <c r="S1201" s="25">
        <v>1</v>
      </c>
      <c r="T1201" s="25">
        <v>8</v>
      </c>
      <c r="U1201" s="25">
        <v>10</v>
      </c>
      <c r="V1201" s="13">
        <f t="shared" si="77"/>
        <v>18</v>
      </c>
      <c r="W1201" s="13" t="str">
        <f t="shared" si="78"/>
        <v>Math-41</v>
      </c>
    </row>
    <row r="1202" spans="1:23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76"/>
        <v>DynaMoth</v>
      </c>
      <c r="P1202" s="13" t="str">
        <f t="shared" si="74"/>
        <v>True Semantic</v>
      </c>
      <c r="Q1202" s="13" t="str">
        <f t="shared" si="75"/>
        <v>Repaired</v>
      </c>
      <c r="R1202" s="13" t="s">
        <v>1669</v>
      </c>
      <c r="S1202" s="25">
        <v>1</v>
      </c>
      <c r="T1202" s="25">
        <v>2</v>
      </c>
      <c r="U1202" s="25">
        <v>6</v>
      </c>
      <c r="V1202" s="13">
        <f t="shared" si="77"/>
        <v>8</v>
      </c>
      <c r="W1202" s="13" t="str">
        <f t="shared" si="78"/>
        <v>Math-49</v>
      </c>
    </row>
    <row r="1203" spans="1:23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76"/>
        <v>DynaMoth</v>
      </c>
      <c r="P1203" s="13" t="str">
        <f t="shared" si="74"/>
        <v>True Semantic</v>
      </c>
      <c r="Q1203" s="13" t="str">
        <f t="shared" si="75"/>
        <v>Repaired</v>
      </c>
      <c r="R1203" s="13" t="s">
        <v>1668</v>
      </c>
      <c r="S1203" s="25">
        <v>1</v>
      </c>
      <c r="T1203" s="25">
        <v>1</v>
      </c>
      <c r="U1203" s="25">
        <v>3</v>
      </c>
      <c r="V1203" s="13">
        <f t="shared" si="77"/>
        <v>4</v>
      </c>
      <c r="W1203" s="13" t="str">
        <f t="shared" si="78"/>
        <v>Math-50</v>
      </c>
    </row>
    <row r="1204" spans="1:23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76"/>
        <v>DynaMoth</v>
      </c>
      <c r="P1204" s="13" t="str">
        <f t="shared" si="74"/>
        <v>True Semantic</v>
      </c>
      <c r="Q1204" s="13" t="str">
        <f t="shared" si="75"/>
        <v>Repaired</v>
      </c>
      <c r="R1204" s="13" t="s">
        <v>1669</v>
      </c>
      <c r="S1204" s="25">
        <v>1</v>
      </c>
      <c r="T1204" s="25">
        <v>2</v>
      </c>
      <c r="U1204" s="25">
        <v>4</v>
      </c>
      <c r="V1204" s="13">
        <f t="shared" si="77"/>
        <v>6</v>
      </c>
      <c r="W1204" s="13" t="str">
        <f t="shared" si="78"/>
        <v>Math-8</v>
      </c>
    </row>
    <row r="1205" spans="1:23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76"/>
        <v>DynaMoth</v>
      </c>
      <c r="P1205" s="13" t="str">
        <f t="shared" si="74"/>
        <v>True Semantic</v>
      </c>
      <c r="Q1205" s="13" t="str">
        <f t="shared" si="75"/>
        <v>Repaired</v>
      </c>
      <c r="R1205" s="13" t="s">
        <v>1669</v>
      </c>
      <c r="S1205" s="25">
        <v>2</v>
      </c>
      <c r="T1205" s="25">
        <v>6</v>
      </c>
      <c r="U1205" s="25">
        <v>8</v>
      </c>
      <c r="V1205" s="13">
        <f t="shared" si="77"/>
        <v>14</v>
      </c>
      <c r="W1205" s="13" t="str">
        <f t="shared" si="78"/>
        <v>Math-80</v>
      </c>
    </row>
    <row r="1206" spans="1:23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76"/>
        <v>DynaMoth</v>
      </c>
      <c r="P1206" s="13" t="str">
        <f t="shared" si="74"/>
        <v>True Semantic</v>
      </c>
      <c r="Q1206" s="13" t="str">
        <f t="shared" si="75"/>
        <v>Repaired</v>
      </c>
      <c r="R1206" s="13" t="s">
        <v>1669</v>
      </c>
      <c r="S1206" s="25">
        <v>4</v>
      </c>
      <c r="T1206" s="25">
        <v>15</v>
      </c>
      <c r="U1206" s="25">
        <v>17</v>
      </c>
      <c r="V1206" s="13">
        <f t="shared" si="77"/>
        <v>32</v>
      </c>
      <c r="W1206" s="13" t="str">
        <f t="shared" si="78"/>
        <v>Math-81</v>
      </c>
    </row>
    <row r="1207" spans="1:23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76"/>
        <v>DynaMoth</v>
      </c>
      <c r="P1207" s="13" t="str">
        <f t="shared" si="74"/>
        <v>True Semantic</v>
      </c>
      <c r="Q1207" s="13" t="str">
        <f t="shared" si="75"/>
        <v>Repaired</v>
      </c>
      <c r="R1207" s="13" t="s">
        <v>1669</v>
      </c>
      <c r="S1207" s="25">
        <v>1</v>
      </c>
      <c r="T1207" s="25">
        <v>1</v>
      </c>
      <c r="U1207" s="25">
        <v>3</v>
      </c>
      <c r="V1207" s="13">
        <f t="shared" si="77"/>
        <v>4</v>
      </c>
      <c r="W1207" s="13" t="str">
        <f t="shared" si="78"/>
        <v>Math-82</v>
      </c>
    </row>
    <row r="1208" spans="1:23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76"/>
        <v>DynaMoth</v>
      </c>
      <c r="P1208" s="13" t="str">
        <f t="shared" si="74"/>
        <v>True Semantic</v>
      </c>
      <c r="Q1208" s="13" t="str">
        <f t="shared" si="75"/>
        <v>Repaired</v>
      </c>
      <c r="R1208" s="13" t="s">
        <v>1669</v>
      </c>
      <c r="S1208" s="25">
        <v>1</v>
      </c>
      <c r="T1208" s="25">
        <v>7</v>
      </c>
      <c r="U1208" s="25">
        <v>9</v>
      </c>
      <c r="V1208" s="13">
        <f t="shared" si="77"/>
        <v>16</v>
      </c>
      <c r="W1208" s="13" t="str">
        <f t="shared" si="78"/>
        <v>Math-85</v>
      </c>
    </row>
    <row r="1209" spans="1:23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76"/>
        <v>DynaMoth</v>
      </c>
      <c r="P1209" s="13" t="str">
        <f t="shared" si="74"/>
        <v>True Semantic</v>
      </c>
      <c r="Q1209" s="13" t="str">
        <f t="shared" si="75"/>
        <v>Repaired</v>
      </c>
      <c r="R1209" s="13" t="s">
        <v>1669</v>
      </c>
      <c r="S1209" s="25">
        <v>1</v>
      </c>
      <c r="T1209" s="25">
        <v>1</v>
      </c>
      <c r="U1209" s="25">
        <v>3</v>
      </c>
      <c r="V1209" s="13">
        <f t="shared" si="77"/>
        <v>4</v>
      </c>
      <c r="W1209" s="13" t="str">
        <f t="shared" si="78"/>
        <v>Math-88</v>
      </c>
    </row>
    <row r="1210" spans="1:23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76"/>
        <v>DynaMoth</v>
      </c>
      <c r="P1210" s="13" t="str">
        <f t="shared" si="74"/>
        <v>True Semantic</v>
      </c>
      <c r="Q1210" s="13" t="str">
        <f t="shared" si="75"/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f t="shared" si="77"/>
        <v>12</v>
      </c>
      <c r="W1210" s="13" t="str">
        <f t="shared" si="78"/>
        <v>Math-97</v>
      </c>
    </row>
    <row r="1211" spans="1:23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76"/>
        <v>FixMiner</v>
      </c>
      <c r="P1211" s="13" t="str">
        <f t="shared" si="74"/>
        <v>True Pattern</v>
      </c>
      <c r="Q1211" s="13" t="str">
        <f t="shared" si="75"/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f t="shared" si="77"/>
        <v>2</v>
      </c>
      <c r="W1211" s="13" t="str">
        <f t="shared" si="78"/>
        <v>Chart-1</v>
      </c>
    </row>
    <row r="1212" spans="1:23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76"/>
        <v>FixMiner</v>
      </c>
      <c r="P1212" s="13" t="str">
        <f t="shared" si="74"/>
        <v>True Pattern</v>
      </c>
      <c r="Q1212" s="13" t="str">
        <f t="shared" si="75"/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f t="shared" si="77"/>
        <v>2</v>
      </c>
      <c r="W1212" s="13" t="str">
        <f t="shared" si="78"/>
        <v>Chart-11</v>
      </c>
    </row>
    <row r="1213" spans="1:23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76"/>
        <v>FixMiner</v>
      </c>
      <c r="P1213" s="13" t="str">
        <f t="shared" si="74"/>
        <v>True Pattern</v>
      </c>
      <c r="Q1213" s="13" t="str">
        <f t="shared" si="75"/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f t="shared" si="77"/>
        <v>2</v>
      </c>
      <c r="W1213" s="13" t="str">
        <f t="shared" si="78"/>
        <v>Chart-12</v>
      </c>
    </row>
    <row r="1214" spans="1:23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76"/>
        <v>FixMiner</v>
      </c>
      <c r="P1214" s="13" t="str">
        <f t="shared" si="74"/>
        <v>True Pattern</v>
      </c>
      <c r="Q1214" s="13" t="str">
        <f t="shared" si="75"/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f t="shared" si="77"/>
        <v>2</v>
      </c>
      <c r="W1214" s="13" t="str">
        <f t="shared" si="78"/>
        <v>Chart-13</v>
      </c>
    </row>
    <row r="1215" spans="1:23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76"/>
        <v>FixMiner</v>
      </c>
      <c r="P1215" s="13" t="str">
        <f t="shared" si="74"/>
        <v>True Pattern</v>
      </c>
      <c r="Q1215" s="13" t="str">
        <f t="shared" si="75"/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f t="shared" si="77"/>
        <v>2</v>
      </c>
      <c r="W1215" s="13" t="str">
        <f t="shared" si="78"/>
        <v>Chart-17</v>
      </c>
    </row>
    <row r="1216" spans="1:23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76"/>
        <v>FixMiner</v>
      </c>
      <c r="P1216" s="13" t="str">
        <f t="shared" si="74"/>
        <v>True Pattern</v>
      </c>
      <c r="Q1216" s="13" t="str">
        <f t="shared" si="75"/>
        <v>Repaired</v>
      </c>
      <c r="R1216" s="13" t="s">
        <v>1668</v>
      </c>
      <c r="S1216" s="25">
        <v>1</v>
      </c>
      <c r="T1216" s="25">
        <v>1</v>
      </c>
      <c r="U1216" s="25">
        <v>4</v>
      </c>
      <c r="V1216" s="13">
        <f t="shared" si="77"/>
        <v>5</v>
      </c>
      <c r="W1216" s="13" t="str">
        <f t="shared" si="78"/>
        <v>Chart-19</v>
      </c>
    </row>
    <row r="1217" spans="1:23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76"/>
        <v>FixMiner</v>
      </c>
      <c r="P1217" s="13" t="str">
        <f t="shared" si="74"/>
        <v>True Pattern</v>
      </c>
      <c r="Q1217" s="13" t="str">
        <f t="shared" si="75"/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f t="shared" si="77"/>
        <v>2</v>
      </c>
      <c r="W1217" s="13" t="str">
        <f t="shared" si="78"/>
        <v>Chart-24</v>
      </c>
    </row>
    <row r="1218" spans="1:23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76"/>
        <v>FixMiner</v>
      </c>
      <c r="P1218" s="13" t="str">
        <f t="shared" si="74"/>
        <v>True Pattern</v>
      </c>
      <c r="Q1218" s="13" t="str">
        <f t="shared" si="75"/>
        <v>Repaired</v>
      </c>
      <c r="R1218" s="13" t="s">
        <v>1668</v>
      </c>
      <c r="S1218" s="25">
        <v>2</v>
      </c>
      <c r="T1218" s="25">
        <v>1</v>
      </c>
      <c r="U1218" s="25">
        <v>4</v>
      </c>
      <c r="V1218" s="13">
        <f t="shared" si="77"/>
        <v>5</v>
      </c>
      <c r="W1218" s="13" t="str">
        <f t="shared" si="78"/>
        <v>Chart-26</v>
      </c>
    </row>
    <row r="1219" spans="1:23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76"/>
        <v>FixMiner</v>
      </c>
      <c r="P1219" s="13" t="str">
        <f t="shared" si="74"/>
        <v>True Pattern</v>
      </c>
      <c r="Q1219" s="13" t="str">
        <f t="shared" si="75"/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f t="shared" si="77"/>
        <v>2</v>
      </c>
      <c r="W1219" s="13" t="str">
        <f t="shared" si="78"/>
        <v>Chart-3</v>
      </c>
    </row>
    <row r="1220" spans="1:23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76"/>
        <v>FixMiner</v>
      </c>
      <c r="P1220" s="13" t="str">
        <f t="shared" si="74"/>
        <v>True Pattern</v>
      </c>
      <c r="Q1220" s="13" t="str">
        <f t="shared" si="75"/>
        <v>Repaired</v>
      </c>
      <c r="R1220" s="13" t="s">
        <v>1668</v>
      </c>
      <c r="S1220" s="25">
        <v>2</v>
      </c>
      <c r="T1220" s="25">
        <v>1</v>
      </c>
      <c r="U1220" s="25">
        <v>4</v>
      </c>
      <c r="V1220" s="13">
        <f t="shared" si="77"/>
        <v>5</v>
      </c>
      <c r="W1220" s="13" t="str">
        <f t="shared" si="78"/>
        <v>Chart-4</v>
      </c>
    </row>
    <row r="1221" spans="1:23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76"/>
        <v>FixMiner</v>
      </c>
      <c r="P1221" s="13" t="str">
        <f t="shared" si="74"/>
        <v>True Pattern</v>
      </c>
      <c r="Q1221" s="13" t="str">
        <f t="shared" si="75"/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f t="shared" si="77"/>
        <v>2</v>
      </c>
      <c r="W1221" s="13" t="str">
        <f t="shared" si="78"/>
        <v>Chart-7</v>
      </c>
    </row>
    <row r="1222" spans="1:23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76"/>
        <v>FixMiner</v>
      </c>
      <c r="P1222" s="13" t="str">
        <f t="shared" si="74"/>
        <v>True Pattern</v>
      </c>
      <c r="Q1222" s="13" t="str">
        <f t="shared" si="75"/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f t="shared" si="77"/>
        <v>2</v>
      </c>
      <c r="W1222" s="13" t="str">
        <f t="shared" si="78"/>
        <v>Closure-10</v>
      </c>
    </row>
    <row r="1223" spans="1:23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76"/>
        <v>FixMiner</v>
      </c>
      <c r="P1223" s="13" t="str">
        <f t="shared" si="74"/>
        <v>True Pattern</v>
      </c>
      <c r="Q1223" s="13" t="str">
        <f t="shared" si="75"/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f t="shared" si="77"/>
        <v>2</v>
      </c>
      <c r="W1223" s="13" t="str">
        <f t="shared" si="78"/>
        <v>Closure-115</v>
      </c>
    </row>
    <row r="1224" spans="1:23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76"/>
        <v>FixMiner</v>
      </c>
      <c r="P1224" s="13" t="str">
        <f t="shared" si="74"/>
        <v>True Pattern</v>
      </c>
      <c r="Q1224" s="13" t="str">
        <f t="shared" si="75"/>
        <v>Repaired</v>
      </c>
      <c r="R1224" s="13" t="s">
        <v>1668</v>
      </c>
      <c r="S1224" s="25">
        <v>2</v>
      </c>
      <c r="T1224" s="25">
        <v>1</v>
      </c>
      <c r="U1224" s="25">
        <v>3</v>
      </c>
      <c r="V1224" s="13">
        <f t="shared" si="77"/>
        <v>4</v>
      </c>
      <c r="W1224" s="13" t="str">
        <f t="shared" si="78"/>
        <v>Closure-13</v>
      </c>
    </row>
    <row r="1225" spans="1:23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76"/>
        <v>FixMiner</v>
      </c>
      <c r="P1225" s="13" t="str">
        <f t="shared" si="74"/>
        <v>True Pattern</v>
      </c>
      <c r="Q1225" s="13" t="str">
        <f t="shared" si="75"/>
        <v>Repaired</v>
      </c>
      <c r="R1225" s="13" t="s">
        <v>1669</v>
      </c>
      <c r="S1225" s="25">
        <v>1</v>
      </c>
      <c r="T1225" s="25">
        <v>2</v>
      </c>
      <c r="U1225" s="25">
        <v>1</v>
      </c>
      <c r="V1225" s="13">
        <f t="shared" si="77"/>
        <v>3</v>
      </c>
      <c r="W1225" s="13" t="str">
        <f t="shared" si="78"/>
        <v>Closure-19</v>
      </c>
    </row>
    <row r="1226" spans="1:23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76"/>
        <v>FixMiner</v>
      </c>
      <c r="P1226" s="13" t="str">
        <f t="shared" ref="P1226:P1289" si="79"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 t="shared" si="75"/>
        <v>Repaired</v>
      </c>
      <c r="R1226" s="13" t="s">
        <v>1668</v>
      </c>
      <c r="S1226" s="25">
        <v>2</v>
      </c>
      <c r="T1226" s="13">
        <v>0</v>
      </c>
      <c r="U1226" s="25">
        <v>2</v>
      </c>
      <c r="V1226" s="13">
        <f t="shared" si="77"/>
        <v>2</v>
      </c>
      <c r="W1226" s="13" t="str">
        <f t="shared" si="78"/>
        <v>Closure-2</v>
      </c>
    </row>
    <row r="1227" spans="1:23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76"/>
        <v>FixMiner</v>
      </c>
      <c r="P1227" s="13" t="str">
        <f t="shared" si="79"/>
        <v>True Pattern</v>
      </c>
      <c r="Q1227" s="13" t="str">
        <f t="shared" si="75"/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f t="shared" si="77"/>
        <v>2</v>
      </c>
      <c r="W1227" s="13" t="str">
        <f t="shared" si="78"/>
        <v>Closure-38</v>
      </c>
    </row>
    <row r="1228" spans="1:23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76"/>
        <v>FixMiner</v>
      </c>
      <c r="P1228" s="13" t="str">
        <f t="shared" si="79"/>
        <v>True Pattern</v>
      </c>
      <c r="Q1228" s="13" t="str">
        <f t="shared" si="75"/>
        <v>Repaired</v>
      </c>
      <c r="R1228" s="13" t="s">
        <v>1668</v>
      </c>
      <c r="S1228" s="25">
        <v>1</v>
      </c>
      <c r="T1228" s="25">
        <v>16</v>
      </c>
      <c r="U1228" s="25">
        <v>1</v>
      </c>
      <c r="V1228" s="13">
        <f t="shared" si="77"/>
        <v>17</v>
      </c>
      <c r="W1228" s="13" t="str">
        <f t="shared" si="78"/>
        <v>Closure-46</v>
      </c>
    </row>
    <row r="1229" spans="1:23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76"/>
        <v>FixMiner</v>
      </c>
      <c r="P1229" s="13" t="str">
        <f t="shared" si="79"/>
        <v>True Pattern</v>
      </c>
      <c r="Q1229" s="13" t="str">
        <f t="shared" si="75"/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f t="shared" si="77"/>
        <v>2</v>
      </c>
      <c r="W1229" s="13" t="str">
        <f t="shared" si="78"/>
        <v>Closure-62</v>
      </c>
    </row>
    <row r="1230" spans="1:23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76"/>
        <v>FixMiner</v>
      </c>
      <c r="P1230" s="13" t="str">
        <f t="shared" si="79"/>
        <v>True Pattern</v>
      </c>
      <c r="Q1230" s="13" t="str">
        <f t="shared" si="75"/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f t="shared" si="77"/>
        <v>2</v>
      </c>
      <c r="W1230" s="13" t="str">
        <f t="shared" si="78"/>
        <v>Closure-73</v>
      </c>
    </row>
    <row r="1231" spans="1:23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76"/>
        <v>FixMiner</v>
      </c>
      <c r="P1231" s="13" t="str">
        <f t="shared" si="79"/>
        <v>True Pattern</v>
      </c>
      <c r="Q1231" s="13" t="str">
        <f t="shared" si="75"/>
        <v>Repaired</v>
      </c>
      <c r="R1231" s="13" t="s">
        <v>1668</v>
      </c>
      <c r="S1231" s="25">
        <v>1</v>
      </c>
      <c r="T1231" s="25">
        <v>7</v>
      </c>
      <c r="U1231" s="25">
        <v>1</v>
      </c>
      <c r="V1231" s="13">
        <f t="shared" si="77"/>
        <v>8</v>
      </c>
      <c r="W1231" s="13" t="str">
        <f t="shared" si="78"/>
        <v>Lang-10</v>
      </c>
    </row>
    <row r="1232" spans="1:23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76"/>
        <v>FixMiner</v>
      </c>
      <c r="P1232" s="13" t="str">
        <f t="shared" si="79"/>
        <v>True Pattern</v>
      </c>
      <c r="Q1232" s="13" t="str">
        <f t="shared" si="75"/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f t="shared" si="77"/>
        <v>2</v>
      </c>
      <c r="W1232" s="13" t="str">
        <f t="shared" si="78"/>
        <v>Lang-19</v>
      </c>
    </row>
    <row r="1233" spans="1:23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76"/>
        <v>FixMiner</v>
      </c>
      <c r="P1233" s="13" t="str">
        <f t="shared" si="79"/>
        <v>True Pattern</v>
      </c>
      <c r="Q1233" s="13" t="str">
        <f t="shared" si="75"/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f t="shared" si="77"/>
        <v>2</v>
      </c>
      <c r="W1233" s="13" t="str">
        <f t="shared" si="78"/>
        <v>Lang-22</v>
      </c>
    </row>
    <row r="1234" spans="1:23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76"/>
        <v>FixMiner</v>
      </c>
      <c r="P1234" s="13" t="str">
        <f t="shared" si="79"/>
        <v>True Pattern</v>
      </c>
      <c r="Q1234" s="13" t="str">
        <f t="shared" si="75"/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f t="shared" si="77"/>
        <v>2</v>
      </c>
      <c r="W1234" s="13" t="str">
        <f t="shared" si="78"/>
        <v>Lang-56</v>
      </c>
    </row>
    <row r="1235" spans="1:23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76"/>
        <v>FixMiner</v>
      </c>
      <c r="P1235" s="13" t="str">
        <f t="shared" si="79"/>
        <v>True Pattern</v>
      </c>
      <c r="Q1235" s="13" t="str">
        <f t="shared" si="75"/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f t="shared" si="77"/>
        <v>2</v>
      </c>
      <c r="W1235" s="13" t="str">
        <f t="shared" si="78"/>
        <v>Lang-57</v>
      </c>
    </row>
    <row r="1236" spans="1:23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76"/>
        <v>FixMiner</v>
      </c>
      <c r="P1236" s="13" t="str">
        <f t="shared" si="79"/>
        <v>True Pattern</v>
      </c>
      <c r="Q1236" s="13" t="str">
        <f t="shared" si="75"/>
        <v>Repaired</v>
      </c>
      <c r="R1236" s="13" t="s">
        <v>1669</v>
      </c>
      <c r="S1236" s="25">
        <v>1</v>
      </c>
      <c r="T1236" s="25">
        <v>2</v>
      </c>
      <c r="U1236" s="25">
        <v>1</v>
      </c>
      <c r="V1236" s="13">
        <f t="shared" si="77"/>
        <v>3</v>
      </c>
      <c r="W1236" s="13" t="str">
        <f t="shared" si="78"/>
        <v>Lang-58</v>
      </c>
    </row>
    <row r="1237" spans="1:23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76"/>
        <v>FixMiner</v>
      </c>
      <c r="P1237" s="13" t="str">
        <f t="shared" si="79"/>
        <v>True Pattern</v>
      </c>
      <c r="Q1237" s="13" t="str">
        <f t="shared" si="75"/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f t="shared" si="77"/>
        <v>2</v>
      </c>
      <c r="W1237" s="13" t="str">
        <f t="shared" si="78"/>
        <v>Lang-59</v>
      </c>
    </row>
    <row r="1238" spans="1:23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76"/>
        <v>FixMiner</v>
      </c>
      <c r="P1238" s="13" t="str">
        <f t="shared" si="79"/>
        <v>True Pattern</v>
      </c>
      <c r="Q1238" s="13" t="str">
        <f t="shared" ref="Q1238:Q1301" si="80"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2</v>
      </c>
      <c r="U1238" s="25">
        <v>3</v>
      </c>
      <c r="V1238" s="13">
        <f t="shared" si="77"/>
        <v>5</v>
      </c>
      <c r="W1238" s="13" t="str">
        <f t="shared" si="78"/>
        <v>Lang-63</v>
      </c>
    </row>
    <row r="1239" spans="1:23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ref="O1239:O1302" si="81">LEFT($A1239,FIND("_",$A1239)-1)</f>
        <v>FixMiner</v>
      </c>
      <c r="P1239" s="13" t="str">
        <f t="shared" si="79"/>
        <v>True Pattern</v>
      </c>
      <c r="Q1239" s="13" t="str">
        <f t="shared" si="80"/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f t="shared" si="77"/>
        <v>2</v>
      </c>
      <c r="W1239" s="13" t="str">
        <f t="shared" si="78"/>
        <v>Lang-7</v>
      </c>
    </row>
    <row r="1240" spans="1:23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si="81"/>
        <v>FixMiner</v>
      </c>
      <c r="P1240" s="13" t="str">
        <f t="shared" si="79"/>
        <v>True Pattern</v>
      </c>
      <c r="Q1240" s="13" t="str">
        <f t="shared" si="80"/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f t="shared" si="77"/>
        <v>2</v>
      </c>
      <c r="W1240" s="13" t="str">
        <f t="shared" si="78"/>
        <v>Math-20</v>
      </c>
    </row>
    <row r="1241" spans="1:23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81"/>
        <v>FixMiner</v>
      </c>
      <c r="P1241" s="13" t="str">
        <f t="shared" si="79"/>
        <v>True Pattern</v>
      </c>
      <c r="Q1241" s="13" t="str">
        <f t="shared" si="80"/>
        <v>Repaired</v>
      </c>
      <c r="R1241" s="13" t="s">
        <v>1669</v>
      </c>
      <c r="S1241" s="25">
        <v>1</v>
      </c>
      <c r="T1241" s="25">
        <v>9</v>
      </c>
      <c r="U1241" s="25">
        <v>1</v>
      </c>
      <c r="V1241" s="13">
        <f t="shared" si="77"/>
        <v>10</v>
      </c>
      <c r="W1241" s="13" t="str">
        <f t="shared" si="78"/>
        <v>Math-28</v>
      </c>
    </row>
    <row r="1242" spans="1:23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81"/>
        <v>FixMiner</v>
      </c>
      <c r="P1242" s="13" t="str">
        <f t="shared" si="79"/>
        <v>True Pattern</v>
      </c>
      <c r="Q1242" s="13" t="str">
        <f t="shared" si="80"/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f t="shared" si="77"/>
        <v>2</v>
      </c>
      <c r="W1242" s="13" t="str">
        <f t="shared" si="78"/>
        <v>Math-30</v>
      </c>
    </row>
    <row r="1243" spans="1:23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81"/>
        <v>FixMiner</v>
      </c>
      <c r="P1243" s="13" t="str">
        <f t="shared" si="79"/>
        <v>True Pattern</v>
      </c>
      <c r="Q1243" s="13" t="str">
        <f t="shared" si="80"/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f t="shared" si="77"/>
        <v>2</v>
      </c>
      <c r="W1243" s="13" t="str">
        <f t="shared" si="78"/>
        <v>Math-33</v>
      </c>
    </row>
    <row r="1244" spans="1:23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81"/>
        <v>FixMiner</v>
      </c>
      <c r="P1244" s="13" t="str">
        <f t="shared" si="79"/>
        <v>True Pattern</v>
      </c>
      <c r="Q1244" s="13" t="str">
        <f t="shared" si="80"/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f t="shared" si="77"/>
        <v>2</v>
      </c>
      <c r="W1244" s="13" t="str">
        <f t="shared" si="78"/>
        <v>Math-34</v>
      </c>
    </row>
    <row r="1245" spans="1:23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81"/>
        <v>FixMiner</v>
      </c>
      <c r="P1245" s="13" t="str">
        <f t="shared" si="79"/>
        <v>True Pattern</v>
      </c>
      <c r="Q1245" s="13" t="str">
        <f t="shared" si="80"/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f t="shared" si="77"/>
        <v>2</v>
      </c>
      <c r="W1245" s="13" t="str">
        <f t="shared" si="78"/>
        <v>Math-35</v>
      </c>
    </row>
    <row r="1246" spans="1:23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81"/>
        <v>FixMiner</v>
      </c>
      <c r="P1246" s="13" t="str">
        <f t="shared" si="79"/>
        <v>True Pattern</v>
      </c>
      <c r="Q1246" s="13" t="str">
        <f t="shared" si="80"/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f t="shared" si="77"/>
        <v>2</v>
      </c>
      <c r="W1246" s="13" t="str">
        <f t="shared" si="78"/>
        <v>Math-50</v>
      </c>
    </row>
    <row r="1247" spans="1:23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81"/>
        <v>FixMiner</v>
      </c>
      <c r="P1247" s="13" t="str">
        <f t="shared" si="79"/>
        <v>True Pattern</v>
      </c>
      <c r="Q1247" s="13" t="str">
        <f t="shared" si="80"/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f t="shared" si="77"/>
        <v>2</v>
      </c>
      <c r="W1247" s="13" t="str">
        <f t="shared" si="78"/>
        <v>Math-57</v>
      </c>
    </row>
    <row r="1248" spans="1:23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81"/>
        <v>FixMiner</v>
      </c>
      <c r="P1248" s="13" t="str">
        <f t="shared" si="79"/>
        <v>True Pattern</v>
      </c>
      <c r="Q1248" s="13" t="str">
        <f t="shared" si="80"/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f t="shared" si="77"/>
        <v>2</v>
      </c>
      <c r="W1248" s="13" t="str">
        <f t="shared" si="78"/>
        <v>Math-63</v>
      </c>
    </row>
    <row r="1249" spans="1:23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81"/>
        <v>FixMiner</v>
      </c>
      <c r="P1249" s="13" t="str">
        <f t="shared" si="79"/>
        <v>True Pattern</v>
      </c>
      <c r="Q1249" s="13" t="str">
        <f t="shared" si="80"/>
        <v>Repaired</v>
      </c>
      <c r="R1249" s="13" t="s">
        <v>1669</v>
      </c>
      <c r="S1249" s="25">
        <v>2</v>
      </c>
      <c r="T1249" s="25">
        <v>1</v>
      </c>
      <c r="U1249" s="25">
        <v>3</v>
      </c>
      <c r="V1249" s="13">
        <f t="shared" si="77"/>
        <v>4</v>
      </c>
      <c r="W1249" s="13" t="str">
        <f t="shared" si="78"/>
        <v>Math-64</v>
      </c>
    </row>
    <row r="1250" spans="1:23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81"/>
        <v>FixMiner</v>
      </c>
      <c r="P1250" s="13" t="str">
        <f t="shared" si="79"/>
        <v>True Pattern</v>
      </c>
      <c r="Q1250" s="13" t="str">
        <f t="shared" si="80"/>
        <v>Repaired</v>
      </c>
      <c r="R1250" s="13" t="s">
        <v>1669</v>
      </c>
      <c r="S1250" s="25">
        <v>2</v>
      </c>
      <c r="T1250" s="25">
        <v>7</v>
      </c>
      <c r="U1250" s="25">
        <v>8</v>
      </c>
      <c r="V1250" s="13">
        <f t="shared" si="77"/>
        <v>15</v>
      </c>
      <c r="W1250" s="13" t="str">
        <f t="shared" si="78"/>
        <v>Math-68</v>
      </c>
    </row>
    <row r="1251" spans="1:23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81"/>
        <v>FixMiner</v>
      </c>
      <c r="P1251" s="13" t="str">
        <f t="shared" si="79"/>
        <v>True Pattern</v>
      </c>
      <c r="Q1251" s="13" t="str">
        <f t="shared" si="80"/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f t="shared" si="77"/>
        <v>2</v>
      </c>
      <c r="W1251" s="13" t="str">
        <f t="shared" si="78"/>
        <v>Math-70</v>
      </c>
    </row>
    <row r="1252" spans="1:23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81"/>
        <v>FixMiner</v>
      </c>
      <c r="P1252" s="13" t="str">
        <f t="shared" si="79"/>
        <v>True Pattern</v>
      </c>
      <c r="Q1252" s="13" t="str">
        <f t="shared" si="80"/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f t="shared" si="77"/>
        <v>2</v>
      </c>
      <c r="W1252" s="13" t="str">
        <f t="shared" si="78"/>
        <v>Math-75</v>
      </c>
    </row>
    <row r="1253" spans="1:23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81"/>
        <v>FixMiner</v>
      </c>
      <c r="P1253" s="13" t="str">
        <f t="shared" si="79"/>
        <v>True Pattern</v>
      </c>
      <c r="Q1253" s="13" t="str">
        <f t="shared" si="80"/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f t="shared" si="77"/>
        <v>4</v>
      </c>
      <c r="W1253" s="13" t="str">
        <f t="shared" si="78"/>
        <v>Math-79</v>
      </c>
    </row>
    <row r="1254" spans="1:23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81"/>
        <v>FixMiner</v>
      </c>
      <c r="P1254" s="13" t="str">
        <f t="shared" si="79"/>
        <v>True Pattern</v>
      </c>
      <c r="Q1254" s="13" t="str">
        <f t="shared" si="80"/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f t="shared" ref="V1254:V1317" si="82">T1254+U1254</f>
        <v>2</v>
      </c>
      <c r="W1254" s="13" t="str">
        <f t="shared" ref="W1254:W1317" si="83">MID(A1254, SEARCH("_", A1254) +1, SEARCH("_", A1254, SEARCH("_", A1254) +1) - SEARCH("_", A1254) -1)</f>
        <v>Math-80</v>
      </c>
    </row>
    <row r="1255" spans="1:23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81"/>
        <v>FixMiner</v>
      </c>
      <c r="P1255" s="13" t="str">
        <f t="shared" si="79"/>
        <v>True Pattern</v>
      </c>
      <c r="Q1255" s="13" t="str">
        <f t="shared" si="80"/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f t="shared" si="82"/>
        <v>2</v>
      </c>
      <c r="W1255" s="13" t="str">
        <f t="shared" si="83"/>
        <v>Math-81</v>
      </c>
    </row>
    <row r="1256" spans="1:23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81"/>
        <v>FixMiner</v>
      </c>
      <c r="P1256" s="13" t="str">
        <f t="shared" si="79"/>
        <v>True Pattern</v>
      </c>
      <c r="Q1256" s="13" t="str">
        <f t="shared" si="80"/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f t="shared" si="82"/>
        <v>2</v>
      </c>
      <c r="W1256" s="13" t="str">
        <f t="shared" si="83"/>
        <v>Math-82</v>
      </c>
    </row>
    <row r="1257" spans="1:23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81"/>
        <v>FixMiner</v>
      </c>
      <c r="P1257" s="13" t="str">
        <f t="shared" si="79"/>
        <v>True Pattern</v>
      </c>
      <c r="Q1257" s="13" t="str">
        <f t="shared" si="80"/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f t="shared" si="82"/>
        <v>2</v>
      </c>
      <c r="W1257" s="13" t="str">
        <f t="shared" si="83"/>
        <v>Math-84</v>
      </c>
    </row>
    <row r="1258" spans="1:23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81"/>
        <v>FixMiner</v>
      </c>
      <c r="P1258" s="13" t="str">
        <f t="shared" si="79"/>
        <v>True Pattern</v>
      </c>
      <c r="Q1258" s="13" t="str">
        <f t="shared" si="80"/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f t="shared" si="82"/>
        <v>2</v>
      </c>
      <c r="W1258" s="13" t="str">
        <f t="shared" si="83"/>
        <v>Math-85</v>
      </c>
    </row>
    <row r="1259" spans="1:23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81"/>
        <v>FixMiner</v>
      </c>
      <c r="P1259" s="13" t="str">
        <f t="shared" si="79"/>
        <v>True Pattern</v>
      </c>
      <c r="Q1259" s="13" t="str">
        <f t="shared" si="80"/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f t="shared" si="82"/>
        <v>2</v>
      </c>
      <c r="W1259" s="13" t="str">
        <f t="shared" si="83"/>
        <v>Math-88</v>
      </c>
    </row>
    <row r="1260" spans="1:23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81"/>
        <v>FixMiner</v>
      </c>
      <c r="P1260" s="13" t="str">
        <f t="shared" si="79"/>
        <v>True Pattern</v>
      </c>
      <c r="Q1260" s="13" t="str">
        <f t="shared" si="80"/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f t="shared" si="82"/>
        <v>2</v>
      </c>
      <c r="W1260" s="13" t="str">
        <f t="shared" si="83"/>
        <v>Math-95</v>
      </c>
    </row>
    <row r="1261" spans="1:23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81"/>
        <v>FixMiner</v>
      </c>
      <c r="P1261" s="13" t="str">
        <f t="shared" si="79"/>
        <v>True Pattern</v>
      </c>
      <c r="Q1261" s="13" t="str">
        <f t="shared" si="80"/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f t="shared" si="82"/>
        <v>2</v>
      </c>
      <c r="W1261" s="13" t="str">
        <f t="shared" si="83"/>
        <v>Math-97</v>
      </c>
    </row>
    <row r="1262" spans="1:23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81"/>
        <v>FixMiner</v>
      </c>
      <c r="P1262" s="13" t="str">
        <f t="shared" si="79"/>
        <v>True Pattern</v>
      </c>
      <c r="Q1262" s="13" t="str">
        <f t="shared" si="80"/>
        <v>Repaired</v>
      </c>
      <c r="R1262" s="13" t="s">
        <v>1668</v>
      </c>
      <c r="S1262" s="25">
        <v>1</v>
      </c>
      <c r="T1262" s="25">
        <v>1</v>
      </c>
      <c r="U1262" s="25">
        <v>4</v>
      </c>
      <c r="V1262" s="13">
        <f t="shared" si="82"/>
        <v>5</v>
      </c>
      <c r="W1262" s="13" t="str">
        <f t="shared" si="83"/>
        <v>Mockito-29</v>
      </c>
    </row>
    <row r="1263" spans="1:23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81"/>
        <v>FixMiner</v>
      </c>
      <c r="P1263" s="13" t="str">
        <f t="shared" si="79"/>
        <v>True Pattern</v>
      </c>
      <c r="Q1263" s="13" t="str">
        <f t="shared" si="80"/>
        <v>Repaired</v>
      </c>
      <c r="R1263" s="13" t="s">
        <v>1668</v>
      </c>
      <c r="S1263" s="25">
        <v>1</v>
      </c>
      <c r="T1263" s="25">
        <v>1</v>
      </c>
      <c r="U1263" s="25">
        <v>4</v>
      </c>
      <c r="V1263" s="13">
        <f t="shared" si="82"/>
        <v>5</v>
      </c>
      <c r="W1263" s="13" t="str">
        <f t="shared" si="83"/>
        <v>Mockito-38</v>
      </c>
    </row>
    <row r="1264" spans="1:23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81"/>
        <v>GenProg-A</v>
      </c>
      <c r="P1264" s="13" t="str">
        <f t="shared" si="79"/>
        <v>Evolutionary Search</v>
      </c>
      <c r="Q1264" s="13" t="str">
        <f t="shared" si="80"/>
        <v>Repaired</v>
      </c>
      <c r="R1264" s="13" t="s">
        <v>1669</v>
      </c>
      <c r="S1264" s="25">
        <v>1</v>
      </c>
      <c r="T1264" s="25">
        <v>3</v>
      </c>
      <c r="U1264" s="13">
        <v>0</v>
      </c>
      <c r="V1264" s="13">
        <f t="shared" si="82"/>
        <v>3</v>
      </c>
      <c r="W1264" s="13" t="str">
        <f t="shared" si="83"/>
        <v>Chart-1</v>
      </c>
    </row>
    <row r="1265" spans="1:23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81"/>
        <v>GenProg-A</v>
      </c>
      <c r="P1265" s="13" t="str">
        <f t="shared" si="79"/>
        <v>Evolutionary Search</v>
      </c>
      <c r="Q1265" s="13" t="str">
        <f t="shared" si="80"/>
        <v>Repaired</v>
      </c>
      <c r="R1265" s="13" t="s">
        <v>1669</v>
      </c>
      <c r="S1265" s="25">
        <v>1</v>
      </c>
      <c r="T1265" s="25">
        <v>1</v>
      </c>
      <c r="U1265" s="25">
        <v>5</v>
      </c>
      <c r="V1265" s="13">
        <f t="shared" si="82"/>
        <v>6</v>
      </c>
      <c r="W1265" s="13" t="str">
        <f t="shared" si="83"/>
        <v>Chart-12</v>
      </c>
    </row>
    <row r="1266" spans="1:23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81"/>
        <v>GenProg-A</v>
      </c>
      <c r="P1266" s="13" t="str">
        <f t="shared" si="79"/>
        <v>Evolutionary Search</v>
      </c>
      <c r="Q1266" s="13" t="str">
        <f t="shared" si="80"/>
        <v>Repaired</v>
      </c>
      <c r="R1266" s="13" t="s">
        <v>1669</v>
      </c>
      <c r="S1266" s="25">
        <v>2</v>
      </c>
      <c r="T1266" s="25">
        <v>9</v>
      </c>
      <c r="U1266" s="25">
        <v>5</v>
      </c>
      <c r="V1266" s="13">
        <f t="shared" si="82"/>
        <v>14</v>
      </c>
      <c r="W1266" s="13" t="str">
        <f t="shared" si="83"/>
        <v>Chart-13</v>
      </c>
    </row>
    <row r="1267" spans="1:23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81"/>
        <v>GenProg-A</v>
      </c>
      <c r="P1267" s="13" t="str">
        <f t="shared" si="79"/>
        <v>Evolutionary Search</v>
      </c>
      <c r="Q1267" s="13" t="str">
        <f t="shared" si="80"/>
        <v>Repaired</v>
      </c>
      <c r="R1267" s="13" t="s">
        <v>1669</v>
      </c>
      <c r="S1267" s="25">
        <v>1</v>
      </c>
      <c r="T1267" s="25">
        <v>3</v>
      </c>
      <c r="U1267" s="25">
        <v>1</v>
      </c>
      <c r="V1267" s="13">
        <f t="shared" si="82"/>
        <v>4</v>
      </c>
      <c r="W1267" s="13" t="str">
        <f t="shared" si="83"/>
        <v>Chart-3</v>
      </c>
    </row>
    <row r="1268" spans="1:23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81"/>
        <v>GenProg-A</v>
      </c>
      <c r="P1268" s="13" t="str">
        <f t="shared" si="79"/>
        <v>Evolutionary Search</v>
      </c>
      <c r="Q1268" s="13" t="str">
        <f t="shared" si="80"/>
        <v>Repaired</v>
      </c>
      <c r="R1268" s="13" t="s">
        <v>1669</v>
      </c>
      <c r="S1268" s="25">
        <v>1</v>
      </c>
      <c r="T1268" s="25">
        <v>3</v>
      </c>
      <c r="U1268" s="13">
        <v>0</v>
      </c>
      <c r="V1268" s="13">
        <f t="shared" si="82"/>
        <v>3</v>
      </c>
      <c r="W1268" s="13" t="str">
        <f t="shared" si="83"/>
        <v>Closure-112</v>
      </c>
    </row>
    <row r="1269" spans="1:23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81"/>
        <v>GenProg-A</v>
      </c>
      <c r="P1269" s="13" t="str">
        <f t="shared" si="79"/>
        <v>Evolutionary Search</v>
      </c>
      <c r="Q1269" s="13" t="str">
        <f t="shared" si="80"/>
        <v>Repaired</v>
      </c>
      <c r="R1269" s="13" t="s">
        <v>1668</v>
      </c>
      <c r="S1269" s="25">
        <v>1</v>
      </c>
      <c r="T1269" s="25">
        <v>7</v>
      </c>
      <c r="U1269" s="13">
        <v>0</v>
      </c>
      <c r="V1269" s="13">
        <f t="shared" si="82"/>
        <v>7</v>
      </c>
      <c r="W1269" s="13" t="str">
        <f t="shared" si="83"/>
        <v>Closure-115</v>
      </c>
    </row>
    <row r="1270" spans="1:23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81"/>
        <v>GenProg-A</v>
      </c>
      <c r="P1270" s="13" t="str">
        <f t="shared" si="79"/>
        <v>Evolutionary Search</v>
      </c>
      <c r="Q1270" s="13" t="str">
        <f t="shared" si="80"/>
        <v>Repaired</v>
      </c>
      <c r="R1270" s="13" t="s">
        <v>1669</v>
      </c>
      <c r="S1270" s="25">
        <v>1</v>
      </c>
      <c r="T1270" s="25">
        <v>28</v>
      </c>
      <c r="U1270" s="13">
        <v>0</v>
      </c>
      <c r="V1270" s="13">
        <f t="shared" si="82"/>
        <v>28</v>
      </c>
      <c r="W1270" s="13" t="str">
        <f t="shared" si="83"/>
        <v>Closure-117</v>
      </c>
    </row>
    <row r="1271" spans="1:23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81"/>
        <v>GenProg-A</v>
      </c>
      <c r="P1271" s="13" t="str">
        <f t="shared" si="79"/>
        <v>Evolutionary Search</v>
      </c>
      <c r="Q1271" s="13" t="str">
        <f t="shared" si="80"/>
        <v>Repaired</v>
      </c>
      <c r="R1271" s="13" t="s">
        <v>1669</v>
      </c>
      <c r="S1271" s="25">
        <v>1</v>
      </c>
      <c r="T1271" s="25">
        <v>16</v>
      </c>
      <c r="U1271" s="13">
        <v>0</v>
      </c>
      <c r="V1271" s="13">
        <f t="shared" si="82"/>
        <v>16</v>
      </c>
      <c r="W1271" s="13" t="str">
        <f t="shared" si="83"/>
        <v>Closure-124</v>
      </c>
    </row>
    <row r="1272" spans="1:23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81"/>
        <v>GenProg-A</v>
      </c>
      <c r="P1272" s="13" t="str">
        <f t="shared" si="79"/>
        <v>Evolutionary Search</v>
      </c>
      <c r="Q1272" s="13" t="str">
        <f t="shared" si="80"/>
        <v>Repaired</v>
      </c>
      <c r="R1272" s="13" t="s">
        <v>1669</v>
      </c>
      <c r="S1272" s="25">
        <v>1</v>
      </c>
      <c r="T1272" s="25">
        <v>6</v>
      </c>
      <c r="U1272" s="13">
        <v>0</v>
      </c>
      <c r="V1272" s="13">
        <f t="shared" si="82"/>
        <v>6</v>
      </c>
      <c r="W1272" s="13" t="str">
        <f t="shared" si="83"/>
        <v>Closure-125</v>
      </c>
    </row>
    <row r="1273" spans="1:23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81"/>
        <v>GenProg-A</v>
      </c>
      <c r="P1273" s="13" t="str">
        <f t="shared" si="79"/>
        <v>Evolutionary Search</v>
      </c>
      <c r="Q1273" s="13" t="str">
        <f t="shared" si="80"/>
        <v>Repaired</v>
      </c>
      <c r="R1273" s="13" t="s">
        <v>1668</v>
      </c>
      <c r="S1273" s="25">
        <v>1</v>
      </c>
      <c r="T1273" s="25">
        <v>8</v>
      </c>
      <c r="U1273" s="13">
        <v>0</v>
      </c>
      <c r="V1273" s="13">
        <f t="shared" si="82"/>
        <v>8</v>
      </c>
      <c r="W1273" s="13" t="str">
        <f t="shared" si="83"/>
        <v>Closure-21</v>
      </c>
    </row>
    <row r="1274" spans="1:23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81"/>
        <v>GenProg-A</v>
      </c>
      <c r="P1274" s="13" t="str">
        <f t="shared" si="79"/>
        <v>Evolutionary Search</v>
      </c>
      <c r="Q1274" s="13" t="str">
        <f t="shared" si="80"/>
        <v>Repaired</v>
      </c>
      <c r="R1274" s="13" t="s">
        <v>1669</v>
      </c>
      <c r="S1274" s="25">
        <v>1</v>
      </c>
      <c r="T1274" s="25">
        <v>3</v>
      </c>
      <c r="U1274" s="25">
        <v>5</v>
      </c>
      <c r="V1274" s="13">
        <f t="shared" si="82"/>
        <v>8</v>
      </c>
      <c r="W1274" s="13" t="str">
        <f t="shared" si="83"/>
        <v>Closure-22</v>
      </c>
    </row>
    <row r="1275" spans="1:23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81"/>
        <v>GenProg-A</v>
      </c>
      <c r="P1275" s="13" t="str">
        <f t="shared" si="79"/>
        <v>Evolutionary Search</v>
      </c>
      <c r="Q1275" s="13" t="str">
        <f t="shared" si="80"/>
        <v>Repaired</v>
      </c>
      <c r="R1275" s="13" t="s">
        <v>1669</v>
      </c>
      <c r="S1275" s="25">
        <v>1</v>
      </c>
      <c r="T1275" s="25">
        <v>14</v>
      </c>
      <c r="U1275" s="13">
        <v>0</v>
      </c>
      <c r="V1275" s="13">
        <f t="shared" si="82"/>
        <v>14</v>
      </c>
      <c r="W1275" s="13" t="str">
        <f t="shared" si="83"/>
        <v>Closure-3</v>
      </c>
    </row>
    <row r="1276" spans="1:23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81"/>
        <v>GenProg-A</v>
      </c>
      <c r="P1276" s="13" t="str">
        <f t="shared" si="79"/>
        <v>Evolutionary Search</v>
      </c>
      <c r="Q1276" s="13" t="str">
        <f t="shared" si="80"/>
        <v>Repaired</v>
      </c>
      <c r="R1276" s="13" t="s">
        <v>1669</v>
      </c>
      <c r="S1276" s="25">
        <v>1</v>
      </c>
      <c r="T1276" s="25">
        <v>22</v>
      </c>
      <c r="U1276" s="25">
        <v>1</v>
      </c>
      <c r="V1276" s="13">
        <f t="shared" si="82"/>
        <v>23</v>
      </c>
      <c r="W1276" s="13" t="str">
        <f t="shared" si="83"/>
        <v>Closure-33</v>
      </c>
    </row>
    <row r="1277" spans="1:23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81"/>
        <v>GenProg-A</v>
      </c>
      <c r="P1277" s="13" t="str">
        <f t="shared" si="79"/>
        <v>Evolutionary Search</v>
      </c>
      <c r="Q1277" s="13" t="str">
        <f t="shared" si="80"/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f t="shared" si="82"/>
        <v>2</v>
      </c>
      <c r="W1277" s="13" t="str">
        <f t="shared" si="83"/>
        <v>Closure-55</v>
      </c>
    </row>
    <row r="1278" spans="1:23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81"/>
        <v>GenProg-A</v>
      </c>
      <c r="P1278" s="13" t="str">
        <f t="shared" si="79"/>
        <v>Evolutionary Search</v>
      </c>
      <c r="Q1278" s="13" t="str">
        <f t="shared" si="80"/>
        <v>Repaired</v>
      </c>
      <c r="R1278" s="13" t="s">
        <v>1668</v>
      </c>
      <c r="S1278" s="25">
        <v>1</v>
      </c>
      <c r="T1278" s="25">
        <v>4</v>
      </c>
      <c r="U1278" s="25">
        <v>1</v>
      </c>
      <c r="V1278" s="13">
        <f t="shared" si="82"/>
        <v>5</v>
      </c>
      <c r="W1278" s="13" t="str">
        <f t="shared" si="83"/>
        <v>Closure-86</v>
      </c>
    </row>
    <row r="1279" spans="1:23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81"/>
        <v>GenProg-A</v>
      </c>
      <c r="P1279" s="13" t="str">
        <f t="shared" si="79"/>
        <v>Evolutionary Search</v>
      </c>
      <c r="Q1279" s="13" t="str">
        <f t="shared" si="80"/>
        <v>Repaired</v>
      </c>
      <c r="R1279" s="13" t="s">
        <v>1669</v>
      </c>
      <c r="S1279" s="25">
        <v>1</v>
      </c>
      <c r="T1279" s="25">
        <v>4</v>
      </c>
      <c r="U1279" s="25">
        <v>1</v>
      </c>
      <c r="V1279" s="13">
        <f t="shared" si="82"/>
        <v>5</v>
      </c>
      <c r="W1279" s="13" t="str">
        <f t="shared" si="83"/>
        <v>Closure-88</v>
      </c>
    </row>
    <row r="1280" spans="1:23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81"/>
        <v>GenProg-A</v>
      </c>
      <c r="P1280" s="13" t="str">
        <f t="shared" si="79"/>
        <v>Evolutionary Search</v>
      </c>
      <c r="Q1280" s="13" t="str">
        <f t="shared" si="80"/>
        <v>Repaired</v>
      </c>
      <c r="R1280" s="13" t="s">
        <v>1668</v>
      </c>
      <c r="S1280" s="25">
        <v>1</v>
      </c>
      <c r="T1280" s="25">
        <v>1</v>
      </c>
      <c r="U1280" s="25">
        <v>2</v>
      </c>
      <c r="V1280" s="13">
        <f t="shared" si="82"/>
        <v>3</v>
      </c>
      <c r="W1280" s="13" t="str">
        <f t="shared" si="83"/>
        <v>Lang-43</v>
      </c>
    </row>
    <row r="1281" spans="1:23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81"/>
        <v>GenProg-A</v>
      </c>
      <c r="P1281" s="13" t="str">
        <f t="shared" si="79"/>
        <v>Evolutionary Search</v>
      </c>
      <c r="Q1281" s="13" t="str">
        <f t="shared" si="80"/>
        <v>Repaired</v>
      </c>
      <c r="R1281" s="13" t="s">
        <v>1669</v>
      </c>
      <c r="S1281" s="25">
        <v>1</v>
      </c>
      <c r="T1281" s="25">
        <v>1</v>
      </c>
      <c r="U1281" s="25">
        <v>2</v>
      </c>
      <c r="V1281" s="13">
        <f t="shared" si="82"/>
        <v>3</v>
      </c>
      <c r="W1281" s="13" t="str">
        <f t="shared" si="83"/>
        <v>Lang-59</v>
      </c>
    </row>
    <row r="1282" spans="1:23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81"/>
        <v>GenProg-A</v>
      </c>
      <c r="P1282" s="13" t="str">
        <f t="shared" si="79"/>
        <v>Evolutionary Search</v>
      </c>
      <c r="Q1282" s="13" t="str">
        <f t="shared" si="80"/>
        <v>Repaired</v>
      </c>
      <c r="R1282" s="13" t="s">
        <v>1669</v>
      </c>
      <c r="S1282" s="25">
        <v>1</v>
      </c>
      <c r="T1282" s="25">
        <v>1</v>
      </c>
      <c r="U1282" s="13">
        <v>0</v>
      </c>
      <c r="V1282" s="13">
        <f t="shared" si="82"/>
        <v>1</v>
      </c>
      <c r="W1282" s="13" t="str">
        <f t="shared" si="83"/>
        <v>Lang-63</v>
      </c>
    </row>
    <row r="1283" spans="1:23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81"/>
        <v>GenProg-A</v>
      </c>
      <c r="P1283" s="13" t="str">
        <f t="shared" si="79"/>
        <v>Evolutionary Search</v>
      </c>
      <c r="Q1283" s="13" t="str">
        <f t="shared" si="80"/>
        <v>Repaired</v>
      </c>
      <c r="R1283" s="13" t="s">
        <v>1669</v>
      </c>
      <c r="S1283" s="25">
        <v>1</v>
      </c>
      <c r="T1283" s="25">
        <v>1</v>
      </c>
      <c r="U1283" s="25">
        <v>2</v>
      </c>
      <c r="V1283" s="13">
        <f t="shared" si="82"/>
        <v>3</v>
      </c>
      <c r="W1283" s="13" t="str">
        <f t="shared" si="83"/>
        <v>Lang-7</v>
      </c>
    </row>
    <row r="1284" spans="1:23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81"/>
        <v>GenProg-A</v>
      </c>
      <c r="P1284" s="13" t="str">
        <f t="shared" si="79"/>
        <v>Evolutionary Search</v>
      </c>
      <c r="Q1284" s="13" t="str">
        <f t="shared" si="80"/>
        <v>Repaired</v>
      </c>
      <c r="R1284" s="13" t="s">
        <v>1669</v>
      </c>
      <c r="S1284" s="25">
        <v>1</v>
      </c>
      <c r="T1284" s="25">
        <v>12</v>
      </c>
      <c r="U1284" s="25">
        <v>1</v>
      </c>
      <c r="V1284" s="13">
        <f t="shared" si="82"/>
        <v>13</v>
      </c>
      <c r="W1284" s="13" t="str">
        <f t="shared" si="83"/>
        <v>Math-28</v>
      </c>
    </row>
    <row r="1285" spans="1:23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81"/>
        <v>GenProg-A</v>
      </c>
      <c r="P1285" s="13" t="str">
        <f t="shared" si="79"/>
        <v>Evolutionary Search</v>
      </c>
      <c r="Q1285" s="13" t="str">
        <f t="shared" si="80"/>
        <v>Repaired</v>
      </c>
      <c r="R1285" s="13" t="s">
        <v>1668</v>
      </c>
      <c r="S1285" s="25">
        <v>1</v>
      </c>
      <c r="T1285" s="25">
        <v>1</v>
      </c>
      <c r="U1285" s="13">
        <v>0</v>
      </c>
      <c r="V1285" s="13">
        <f t="shared" si="82"/>
        <v>1</v>
      </c>
      <c r="W1285" s="13" t="str">
        <f t="shared" si="83"/>
        <v>Math-50</v>
      </c>
    </row>
    <row r="1286" spans="1:23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81"/>
        <v>GenProg-A</v>
      </c>
      <c r="P1286" s="13" t="str">
        <f t="shared" si="79"/>
        <v>Evolutionary Search</v>
      </c>
      <c r="Q1286" s="13" t="str">
        <f t="shared" si="80"/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f t="shared" si="82"/>
        <v>2</v>
      </c>
      <c r="W1286" s="13" t="str">
        <f t="shared" si="83"/>
        <v>Math-70</v>
      </c>
    </row>
    <row r="1287" spans="1:23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81"/>
        <v>GenProg-A</v>
      </c>
      <c r="P1287" s="13" t="str">
        <f t="shared" si="79"/>
        <v>Evolutionary Search</v>
      </c>
      <c r="Q1287" s="13" t="str">
        <f t="shared" si="80"/>
        <v>Repaired</v>
      </c>
      <c r="R1287" s="13" t="s">
        <v>1669</v>
      </c>
      <c r="S1287" s="25">
        <v>1</v>
      </c>
      <c r="T1287" s="25">
        <v>1</v>
      </c>
      <c r="U1287" s="25">
        <v>6</v>
      </c>
      <c r="V1287" s="13">
        <f t="shared" si="82"/>
        <v>7</v>
      </c>
      <c r="W1287" s="13" t="str">
        <f t="shared" si="83"/>
        <v>Math-80</v>
      </c>
    </row>
    <row r="1288" spans="1:23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81"/>
        <v>GenProg-A</v>
      </c>
      <c r="P1288" s="13" t="str">
        <f t="shared" si="79"/>
        <v>Evolutionary Search</v>
      </c>
      <c r="Q1288" s="13" t="str">
        <f t="shared" si="80"/>
        <v>Repaired</v>
      </c>
      <c r="R1288" s="13" t="s">
        <v>1669</v>
      </c>
      <c r="S1288" s="25">
        <v>2</v>
      </c>
      <c r="T1288" s="25">
        <v>33</v>
      </c>
      <c r="U1288" s="25">
        <v>1</v>
      </c>
      <c r="V1288" s="13">
        <f t="shared" si="82"/>
        <v>34</v>
      </c>
      <c r="W1288" s="13" t="str">
        <f t="shared" si="83"/>
        <v>Math-81</v>
      </c>
    </row>
    <row r="1289" spans="1:23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81"/>
        <v>GenProg-A</v>
      </c>
      <c r="P1289" s="13" t="str">
        <f t="shared" si="79"/>
        <v>Evolutionary Search</v>
      </c>
      <c r="Q1289" s="13" t="str">
        <f t="shared" si="80"/>
        <v>Repaired</v>
      </c>
      <c r="R1289" s="13" t="s">
        <v>1669</v>
      </c>
      <c r="S1289" s="25">
        <v>1</v>
      </c>
      <c r="T1289" s="25">
        <v>1</v>
      </c>
      <c r="U1289" s="13">
        <v>0</v>
      </c>
      <c r="V1289" s="13">
        <f t="shared" si="82"/>
        <v>1</v>
      </c>
      <c r="W1289" s="13" t="str">
        <f t="shared" si="83"/>
        <v>Math-82</v>
      </c>
    </row>
    <row r="1290" spans="1:23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81"/>
        <v>GenProg-A</v>
      </c>
      <c r="P1290" s="13" t="str">
        <f t="shared" ref="P1290:P1353" si="84"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 t="shared" si="80"/>
        <v>Repaired</v>
      </c>
      <c r="R1290" s="13" t="s">
        <v>1669</v>
      </c>
      <c r="S1290" s="25">
        <v>1</v>
      </c>
      <c r="T1290" s="25">
        <v>8</v>
      </c>
      <c r="U1290" s="25">
        <v>5</v>
      </c>
      <c r="V1290" s="13">
        <f t="shared" si="82"/>
        <v>13</v>
      </c>
      <c r="W1290" s="13" t="str">
        <f t="shared" si="83"/>
        <v>Math-85</v>
      </c>
    </row>
    <row r="1291" spans="1:23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81"/>
        <v>GenProg-A</v>
      </c>
      <c r="P1291" s="13" t="str">
        <f t="shared" si="84"/>
        <v>Evolutionary Search</v>
      </c>
      <c r="Q1291" s="13" t="str">
        <f t="shared" si="80"/>
        <v>Repaired</v>
      </c>
      <c r="R1291" s="13" t="s">
        <v>1669</v>
      </c>
      <c r="S1291" s="25">
        <v>2</v>
      </c>
      <c r="T1291" s="25">
        <v>3</v>
      </c>
      <c r="U1291" s="25">
        <v>8</v>
      </c>
      <c r="V1291" s="13">
        <f t="shared" si="82"/>
        <v>11</v>
      </c>
      <c r="W1291" s="13" t="str">
        <f t="shared" si="83"/>
        <v>Math-95</v>
      </c>
    </row>
    <row r="1292" spans="1:23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81"/>
        <v>Kali-A</v>
      </c>
      <c r="P1292" s="13" t="str">
        <f t="shared" si="84"/>
        <v>True Search</v>
      </c>
      <c r="Q1292" s="13" t="str">
        <f t="shared" si="80"/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f t="shared" si="82"/>
        <v>2</v>
      </c>
      <c r="W1292" s="13" t="str">
        <f t="shared" si="83"/>
        <v>Chart-1</v>
      </c>
    </row>
    <row r="1293" spans="1:23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81"/>
        <v>Kali-A</v>
      </c>
      <c r="P1293" s="13" t="str">
        <f t="shared" si="84"/>
        <v>True Search</v>
      </c>
      <c r="Q1293" s="13" t="str">
        <f t="shared" si="80"/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f t="shared" si="82"/>
        <v>2</v>
      </c>
      <c r="W1293" s="13" t="str">
        <f t="shared" si="83"/>
        <v>Chart-5</v>
      </c>
    </row>
    <row r="1294" spans="1:23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81"/>
        <v>Kali-A</v>
      </c>
      <c r="P1294" s="13" t="str">
        <f t="shared" si="84"/>
        <v>True Search</v>
      </c>
      <c r="Q1294" s="13" t="str">
        <f t="shared" si="80"/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f t="shared" si="82"/>
        <v>2</v>
      </c>
      <c r="W1294" s="13" t="str">
        <f t="shared" si="83"/>
        <v>Closure-1</v>
      </c>
    </row>
    <row r="1295" spans="1:23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81"/>
        <v>Kali-A</v>
      </c>
      <c r="P1295" s="13" t="str">
        <f t="shared" si="84"/>
        <v>True Search</v>
      </c>
      <c r="Q1295" s="13" t="str">
        <f t="shared" si="80"/>
        <v>Repaired</v>
      </c>
      <c r="R1295" s="13" t="s">
        <v>1669</v>
      </c>
      <c r="S1295" s="25">
        <v>1</v>
      </c>
      <c r="T1295" s="25">
        <v>2</v>
      </c>
      <c r="U1295" s="25">
        <v>6</v>
      </c>
      <c r="V1295" s="13">
        <f t="shared" si="82"/>
        <v>8</v>
      </c>
      <c r="W1295" s="13" t="str">
        <f t="shared" si="83"/>
        <v>Closure-10</v>
      </c>
    </row>
    <row r="1296" spans="1:23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81"/>
        <v>Kali-A</v>
      </c>
      <c r="P1296" s="13" t="str">
        <f t="shared" si="84"/>
        <v>True Search</v>
      </c>
      <c r="Q1296" s="13" t="str">
        <f t="shared" si="80"/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f t="shared" si="82"/>
        <v>2</v>
      </c>
      <c r="W1296" s="13" t="str">
        <f t="shared" si="83"/>
        <v>Closure-112</v>
      </c>
    </row>
    <row r="1297" spans="1:23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81"/>
        <v>Kali-A</v>
      </c>
      <c r="P1297" s="13" t="str">
        <f t="shared" si="84"/>
        <v>True Search</v>
      </c>
      <c r="Q1297" s="13" t="str">
        <f t="shared" si="80"/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f t="shared" si="82"/>
        <v>2</v>
      </c>
      <c r="W1297" s="13" t="str">
        <f t="shared" si="83"/>
        <v>Closure-113</v>
      </c>
    </row>
    <row r="1298" spans="1:23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81"/>
        <v>Kali-A</v>
      </c>
      <c r="P1298" s="13" t="str">
        <f t="shared" si="84"/>
        <v>True Search</v>
      </c>
      <c r="Q1298" s="13" t="str">
        <f t="shared" si="80"/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f t="shared" si="82"/>
        <v>2</v>
      </c>
      <c r="W1298" s="13" t="str">
        <f t="shared" si="83"/>
        <v>Closure-115</v>
      </c>
    </row>
    <row r="1299" spans="1:23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81"/>
        <v>Kali-A</v>
      </c>
      <c r="P1299" s="13" t="str">
        <f t="shared" si="84"/>
        <v>True Search</v>
      </c>
      <c r="Q1299" s="13" t="str">
        <f t="shared" si="80"/>
        <v>Repaired</v>
      </c>
      <c r="R1299" s="13" t="s">
        <v>1669</v>
      </c>
      <c r="S1299" s="25">
        <v>1</v>
      </c>
      <c r="T1299" s="25">
        <v>2</v>
      </c>
      <c r="U1299" s="25">
        <v>1</v>
      </c>
      <c r="V1299" s="13">
        <f t="shared" si="82"/>
        <v>3</v>
      </c>
      <c r="W1299" s="13" t="str">
        <f t="shared" si="83"/>
        <v>Closure-124</v>
      </c>
    </row>
    <row r="1300" spans="1:23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81"/>
        <v>Kali-A</v>
      </c>
      <c r="P1300" s="13" t="str">
        <f t="shared" si="84"/>
        <v>True Search</v>
      </c>
      <c r="Q1300" s="13" t="str">
        <f t="shared" si="80"/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f t="shared" si="82"/>
        <v>2</v>
      </c>
      <c r="W1300" s="13" t="str">
        <f t="shared" si="83"/>
        <v>Closure-15</v>
      </c>
    </row>
    <row r="1301" spans="1:23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81"/>
        <v>Kali-A</v>
      </c>
      <c r="P1301" s="13" t="str">
        <f t="shared" si="84"/>
        <v>True Search</v>
      </c>
      <c r="Q1301" s="13" t="str">
        <f t="shared" si="80"/>
        <v>Repaired</v>
      </c>
      <c r="R1301" s="13" t="s">
        <v>1669</v>
      </c>
      <c r="S1301" s="25">
        <v>1</v>
      </c>
      <c r="T1301" s="13">
        <v>0</v>
      </c>
      <c r="U1301" s="25">
        <v>1</v>
      </c>
      <c r="V1301" s="13">
        <f t="shared" si="82"/>
        <v>1</v>
      </c>
      <c r="W1301" s="13" t="str">
        <f t="shared" si="83"/>
        <v>Closure-2</v>
      </c>
    </row>
    <row r="1302" spans="1:23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81"/>
        <v>Kali-A</v>
      </c>
      <c r="P1302" s="13" t="str">
        <f t="shared" si="84"/>
        <v>True Search</v>
      </c>
      <c r="Q1302" s="13" t="str">
        <f t="shared" ref="Q1302:Q1365" si="85"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f t="shared" si="82"/>
        <v>2</v>
      </c>
      <c r="W1302" s="13" t="str">
        <f t="shared" si="83"/>
        <v>Closure-21</v>
      </c>
    </row>
    <row r="1303" spans="1:23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ref="O1303:O1366" si="86">LEFT($A1303,FIND("_",$A1303)-1)</f>
        <v>Kali-A</v>
      </c>
      <c r="P1303" s="13" t="str">
        <f t="shared" si="84"/>
        <v>True Search</v>
      </c>
      <c r="Q1303" s="13" t="str">
        <f t="shared" si="85"/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f t="shared" si="82"/>
        <v>2</v>
      </c>
      <c r="W1303" s="13" t="str">
        <f t="shared" si="83"/>
        <v>Closure-22</v>
      </c>
    </row>
    <row r="1304" spans="1:23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si="86"/>
        <v>Kali-A</v>
      </c>
      <c r="P1304" s="13" t="str">
        <f t="shared" si="84"/>
        <v>True Search</v>
      </c>
      <c r="Q1304" s="13" t="str">
        <f t="shared" si="85"/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f t="shared" si="82"/>
        <v>2</v>
      </c>
      <c r="W1304" s="13" t="str">
        <f t="shared" si="83"/>
        <v>Closure-3</v>
      </c>
    </row>
    <row r="1305" spans="1:23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86"/>
        <v>Kali-A</v>
      </c>
      <c r="P1305" s="13" t="str">
        <f t="shared" si="84"/>
        <v>True Search</v>
      </c>
      <c r="Q1305" s="13" t="str">
        <f t="shared" si="85"/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f t="shared" si="82"/>
        <v>2</v>
      </c>
      <c r="W1305" s="13" t="str">
        <f t="shared" si="83"/>
        <v>Closure-33</v>
      </c>
    </row>
    <row r="1306" spans="1:23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86"/>
        <v>Kali-A</v>
      </c>
      <c r="P1306" s="13" t="str">
        <f t="shared" si="84"/>
        <v>True Search</v>
      </c>
      <c r="Q1306" s="13" t="str">
        <f t="shared" si="85"/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f t="shared" si="82"/>
        <v>2</v>
      </c>
      <c r="W1306" s="13" t="str">
        <f t="shared" si="83"/>
        <v>Closure-38</v>
      </c>
    </row>
    <row r="1307" spans="1:23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86"/>
        <v>Kali-A</v>
      </c>
      <c r="P1307" s="13" t="str">
        <f t="shared" si="84"/>
        <v>True Search</v>
      </c>
      <c r="Q1307" s="13" t="str">
        <f t="shared" si="85"/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f t="shared" si="82"/>
        <v>2</v>
      </c>
      <c r="W1307" s="13" t="str">
        <f t="shared" si="83"/>
        <v>Closure-4</v>
      </c>
    </row>
    <row r="1308" spans="1:23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86"/>
        <v>Kali-A</v>
      </c>
      <c r="P1308" s="13" t="str">
        <f t="shared" si="84"/>
        <v>True Search</v>
      </c>
      <c r="Q1308" s="13" t="str">
        <f t="shared" si="85"/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f t="shared" si="82"/>
        <v>2</v>
      </c>
      <c r="W1308" s="13" t="str">
        <f t="shared" si="83"/>
        <v>Closure-46</v>
      </c>
    </row>
    <row r="1309" spans="1:23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86"/>
        <v>Kali-A</v>
      </c>
      <c r="P1309" s="13" t="str">
        <f t="shared" si="84"/>
        <v>True Search</v>
      </c>
      <c r="Q1309" s="13" t="str">
        <f t="shared" si="85"/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f t="shared" si="82"/>
        <v>2</v>
      </c>
      <c r="W1309" s="13" t="str">
        <f t="shared" si="83"/>
        <v>Closure-51</v>
      </c>
    </row>
    <row r="1310" spans="1:23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86"/>
        <v>Kali-A</v>
      </c>
      <c r="P1310" s="13" t="str">
        <f t="shared" si="84"/>
        <v>True Search</v>
      </c>
      <c r="Q1310" s="13" t="str">
        <f t="shared" si="85"/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f t="shared" si="82"/>
        <v>2</v>
      </c>
      <c r="W1310" s="13" t="str">
        <f t="shared" si="83"/>
        <v>Closure-55</v>
      </c>
    </row>
    <row r="1311" spans="1:23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86"/>
        <v>Kali-A</v>
      </c>
      <c r="P1311" s="13" t="str">
        <f t="shared" si="84"/>
        <v>True Search</v>
      </c>
      <c r="Q1311" s="13" t="str">
        <f t="shared" si="85"/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f t="shared" si="82"/>
        <v>2</v>
      </c>
      <c r="W1311" s="13" t="str">
        <f t="shared" si="83"/>
        <v>Closure-66</v>
      </c>
    </row>
    <row r="1312" spans="1:23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86"/>
        <v>Kali-A</v>
      </c>
      <c r="P1312" s="13" t="str">
        <f t="shared" si="84"/>
        <v>True Search</v>
      </c>
      <c r="Q1312" s="13" t="str">
        <f t="shared" si="85"/>
        <v>Repaired</v>
      </c>
      <c r="R1312" s="13" t="s">
        <v>1669</v>
      </c>
      <c r="S1312" s="25">
        <v>1</v>
      </c>
      <c r="T1312" s="25">
        <v>1</v>
      </c>
      <c r="U1312" s="25">
        <v>3</v>
      </c>
      <c r="V1312" s="13">
        <f t="shared" si="82"/>
        <v>4</v>
      </c>
      <c r="W1312" s="13" t="str">
        <f t="shared" si="83"/>
        <v>Closure-7</v>
      </c>
    </row>
    <row r="1313" spans="1:23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86"/>
        <v>Kali-A</v>
      </c>
      <c r="P1313" s="13" t="str">
        <f t="shared" si="84"/>
        <v>True Search</v>
      </c>
      <c r="Q1313" s="13" t="str">
        <f t="shared" si="85"/>
        <v>Repaired</v>
      </c>
      <c r="R1313" s="13" t="s">
        <v>1669</v>
      </c>
      <c r="S1313" s="25">
        <v>1</v>
      </c>
      <c r="T1313" s="25">
        <v>4</v>
      </c>
      <c r="U1313" s="25">
        <v>1</v>
      </c>
      <c r="V1313" s="13">
        <f t="shared" si="82"/>
        <v>5</v>
      </c>
      <c r="W1313" s="13" t="str">
        <f t="shared" si="83"/>
        <v>Closure-75</v>
      </c>
    </row>
    <row r="1314" spans="1:23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86"/>
        <v>Kali-A</v>
      </c>
      <c r="P1314" s="13" t="str">
        <f t="shared" si="84"/>
        <v>True Search</v>
      </c>
      <c r="Q1314" s="13" t="str">
        <f t="shared" si="85"/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f t="shared" si="82"/>
        <v>2</v>
      </c>
      <c r="W1314" s="13" t="str">
        <f t="shared" si="83"/>
        <v>Closure-86</v>
      </c>
    </row>
    <row r="1315" spans="1:23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86"/>
        <v>Kali-A</v>
      </c>
      <c r="P1315" s="13" t="str">
        <f t="shared" si="84"/>
        <v>True Search</v>
      </c>
      <c r="Q1315" s="13" t="str">
        <f t="shared" si="85"/>
        <v>Repaired</v>
      </c>
      <c r="R1315" s="13" t="s">
        <v>1669</v>
      </c>
      <c r="S1315" s="25">
        <v>1</v>
      </c>
      <c r="T1315" s="25">
        <v>4</v>
      </c>
      <c r="U1315" s="25">
        <v>1</v>
      </c>
      <c r="V1315" s="13">
        <f t="shared" si="82"/>
        <v>5</v>
      </c>
      <c r="W1315" s="13" t="str">
        <f t="shared" si="83"/>
        <v>Lang-58</v>
      </c>
    </row>
    <row r="1316" spans="1:23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86"/>
        <v>Kali-A</v>
      </c>
      <c r="P1316" s="13" t="str">
        <f t="shared" si="84"/>
        <v>True Search</v>
      </c>
      <c r="Q1316" s="13" t="str">
        <f t="shared" si="85"/>
        <v>Repaired</v>
      </c>
      <c r="R1316" s="13" t="s">
        <v>1669</v>
      </c>
      <c r="S1316" s="25">
        <v>2</v>
      </c>
      <c r="T1316" s="13">
        <v>0</v>
      </c>
      <c r="U1316" s="25">
        <v>2</v>
      </c>
      <c r="V1316" s="13">
        <f t="shared" si="82"/>
        <v>2</v>
      </c>
      <c r="W1316" s="13" t="str">
        <f t="shared" si="83"/>
        <v>Lang-63</v>
      </c>
    </row>
    <row r="1317" spans="1:23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86"/>
        <v>Kali-A</v>
      </c>
      <c r="P1317" s="13" t="str">
        <f t="shared" si="84"/>
        <v>True Search</v>
      </c>
      <c r="Q1317" s="13" t="str">
        <f t="shared" si="85"/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f t="shared" si="82"/>
        <v>2</v>
      </c>
      <c r="W1317" s="13" t="str">
        <f t="shared" si="83"/>
        <v>Math-28</v>
      </c>
    </row>
    <row r="1318" spans="1:23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86"/>
        <v>Kali-A</v>
      </c>
      <c r="P1318" s="13" t="str">
        <f t="shared" si="84"/>
        <v>True Search</v>
      </c>
      <c r="Q1318" s="13" t="str">
        <f t="shared" si="85"/>
        <v>Repaired</v>
      </c>
      <c r="R1318" s="13" t="s">
        <v>1669</v>
      </c>
      <c r="S1318" s="25">
        <v>1</v>
      </c>
      <c r="T1318" s="25">
        <v>1</v>
      </c>
      <c r="U1318" s="25">
        <v>3</v>
      </c>
      <c r="V1318" s="13">
        <f t="shared" ref="V1318:V1381" si="87">T1318+U1318</f>
        <v>4</v>
      </c>
      <c r="W1318" s="13" t="str">
        <f t="shared" ref="W1318:W1381" si="88">MID(A1318, SEARCH("_", A1318) +1, SEARCH("_", A1318, SEARCH("_", A1318) +1) - SEARCH("_", A1318) -1)</f>
        <v>Math-31</v>
      </c>
    </row>
    <row r="1319" spans="1:23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86"/>
        <v>Kali-A</v>
      </c>
      <c r="P1319" s="13" t="str">
        <f t="shared" si="84"/>
        <v>True Search</v>
      </c>
      <c r="Q1319" s="13" t="str">
        <f t="shared" si="85"/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f t="shared" si="87"/>
        <v>2</v>
      </c>
      <c r="W1319" s="13" t="str">
        <f t="shared" si="88"/>
        <v>Math-32</v>
      </c>
    </row>
    <row r="1320" spans="1:23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86"/>
        <v>Kali-A</v>
      </c>
      <c r="P1320" s="13" t="str">
        <f t="shared" si="84"/>
        <v>True Search</v>
      </c>
      <c r="Q1320" s="13" t="str">
        <f t="shared" si="85"/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f t="shared" si="87"/>
        <v>2</v>
      </c>
      <c r="W1320" s="13" t="str">
        <f t="shared" si="88"/>
        <v>Math-49</v>
      </c>
    </row>
    <row r="1321" spans="1:23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86"/>
        <v>Kali-A</v>
      </c>
      <c r="P1321" s="13" t="str">
        <f t="shared" si="84"/>
        <v>True Search</v>
      </c>
      <c r="Q1321" s="13" t="str">
        <f t="shared" si="85"/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f t="shared" si="87"/>
        <v>2</v>
      </c>
      <c r="W1321" s="13" t="str">
        <f t="shared" si="88"/>
        <v>Math-50</v>
      </c>
    </row>
    <row r="1322" spans="1:23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86"/>
        <v>Kali-A</v>
      </c>
      <c r="P1322" s="13" t="str">
        <f t="shared" si="84"/>
        <v>True Search</v>
      </c>
      <c r="Q1322" s="13" t="str">
        <f t="shared" si="85"/>
        <v>Repaired</v>
      </c>
      <c r="R1322" s="13" t="s">
        <v>1669</v>
      </c>
      <c r="S1322" s="25">
        <v>1</v>
      </c>
      <c r="T1322" s="25">
        <v>1</v>
      </c>
      <c r="U1322" s="25">
        <v>3</v>
      </c>
      <c r="V1322" s="13">
        <f t="shared" si="87"/>
        <v>4</v>
      </c>
      <c r="W1322" s="13" t="str">
        <f t="shared" si="88"/>
        <v>Math-80</v>
      </c>
    </row>
    <row r="1323" spans="1:23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86"/>
        <v>Kali-A</v>
      </c>
      <c r="P1323" s="13" t="str">
        <f t="shared" si="84"/>
        <v>True Search</v>
      </c>
      <c r="Q1323" s="13" t="str">
        <f t="shared" si="85"/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f t="shared" si="87"/>
        <v>2</v>
      </c>
      <c r="W1323" s="13" t="str">
        <f t="shared" si="88"/>
        <v>Math-81</v>
      </c>
    </row>
    <row r="1324" spans="1:23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86"/>
        <v>Kali-A</v>
      </c>
      <c r="P1324" s="13" t="str">
        <f t="shared" si="84"/>
        <v>True Search</v>
      </c>
      <c r="Q1324" s="13" t="str">
        <f t="shared" si="85"/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f t="shared" si="87"/>
        <v>2</v>
      </c>
      <c r="W1324" s="13" t="str">
        <f t="shared" si="88"/>
        <v>Math-84</v>
      </c>
    </row>
    <row r="1325" spans="1:23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86"/>
        <v>Kali-A</v>
      </c>
      <c r="P1325" s="13" t="str">
        <f t="shared" si="84"/>
        <v>True Search</v>
      </c>
      <c r="Q1325" s="13" t="str">
        <f t="shared" si="85"/>
        <v>Repaired</v>
      </c>
      <c r="R1325" s="13" t="s">
        <v>1669</v>
      </c>
      <c r="S1325" s="25">
        <v>1</v>
      </c>
      <c r="T1325" s="25">
        <v>6</v>
      </c>
      <c r="U1325" s="13">
        <v>0</v>
      </c>
      <c r="V1325" s="13">
        <f t="shared" si="87"/>
        <v>6</v>
      </c>
      <c r="W1325" s="13" t="str">
        <f t="shared" si="88"/>
        <v>Math-85</v>
      </c>
    </row>
    <row r="1326" spans="1:23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86"/>
        <v>Kali-A</v>
      </c>
      <c r="P1326" s="13" t="str">
        <f t="shared" si="84"/>
        <v>True Search</v>
      </c>
      <c r="Q1326" s="13" t="str">
        <f t="shared" si="85"/>
        <v>Repaired</v>
      </c>
      <c r="R1326" s="13" t="s">
        <v>1669</v>
      </c>
      <c r="S1326" s="25">
        <v>1</v>
      </c>
      <c r="T1326" s="25">
        <v>1</v>
      </c>
      <c r="U1326" s="25">
        <v>3</v>
      </c>
      <c r="V1326" s="13">
        <f t="shared" si="87"/>
        <v>4</v>
      </c>
      <c r="W1326" s="13" t="str">
        <f t="shared" si="88"/>
        <v>Math-95</v>
      </c>
    </row>
    <row r="1327" spans="1:23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86"/>
        <v>kPAR</v>
      </c>
      <c r="P1327" s="13" t="str">
        <f t="shared" si="84"/>
        <v>True Pattern</v>
      </c>
      <c r="Q1327" s="13" t="str">
        <f t="shared" si="85"/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f t="shared" si="87"/>
        <v>2</v>
      </c>
      <c r="W1327" s="13" t="str">
        <f t="shared" si="88"/>
        <v>Chart-1</v>
      </c>
    </row>
    <row r="1328" spans="1:23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86"/>
        <v>kPAR</v>
      </c>
      <c r="P1328" s="13" t="str">
        <f t="shared" si="84"/>
        <v>True Pattern</v>
      </c>
      <c r="Q1328" s="13" t="str">
        <f t="shared" si="85"/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f t="shared" si="87"/>
        <v>2</v>
      </c>
      <c r="W1328" s="13" t="str">
        <f t="shared" si="88"/>
        <v>Chart-13</v>
      </c>
    </row>
    <row r="1329" spans="1:23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86"/>
        <v>kPAR</v>
      </c>
      <c r="P1329" s="13" t="str">
        <f t="shared" si="84"/>
        <v>True Pattern</v>
      </c>
      <c r="Q1329" s="13" t="str">
        <f t="shared" si="85"/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f t="shared" si="87"/>
        <v>2</v>
      </c>
      <c r="W1329" s="13" t="str">
        <f t="shared" si="88"/>
        <v>Chart-17</v>
      </c>
    </row>
    <row r="1330" spans="1:23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86"/>
        <v>kPAR</v>
      </c>
      <c r="P1330" s="13" t="str">
        <f t="shared" si="84"/>
        <v>True Pattern</v>
      </c>
      <c r="Q1330" s="13" t="str">
        <f t="shared" si="85"/>
        <v>Repaired</v>
      </c>
      <c r="R1330" s="13" t="s">
        <v>1668</v>
      </c>
      <c r="S1330" s="25">
        <v>1</v>
      </c>
      <c r="T1330" s="25">
        <v>1</v>
      </c>
      <c r="U1330" s="25">
        <v>4</v>
      </c>
      <c r="V1330" s="13">
        <f t="shared" si="87"/>
        <v>5</v>
      </c>
      <c r="W1330" s="13" t="str">
        <f t="shared" si="88"/>
        <v>Chart-19</v>
      </c>
    </row>
    <row r="1331" spans="1:23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86"/>
        <v>kPAR</v>
      </c>
      <c r="P1331" s="13" t="str">
        <f t="shared" si="84"/>
        <v>True Pattern</v>
      </c>
      <c r="Q1331" s="13" t="str">
        <f t="shared" si="85"/>
        <v>Repaired</v>
      </c>
      <c r="R1331" s="13" t="s">
        <v>1668</v>
      </c>
      <c r="S1331" s="25">
        <v>2</v>
      </c>
      <c r="T1331" s="25">
        <v>1</v>
      </c>
      <c r="U1331" s="25">
        <v>4</v>
      </c>
      <c r="V1331" s="13">
        <f t="shared" si="87"/>
        <v>5</v>
      </c>
      <c r="W1331" s="13" t="str">
        <f t="shared" si="88"/>
        <v>Chart-26</v>
      </c>
    </row>
    <row r="1332" spans="1:23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86"/>
        <v>kPAR</v>
      </c>
      <c r="P1332" s="13" t="str">
        <f t="shared" si="84"/>
        <v>True Pattern</v>
      </c>
      <c r="Q1332" s="13" t="str">
        <f t="shared" si="85"/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f t="shared" si="87"/>
        <v>2</v>
      </c>
      <c r="W1332" s="13" t="str">
        <f t="shared" si="88"/>
        <v>Chart-3</v>
      </c>
    </row>
    <row r="1333" spans="1:23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86"/>
        <v>kPAR</v>
      </c>
      <c r="P1333" s="13" t="str">
        <f t="shared" si="84"/>
        <v>True Pattern</v>
      </c>
      <c r="Q1333" s="13" t="str">
        <f t="shared" si="85"/>
        <v>Repaired</v>
      </c>
      <c r="R1333" s="13" t="s">
        <v>1668</v>
      </c>
      <c r="S1333" s="25">
        <v>2</v>
      </c>
      <c r="T1333" s="25">
        <v>1</v>
      </c>
      <c r="U1333" s="25">
        <v>4</v>
      </c>
      <c r="V1333" s="13">
        <f t="shared" si="87"/>
        <v>5</v>
      </c>
      <c r="W1333" s="13" t="str">
        <f t="shared" si="88"/>
        <v>Chart-4</v>
      </c>
    </row>
    <row r="1334" spans="1:23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86"/>
        <v>kPAR</v>
      </c>
      <c r="P1334" s="13" t="str">
        <f t="shared" si="84"/>
        <v>True Pattern</v>
      </c>
      <c r="Q1334" s="13" t="str">
        <f t="shared" si="85"/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f t="shared" si="87"/>
        <v>2</v>
      </c>
      <c r="W1334" s="13" t="str">
        <f t="shared" si="88"/>
        <v>Chart-5</v>
      </c>
    </row>
    <row r="1335" spans="1:23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86"/>
        <v>kPAR</v>
      </c>
      <c r="P1335" s="13" t="str">
        <f t="shared" si="84"/>
        <v>True Pattern</v>
      </c>
      <c r="Q1335" s="13" t="str">
        <f t="shared" si="85"/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f t="shared" si="87"/>
        <v>2</v>
      </c>
      <c r="W1335" s="13" t="str">
        <f t="shared" si="88"/>
        <v>Chart-7</v>
      </c>
    </row>
    <row r="1336" spans="1:23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86"/>
        <v>kPAR</v>
      </c>
      <c r="P1336" s="13" t="str">
        <f t="shared" si="84"/>
        <v>True Pattern</v>
      </c>
      <c r="Q1336" s="13" t="str">
        <f t="shared" si="85"/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f t="shared" si="87"/>
        <v>2</v>
      </c>
      <c r="W1336" s="13" t="str">
        <f t="shared" si="88"/>
        <v>Chart-8</v>
      </c>
    </row>
    <row r="1337" spans="1:23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86"/>
        <v>kPAR</v>
      </c>
      <c r="P1337" s="13" t="str">
        <f t="shared" si="84"/>
        <v>True Pattern</v>
      </c>
      <c r="Q1337" s="13" t="str">
        <f t="shared" si="85"/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f t="shared" si="87"/>
        <v>2</v>
      </c>
      <c r="W1337" s="13" t="str">
        <f t="shared" si="88"/>
        <v>Closure-10</v>
      </c>
    </row>
    <row r="1338" spans="1:23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86"/>
        <v>kPAR</v>
      </c>
      <c r="P1338" s="13" t="str">
        <f t="shared" si="84"/>
        <v>True Pattern</v>
      </c>
      <c r="Q1338" s="13" t="str">
        <f t="shared" si="85"/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f t="shared" si="87"/>
        <v>2</v>
      </c>
      <c r="W1338" s="13" t="str">
        <f t="shared" si="88"/>
        <v>Closure-11</v>
      </c>
    </row>
    <row r="1339" spans="1:23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86"/>
        <v>kPAR</v>
      </c>
      <c r="P1339" s="13" t="str">
        <f t="shared" si="84"/>
        <v>True Pattern</v>
      </c>
      <c r="Q1339" s="13" t="str">
        <f t="shared" si="85"/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f t="shared" si="87"/>
        <v>2</v>
      </c>
      <c r="W1339" s="13" t="str">
        <f t="shared" si="88"/>
        <v>Closure-115</v>
      </c>
    </row>
    <row r="1340" spans="1:23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86"/>
        <v>kPAR</v>
      </c>
      <c r="P1340" s="13" t="str">
        <f t="shared" si="84"/>
        <v>True Pattern</v>
      </c>
      <c r="Q1340" s="13" t="str">
        <f t="shared" si="85"/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f t="shared" si="87"/>
        <v>2</v>
      </c>
      <c r="W1340" s="13" t="str">
        <f t="shared" si="88"/>
        <v>Closure-125</v>
      </c>
    </row>
    <row r="1341" spans="1:23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86"/>
        <v>kPAR</v>
      </c>
      <c r="P1341" s="13" t="str">
        <f t="shared" si="84"/>
        <v>True Pattern</v>
      </c>
      <c r="Q1341" s="13" t="str">
        <f t="shared" si="85"/>
        <v>Repaired</v>
      </c>
      <c r="R1341" s="13" t="s">
        <v>1668</v>
      </c>
      <c r="S1341" s="25">
        <v>2</v>
      </c>
      <c r="T1341" s="25">
        <v>1</v>
      </c>
      <c r="U1341" s="25">
        <v>4</v>
      </c>
      <c r="V1341" s="13">
        <f t="shared" si="87"/>
        <v>5</v>
      </c>
      <c r="W1341" s="13" t="str">
        <f t="shared" si="88"/>
        <v>Closure-2</v>
      </c>
    </row>
    <row r="1342" spans="1:23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86"/>
        <v>kPAR</v>
      </c>
      <c r="P1342" s="13" t="str">
        <f t="shared" si="84"/>
        <v>True Pattern</v>
      </c>
      <c r="Q1342" s="13" t="str">
        <f t="shared" si="85"/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f t="shared" si="87"/>
        <v>2</v>
      </c>
      <c r="W1342" s="13" t="str">
        <f t="shared" si="88"/>
        <v>Closure-21</v>
      </c>
    </row>
    <row r="1343" spans="1:23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86"/>
        <v>kPAR</v>
      </c>
      <c r="P1343" s="13" t="str">
        <f t="shared" si="84"/>
        <v>True Pattern</v>
      </c>
      <c r="Q1343" s="13" t="str">
        <f t="shared" si="85"/>
        <v>Repaired</v>
      </c>
      <c r="R1343" s="13" t="s">
        <v>1669</v>
      </c>
      <c r="S1343" s="25">
        <v>1</v>
      </c>
      <c r="T1343" s="25">
        <v>1</v>
      </c>
      <c r="U1343" s="25">
        <v>2</v>
      </c>
      <c r="V1343" s="13">
        <f t="shared" si="87"/>
        <v>3</v>
      </c>
      <c r="W1343" s="13" t="str">
        <f t="shared" si="88"/>
        <v>Closure-22</v>
      </c>
    </row>
    <row r="1344" spans="1:23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86"/>
        <v>kPAR</v>
      </c>
      <c r="P1344" s="13" t="str">
        <f t="shared" si="84"/>
        <v>True Pattern</v>
      </c>
      <c r="Q1344" s="13" t="str">
        <f t="shared" si="85"/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f t="shared" si="87"/>
        <v>2</v>
      </c>
      <c r="W1344" s="13" t="str">
        <f t="shared" si="88"/>
        <v>Closure-35</v>
      </c>
    </row>
    <row r="1345" spans="1:23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86"/>
        <v>kPAR</v>
      </c>
      <c r="P1345" s="13" t="str">
        <f t="shared" si="84"/>
        <v>True Pattern</v>
      </c>
      <c r="Q1345" s="13" t="str">
        <f t="shared" si="85"/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f t="shared" si="87"/>
        <v>2</v>
      </c>
      <c r="W1345" s="13" t="str">
        <f t="shared" si="88"/>
        <v>Closure-38</v>
      </c>
    </row>
    <row r="1346" spans="1:23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86"/>
        <v>kPAR</v>
      </c>
      <c r="P1346" s="13" t="str">
        <f t="shared" si="84"/>
        <v>True Pattern</v>
      </c>
      <c r="Q1346" s="13" t="str">
        <f t="shared" si="85"/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f t="shared" si="87"/>
        <v>2</v>
      </c>
      <c r="W1346" s="13" t="str">
        <f t="shared" si="88"/>
        <v>Closure-4</v>
      </c>
    </row>
    <row r="1347" spans="1:23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86"/>
        <v>kPAR</v>
      </c>
      <c r="P1347" s="13" t="str">
        <f t="shared" si="84"/>
        <v>True Pattern</v>
      </c>
      <c r="Q1347" s="13" t="str">
        <f t="shared" si="85"/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f t="shared" si="87"/>
        <v>2</v>
      </c>
      <c r="W1347" s="13" t="str">
        <f t="shared" si="88"/>
        <v>Closure-40</v>
      </c>
    </row>
    <row r="1348" spans="1:23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86"/>
        <v>kPAR</v>
      </c>
      <c r="P1348" s="13" t="str">
        <f t="shared" si="84"/>
        <v>True Pattern</v>
      </c>
      <c r="Q1348" s="13" t="str">
        <f t="shared" si="85"/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f t="shared" si="87"/>
        <v>2</v>
      </c>
      <c r="W1348" s="13" t="str">
        <f t="shared" si="88"/>
        <v>Closure-46</v>
      </c>
    </row>
    <row r="1349" spans="1:23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86"/>
        <v>kPAR</v>
      </c>
      <c r="P1349" s="13" t="str">
        <f t="shared" si="84"/>
        <v>True Pattern</v>
      </c>
      <c r="Q1349" s="13" t="str">
        <f t="shared" si="85"/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f t="shared" si="87"/>
        <v>2</v>
      </c>
      <c r="W1349" s="13" t="str">
        <f t="shared" si="88"/>
        <v>Closure-62</v>
      </c>
    </row>
    <row r="1350" spans="1:23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86"/>
        <v>kPAR</v>
      </c>
      <c r="P1350" s="13" t="str">
        <f t="shared" si="84"/>
        <v>True Pattern</v>
      </c>
      <c r="Q1350" s="13" t="str">
        <f t="shared" si="85"/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f t="shared" si="87"/>
        <v>2</v>
      </c>
      <c r="W1350" s="13" t="str">
        <f t="shared" si="88"/>
        <v>Closure-70</v>
      </c>
    </row>
    <row r="1351" spans="1:23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86"/>
        <v>kPAR</v>
      </c>
      <c r="P1351" s="13" t="str">
        <f t="shared" si="84"/>
        <v>True Pattern</v>
      </c>
      <c r="Q1351" s="13" t="str">
        <f t="shared" si="85"/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f t="shared" si="87"/>
        <v>2</v>
      </c>
      <c r="W1351" s="13" t="str">
        <f t="shared" si="88"/>
        <v>Closure-73</v>
      </c>
    </row>
    <row r="1352" spans="1:23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86"/>
        <v>kPAR</v>
      </c>
      <c r="P1352" s="13" t="str">
        <f t="shared" si="84"/>
        <v>True Pattern</v>
      </c>
      <c r="Q1352" s="13" t="str">
        <f t="shared" si="85"/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f t="shared" si="87"/>
        <v>2</v>
      </c>
      <c r="W1352" s="13" t="str">
        <f t="shared" si="88"/>
        <v>Lang-10</v>
      </c>
    </row>
    <row r="1353" spans="1:23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86"/>
        <v>kPAR</v>
      </c>
      <c r="P1353" s="13" t="str">
        <f t="shared" si="84"/>
        <v>True Pattern</v>
      </c>
      <c r="Q1353" s="13" t="str">
        <f t="shared" si="85"/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f t="shared" si="87"/>
        <v>2</v>
      </c>
      <c r="W1353" s="13" t="str">
        <f t="shared" si="88"/>
        <v>Lang-16</v>
      </c>
    </row>
    <row r="1354" spans="1:23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86"/>
        <v>kPAR</v>
      </c>
      <c r="P1354" s="13" t="str">
        <f t="shared" ref="P1354:P1417" si="89"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 t="shared" si="85"/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f t="shared" si="87"/>
        <v>2</v>
      </c>
      <c r="W1354" s="13" t="str">
        <f t="shared" si="88"/>
        <v>Lang-18</v>
      </c>
    </row>
    <row r="1355" spans="1:23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86"/>
        <v>kPAR</v>
      </c>
      <c r="P1355" s="13" t="str">
        <f t="shared" si="89"/>
        <v>True Pattern</v>
      </c>
      <c r="Q1355" s="13" t="str">
        <f t="shared" si="85"/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f t="shared" si="87"/>
        <v>2</v>
      </c>
      <c r="W1355" s="13" t="str">
        <f t="shared" si="88"/>
        <v>Lang-20</v>
      </c>
    </row>
    <row r="1356" spans="1:23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86"/>
        <v>kPAR</v>
      </c>
      <c r="P1356" s="13" t="str">
        <f t="shared" si="89"/>
        <v>True Pattern</v>
      </c>
      <c r="Q1356" s="13" t="str">
        <f t="shared" si="85"/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f t="shared" si="87"/>
        <v>2</v>
      </c>
      <c r="W1356" s="13" t="str">
        <f t="shared" si="88"/>
        <v>Lang-21</v>
      </c>
    </row>
    <row r="1357" spans="1:23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86"/>
        <v>kPAR</v>
      </c>
      <c r="P1357" s="13" t="str">
        <f t="shared" si="89"/>
        <v>True Pattern</v>
      </c>
      <c r="Q1357" s="13" t="str">
        <f t="shared" si="85"/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f t="shared" si="87"/>
        <v>2</v>
      </c>
      <c r="W1357" s="13" t="str">
        <f t="shared" si="88"/>
        <v>Lang-22</v>
      </c>
    </row>
    <row r="1358" spans="1:23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86"/>
        <v>kPAR</v>
      </c>
      <c r="P1358" s="13" t="str">
        <f t="shared" si="89"/>
        <v>True Pattern</v>
      </c>
      <c r="Q1358" s="13" t="str">
        <f t="shared" si="85"/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f t="shared" si="87"/>
        <v>2</v>
      </c>
      <c r="W1358" s="13" t="str">
        <f t="shared" si="88"/>
        <v>Lang-24</v>
      </c>
    </row>
    <row r="1359" spans="1:23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86"/>
        <v>kPAR</v>
      </c>
      <c r="P1359" s="13" t="str">
        <f t="shared" si="89"/>
        <v>True Pattern</v>
      </c>
      <c r="Q1359" s="13" t="str">
        <f t="shared" si="85"/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f t="shared" si="87"/>
        <v>2</v>
      </c>
      <c r="W1359" s="13" t="str">
        <f t="shared" si="88"/>
        <v>Lang-27</v>
      </c>
    </row>
    <row r="1360" spans="1:23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86"/>
        <v>kPAR</v>
      </c>
      <c r="P1360" s="13" t="str">
        <f t="shared" si="89"/>
        <v>True Pattern</v>
      </c>
      <c r="Q1360" s="13" t="str">
        <f t="shared" si="85"/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f t="shared" si="87"/>
        <v>2</v>
      </c>
      <c r="W1360" s="13" t="str">
        <f t="shared" si="88"/>
        <v>Lang-41</v>
      </c>
    </row>
    <row r="1361" spans="1:23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86"/>
        <v>kPAR</v>
      </c>
      <c r="P1361" s="13" t="str">
        <f t="shared" si="89"/>
        <v>True Pattern</v>
      </c>
      <c r="Q1361" s="13" t="str">
        <f t="shared" si="85"/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f t="shared" si="87"/>
        <v>2</v>
      </c>
      <c r="W1361" s="13" t="str">
        <f t="shared" si="88"/>
        <v>Lang-43</v>
      </c>
    </row>
    <row r="1362" spans="1:23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86"/>
        <v>kPAR</v>
      </c>
      <c r="P1362" s="13" t="str">
        <f t="shared" si="89"/>
        <v>True Pattern</v>
      </c>
      <c r="Q1362" s="13" t="str">
        <f t="shared" si="85"/>
        <v>Repaired</v>
      </c>
      <c r="R1362" s="13" t="s">
        <v>1669</v>
      </c>
      <c r="S1362" s="25">
        <v>1</v>
      </c>
      <c r="T1362" s="25">
        <v>2</v>
      </c>
      <c r="U1362" s="25">
        <v>1</v>
      </c>
      <c r="V1362" s="13">
        <f t="shared" si="87"/>
        <v>3</v>
      </c>
      <c r="W1362" s="13" t="str">
        <f t="shared" si="88"/>
        <v>Lang-44</v>
      </c>
    </row>
    <row r="1363" spans="1:23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86"/>
        <v>kPAR</v>
      </c>
      <c r="P1363" s="13" t="str">
        <f t="shared" si="89"/>
        <v>True Pattern</v>
      </c>
      <c r="Q1363" s="13" t="str">
        <f t="shared" si="85"/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f t="shared" si="87"/>
        <v>2</v>
      </c>
      <c r="W1363" s="13" t="str">
        <f t="shared" si="88"/>
        <v>Lang-45</v>
      </c>
    </row>
    <row r="1364" spans="1:23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86"/>
        <v>kPAR</v>
      </c>
      <c r="P1364" s="13" t="str">
        <f t="shared" si="89"/>
        <v>True Pattern</v>
      </c>
      <c r="Q1364" s="13" t="str">
        <f t="shared" si="85"/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f t="shared" si="87"/>
        <v>2</v>
      </c>
      <c r="W1364" s="13" t="str">
        <f t="shared" si="88"/>
        <v>Lang-51</v>
      </c>
    </row>
    <row r="1365" spans="1:23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86"/>
        <v>kPAR</v>
      </c>
      <c r="P1365" s="13" t="str">
        <f t="shared" si="89"/>
        <v>True Pattern</v>
      </c>
      <c r="Q1365" s="13" t="str">
        <f t="shared" si="85"/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f t="shared" si="87"/>
        <v>2</v>
      </c>
      <c r="W1365" s="13" t="str">
        <f t="shared" si="88"/>
        <v>Lang-53</v>
      </c>
    </row>
    <row r="1366" spans="1:23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86"/>
        <v>kPAR</v>
      </c>
      <c r="P1366" s="13" t="str">
        <f t="shared" si="89"/>
        <v>True Pattern</v>
      </c>
      <c r="Q1366" s="13" t="str">
        <f t="shared" ref="Q1366:Q1429" si="90"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1</v>
      </c>
      <c r="U1366" s="25">
        <v>4</v>
      </c>
      <c r="V1366" s="13">
        <f t="shared" si="87"/>
        <v>5</v>
      </c>
      <c r="W1366" s="13" t="str">
        <f t="shared" si="88"/>
        <v>Lang-57</v>
      </c>
    </row>
    <row r="1367" spans="1:23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ref="O1367:O1430" si="91">LEFT($A1367,FIND("_",$A1367)-1)</f>
        <v>kPAR</v>
      </c>
      <c r="P1367" s="13" t="str">
        <f t="shared" si="89"/>
        <v>True Pattern</v>
      </c>
      <c r="Q1367" s="13" t="str">
        <f t="shared" si="90"/>
        <v>Repaired</v>
      </c>
      <c r="R1367" s="13" t="s">
        <v>1669</v>
      </c>
      <c r="S1367" s="25">
        <v>1</v>
      </c>
      <c r="T1367" s="25">
        <v>2</v>
      </c>
      <c r="U1367" s="25">
        <v>1</v>
      </c>
      <c r="V1367" s="13">
        <f t="shared" si="87"/>
        <v>3</v>
      </c>
      <c r="W1367" s="13" t="str">
        <f t="shared" si="88"/>
        <v>Lang-58</v>
      </c>
    </row>
    <row r="1368" spans="1:23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si="91"/>
        <v>kPAR</v>
      </c>
      <c r="P1368" s="13" t="str">
        <f t="shared" si="89"/>
        <v>True Pattern</v>
      </c>
      <c r="Q1368" s="13" t="str">
        <f t="shared" si="90"/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f t="shared" si="87"/>
        <v>2</v>
      </c>
      <c r="W1368" s="13" t="str">
        <f t="shared" si="88"/>
        <v>Lang-59</v>
      </c>
    </row>
    <row r="1369" spans="1:23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91"/>
        <v>kPAR</v>
      </c>
      <c r="P1369" s="13" t="str">
        <f t="shared" si="89"/>
        <v>True Pattern</v>
      </c>
      <c r="Q1369" s="13" t="str">
        <f t="shared" si="90"/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f t="shared" si="87"/>
        <v>2</v>
      </c>
      <c r="W1369" s="13" t="str">
        <f t="shared" si="88"/>
        <v>Lang-6</v>
      </c>
    </row>
    <row r="1370" spans="1:23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91"/>
        <v>kPAR</v>
      </c>
      <c r="P1370" s="13" t="str">
        <f t="shared" si="89"/>
        <v>True Pattern</v>
      </c>
      <c r="Q1370" s="13" t="str">
        <f t="shared" si="90"/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f t="shared" si="87"/>
        <v>2</v>
      </c>
      <c r="W1370" s="13" t="str">
        <f t="shared" si="88"/>
        <v>Lang-63</v>
      </c>
    </row>
    <row r="1371" spans="1:23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91"/>
        <v>kPAR</v>
      </c>
      <c r="P1371" s="13" t="str">
        <f t="shared" si="89"/>
        <v>True Pattern</v>
      </c>
      <c r="Q1371" s="13" t="str">
        <f t="shared" si="90"/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f t="shared" si="87"/>
        <v>2</v>
      </c>
      <c r="W1371" s="13" t="str">
        <f t="shared" si="88"/>
        <v>Lang-7</v>
      </c>
    </row>
    <row r="1372" spans="1:23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91"/>
        <v>kPAR</v>
      </c>
      <c r="P1372" s="13" t="str">
        <f t="shared" si="89"/>
        <v>True Pattern</v>
      </c>
      <c r="Q1372" s="13" t="str">
        <f t="shared" si="90"/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f t="shared" si="87"/>
        <v>2</v>
      </c>
      <c r="W1372" s="13" t="str">
        <f t="shared" si="88"/>
        <v>Math-104</v>
      </c>
    </row>
    <row r="1373" spans="1:23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91"/>
        <v>kPAR</v>
      </c>
      <c r="P1373" s="13" t="str">
        <f t="shared" si="89"/>
        <v>True Pattern</v>
      </c>
      <c r="Q1373" s="13" t="str">
        <f t="shared" si="90"/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f t="shared" si="87"/>
        <v>2</v>
      </c>
      <c r="W1373" s="13" t="str">
        <f t="shared" si="88"/>
        <v>Math-15</v>
      </c>
    </row>
    <row r="1374" spans="1:23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91"/>
        <v>kPAR</v>
      </c>
      <c r="P1374" s="13" t="str">
        <f t="shared" si="89"/>
        <v>True Pattern</v>
      </c>
      <c r="Q1374" s="13" t="str">
        <f t="shared" si="90"/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f t="shared" si="87"/>
        <v>2</v>
      </c>
      <c r="W1374" s="13" t="str">
        <f t="shared" si="88"/>
        <v>Math-40</v>
      </c>
    </row>
    <row r="1375" spans="1:23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91"/>
        <v>kPAR</v>
      </c>
      <c r="P1375" s="13" t="str">
        <f t="shared" si="89"/>
        <v>True Pattern</v>
      </c>
      <c r="Q1375" s="13" t="str">
        <f t="shared" si="90"/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f t="shared" si="87"/>
        <v>2</v>
      </c>
      <c r="W1375" s="13" t="str">
        <f t="shared" si="88"/>
        <v>Math-42</v>
      </c>
    </row>
    <row r="1376" spans="1:23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91"/>
        <v>kPAR</v>
      </c>
      <c r="P1376" s="13" t="str">
        <f t="shared" si="89"/>
        <v>True Pattern</v>
      </c>
      <c r="Q1376" s="13" t="str">
        <f t="shared" si="90"/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f t="shared" si="87"/>
        <v>2</v>
      </c>
      <c r="W1376" s="13" t="str">
        <f t="shared" si="88"/>
        <v>Math-43</v>
      </c>
    </row>
    <row r="1377" spans="1:23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91"/>
        <v>kPAR</v>
      </c>
      <c r="P1377" s="13" t="str">
        <f t="shared" si="89"/>
        <v>True Pattern</v>
      </c>
      <c r="Q1377" s="13" t="str">
        <f t="shared" si="90"/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f t="shared" si="87"/>
        <v>2</v>
      </c>
      <c r="W1377" s="13" t="str">
        <f t="shared" si="88"/>
        <v>Math-50</v>
      </c>
    </row>
    <row r="1378" spans="1:23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91"/>
        <v>kPAR</v>
      </c>
      <c r="P1378" s="13" t="str">
        <f t="shared" si="89"/>
        <v>True Pattern</v>
      </c>
      <c r="Q1378" s="13" t="str">
        <f t="shared" si="90"/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f t="shared" si="87"/>
        <v>2</v>
      </c>
      <c r="W1378" s="13" t="str">
        <f t="shared" si="88"/>
        <v>Math-58</v>
      </c>
    </row>
    <row r="1379" spans="1:23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91"/>
        <v>kPAR</v>
      </c>
      <c r="P1379" s="13" t="str">
        <f t="shared" si="89"/>
        <v>True Pattern</v>
      </c>
      <c r="Q1379" s="13" t="str">
        <f t="shared" si="90"/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f t="shared" si="87"/>
        <v>2</v>
      </c>
      <c r="W1379" s="13" t="str">
        <f t="shared" si="88"/>
        <v>Math-62</v>
      </c>
    </row>
    <row r="1380" spans="1:23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91"/>
        <v>kPAR</v>
      </c>
      <c r="P1380" s="13" t="str">
        <f t="shared" si="89"/>
        <v>True Pattern</v>
      </c>
      <c r="Q1380" s="13" t="str">
        <f t="shared" si="90"/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f t="shared" si="87"/>
        <v>2</v>
      </c>
      <c r="W1380" s="13" t="str">
        <f t="shared" si="88"/>
        <v>Math-63</v>
      </c>
    </row>
    <row r="1381" spans="1:23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91"/>
        <v>kPAR</v>
      </c>
      <c r="P1381" s="13" t="str">
        <f t="shared" si="89"/>
        <v>True Pattern</v>
      </c>
      <c r="Q1381" s="13" t="str">
        <f t="shared" si="90"/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f t="shared" si="87"/>
        <v>2</v>
      </c>
      <c r="W1381" s="13" t="str">
        <f t="shared" si="88"/>
        <v>Math-7</v>
      </c>
    </row>
    <row r="1382" spans="1:23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91"/>
        <v>kPAR</v>
      </c>
      <c r="P1382" s="13" t="str">
        <f t="shared" si="89"/>
        <v>True Pattern</v>
      </c>
      <c r="Q1382" s="13" t="str">
        <f t="shared" si="90"/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f t="shared" ref="V1382:V1445" si="92">T1382+U1382</f>
        <v>2</v>
      </c>
      <c r="W1382" s="13" t="str">
        <f t="shared" ref="W1382:W1445" si="93">MID(A1382, SEARCH("_", A1382) +1, SEARCH("_", A1382, SEARCH("_", A1382) +1) - SEARCH("_", A1382) -1)</f>
        <v>Math-70</v>
      </c>
    </row>
    <row r="1383" spans="1:23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91"/>
        <v>kPAR</v>
      </c>
      <c r="P1383" s="13" t="str">
        <f t="shared" si="89"/>
        <v>True Pattern</v>
      </c>
      <c r="Q1383" s="13" t="str">
        <f t="shared" si="90"/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f t="shared" si="92"/>
        <v>2</v>
      </c>
      <c r="W1383" s="13" t="str">
        <f t="shared" si="93"/>
        <v>Math-75</v>
      </c>
    </row>
    <row r="1384" spans="1:23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91"/>
        <v>kPAR</v>
      </c>
      <c r="P1384" s="13" t="str">
        <f t="shared" si="89"/>
        <v>True Pattern</v>
      </c>
      <c r="Q1384" s="13" t="str">
        <f t="shared" si="90"/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f t="shared" si="92"/>
        <v>2</v>
      </c>
      <c r="W1384" s="13" t="str">
        <f t="shared" si="93"/>
        <v>Math-8</v>
      </c>
    </row>
    <row r="1385" spans="1:23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91"/>
        <v>kPAR</v>
      </c>
      <c r="P1385" s="13" t="str">
        <f t="shared" si="89"/>
        <v>True Pattern</v>
      </c>
      <c r="Q1385" s="13" t="str">
        <f t="shared" si="90"/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f t="shared" si="92"/>
        <v>2</v>
      </c>
      <c r="W1385" s="13" t="str">
        <f t="shared" si="93"/>
        <v>Math-80</v>
      </c>
    </row>
    <row r="1386" spans="1:23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91"/>
        <v>kPAR</v>
      </c>
      <c r="P1386" s="13" t="str">
        <f t="shared" si="89"/>
        <v>True Pattern</v>
      </c>
      <c r="Q1386" s="13" t="str">
        <f t="shared" si="90"/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f t="shared" si="92"/>
        <v>2</v>
      </c>
      <c r="W1386" s="13" t="str">
        <f t="shared" si="93"/>
        <v>Math-81</v>
      </c>
    </row>
    <row r="1387" spans="1:23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91"/>
        <v>kPAR</v>
      </c>
      <c r="P1387" s="13" t="str">
        <f t="shared" si="89"/>
        <v>True Pattern</v>
      </c>
      <c r="Q1387" s="13" t="str">
        <f t="shared" si="90"/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f t="shared" si="92"/>
        <v>2</v>
      </c>
      <c r="W1387" s="13" t="str">
        <f t="shared" si="93"/>
        <v>Math-82</v>
      </c>
    </row>
    <row r="1388" spans="1:23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91"/>
        <v>kPAR</v>
      </c>
      <c r="P1388" s="13" t="str">
        <f t="shared" si="89"/>
        <v>True Pattern</v>
      </c>
      <c r="Q1388" s="13" t="str">
        <f t="shared" si="90"/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f t="shared" si="92"/>
        <v>2</v>
      </c>
      <c r="W1388" s="13" t="str">
        <f t="shared" si="93"/>
        <v>Math-84</v>
      </c>
    </row>
    <row r="1389" spans="1:23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91"/>
        <v>kPAR</v>
      </c>
      <c r="P1389" s="13" t="str">
        <f t="shared" si="89"/>
        <v>True Pattern</v>
      </c>
      <c r="Q1389" s="13" t="str">
        <f t="shared" si="90"/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f t="shared" si="92"/>
        <v>2</v>
      </c>
      <c r="W1389" s="13" t="str">
        <f t="shared" si="93"/>
        <v>Math-85</v>
      </c>
    </row>
    <row r="1390" spans="1:23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91"/>
        <v>kPAR</v>
      </c>
      <c r="P1390" s="13" t="str">
        <f t="shared" si="89"/>
        <v>True Pattern</v>
      </c>
      <c r="Q1390" s="13" t="str">
        <f t="shared" si="90"/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f t="shared" si="92"/>
        <v>2</v>
      </c>
      <c r="W1390" s="13" t="str">
        <f t="shared" si="93"/>
        <v>Math-88</v>
      </c>
    </row>
    <row r="1391" spans="1:23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91"/>
        <v>kPAR</v>
      </c>
      <c r="P1391" s="13" t="str">
        <f t="shared" si="89"/>
        <v>True Pattern</v>
      </c>
      <c r="Q1391" s="13" t="str">
        <f t="shared" si="90"/>
        <v>Repaired</v>
      </c>
      <c r="R1391" s="13" t="s">
        <v>1668</v>
      </c>
      <c r="S1391" s="25">
        <v>1</v>
      </c>
      <c r="T1391" s="25">
        <v>1</v>
      </c>
      <c r="U1391" s="25">
        <v>6</v>
      </c>
      <c r="V1391" s="13">
        <f t="shared" si="92"/>
        <v>7</v>
      </c>
      <c r="W1391" s="13" t="str">
        <f t="shared" si="93"/>
        <v>Math-89</v>
      </c>
    </row>
    <row r="1392" spans="1:23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91"/>
        <v>Nopol</v>
      </c>
      <c r="P1392" s="13" t="str">
        <f t="shared" si="89"/>
        <v>True Semantic</v>
      </c>
      <c r="Q1392" s="13" t="str">
        <f t="shared" si="90"/>
        <v>Repaired</v>
      </c>
      <c r="R1392" s="13" t="s">
        <v>1669</v>
      </c>
      <c r="S1392" s="25">
        <v>1</v>
      </c>
      <c r="T1392" s="25">
        <v>7</v>
      </c>
      <c r="U1392" s="25">
        <v>9</v>
      </c>
      <c r="V1392" s="13">
        <f t="shared" si="92"/>
        <v>16</v>
      </c>
      <c r="W1392" s="13" t="str">
        <f t="shared" si="93"/>
        <v>Chart-13</v>
      </c>
    </row>
    <row r="1393" spans="1:23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91"/>
        <v>Nopol</v>
      </c>
      <c r="P1393" s="13" t="str">
        <f t="shared" si="89"/>
        <v>True Semantic</v>
      </c>
      <c r="Q1393" s="13" t="str">
        <f t="shared" si="90"/>
        <v>Repaired</v>
      </c>
      <c r="R1393" s="13" t="s">
        <v>1669</v>
      </c>
      <c r="S1393" s="25">
        <v>1</v>
      </c>
      <c r="T1393" s="25">
        <v>1</v>
      </c>
      <c r="U1393" s="25">
        <v>3</v>
      </c>
      <c r="V1393" s="13">
        <f t="shared" si="92"/>
        <v>4</v>
      </c>
      <c r="W1393" s="13" t="str">
        <f t="shared" si="93"/>
        <v>Chart-17</v>
      </c>
    </row>
    <row r="1394" spans="1:23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91"/>
        <v>Nopol</v>
      </c>
      <c r="P1394" s="13" t="str">
        <f t="shared" si="89"/>
        <v>True Semantic</v>
      </c>
      <c r="Q1394" s="13" t="str">
        <f t="shared" si="90"/>
        <v>Repaired</v>
      </c>
      <c r="R1394" s="13" t="s">
        <v>1669</v>
      </c>
      <c r="S1394" s="25">
        <v>1</v>
      </c>
      <c r="T1394" s="25">
        <v>7</v>
      </c>
      <c r="U1394" s="25">
        <v>9</v>
      </c>
      <c r="V1394" s="13">
        <f t="shared" si="92"/>
        <v>16</v>
      </c>
      <c r="W1394" s="13" t="str">
        <f t="shared" si="93"/>
        <v>Chart-25</v>
      </c>
    </row>
    <row r="1395" spans="1:23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91"/>
        <v>Nopol</v>
      </c>
      <c r="P1395" s="13" t="str">
        <f t="shared" si="89"/>
        <v>True Semantic</v>
      </c>
      <c r="Q1395" s="13" t="str">
        <f t="shared" si="90"/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f t="shared" si="92"/>
        <v>2</v>
      </c>
      <c r="W1395" s="13" t="str">
        <f t="shared" si="93"/>
        <v>Chart-5</v>
      </c>
    </row>
    <row r="1396" spans="1:23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91"/>
        <v>Nopol</v>
      </c>
      <c r="P1396" s="13" t="str">
        <f t="shared" si="89"/>
        <v>True Semantic</v>
      </c>
      <c r="Q1396" s="13" t="str">
        <f t="shared" si="90"/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f t="shared" si="92"/>
        <v>2</v>
      </c>
      <c r="W1396" s="13" t="str">
        <f t="shared" si="93"/>
        <v>Chart-9</v>
      </c>
    </row>
    <row r="1397" spans="1:23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91"/>
        <v>Nopol</v>
      </c>
      <c r="P1397" s="13" t="str">
        <f t="shared" si="89"/>
        <v>True Semantic</v>
      </c>
      <c r="Q1397" s="13" t="str">
        <f t="shared" si="90"/>
        <v>Repaired</v>
      </c>
      <c r="R1397" s="13" t="s">
        <v>1669</v>
      </c>
      <c r="S1397" s="25">
        <v>3</v>
      </c>
      <c r="T1397" s="25">
        <v>7</v>
      </c>
      <c r="U1397" s="25">
        <v>9</v>
      </c>
      <c r="V1397" s="13">
        <f t="shared" si="92"/>
        <v>16</v>
      </c>
      <c r="W1397" s="13" t="str">
        <f t="shared" si="93"/>
        <v>Lang-44</v>
      </c>
    </row>
    <row r="1398" spans="1:23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91"/>
        <v>Nopol</v>
      </c>
      <c r="P1398" s="13" t="str">
        <f t="shared" si="89"/>
        <v>True Semantic</v>
      </c>
      <c r="Q1398" s="13" t="str">
        <f t="shared" si="90"/>
        <v>Repaired</v>
      </c>
      <c r="R1398" s="13" t="s">
        <v>1668</v>
      </c>
      <c r="S1398" s="25">
        <v>1</v>
      </c>
      <c r="T1398" s="25">
        <v>1</v>
      </c>
      <c r="U1398" s="25">
        <v>3</v>
      </c>
      <c r="V1398" s="13">
        <f t="shared" si="92"/>
        <v>4</v>
      </c>
      <c r="W1398" s="13" t="str">
        <f t="shared" si="93"/>
        <v>Lang-46</v>
      </c>
    </row>
    <row r="1399" spans="1:23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91"/>
        <v>Nopol</v>
      </c>
      <c r="P1399" s="13" t="str">
        <f t="shared" si="89"/>
        <v>True Semantic</v>
      </c>
      <c r="Q1399" s="13" t="str">
        <f t="shared" si="90"/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f t="shared" si="92"/>
        <v>8</v>
      </c>
      <c r="W1399" s="13" t="str">
        <f t="shared" si="93"/>
        <v>Lang-51</v>
      </c>
    </row>
    <row r="1400" spans="1:23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91"/>
        <v>Nopol</v>
      </c>
      <c r="P1400" s="13" t="str">
        <f t="shared" si="89"/>
        <v>True Semantic</v>
      </c>
      <c r="Q1400" s="13" t="str">
        <f t="shared" si="90"/>
        <v>Repaired</v>
      </c>
      <c r="R1400" s="13" t="s">
        <v>1669</v>
      </c>
      <c r="S1400" s="25">
        <v>1</v>
      </c>
      <c r="T1400" s="25">
        <v>3</v>
      </c>
      <c r="U1400" s="25">
        <v>5</v>
      </c>
      <c r="V1400" s="13">
        <f t="shared" si="92"/>
        <v>8</v>
      </c>
      <c r="W1400" s="13" t="str">
        <f t="shared" si="93"/>
        <v>Lang-53</v>
      </c>
    </row>
    <row r="1401" spans="1:23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91"/>
        <v>Nopol</v>
      </c>
      <c r="P1401" s="13" t="str">
        <f t="shared" si="89"/>
        <v>True Semantic</v>
      </c>
      <c r="Q1401" s="13" t="str">
        <f t="shared" si="90"/>
        <v>Repaired</v>
      </c>
      <c r="R1401" s="13" t="s">
        <v>1669</v>
      </c>
      <c r="S1401" s="25">
        <v>1</v>
      </c>
      <c r="T1401" s="25">
        <v>1</v>
      </c>
      <c r="U1401" s="25">
        <v>3</v>
      </c>
      <c r="V1401" s="13">
        <f t="shared" si="92"/>
        <v>4</v>
      </c>
      <c r="W1401" s="13" t="str">
        <f t="shared" si="93"/>
        <v>Lang-55</v>
      </c>
    </row>
    <row r="1402" spans="1:23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91"/>
        <v>Nopol</v>
      </c>
      <c r="P1402" s="13" t="str">
        <f t="shared" si="89"/>
        <v>True Semantic</v>
      </c>
      <c r="Q1402" s="13" t="str">
        <f t="shared" si="90"/>
        <v>Repaired</v>
      </c>
      <c r="R1402" s="13" t="s">
        <v>1669</v>
      </c>
      <c r="S1402" s="25">
        <v>2</v>
      </c>
      <c r="T1402" s="25">
        <v>5</v>
      </c>
      <c r="U1402" s="25">
        <v>2</v>
      </c>
      <c r="V1402" s="13">
        <f t="shared" si="92"/>
        <v>7</v>
      </c>
      <c r="W1402" s="13" t="str">
        <f t="shared" si="93"/>
        <v>Lang-58</v>
      </c>
    </row>
    <row r="1403" spans="1:23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91"/>
        <v>Nopol</v>
      </c>
      <c r="P1403" s="13" t="str">
        <f t="shared" si="89"/>
        <v>True Semantic</v>
      </c>
      <c r="Q1403" s="13" t="str">
        <f t="shared" si="90"/>
        <v>Repaired</v>
      </c>
      <c r="R1403" s="13" t="s">
        <v>1669</v>
      </c>
      <c r="S1403" s="25">
        <v>1</v>
      </c>
      <c r="T1403" s="25">
        <v>1</v>
      </c>
      <c r="U1403" s="25">
        <v>3</v>
      </c>
      <c r="V1403" s="13">
        <f t="shared" si="92"/>
        <v>4</v>
      </c>
      <c r="W1403" s="13" t="str">
        <f t="shared" si="93"/>
        <v>Math-105</v>
      </c>
    </row>
    <row r="1404" spans="1:23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91"/>
        <v>Nopol</v>
      </c>
      <c r="P1404" s="13" t="str">
        <f t="shared" si="89"/>
        <v>True Semantic</v>
      </c>
      <c r="Q1404" s="13" t="str">
        <f t="shared" si="90"/>
        <v>Repaired</v>
      </c>
      <c r="R1404" s="13" t="s">
        <v>1669</v>
      </c>
      <c r="S1404" s="25">
        <v>1</v>
      </c>
      <c r="T1404" s="25">
        <v>1</v>
      </c>
      <c r="U1404" s="25">
        <v>3</v>
      </c>
      <c r="V1404" s="13">
        <f t="shared" si="92"/>
        <v>4</v>
      </c>
      <c r="W1404" s="13" t="str">
        <f t="shared" si="93"/>
        <v>Math-18</v>
      </c>
    </row>
    <row r="1405" spans="1:23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91"/>
        <v>Nopol</v>
      </c>
      <c r="P1405" s="13" t="str">
        <f t="shared" si="89"/>
        <v>True Semantic</v>
      </c>
      <c r="Q1405" s="13" t="str">
        <f t="shared" si="90"/>
        <v>Repaired</v>
      </c>
      <c r="R1405" s="13" t="s">
        <v>1669</v>
      </c>
      <c r="S1405" s="25">
        <v>1</v>
      </c>
      <c r="T1405" s="25">
        <v>1</v>
      </c>
      <c r="U1405" s="25">
        <v>3</v>
      </c>
      <c r="V1405" s="13">
        <f t="shared" si="92"/>
        <v>4</v>
      </c>
      <c r="W1405" s="13" t="str">
        <f t="shared" si="93"/>
        <v>Math-20</v>
      </c>
    </row>
    <row r="1406" spans="1:23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91"/>
        <v>Nopol</v>
      </c>
      <c r="P1406" s="13" t="str">
        <f t="shared" si="89"/>
        <v>True Semantic</v>
      </c>
      <c r="Q1406" s="13" t="str">
        <f t="shared" si="90"/>
        <v>Repaired</v>
      </c>
      <c r="R1406" s="13" t="s">
        <v>1669</v>
      </c>
      <c r="S1406" s="25">
        <v>1</v>
      </c>
      <c r="T1406" s="25">
        <v>2</v>
      </c>
      <c r="U1406" s="25">
        <v>4</v>
      </c>
      <c r="V1406" s="13">
        <f t="shared" si="92"/>
        <v>6</v>
      </c>
      <c r="W1406" s="13" t="str">
        <f t="shared" si="93"/>
        <v>Math-33</v>
      </c>
    </row>
    <row r="1407" spans="1:23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91"/>
        <v>Nopol</v>
      </c>
      <c r="P1407" s="13" t="str">
        <f t="shared" si="89"/>
        <v>True Semantic</v>
      </c>
      <c r="Q1407" s="13" t="str">
        <f t="shared" si="90"/>
        <v>Repaired</v>
      </c>
      <c r="R1407" s="13" t="s">
        <v>1669</v>
      </c>
      <c r="S1407" s="25">
        <v>2</v>
      </c>
      <c r="T1407" s="25">
        <v>7</v>
      </c>
      <c r="U1407" s="25">
        <v>9</v>
      </c>
      <c r="V1407" s="13">
        <f t="shared" si="92"/>
        <v>16</v>
      </c>
      <c r="W1407" s="13" t="str">
        <f t="shared" si="93"/>
        <v>Math-42</v>
      </c>
    </row>
    <row r="1408" spans="1:23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91"/>
        <v>Nopol</v>
      </c>
      <c r="P1408" s="13" t="str">
        <f t="shared" si="89"/>
        <v>True Semantic</v>
      </c>
      <c r="Q1408" s="13" t="str">
        <f t="shared" si="90"/>
        <v>Repaired</v>
      </c>
      <c r="R1408" s="13" t="s">
        <v>1669</v>
      </c>
      <c r="S1408" s="25">
        <v>1</v>
      </c>
      <c r="T1408" s="25">
        <v>2</v>
      </c>
      <c r="U1408" s="25">
        <v>6</v>
      </c>
      <c r="V1408" s="13">
        <f t="shared" si="92"/>
        <v>8</v>
      </c>
      <c r="W1408" s="13" t="str">
        <f t="shared" si="93"/>
        <v>Math-49</v>
      </c>
    </row>
    <row r="1409" spans="1:23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91"/>
        <v>Nopol</v>
      </c>
      <c r="P1409" s="13" t="str">
        <f t="shared" si="89"/>
        <v>True Semantic</v>
      </c>
      <c r="Q1409" s="13" t="str">
        <f t="shared" si="90"/>
        <v>Repaired</v>
      </c>
      <c r="R1409" s="13" t="s">
        <v>1668</v>
      </c>
      <c r="S1409" s="25">
        <v>1</v>
      </c>
      <c r="T1409" s="25">
        <v>3</v>
      </c>
      <c r="U1409" s="25">
        <v>5</v>
      </c>
      <c r="V1409" s="13">
        <f t="shared" si="92"/>
        <v>8</v>
      </c>
      <c r="W1409" s="13" t="str">
        <f t="shared" si="93"/>
        <v>Math-50</v>
      </c>
    </row>
    <row r="1410" spans="1:23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91"/>
        <v>Nopol</v>
      </c>
      <c r="P1410" s="13" t="str">
        <f t="shared" si="89"/>
        <v>True Semantic</v>
      </c>
      <c r="Q1410" s="13" t="str">
        <f t="shared" si="90"/>
        <v>Repaired</v>
      </c>
      <c r="R1410" s="13" t="s">
        <v>1669</v>
      </c>
      <c r="S1410" s="25">
        <v>2</v>
      </c>
      <c r="T1410" s="25">
        <v>6</v>
      </c>
      <c r="U1410" s="25">
        <v>8</v>
      </c>
      <c r="V1410" s="13">
        <f t="shared" si="92"/>
        <v>14</v>
      </c>
      <c r="W1410" s="13" t="str">
        <f t="shared" si="93"/>
        <v>Math-69</v>
      </c>
    </row>
    <row r="1411" spans="1:23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91"/>
        <v>Nopol</v>
      </c>
      <c r="P1411" s="13" t="str">
        <f t="shared" si="89"/>
        <v>True Semantic</v>
      </c>
      <c r="Q1411" s="13" t="str">
        <f t="shared" si="90"/>
        <v>Repaired</v>
      </c>
      <c r="R1411" s="13" t="s">
        <v>1669</v>
      </c>
      <c r="S1411" s="25">
        <v>1</v>
      </c>
      <c r="T1411" s="25">
        <v>1</v>
      </c>
      <c r="U1411" s="25">
        <v>3</v>
      </c>
      <c r="V1411" s="13">
        <f t="shared" si="92"/>
        <v>4</v>
      </c>
      <c r="W1411" s="13" t="str">
        <f t="shared" si="93"/>
        <v>Math-7</v>
      </c>
    </row>
    <row r="1412" spans="1:23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91"/>
        <v>Nopol</v>
      </c>
      <c r="P1412" s="13" t="str">
        <f t="shared" si="89"/>
        <v>True Semantic</v>
      </c>
      <c r="Q1412" s="13" t="str">
        <f t="shared" si="90"/>
        <v>Repaired</v>
      </c>
      <c r="R1412" s="13" t="s">
        <v>1669</v>
      </c>
      <c r="S1412" s="25">
        <v>1</v>
      </c>
      <c r="T1412" s="25">
        <v>4</v>
      </c>
      <c r="U1412" s="25">
        <v>6</v>
      </c>
      <c r="V1412" s="13">
        <f t="shared" si="92"/>
        <v>10</v>
      </c>
      <c r="W1412" s="13" t="str">
        <f t="shared" si="93"/>
        <v>Math-80</v>
      </c>
    </row>
    <row r="1413" spans="1:23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91"/>
        <v>Nopol</v>
      </c>
      <c r="P1413" s="13" t="str">
        <f t="shared" si="89"/>
        <v>True Semantic</v>
      </c>
      <c r="Q1413" s="13" t="str">
        <f t="shared" si="90"/>
        <v>Repaired</v>
      </c>
      <c r="R1413" s="13" t="s">
        <v>1669</v>
      </c>
      <c r="S1413" s="25">
        <v>1</v>
      </c>
      <c r="T1413" s="25">
        <v>1</v>
      </c>
      <c r="U1413" s="25">
        <v>3</v>
      </c>
      <c r="V1413" s="13">
        <f t="shared" si="92"/>
        <v>4</v>
      </c>
      <c r="W1413" s="13" t="str">
        <f t="shared" si="93"/>
        <v>Math-81</v>
      </c>
    </row>
    <row r="1414" spans="1:23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91"/>
        <v>Nopol</v>
      </c>
      <c r="P1414" s="13" t="str">
        <f t="shared" si="89"/>
        <v>True Semantic</v>
      </c>
      <c r="Q1414" s="13" t="str">
        <f t="shared" si="90"/>
        <v>Repaired</v>
      </c>
      <c r="R1414" s="13" t="s">
        <v>1669</v>
      </c>
      <c r="S1414" s="25">
        <v>1</v>
      </c>
      <c r="T1414" s="25">
        <v>1</v>
      </c>
      <c r="U1414" s="25">
        <v>3</v>
      </c>
      <c r="V1414" s="13">
        <f t="shared" si="92"/>
        <v>4</v>
      </c>
      <c r="W1414" s="13" t="str">
        <f t="shared" si="93"/>
        <v>Math-82</v>
      </c>
    </row>
    <row r="1415" spans="1:23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91"/>
        <v>Nopol</v>
      </c>
      <c r="P1415" s="13" t="str">
        <f t="shared" si="89"/>
        <v>True Semantic</v>
      </c>
      <c r="Q1415" s="13" t="str">
        <f t="shared" si="90"/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f t="shared" si="92"/>
        <v>12</v>
      </c>
      <c r="W1415" s="13" t="str">
        <f t="shared" si="93"/>
        <v>Math-85</v>
      </c>
    </row>
    <row r="1416" spans="1:23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91"/>
        <v>Nopol</v>
      </c>
      <c r="P1416" s="13" t="str">
        <f t="shared" si="89"/>
        <v>True Semantic</v>
      </c>
      <c r="Q1416" s="13" t="str">
        <f t="shared" si="90"/>
        <v>Repaired</v>
      </c>
      <c r="R1416" s="13" t="s">
        <v>1669</v>
      </c>
      <c r="S1416" s="25">
        <v>2</v>
      </c>
      <c r="T1416" s="25">
        <v>1</v>
      </c>
      <c r="U1416" s="25">
        <v>3</v>
      </c>
      <c r="V1416" s="13">
        <f t="shared" si="92"/>
        <v>4</v>
      </c>
      <c r="W1416" s="13" t="str">
        <f t="shared" si="93"/>
        <v>Math-87</v>
      </c>
    </row>
    <row r="1417" spans="1:23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91"/>
        <v>Nopol</v>
      </c>
      <c r="P1417" s="13" t="str">
        <f t="shared" si="89"/>
        <v>True Semantic</v>
      </c>
      <c r="Q1417" s="13" t="str">
        <f t="shared" si="90"/>
        <v>Repaired</v>
      </c>
      <c r="R1417" s="13" t="s">
        <v>1669</v>
      </c>
      <c r="S1417" s="25">
        <v>1</v>
      </c>
      <c r="T1417" s="25">
        <v>1</v>
      </c>
      <c r="U1417" s="25">
        <v>3</v>
      </c>
      <c r="V1417" s="13">
        <f t="shared" si="92"/>
        <v>4</v>
      </c>
      <c r="W1417" s="13" t="str">
        <f t="shared" si="93"/>
        <v>Math-88</v>
      </c>
    </row>
    <row r="1418" spans="1:23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91"/>
        <v>Nopol</v>
      </c>
      <c r="P1418" s="13" t="str">
        <f t="shared" ref="P1418:P1481" si="94"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 t="shared" si="90"/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f t="shared" si="92"/>
        <v>2</v>
      </c>
      <c r="W1418" s="13" t="str">
        <f t="shared" si="93"/>
        <v>Time-14</v>
      </c>
    </row>
    <row r="1419" spans="1:23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91"/>
        <v>RSRepair-A</v>
      </c>
      <c r="P1419" s="13" t="str">
        <f t="shared" si="94"/>
        <v>Evolutionary Search</v>
      </c>
      <c r="Q1419" s="13" t="str">
        <f t="shared" si="90"/>
        <v>Repaired</v>
      </c>
      <c r="R1419" s="13" t="s">
        <v>1669</v>
      </c>
      <c r="S1419" s="25">
        <v>1</v>
      </c>
      <c r="T1419" s="25">
        <v>3</v>
      </c>
      <c r="U1419" s="13">
        <v>0</v>
      </c>
      <c r="V1419" s="13">
        <f t="shared" si="92"/>
        <v>3</v>
      </c>
      <c r="W1419" s="13" t="str">
        <f t="shared" si="93"/>
        <v>Chart-1</v>
      </c>
    </row>
    <row r="1420" spans="1:23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91"/>
        <v>RSRepair-A</v>
      </c>
      <c r="P1420" s="13" t="str">
        <f t="shared" si="94"/>
        <v>Evolutionary Search</v>
      </c>
      <c r="Q1420" s="13" t="str">
        <f t="shared" si="90"/>
        <v>Repaired</v>
      </c>
      <c r="R1420" s="13" t="s">
        <v>1669</v>
      </c>
      <c r="S1420" s="25">
        <v>1</v>
      </c>
      <c r="T1420" s="25">
        <v>1</v>
      </c>
      <c r="U1420" s="25">
        <v>5</v>
      </c>
      <c r="V1420" s="13">
        <f t="shared" si="92"/>
        <v>6</v>
      </c>
      <c r="W1420" s="13" t="str">
        <f t="shared" si="93"/>
        <v>Chart-12</v>
      </c>
    </row>
    <row r="1421" spans="1:23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91"/>
        <v>RSRepair-A</v>
      </c>
      <c r="P1421" s="13" t="str">
        <f t="shared" si="94"/>
        <v>Evolutionary Search</v>
      </c>
      <c r="Q1421" s="13" t="str">
        <f t="shared" si="90"/>
        <v>Repaired</v>
      </c>
      <c r="R1421" s="13" t="s">
        <v>1669</v>
      </c>
      <c r="S1421" s="25">
        <v>1</v>
      </c>
      <c r="T1421" s="25">
        <v>10</v>
      </c>
      <c r="U1421" s="25">
        <v>1</v>
      </c>
      <c r="V1421" s="13">
        <f t="shared" si="92"/>
        <v>11</v>
      </c>
      <c r="W1421" s="13" t="str">
        <f t="shared" si="93"/>
        <v>Chart-5</v>
      </c>
    </row>
    <row r="1422" spans="1:23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91"/>
        <v>RSRepair-A</v>
      </c>
      <c r="P1422" s="13" t="str">
        <f t="shared" si="94"/>
        <v>Evolutionary Search</v>
      </c>
      <c r="Q1422" s="13" t="str">
        <f t="shared" si="90"/>
        <v>Repaired</v>
      </c>
      <c r="R1422" s="13" t="s">
        <v>1669</v>
      </c>
      <c r="S1422" s="25">
        <v>1</v>
      </c>
      <c r="T1422" s="25">
        <v>2</v>
      </c>
      <c r="U1422" s="25">
        <v>1</v>
      </c>
      <c r="V1422" s="13">
        <f t="shared" si="92"/>
        <v>3</v>
      </c>
      <c r="W1422" s="13" t="str">
        <f t="shared" si="93"/>
        <v>Closure-10</v>
      </c>
    </row>
    <row r="1423" spans="1:23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91"/>
        <v>RSRepair-A</v>
      </c>
      <c r="P1423" s="13" t="str">
        <f t="shared" si="94"/>
        <v>Evolutionary Search</v>
      </c>
      <c r="Q1423" s="13" t="str">
        <f t="shared" si="90"/>
        <v>Repaired</v>
      </c>
      <c r="R1423" s="13" t="s">
        <v>1669</v>
      </c>
      <c r="S1423" s="25">
        <v>1</v>
      </c>
      <c r="T1423" s="25">
        <v>2</v>
      </c>
      <c r="U1423" s="13">
        <v>0</v>
      </c>
      <c r="V1423" s="13">
        <f t="shared" si="92"/>
        <v>2</v>
      </c>
      <c r="W1423" s="13" t="str">
        <f t="shared" si="93"/>
        <v>Closure-112</v>
      </c>
    </row>
    <row r="1424" spans="1:23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91"/>
        <v>RSRepair-A</v>
      </c>
      <c r="P1424" s="13" t="str">
        <f t="shared" si="94"/>
        <v>Evolutionary Search</v>
      </c>
      <c r="Q1424" s="13" t="str">
        <f t="shared" si="90"/>
        <v>Repaired</v>
      </c>
      <c r="R1424" s="13" t="s">
        <v>1668</v>
      </c>
      <c r="S1424" s="25">
        <v>1</v>
      </c>
      <c r="T1424" s="25">
        <v>1</v>
      </c>
      <c r="U1424" s="13">
        <v>0</v>
      </c>
      <c r="V1424" s="13">
        <f t="shared" si="92"/>
        <v>1</v>
      </c>
      <c r="W1424" s="13" t="str">
        <f t="shared" si="93"/>
        <v>Closure-115</v>
      </c>
    </row>
    <row r="1425" spans="1:23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91"/>
        <v>RSRepair-A</v>
      </c>
      <c r="P1425" s="13" t="str">
        <f t="shared" si="94"/>
        <v>Evolutionary Search</v>
      </c>
      <c r="Q1425" s="13" t="str">
        <f t="shared" si="90"/>
        <v>Repaired</v>
      </c>
      <c r="R1425" s="13" t="s">
        <v>1669</v>
      </c>
      <c r="S1425" s="25">
        <v>1</v>
      </c>
      <c r="T1425" s="25">
        <v>28</v>
      </c>
      <c r="U1425" s="13">
        <v>0</v>
      </c>
      <c r="V1425" s="13">
        <f t="shared" si="92"/>
        <v>28</v>
      </c>
      <c r="W1425" s="13" t="str">
        <f t="shared" si="93"/>
        <v>Closure-117</v>
      </c>
    </row>
    <row r="1426" spans="1:23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91"/>
        <v>RSRepair-A</v>
      </c>
      <c r="P1426" s="13" t="str">
        <f t="shared" si="94"/>
        <v>Evolutionary Search</v>
      </c>
      <c r="Q1426" s="13" t="str">
        <f t="shared" si="90"/>
        <v>Repaired</v>
      </c>
      <c r="R1426" s="13" t="s">
        <v>1669</v>
      </c>
      <c r="S1426" s="25">
        <v>1</v>
      </c>
      <c r="T1426" s="25">
        <v>1</v>
      </c>
      <c r="U1426" s="13">
        <v>0</v>
      </c>
      <c r="V1426" s="13">
        <f t="shared" si="92"/>
        <v>1</v>
      </c>
      <c r="W1426" s="13" t="str">
        <f t="shared" si="93"/>
        <v>Closure-120</v>
      </c>
    </row>
    <row r="1427" spans="1:23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91"/>
        <v>RSRepair-A</v>
      </c>
      <c r="P1427" s="13" t="str">
        <f t="shared" si="94"/>
        <v>Evolutionary Search</v>
      </c>
      <c r="Q1427" s="13" t="str">
        <f t="shared" si="90"/>
        <v>Repaired</v>
      </c>
      <c r="R1427" s="13" t="s">
        <v>1669</v>
      </c>
      <c r="S1427" s="25">
        <v>1</v>
      </c>
      <c r="T1427" s="25">
        <v>1</v>
      </c>
      <c r="U1427" s="13">
        <v>0</v>
      </c>
      <c r="V1427" s="13">
        <f t="shared" si="92"/>
        <v>1</v>
      </c>
      <c r="W1427" s="13" t="str">
        <f t="shared" si="93"/>
        <v>Closure-121</v>
      </c>
    </row>
    <row r="1428" spans="1:23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91"/>
        <v>RSRepair-A</v>
      </c>
      <c r="P1428" s="13" t="str">
        <f t="shared" si="94"/>
        <v>Evolutionary Search</v>
      </c>
      <c r="Q1428" s="13" t="str">
        <f t="shared" si="90"/>
        <v>Repaired</v>
      </c>
      <c r="R1428" s="13" t="s">
        <v>1669</v>
      </c>
      <c r="S1428" s="25">
        <v>1</v>
      </c>
      <c r="T1428" s="25">
        <v>10</v>
      </c>
      <c r="U1428" s="25">
        <v>1</v>
      </c>
      <c r="V1428" s="13">
        <f t="shared" si="92"/>
        <v>11</v>
      </c>
      <c r="W1428" s="13" t="str">
        <f t="shared" si="93"/>
        <v>Closure-124</v>
      </c>
    </row>
    <row r="1429" spans="1:23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91"/>
        <v>RSRepair-A</v>
      </c>
      <c r="P1429" s="13" t="str">
        <f t="shared" si="94"/>
        <v>Evolutionary Search</v>
      </c>
      <c r="Q1429" s="13" t="str">
        <f t="shared" si="90"/>
        <v>Repaired</v>
      </c>
      <c r="R1429" s="13" t="s">
        <v>1669</v>
      </c>
      <c r="S1429" s="25">
        <v>1</v>
      </c>
      <c r="T1429" s="25">
        <v>6</v>
      </c>
      <c r="U1429" s="25">
        <v>1</v>
      </c>
      <c r="V1429" s="13">
        <f t="shared" si="92"/>
        <v>7</v>
      </c>
      <c r="W1429" s="13" t="str">
        <f t="shared" si="93"/>
        <v>Closure-125</v>
      </c>
    </row>
    <row r="1430" spans="1:23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91"/>
        <v>RSRepair-A</v>
      </c>
      <c r="P1430" s="13" t="str">
        <f t="shared" si="94"/>
        <v>Evolutionary Search</v>
      </c>
      <c r="Q1430" s="13" t="str">
        <f t="shared" ref="Q1430:Q1493" si="95"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1</v>
      </c>
      <c r="U1430" s="25">
        <v>2</v>
      </c>
      <c r="V1430" s="13">
        <f t="shared" si="92"/>
        <v>3</v>
      </c>
      <c r="W1430" s="13" t="str">
        <f t="shared" si="93"/>
        <v>Closure-21</v>
      </c>
    </row>
    <row r="1431" spans="1:23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ref="O1431:O1494" si="96">LEFT($A1431,FIND("_",$A1431)-1)</f>
        <v>RSRepair-A</v>
      </c>
      <c r="P1431" s="13" t="str">
        <f t="shared" si="94"/>
        <v>Evolutionary Search</v>
      </c>
      <c r="Q1431" s="13" t="str">
        <f t="shared" si="95"/>
        <v>Repaired</v>
      </c>
      <c r="R1431" s="13" t="s">
        <v>1668</v>
      </c>
      <c r="S1431" s="25">
        <v>1</v>
      </c>
      <c r="T1431" s="25">
        <v>14</v>
      </c>
      <c r="U1431" s="13">
        <v>0</v>
      </c>
      <c r="V1431" s="13">
        <f t="shared" si="92"/>
        <v>14</v>
      </c>
      <c r="W1431" s="13" t="str">
        <f t="shared" si="93"/>
        <v>Closure-22</v>
      </c>
    </row>
    <row r="1432" spans="1:23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si="96"/>
        <v>RSRepair-A</v>
      </c>
      <c r="P1432" s="13" t="str">
        <f t="shared" si="94"/>
        <v>Evolutionary Search</v>
      </c>
      <c r="Q1432" s="13" t="str">
        <f t="shared" si="95"/>
        <v>Repaired</v>
      </c>
      <c r="R1432" s="13" t="s">
        <v>1669</v>
      </c>
      <c r="S1432" s="25">
        <v>1</v>
      </c>
      <c r="T1432" s="25">
        <v>14</v>
      </c>
      <c r="U1432" s="25">
        <v>1</v>
      </c>
      <c r="V1432" s="13">
        <f t="shared" si="92"/>
        <v>15</v>
      </c>
      <c r="W1432" s="13" t="str">
        <f t="shared" si="93"/>
        <v>Closure-3</v>
      </c>
    </row>
    <row r="1433" spans="1:23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96"/>
        <v>RSRepair-A</v>
      </c>
      <c r="P1433" s="13" t="str">
        <f t="shared" si="94"/>
        <v>Evolutionary Search</v>
      </c>
      <c r="Q1433" s="13" t="str">
        <f t="shared" si="95"/>
        <v>Repaired</v>
      </c>
      <c r="R1433" s="13" t="s">
        <v>1669</v>
      </c>
      <c r="S1433" s="25">
        <v>1</v>
      </c>
      <c r="T1433" s="25">
        <v>22</v>
      </c>
      <c r="U1433" s="25">
        <v>1</v>
      </c>
      <c r="V1433" s="13">
        <f t="shared" si="92"/>
        <v>23</v>
      </c>
      <c r="W1433" s="13" t="str">
        <f t="shared" si="93"/>
        <v>Closure-33</v>
      </c>
    </row>
    <row r="1434" spans="1:23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96"/>
        <v>RSRepair-A</v>
      </c>
      <c r="P1434" s="13" t="str">
        <f t="shared" si="94"/>
        <v>Evolutionary Search</v>
      </c>
      <c r="Q1434" s="13" t="str">
        <f t="shared" si="95"/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f t="shared" si="92"/>
        <v>2</v>
      </c>
      <c r="W1434" s="13" t="str">
        <f t="shared" si="93"/>
        <v>Closure-55</v>
      </c>
    </row>
    <row r="1435" spans="1:23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96"/>
        <v>RSRepair-A</v>
      </c>
      <c r="P1435" s="13" t="str">
        <f t="shared" si="94"/>
        <v>Evolutionary Search</v>
      </c>
      <c r="Q1435" s="13" t="str">
        <f t="shared" si="95"/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f t="shared" si="92"/>
        <v>2</v>
      </c>
      <c r="W1435" s="13" t="str">
        <f t="shared" si="93"/>
        <v>Closure-75</v>
      </c>
    </row>
    <row r="1436" spans="1:23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96"/>
        <v>RSRepair-A</v>
      </c>
      <c r="P1436" s="13" t="str">
        <f t="shared" si="94"/>
        <v>Evolutionary Search</v>
      </c>
      <c r="Q1436" s="13" t="str">
        <f t="shared" si="95"/>
        <v>Repaired</v>
      </c>
      <c r="R1436" s="13" t="s">
        <v>1668</v>
      </c>
      <c r="S1436" s="25">
        <v>1</v>
      </c>
      <c r="T1436" s="25">
        <v>4</v>
      </c>
      <c r="U1436" s="25">
        <v>1</v>
      </c>
      <c r="V1436" s="13">
        <f t="shared" si="92"/>
        <v>5</v>
      </c>
      <c r="W1436" s="13" t="str">
        <f t="shared" si="93"/>
        <v>Closure-86</v>
      </c>
    </row>
    <row r="1437" spans="1:23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96"/>
        <v>RSRepair-A</v>
      </c>
      <c r="P1437" s="13" t="str">
        <f t="shared" si="94"/>
        <v>Evolutionary Search</v>
      </c>
      <c r="Q1437" s="13" t="str">
        <f t="shared" si="95"/>
        <v>Repaired</v>
      </c>
      <c r="R1437" s="13" t="s">
        <v>1669</v>
      </c>
      <c r="S1437" s="25">
        <v>1</v>
      </c>
      <c r="T1437" s="25">
        <v>4</v>
      </c>
      <c r="U1437" s="13">
        <v>0</v>
      </c>
      <c r="V1437" s="13">
        <f t="shared" si="92"/>
        <v>4</v>
      </c>
      <c r="W1437" s="13" t="str">
        <f t="shared" si="93"/>
        <v>Closure-88</v>
      </c>
    </row>
    <row r="1438" spans="1:23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96"/>
        <v>RSRepair-A</v>
      </c>
      <c r="P1438" s="13" t="str">
        <f t="shared" si="94"/>
        <v>Evolutionary Search</v>
      </c>
      <c r="Q1438" s="13" t="str">
        <f t="shared" si="95"/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f t="shared" si="92"/>
        <v>2</v>
      </c>
      <c r="W1438" s="13" t="str">
        <f t="shared" si="93"/>
        <v>Lang-13</v>
      </c>
    </row>
    <row r="1439" spans="1:23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96"/>
        <v>RSRepair-A</v>
      </c>
      <c r="P1439" s="13" t="str">
        <f t="shared" si="94"/>
        <v>Evolutionary Search</v>
      </c>
      <c r="Q1439" s="13" t="str">
        <f t="shared" si="95"/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f t="shared" si="92"/>
        <v>2</v>
      </c>
      <c r="W1439" s="13" t="str">
        <f t="shared" si="93"/>
        <v>Lang-16</v>
      </c>
    </row>
    <row r="1440" spans="1:23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96"/>
        <v>RSRepair-A</v>
      </c>
      <c r="P1440" s="13" t="str">
        <f t="shared" si="94"/>
        <v>Evolutionary Search</v>
      </c>
      <c r="Q1440" s="13" t="str">
        <f t="shared" si="95"/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f t="shared" si="92"/>
        <v>2</v>
      </c>
      <c r="W1440" s="13" t="str">
        <f t="shared" si="93"/>
        <v>Lang-43</v>
      </c>
    </row>
    <row r="1441" spans="1:23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96"/>
        <v>RSRepair-A</v>
      </c>
      <c r="P1441" s="13" t="str">
        <f t="shared" si="94"/>
        <v>Evolutionary Search</v>
      </c>
      <c r="Q1441" s="13" t="str">
        <f t="shared" si="95"/>
        <v>Repaired</v>
      </c>
      <c r="R1441" s="13" t="s">
        <v>1668</v>
      </c>
      <c r="S1441" s="25">
        <v>1</v>
      </c>
      <c r="T1441" s="25">
        <v>1</v>
      </c>
      <c r="U1441" s="25">
        <v>3</v>
      </c>
      <c r="V1441" s="13">
        <f t="shared" si="92"/>
        <v>4</v>
      </c>
      <c r="W1441" s="13" t="str">
        <f t="shared" si="93"/>
        <v>Lang-46</v>
      </c>
    </row>
    <row r="1442" spans="1:23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96"/>
        <v>RSRepair-A</v>
      </c>
      <c r="P1442" s="13" t="str">
        <f t="shared" si="94"/>
        <v>Evolutionary Search</v>
      </c>
      <c r="Q1442" s="13" t="str">
        <f t="shared" si="95"/>
        <v>Repaired</v>
      </c>
      <c r="R1442" s="13" t="s">
        <v>1669</v>
      </c>
      <c r="S1442" s="25">
        <v>1</v>
      </c>
      <c r="T1442" s="25">
        <v>1</v>
      </c>
      <c r="U1442" s="25">
        <v>2</v>
      </c>
      <c r="V1442" s="13">
        <f t="shared" si="92"/>
        <v>3</v>
      </c>
      <c r="W1442" s="13" t="str">
        <f t="shared" si="93"/>
        <v>Lang-59</v>
      </c>
    </row>
    <row r="1443" spans="1:23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96"/>
        <v>RSRepair-A</v>
      </c>
      <c r="P1443" s="13" t="str">
        <f t="shared" si="94"/>
        <v>Evolutionary Search</v>
      </c>
      <c r="Q1443" s="13" t="str">
        <f t="shared" si="95"/>
        <v>Repaired</v>
      </c>
      <c r="R1443" s="13" t="s">
        <v>1669</v>
      </c>
      <c r="S1443" s="25">
        <v>2</v>
      </c>
      <c r="T1443" s="25">
        <v>2</v>
      </c>
      <c r="U1443" s="13">
        <v>0</v>
      </c>
      <c r="V1443" s="13">
        <f t="shared" si="92"/>
        <v>2</v>
      </c>
      <c r="W1443" s="13" t="str">
        <f t="shared" si="93"/>
        <v>Lang-63</v>
      </c>
    </row>
    <row r="1444" spans="1:23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96"/>
        <v>RSRepair-A</v>
      </c>
      <c r="P1444" s="13" t="str">
        <f t="shared" si="94"/>
        <v>Evolutionary Search</v>
      </c>
      <c r="Q1444" s="13" t="str">
        <f t="shared" si="95"/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f t="shared" si="92"/>
        <v>2</v>
      </c>
      <c r="W1444" s="13" t="str">
        <f t="shared" si="93"/>
        <v>Lang-7</v>
      </c>
    </row>
    <row r="1445" spans="1:23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96"/>
        <v>RSRepair-A</v>
      </c>
      <c r="P1445" s="13" t="str">
        <f t="shared" si="94"/>
        <v>Evolutionary Search</v>
      </c>
      <c r="Q1445" s="13" t="str">
        <f t="shared" si="95"/>
        <v>Repaired</v>
      </c>
      <c r="R1445" s="13" t="s">
        <v>1669</v>
      </c>
      <c r="S1445" s="25">
        <v>1</v>
      </c>
      <c r="T1445" s="25">
        <v>7</v>
      </c>
      <c r="U1445" s="13">
        <v>0</v>
      </c>
      <c r="V1445" s="13">
        <f t="shared" si="92"/>
        <v>7</v>
      </c>
      <c r="W1445" s="13" t="str">
        <f t="shared" si="93"/>
        <v>Math-28</v>
      </c>
    </row>
    <row r="1446" spans="1:23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96"/>
        <v>RSRepair-A</v>
      </c>
      <c r="P1446" s="13" t="str">
        <f t="shared" si="94"/>
        <v>Evolutionary Search</v>
      </c>
      <c r="Q1446" s="13" t="str">
        <f t="shared" si="95"/>
        <v>Repaired</v>
      </c>
      <c r="R1446" s="13" t="s">
        <v>1669</v>
      </c>
      <c r="S1446" s="25">
        <v>1</v>
      </c>
      <c r="T1446" s="25">
        <v>3</v>
      </c>
      <c r="U1446" s="13">
        <v>0</v>
      </c>
      <c r="V1446" s="13">
        <f t="shared" ref="V1446:V1509" si="97">T1446+U1446</f>
        <v>3</v>
      </c>
      <c r="W1446" s="13" t="str">
        <f t="shared" ref="W1446:W1509" si="98">MID(A1446, SEARCH("_", A1446) +1, SEARCH("_", A1446, SEARCH("_", A1446) +1) - SEARCH("_", A1446) -1)</f>
        <v>Math-33</v>
      </c>
    </row>
    <row r="1447" spans="1:23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96"/>
        <v>RSRepair-A</v>
      </c>
      <c r="P1447" s="13" t="str">
        <f t="shared" si="94"/>
        <v>Evolutionary Search</v>
      </c>
      <c r="Q1447" s="13" t="str">
        <f t="shared" si="95"/>
        <v>Repaired</v>
      </c>
      <c r="R1447" s="13" t="s">
        <v>1669</v>
      </c>
      <c r="S1447" s="25">
        <v>1</v>
      </c>
      <c r="T1447" s="25">
        <v>1</v>
      </c>
      <c r="U1447" s="25">
        <v>2</v>
      </c>
      <c r="V1447" s="13">
        <f t="shared" si="97"/>
        <v>3</v>
      </c>
      <c r="W1447" s="13" t="str">
        <f t="shared" si="98"/>
        <v>Math-40</v>
      </c>
    </row>
    <row r="1448" spans="1:23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96"/>
        <v>RSRepair-A</v>
      </c>
      <c r="P1448" s="13" t="str">
        <f t="shared" si="94"/>
        <v>Evolutionary Search</v>
      </c>
      <c r="Q1448" s="13" t="str">
        <f t="shared" si="95"/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f t="shared" si="97"/>
        <v>2</v>
      </c>
      <c r="W1448" s="13" t="str">
        <f t="shared" si="98"/>
        <v>Math-5</v>
      </c>
    </row>
    <row r="1449" spans="1:23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96"/>
        <v>RSRepair-A</v>
      </c>
      <c r="P1449" s="13" t="str">
        <f t="shared" si="94"/>
        <v>Evolutionary Search</v>
      </c>
      <c r="Q1449" s="13" t="str">
        <f t="shared" si="95"/>
        <v>Repaired</v>
      </c>
      <c r="R1449" s="13" t="s">
        <v>1668</v>
      </c>
      <c r="S1449" s="25">
        <v>1</v>
      </c>
      <c r="T1449" s="25">
        <v>5</v>
      </c>
      <c r="U1449" s="25">
        <v>1</v>
      </c>
      <c r="V1449" s="13">
        <f t="shared" si="97"/>
        <v>6</v>
      </c>
      <c r="W1449" s="13" t="str">
        <f t="shared" si="98"/>
        <v>Math-50</v>
      </c>
    </row>
    <row r="1450" spans="1:23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96"/>
        <v>RSRepair-A</v>
      </c>
      <c r="P1450" s="13" t="str">
        <f t="shared" si="94"/>
        <v>Evolutionary Search</v>
      </c>
      <c r="Q1450" s="13" t="str">
        <f t="shared" si="95"/>
        <v>Repaired</v>
      </c>
      <c r="R1450" s="13" t="s">
        <v>1669</v>
      </c>
      <c r="S1450" s="25">
        <v>1</v>
      </c>
      <c r="T1450" s="25">
        <v>1</v>
      </c>
      <c r="U1450" s="25">
        <v>3</v>
      </c>
      <c r="V1450" s="13">
        <f t="shared" si="97"/>
        <v>4</v>
      </c>
      <c r="W1450" s="13" t="str">
        <f t="shared" si="98"/>
        <v>Math-53</v>
      </c>
    </row>
    <row r="1451" spans="1:23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96"/>
        <v>RSRepair-A</v>
      </c>
      <c r="P1451" s="13" t="str">
        <f t="shared" si="94"/>
        <v>Evolutionary Search</v>
      </c>
      <c r="Q1451" s="13" t="str">
        <f t="shared" si="95"/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f t="shared" si="97"/>
        <v>2</v>
      </c>
      <c r="W1451" s="13" t="str">
        <f t="shared" si="98"/>
        <v>Math-58</v>
      </c>
    </row>
    <row r="1452" spans="1:23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96"/>
        <v>RSRepair-A</v>
      </c>
      <c r="P1452" s="13" t="str">
        <f t="shared" si="94"/>
        <v>Evolutionary Search</v>
      </c>
      <c r="Q1452" s="13" t="str">
        <f t="shared" si="95"/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f t="shared" si="97"/>
        <v>2</v>
      </c>
      <c r="W1452" s="13" t="str">
        <f t="shared" si="98"/>
        <v>Math-70</v>
      </c>
    </row>
    <row r="1453" spans="1:23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96"/>
        <v>RSRepair-A</v>
      </c>
      <c r="P1453" s="13" t="str">
        <f t="shared" si="94"/>
        <v>Evolutionary Search</v>
      </c>
      <c r="Q1453" s="13" t="str">
        <f t="shared" si="95"/>
        <v>Repaired</v>
      </c>
      <c r="R1453" s="13" t="s">
        <v>1669</v>
      </c>
      <c r="S1453" s="25">
        <v>1</v>
      </c>
      <c r="T1453" s="25">
        <v>1</v>
      </c>
      <c r="U1453" s="25">
        <v>6</v>
      </c>
      <c r="V1453" s="13">
        <f t="shared" si="97"/>
        <v>7</v>
      </c>
      <c r="W1453" s="13" t="str">
        <f t="shared" si="98"/>
        <v>Math-80</v>
      </c>
    </row>
    <row r="1454" spans="1:23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96"/>
        <v>RSRepair-A</v>
      </c>
      <c r="P1454" s="13" t="str">
        <f t="shared" si="94"/>
        <v>Evolutionary Search</v>
      </c>
      <c r="Q1454" s="13" t="str">
        <f t="shared" si="95"/>
        <v>Repaired</v>
      </c>
      <c r="R1454" s="13" t="s">
        <v>1669</v>
      </c>
      <c r="S1454" s="25">
        <v>1</v>
      </c>
      <c r="T1454" s="25">
        <v>21</v>
      </c>
      <c r="U1454" s="13">
        <v>0</v>
      </c>
      <c r="V1454" s="13">
        <f t="shared" si="97"/>
        <v>21</v>
      </c>
      <c r="W1454" s="13" t="str">
        <f t="shared" si="98"/>
        <v>Math-81</v>
      </c>
    </row>
    <row r="1455" spans="1:23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96"/>
        <v>RSRepair-A</v>
      </c>
      <c r="P1455" s="13" t="str">
        <f t="shared" si="94"/>
        <v>Evolutionary Search</v>
      </c>
      <c r="Q1455" s="13" t="str">
        <f t="shared" si="95"/>
        <v>Repaired</v>
      </c>
      <c r="R1455" s="13" t="s">
        <v>1669</v>
      </c>
      <c r="S1455" s="25">
        <v>1</v>
      </c>
      <c r="T1455" s="25">
        <v>1</v>
      </c>
      <c r="U1455" s="13">
        <v>0</v>
      </c>
      <c r="V1455" s="13">
        <f t="shared" si="97"/>
        <v>1</v>
      </c>
      <c r="W1455" s="13" t="str">
        <f t="shared" si="98"/>
        <v>Math-82</v>
      </c>
    </row>
    <row r="1456" spans="1:23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96"/>
        <v>RSRepair-A</v>
      </c>
      <c r="P1456" s="13" t="str">
        <f t="shared" si="94"/>
        <v>Evolutionary Search</v>
      </c>
      <c r="Q1456" s="13" t="str">
        <f t="shared" si="95"/>
        <v>Repaired</v>
      </c>
      <c r="R1456" s="13" t="s">
        <v>1669</v>
      </c>
      <c r="S1456" s="25">
        <v>1</v>
      </c>
      <c r="T1456" s="25">
        <v>6</v>
      </c>
      <c r="U1456" s="25">
        <v>1</v>
      </c>
      <c r="V1456" s="13">
        <f t="shared" si="97"/>
        <v>7</v>
      </c>
      <c r="W1456" s="13" t="str">
        <f t="shared" si="98"/>
        <v>Math-84</v>
      </c>
    </row>
    <row r="1457" spans="1:23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96"/>
        <v>RSRepair-A</v>
      </c>
      <c r="P1457" s="13" t="str">
        <f t="shared" si="94"/>
        <v>Evolutionary Search</v>
      </c>
      <c r="Q1457" s="13" t="str">
        <f t="shared" si="95"/>
        <v>Repaired</v>
      </c>
      <c r="R1457" s="13" t="s">
        <v>1669</v>
      </c>
      <c r="S1457" s="25">
        <v>1</v>
      </c>
      <c r="T1457" s="25">
        <v>9</v>
      </c>
      <c r="U1457" s="13">
        <v>0</v>
      </c>
      <c r="V1457" s="13">
        <f t="shared" si="97"/>
        <v>9</v>
      </c>
      <c r="W1457" s="13" t="str">
        <f t="shared" si="98"/>
        <v>Math-85</v>
      </c>
    </row>
    <row r="1458" spans="1:23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96"/>
        <v>RSRepair-A</v>
      </c>
      <c r="P1458" s="13" t="str">
        <f t="shared" si="94"/>
        <v>Evolutionary Search</v>
      </c>
      <c r="Q1458" s="13" t="str">
        <f t="shared" si="95"/>
        <v>Repaired</v>
      </c>
      <c r="R1458" s="13" t="s">
        <v>1669</v>
      </c>
      <c r="S1458" s="25">
        <v>1</v>
      </c>
      <c r="T1458" s="25">
        <v>1</v>
      </c>
      <c r="U1458" s="25">
        <v>3</v>
      </c>
      <c r="V1458" s="13">
        <f t="shared" si="97"/>
        <v>4</v>
      </c>
      <c r="W1458" s="13" t="str">
        <f t="shared" si="98"/>
        <v>Math-88</v>
      </c>
    </row>
    <row r="1459" spans="1:23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96"/>
        <v>RSRepair-A</v>
      </c>
      <c r="P1459" s="13" t="str">
        <f t="shared" si="94"/>
        <v>Evolutionary Search</v>
      </c>
      <c r="Q1459" s="13" t="str">
        <f t="shared" si="95"/>
        <v>Repaired</v>
      </c>
      <c r="R1459" s="13" t="s">
        <v>1669</v>
      </c>
      <c r="S1459" s="25">
        <v>1</v>
      </c>
      <c r="T1459" s="25">
        <v>2</v>
      </c>
      <c r="U1459" s="25">
        <v>1</v>
      </c>
      <c r="V1459" s="13">
        <f t="shared" si="97"/>
        <v>3</v>
      </c>
      <c r="W1459" s="13" t="str">
        <f t="shared" si="98"/>
        <v>Math-95</v>
      </c>
    </row>
    <row r="1460" spans="1:23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96"/>
        <v>SimFix</v>
      </c>
      <c r="P1460" s="13" t="str">
        <f t="shared" si="94"/>
        <v>Search Like Pattern</v>
      </c>
      <c r="Q1460" s="13" t="str">
        <f t="shared" si="95"/>
        <v>Repaired</v>
      </c>
      <c r="R1460" s="13" t="s">
        <v>1668</v>
      </c>
      <c r="S1460" s="25">
        <v>2</v>
      </c>
      <c r="T1460" s="13">
        <v>0</v>
      </c>
      <c r="U1460" s="25">
        <v>7</v>
      </c>
      <c r="V1460" s="13">
        <f t="shared" si="97"/>
        <v>7</v>
      </c>
      <c r="W1460" s="13" t="str">
        <f t="shared" si="98"/>
        <v>Chart-1</v>
      </c>
    </row>
    <row r="1461" spans="1:23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96"/>
        <v>SimFix</v>
      </c>
      <c r="P1461" s="13" t="str">
        <f t="shared" si="94"/>
        <v>Search Like Pattern</v>
      </c>
      <c r="Q1461" s="13" t="str">
        <f t="shared" si="95"/>
        <v>Repaired</v>
      </c>
      <c r="R1461" s="13" t="s">
        <v>1669</v>
      </c>
      <c r="S1461" s="25">
        <v>2</v>
      </c>
      <c r="T1461" s="13">
        <v>0</v>
      </c>
      <c r="U1461" s="25">
        <v>10</v>
      </c>
      <c r="V1461" s="13">
        <f t="shared" si="97"/>
        <v>10</v>
      </c>
      <c r="W1461" s="13" t="str">
        <f t="shared" si="98"/>
        <v>Chart-12</v>
      </c>
    </row>
    <row r="1462" spans="1:23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96"/>
        <v>SimFix</v>
      </c>
      <c r="P1462" s="13" t="str">
        <f t="shared" si="94"/>
        <v>Search Like Pattern</v>
      </c>
      <c r="Q1462" s="13" t="str">
        <f t="shared" si="95"/>
        <v>Repaired</v>
      </c>
      <c r="R1462" s="13" t="s">
        <v>1669</v>
      </c>
      <c r="S1462" s="25">
        <v>6</v>
      </c>
      <c r="T1462" s="13">
        <v>0</v>
      </c>
      <c r="U1462" s="25">
        <v>34</v>
      </c>
      <c r="V1462" s="13">
        <f t="shared" si="97"/>
        <v>34</v>
      </c>
      <c r="W1462" s="13" t="str">
        <f t="shared" si="98"/>
        <v>Chart-22</v>
      </c>
    </row>
    <row r="1463" spans="1:23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96"/>
        <v>SimFix</v>
      </c>
      <c r="P1463" s="13" t="str">
        <f t="shared" si="94"/>
        <v>Search Like Pattern</v>
      </c>
      <c r="Q1463" s="13" t="str">
        <f t="shared" si="95"/>
        <v>Repaired</v>
      </c>
      <c r="R1463" s="13" t="s">
        <v>1669</v>
      </c>
      <c r="S1463" s="25">
        <v>2</v>
      </c>
      <c r="T1463" s="13">
        <v>0</v>
      </c>
      <c r="U1463" s="25">
        <v>9</v>
      </c>
      <c r="V1463" s="13">
        <f t="shared" si="97"/>
        <v>9</v>
      </c>
      <c r="W1463" s="13" t="str">
        <f t="shared" si="98"/>
        <v>Chart-25</v>
      </c>
    </row>
    <row r="1464" spans="1:23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96"/>
        <v>SimFix</v>
      </c>
      <c r="P1464" s="13" t="str">
        <f t="shared" si="94"/>
        <v>Search Like Pattern</v>
      </c>
      <c r="Q1464" s="13" t="str">
        <f t="shared" si="95"/>
        <v>Repaired</v>
      </c>
      <c r="R1464" s="13" t="s">
        <v>1669</v>
      </c>
      <c r="S1464" s="25">
        <v>2</v>
      </c>
      <c r="T1464" s="13">
        <v>0</v>
      </c>
      <c r="U1464" s="25">
        <v>9</v>
      </c>
      <c r="V1464" s="13">
        <f t="shared" si="97"/>
        <v>9</v>
      </c>
      <c r="W1464" s="13" t="str">
        <f t="shared" si="98"/>
        <v>Closure-11</v>
      </c>
    </row>
    <row r="1465" spans="1:23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96"/>
        <v>SimFix</v>
      </c>
      <c r="P1465" s="13" t="str">
        <f t="shared" si="94"/>
        <v>Search Like Pattern</v>
      </c>
      <c r="Q1465" s="13" t="str">
        <f t="shared" si="95"/>
        <v>Repaired</v>
      </c>
      <c r="R1465" s="13" t="s">
        <v>1668</v>
      </c>
      <c r="S1465" s="25">
        <v>2</v>
      </c>
      <c r="T1465" s="13">
        <v>0</v>
      </c>
      <c r="U1465" s="25">
        <v>7</v>
      </c>
      <c r="V1465" s="13">
        <f t="shared" si="97"/>
        <v>7</v>
      </c>
      <c r="W1465" s="13" t="str">
        <f t="shared" si="98"/>
        <v>Closure-115</v>
      </c>
    </row>
    <row r="1466" spans="1:23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96"/>
        <v>SimFix</v>
      </c>
      <c r="P1466" s="13" t="str">
        <f t="shared" si="94"/>
        <v>Search Like Pattern</v>
      </c>
      <c r="Q1466" s="13" t="str">
        <f t="shared" si="95"/>
        <v>Repaired</v>
      </c>
      <c r="R1466" s="13" t="s">
        <v>1669</v>
      </c>
      <c r="S1466" s="25">
        <v>2</v>
      </c>
      <c r="T1466" s="13">
        <v>0</v>
      </c>
      <c r="U1466" s="25">
        <v>10</v>
      </c>
      <c r="V1466" s="13">
        <f t="shared" si="97"/>
        <v>10</v>
      </c>
      <c r="W1466" s="13" t="str">
        <f t="shared" si="98"/>
        <v>Closure-125</v>
      </c>
    </row>
    <row r="1467" spans="1:23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96"/>
        <v>SimFix</v>
      </c>
      <c r="P1467" s="13" t="str">
        <f t="shared" si="94"/>
        <v>Search Like Pattern</v>
      </c>
      <c r="Q1467" s="13" t="str">
        <f t="shared" si="95"/>
        <v>Repaired</v>
      </c>
      <c r="R1467" s="13" t="s">
        <v>1668</v>
      </c>
      <c r="S1467" s="25">
        <v>2</v>
      </c>
      <c r="T1467" s="13">
        <v>0</v>
      </c>
      <c r="U1467" s="25">
        <v>7</v>
      </c>
      <c r="V1467" s="13">
        <f t="shared" si="97"/>
        <v>7</v>
      </c>
      <c r="W1467" s="13" t="str">
        <f t="shared" si="98"/>
        <v>Closure-14</v>
      </c>
    </row>
    <row r="1468" spans="1:23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96"/>
        <v>SimFix</v>
      </c>
      <c r="P1468" s="13" t="str">
        <f t="shared" si="94"/>
        <v>Search Like Pattern</v>
      </c>
      <c r="Q1468" s="13" t="str">
        <f t="shared" si="95"/>
        <v>Repaired</v>
      </c>
      <c r="R1468" s="13" t="s">
        <v>1668</v>
      </c>
      <c r="S1468" s="25">
        <v>2</v>
      </c>
      <c r="T1468" s="13">
        <v>0</v>
      </c>
      <c r="U1468" s="25">
        <v>10</v>
      </c>
      <c r="V1468" s="13">
        <f t="shared" si="97"/>
        <v>10</v>
      </c>
      <c r="W1468" s="13" t="str">
        <f t="shared" si="98"/>
        <v>Closure-19</v>
      </c>
    </row>
    <row r="1469" spans="1:23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96"/>
        <v>SimFix</v>
      </c>
      <c r="P1469" s="13" t="str">
        <f t="shared" si="94"/>
        <v>Search Like Pattern</v>
      </c>
      <c r="Q1469" s="13" t="str">
        <f t="shared" si="95"/>
        <v>Repaired</v>
      </c>
      <c r="R1469" s="13" t="s">
        <v>1669</v>
      </c>
      <c r="S1469" s="25">
        <v>2</v>
      </c>
      <c r="T1469" s="13">
        <v>0</v>
      </c>
      <c r="U1469" s="25">
        <v>9</v>
      </c>
      <c r="V1469" s="13">
        <f t="shared" si="97"/>
        <v>9</v>
      </c>
      <c r="W1469" s="13" t="str">
        <f t="shared" si="98"/>
        <v>Closure-21</v>
      </c>
    </row>
    <row r="1470" spans="1:23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96"/>
        <v>SimFix</v>
      </c>
      <c r="P1470" s="13" t="str">
        <f t="shared" si="94"/>
        <v>Search Like Pattern</v>
      </c>
      <c r="Q1470" s="13" t="str">
        <f t="shared" si="95"/>
        <v>Repaired</v>
      </c>
      <c r="R1470" s="13" t="s">
        <v>1669</v>
      </c>
      <c r="S1470" s="25">
        <v>2</v>
      </c>
      <c r="T1470" s="13">
        <v>0</v>
      </c>
      <c r="U1470" s="25">
        <v>9</v>
      </c>
      <c r="V1470" s="13">
        <f t="shared" si="97"/>
        <v>9</v>
      </c>
      <c r="W1470" s="13" t="str">
        <f t="shared" si="98"/>
        <v>Closure-22</v>
      </c>
    </row>
    <row r="1471" spans="1:23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96"/>
        <v>SimFix</v>
      </c>
      <c r="P1471" s="13" t="str">
        <f t="shared" si="94"/>
        <v>Search Like Pattern</v>
      </c>
      <c r="Q1471" s="13" t="str">
        <f t="shared" si="95"/>
        <v>Repaired</v>
      </c>
      <c r="R1471" s="13" t="s">
        <v>1669</v>
      </c>
      <c r="S1471" s="25">
        <v>2</v>
      </c>
      <c r="T1471" s="13">
        <v>0</v>
      </c>
      <c r="U1471" s="25">
        <v>7</v>
      </c>
      <c r="V1471" s="13">
        <f t="shared" si="97"/>
        <v>7</v>
      </c>
      <c r="W1471" s="13" t="str">
        <f t="shared" si="98"/>
        <v>Closure-38</v>
      </c>
    </row>
    <row r="1472" spans="1:23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96"/>
        <v>SimFix</v>
      </c>
      <c r="P1472" s="13" t="str">
        <f t="shared" si="94"/>
        <v>Search Like Pattern</v>
      </c>
      <c r="Q1472" s="13" t="str">
        <f t="shared" si="95"/>
        <v>Repaired</v>
      </c>
      <c r="R1472" s="13" t="s">
        <v>1669</v>
      </c>
      <c r="S1472" s="25">
        <v>2</v>
      </c>
      <c r="T1472" s="13">
        <v>0</v>
      </c>
      <c r="U1472" s="25">
        <v>14</v>
      </c>
      <c r="V1472" s="13">
        <f t="shared" si="97"/>
        <v>14</v>
      </c>
      <c r="W1472" s="13" t="str">
        <f t="shared" si="98"/>
        <v>Closure-46</v>
      </c>
    </row>
    <row r="1473" spans="1:23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96"/>
        <v>SimFix</v>
      </c>
      <c r="P1473" s="13" t="str">
        <f t="shared" si="94"/>
        <v>Search Like Pattern</v>
      </c>
      <c r="Q1473" s="13" t="str">
        <f t="shared" si="95"/>
        <v>Repaired</v>
      </c>
      <c r="R1473" s="13" t="s">
        <v>1668</v>
      </c>
      <c r="S1473" s="25">
        <v>2</v>
      </c>
      <c r="T1473" s="13">
        <v>0</v>
      </c>
      <c r="U1473" s="25">
        <v>7</v>
      </c>
      <c r="V1473" s="13">
        <f t="shared" si="97"/>
        <v>7</v>
      </c>
      <c r="W1473" s="13" t="str">
        <f t="shared" si="98"/>
        <v>Closure-57</v>
      </c>
    </row>
    <row r="1474" spans="1:23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96"/>
        <v>SimFix</v>
      </c>
      <c r="P1474" s="13" t="str">
        <f t="shared" si="94"/>
        <v>Search Like Pattern</v>
      </c>
      <c r="Q1474" s="13" t="str">
        <f t="shared" si="95"/>
        <v>Repaired</v>
      </c>
      <c r="R1474" s="13" t="s">
        <v>1669</v>
      </c>
      <c r="S1474" s="25">
        <v>2</v>
      </c>
      <c r="T1474" s="13">
        <v>0</v>
      </c>
      <c r="U1474" s="25">
        <v>9</v>
      </c>
      <c r="V1474" s="13">
        <f t="shared" si="97"/>
        <v>9</v>
      </c>
      <c r="W1474" s="13" t="str">
        <f t="shared" si="98"/>
        <v>Closure-6</v>
      </c>
    </row>
    <row r="1475" spans="1:23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96"/>
        <v>SimFix</v>
      </c>
      <c r="P1475" s="13" t="str">
        <f t="shared" si="94"/>
        <v>Search Like Pattern</v>
      </c>
      <c r="Q1475" s="13" t="str">
        <f t="shared" si="95"/>
        <v>Repaired</v>
      </c>
      <c r="R1475" s="13" t="s">
        <v>1668</v>
      </c>
      <c r="S1475" s="25">
        <v>2</v>
      </c>
      <c r="T1475" s="13">
        <v>0</v>
      </c>
      <c r="U1475" s="25">
        <v>15</v>
      </c>
      <c r="V1475" s="13">
        <f t="shared" si="97"/>
        <v>15</v>
      </c>
      <c r="W1475" s="13" t="str">
        <f t="shared" si="98"/>
        <v>Closure-62</v>
      </c>
    </row>
    <row r="1476" spans="1:23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96"/>
        <v>SimFix</v>
      </c>
      <c r="P1476" s="13" t="str">
        <f t="shared" si="94"/>
        <v>Search Like Pattern</v>
      </c>
      <c r="Q1476" s="13" t="str">
        <f t="shared" si="95"/>
        <v>Repaired</v>
      </c>
      <c r="R1476" s="13" t="s">
        <v>1668</v>
      </c>
      <c r="S1476" s="25">
        <v>2</v>
      </c>
      <c r="T1476" s="13">
        <v>0</v>
      </c>
      <c r="U1476" s="25">
        <v>9</v>
      </c>
      <c r="V1476" s="13">
        <f t="shared" si="97"/>
        <v>9</v>
      </c>
      <c r="W1476" s="13" t="str">
        <f t="shared" si="98"/>
        <v>Closure-73</v>
      </c>
    </row>
    <row r="1477" spans="1:23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96"/>
        <v>SimFix</v>
      </c>
      <c r="P1477" s="13" t="str">
        <f t="shared" si="94"/>
        <v>Search Like Pattern</v>
      </c>
      <c r="Q1477" s="13" t="str">
        <f t="shared" si="95"/>
        <v>Repaired</v>
      </c>
      <c r="R1477" s="13" t="s">
        <v>1669</v>
      </c>
      <c r="S1477" s="25">
        <v>2</v>
      </c>
      <c r="T1477" s="13">
        <v>0</v>
      </c>
      <c r="U1477" s="25">
        <v>12</v>
      </c>
      <c r="V1477" s="13">
        <f t="shared" si="97"/>
        <v>12</v>
      </c>
      <c r="W1477" s="13" t="str">
        <f t="shared" si="98"/>
        <v>Lang-1</v>
      </c>
    </row>
    <row r="1478" spans="1:23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96"/>
        <v>SimFix</v>
      </c>
      <c r="P1478" s="13" t="str">
        <f t="shared" si="94"/>
        <v>Search Like Pattern</v>
      </c>
      <c r="Q1478" s="13" t="str">
        <f t="shared" si="95"/>
        <v>Repaired</v>
      </c>
      <c r="R1478" s="13" t="s">
        <v>1669</v>
      </c>
      <c r="S1478" s="25">
        <v>2</v>
      </c>
      <c r="T1478" s="13">
        <v>0</v>
      </c>
      <c r="U1478" s="25">
        <v>14</v>
      </c>
      <c r="V1478" s="13">
        <f t="shared" si="97"/>
        <v>14</v>
      </c>
      <c r="W1478" s="13" t="str">
        <f t="shared" si="98"/>
        <v>Lang-12</v>
      </c>
    </row>
    <row r="1479" spans="1:23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96"/>
        <v>SimFix</v>
      </c>
      <c r="P1479" s="13" t="str">
        <f t="shared" si="94"/>
        <v>Search Like Pattern</v>
      </c>
      <c r="Q1479" s="13" t="str">
        <f t="shared" si="95"/>
        <v>Repaired</v>
      </c>
      <c r="R1479" s="13" t="s">
        <v>1669</v>
      </c>
      <c r="S1479" s="25">
        <v>2</v>
      </c>
      <c r="T1479" s="13">
        <v>0</v>
      </c>
      <c r="U1479" s="25">
        <v>8</v>
      </c>
      <c r="V1479" s="13">
        <f t="shared" si="97"/>
        <v>8</v>
      </c>
      <c r="W1479" s="13" t="str">
        <f t="shared" si="98"/>
        <v>Lang-16</v>
      </c>
    </row>
    <row r="1480" spans="1:23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96"/>
        <v>SimFix</v>
      </c>
      <c r="P1480" s="13" t="str">
        <f t="shared" si="94"/>
        <v>Search Like Pattern</v>
      </c>
      <c r="Q1480" s="13" t="str">
        <f t="shared" si="95"/>
        <v>Repaired</v>
      </c>
      <c r="R1480" s="13" t="s">
        <v>1669</v>
      </c>
      <c r="S1480" s="25">
        <v>2</v>
      </c>
      <c r="T1480" s="13">
        <v>0</v>
      </c>
      <c r="U1480" s="25">
        <v>8</v>
      </c>
      <c r="V1480" s="13">
        <f t="shared" si="97"/>
        <v>8</v>
      </c>
      <c r="W1480" s="13" t="str">
        <f t="shared" si="98"/>
        <v>Lang-27</v>
      </c>
    </row>
    <row r="1481" spans="1:23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96"/>
        <v>SimFix</v>
      </c>
      <c r="P1481" s="13" t="str">
        <f t="shared" si="94"/>
        <v>Search Like Pattern</v>
      </c>
      <c r="Q1481" s="13" t="str">
        <f t="shared" si="95"/>
        <v>Repaired</v>
      </c>
      <c r="R1481" s="13" t="s">
        <v>1668</v>
      </c>
      <c r="S1481" s="25">
        <v>2</v>
      </c>
      <c r="T1481" s="13">
        <v>0</v>
      </c>
      <c r="U1481" s="25">
        <v>7</v>
      </c>
      <c r="V1481" s="13">
        <f t="shared" si="97"/>
        <v>7</v>
      </c>
      <c r="W1481" s="13" t="str">
        <f t="shared" si="98"/>
        <v>Lang-33</v>
      </c>
    </row>
    <row r="1482" spans="1:23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96"/>
        <v>SimFix</v>
      </c>
      <c r="P1482" s="13" t="str">
        <f t="shared" ref="P1482:P1545" si="99"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 t="shared" si="95"/>
        <v>Repaired</v>
      </c>
      <c r="R1482" s="13" t="s">
        <v>1668</v>
      </c>
      <c r="S1482" s="25">
        <v>2</v>
      </c>
      <c r="T1482" s="13">
        <v>0</v>
      </c>
      <c r="U1482" s="25">
        <v>13</v>
      </c>
      <c r="V1482" s="13">
        <f t="shared" si="97"/>
        <v>13</v>
      </c>
      <c r="W1482" s="13" t="str">
        <f t="shared" si="98"/>
        <v>Lang-39</v>
      </c>
    </row>
    <row r="1483" spans="1:23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96"/>
        <v>SimFix</v>
      </c>
      <c r="P1483" s="13" t="str">
        <f t="shared" si="99"/>
        <v>Search Like Pattern</v>
      </c>
      <c r="Q1483" s="13" t="str">
        <f t="shared" si="95"/>
        <v>Repaired</v>
      </c>
      <c r="R1483" s="13" t="s">
        <v>1669</v>
      </c>
      <c r="S1483" s="25">
        <v>4</v>
      </c>
      <c r="T1483" s="13">
        <v>0</v>
      </c>
      <c r="U1483" s="25">
        <v>16</v>
      </c>
      <c r="V1483" s="13">
        <f t="shared" si="97"/>
        <v>16</v>
      </c>
      <c r="W1483" s="13" t="str">
        <f t="shared" si="98"/>
        <v>Lang-41</v>
      </c>
    </row>
    <row r="1484" spans="1:23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96"/>
        <v>SimFix</v>
      </c>
      <c r="P1484" s="13" t="str">
        <f t="shared" si="99"/>
        <v>Search Like Pattern</v>
      </c>
      <c r="Q1484" s="13" t="str">
        <f t="shared" si="95"/>
        <v>Repaired</v>
      </c>
      <c r="R1484" s="13" t="s">
        <v>1668</v>
      </c>
      <c r="S1484" s="25">
        <v>2</v>
      </c>
      <c r="T1484" s="13">
        <v>0</v>
      </c>
      <c r="U1484" s="25">
        <v>8</v>
      </c>
      <c r="V1484" s="13">
        <f t="shared" si="97"/>
        <v>8</v>
      </c>
      <c r="W1484" s="13" t="str">
        <f t="shared" si="98"/>
        <v>Lang-43</v>
      </c>
    </row>
    <row r="1485" spans="1:23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96"/>
        <v>SimFix</v>
      </c>
      <c r="P1485" s="13" t="str">
        <f t="shared" si="99"/>
        <v>Search Like Pattern</v>
      </c>
      <c r="Q1485" s="13" t="str">
        <f t="shared" si="95"/>
        <v>Repaired</v>
      </c>
      <c r="R1485" s="13" t="s">
        <v>1669</v>
      </c>
      <c r="S1485" s="25">
        <v>2</v>
      </c>
      <c r="T1485" s="13">
        <v>0</v>
      </c>
      <c r="U1485" s="25">
        <v>9</v>
      </c>
      <c r="V1485" s="13">
        <f t="shared" si="97"/>
        <v>9</v>
      </c>
      <c r="W1485" s="13" t="str">
        <f t="shared" si="98"/>
        <v>Lang-45</v>
      </c>
    </row>
    <row r="1486" spans="1:23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96"/>
        <v>SimFix</v>
      </c>
      <c r="P1486" s="13" t="str">
        <f t="shared" si="99"/>
        <v>Search Like Pattern</v>
      </c>
      <c r="Q1486" s="13" t="str">
        <f t="shared" si="95"/>
        <v>Repaired</v>
      </c>
      <c r="R1486" s="13" t="s">
        <v>1669</v>
      </c>
      <c r="S1486" s="25">
        <v>4</v>
      </c>
      <c r="T1486" s="13">
        <v>0</v>
      </c>
      <c r="U1486" s="25">
        <v>20</v>
      </c>
      <c r="V1486" s="13">
        <f t="shared" si="97"/>
        <v>20</v>
      </c>
      <c r="W1486" s="13" t="str">
        <f t="shared" si="98"/>
        <v>Lang-50</v>
      </c>
    </row>
    <row r="1487" spans="1:23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96"/>
        <v>SimFix</v>
      </c>
      <c r="P1487" s="13" t="str">
        <f t="shared" si="99"/>
        <v>Search Like Pattern</v>
      </c>
      <c r="Q1487" s="13" t="str">
        <f t="shared" si="95"/>
        <v>Repaired</v>
      </c>
      <c r="R1487" s="13" t="s">
        <v>1668</v>
      </c>
      <c r="S1487" s="25">
        <v>2</v>
      </c>
      <c r="T1487" s="13">
        <v>0</v>
      </c>
      <c r="U1487" s="25">
        <v>12</v>
      </c>
      <c r="V1487" s="13">
        <f t="shared" si="97"/>
        <v>12</v>
      </c>
      <c r="W1487" s="13" t="str">
        <f t="shared" si="98"/>
        <v>Lang-58</v>
      </c>
    </row>
    <row r="1488" spans="1:23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96"/>
        <v>SimFix</v>
      </c>
      <c r="P1488" s="13" t="str">
        <f t="shared" si="99"/>
        <v>Search Like Pattern</v>
      </c>
      <c r="Q1488" s="13" t="str">
        <f t="shared" si="95"/>
        <v>Repaired</v>
      </c>
      <c r="R1488" s="13" t="s">
        <v>1668</v>
      </c>
      <c r="S1488" s="25">
        <v>4</v>
      </c>
      <c r="T1488" s="13">
        <v>0</v>
      </c>
      <c r="U1488" s="25">
        <v>18</v>
      </c>
      <c r="V1488" s="13">
        <f t="shared" si="97"/>
        <v>18</v>
      </c>
      <c r="W1488" s="13" t="str">
        <f t="shared" si="98"/>
        <v>Lang-60</v>
      </c>
    </row>
    <row r="1489" spans="1:23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96"/>
        <v>SimFix</v>
      </c>
      <c r="P1489" s="13" t="str">
        <f t="shared" si="99"/>
        <v>Search Like Pattern</v>
      </c>
      <c r="Q1489" s="13" t="str">
        <f t="shared" si="95"/>
        <v>Repaired</v>
      </c>
      <c r="R1489" s="13" t="s">
        <v>1669</v>
      </c>
      <c r="S1489" s="25">
        <v>2</v>
      </c>
      <c r="T1489" s="13">
        <v>0</v>
      </c>
      <c r="U1489" s="25">
        <v>12</v>
      </c>
      <c r="V1489" s="13">
        <f t="shared" si="97"/>
        <v>12</v>
      </c>
      <c r="W1489" s="13" t="str">
        <f t="shared" si="98"/>
        <v>Lang-61</v>
      </c>
    </row>
    <row r="1490" spans="1:23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96"/>
        <v>SimFix</v>
      </c>
      <c r="P1490" s="13" t="str">
        <f t="shared" si="99"/>
        <v>Search Like Pattern</v>
      </c>
      <c r="Q1490" s="13" t="str">
        <f t="shared" si="95"/>
        <v>Repaired</v>
      </c>
      <c r="R1490" s="13" t="s">
        <v>1669</v>
      </c>
      <c r="S1490" s="25">
        <v>2</v>
      </c>
      <c r="T1490" s="13">
        <v>0</v>
      </c>
      <c r="U1490" s="25">
        <v>11</v>
      </c>
      <c r="V1490" s="13">
        <f t="shared" si="97"/>
        <v>11</v>
      </c>
      <c r="W1490" s="13" t="str">
        <f t="shared" si="98"/>
        <v>Lang-63</v>
      </c>
    </row>
    <row r="1491" spans="1:23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96"/>
        <v>SimFix</v>
      </c>
      <c r="P1491" s="13" t="str">
        <f t="shared" si="99"/>
        <v>Search Like Pattern</v>
      </c>
      <c r="Q1491" s="13" t="str">
        <f t="shared" si="95"/>
        <v>Repaired</v>
      </c>
      <c r="R1491" s="13" t="s">
        <v>1668</v>
      </c>
      <c r="S1491" s="25">
        <v>2</v>
      </c>
      <c r="T1491" s="13">
        <v>0</v>
      </c>
      <c r="U1491" s="25">
        <v>7</v>
      </c>
      <c r="V1491" s="13">
        <f t="shared" si="97"/>
        <v>7</v>
      </c>
      <c r="W1491" s="13" t="str">
        <f t="shared" si="98"/>
        <v>Math-33</v>
      </c>
    </row>
    <row r="1492" spans="1:23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96"/>
        <v>SimFix</v>
      </c>
      <c r="P1492" s="13" t="str">
        <f t="shared" si="99"/>
        <v>Search Like Pattern</v>
      </c>
      <c r="Q1492" s="13" t="str">
        <f t="shared" si="95"/>
        <v>Repaired</v>
      </c>
      <c r="R1492" s="13" t="s">
        <v>1668</v>
      </c>
      <c r="S1492" s="25">
        <v>4</v>
      </c>
      <c r="T1492" s="13">
        <v>0</v>
      </c>
      <c r="U1492" s="25">
        <v>18</v>
      </c>
      <c r="V1492" s="13">
        <f t="shared" si="97"/>
        <v>18</v>
      </c>
      <c r="W1492" s="13" t="str">
        <f t="shared" si="98"/>
        <v>Math-35</v>
      </c>
    </row>
    <row r="1493" spans="1:23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96"/>
        <v>SimFix</v>
      </c>
      <c r="P1493" s="13" t="str">
        <f t="shared" si="99"/>
        <v>Search Like Pattern</v>
      </c>
      <c r="Q1493" s="13" t="str">
        <f t="shared" si="95"/>
        <v>Repaired</v>
      </c>
      <c r="R1493" s="13" t="s">
        <v>1668</v>
      </c>
      <c r="S1493" s="25">
        <v>2</v>
      </c>
      <c r="T1493" s="13">
        <v>0</v>
      </c>
      <c r="U1493" s="25">
        <v>7</v>
      </c>
      <c r="V1493" s="13">
        <f t="shared" si="97"/>
        <v>7</v>
      </c>
      <c r="W1493" s="13" t="str">
        <f t="shared" si="98"/>
        <v>Math-41</v>
      </c>
    </row>
    <row r="1494" spans="1:23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96"/>
        <v>SimFix</v>
      </c>
      <c r="P1494" s="13" t="str">
        <f t="shared" si="99"/>
        <v>Search Like Pattern</v>
      </c>
      <c r="Q1494" s="13" t="str">
        <f t="shared" ref="Q1494:Q1557" si="100"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0</v>
      </c>
      <c r="U1494" s="25">
        <v>14</v>
      </c>
      <c r="V1494" s="13">
        <f t="shared" si="97"/>
        <v>14</v>
      </c>
      <c r="W1494" s="13" t="str">
        <f t="shared" si="98"/>
        <v>Math-43</v>
      </c>
    </row>
    <row r="1495" spans="1:23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ref="O1495:O1558" si="101">LEFT($A1495,FIND("_",$A1495)-1)</f>
        <v>SimFix</v>
      </c>
      <c r="P1495" s="13" t="str">
        <f t="shared" si="99"/>
        <v>Search Like Pattern</v>
      </c>
      <c r="Q1495" s="13" t="str">
        <f t="shared" si="100"/>
        <v>Repaired</v>
      </c>
      <c r="R1495" s="13" t="s">
        <v>1668</v>
      </c>
      <c r="S1495" s="25">
        <v>2</v>
      </c>
      <c r="T1495" s="13">
        <v>0</v>
      </c>
      <c r="U1495" s="25">
        <v>7</v>
      </c>
      <c r="V1495" s="13">
        <f t="shared" si="97"/>
        <v>7</v>
      </c>
      <c r="W1495" s="13" t="str">
        <f t="shared" si="98"/>
        <v>Math-5</v>
      </c>
    </row>
    <row r="1496" spans="1:23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si="101"/>
        <v>SimFix</v>
      </c>
      <c r="P1496" s="13" t="str">
        <f t="shared" si="99"/>
        <v>Search Like Pattern</v>
      </c>
      <c r="Q1496" s="13" t="str">
        <f t="shared" si="100"/>
        <v>Repaired</v>
      </c>
      <c r="R1496" s="13" t="s">
        <v>1669</v>
      </c>
      <c r="S1496" s="25">
        <v>2</v>
      </c>
      <c r="T1496" s="13">
        <v>0</v>
      </c>
      <c r="U1496" s="25">
        <v>8</v>
      </c>
      <c r="V1496" s="13">
        <f t="shared" si="97"/>
        <v>8</v>
      </c>
      <c r="W1496" s="13" t="str">
        <f t="shared" si="98"/>
        <v>Math-50</v>
      </c>
    </row>
    <row r="1497" spans="1:23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101"/>
        <v>SimFix</v>
      </c>
      <c r="P1497" s="13" t="str">
        <f t="shared" si="99"/>
        <v>Search Like Pattern</v>
      </c>
      <c r="Q1497" s="13" t="str">
        <f t="shared" si="100"/>
        <v>Repaired</v>
      </c>
      <c r="R1497" s="13" t="s">
        <v>1668</v>
      </c>
      <c r="S1497" s="25">
        <v>2</v>
      </c>
      <c r="T1497" s="13">
        <v>0</v>
      </c>
      <c r="U1497" s="25">
        <v>9</v>
      </c>
      <c r="V1497" s="13">
        <f t="shared" si="97"/>
        <v>9</v>
      </c>
      <c r="W1497" s="13" t="str">
        <f t="shared" si="98"/>
        <v>Math-53</v>
      </c>
    </row>
    <row r="1498" spans="1:23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101"/>
        <v>SimFix</v>
      </c>
      <c r="P1498" s="13" t="str">
        <f t="shared" si="99"/>
        <v>Search Like Pattern</v>
      </c>
      <c r="Q1498" s="13" t="str">
        <f t="shared" si="100"/>
        <v>Repaired</v>
      </c>
      <c r="R1498" s="13" t="s">
        <v>1668</v>
      </c>
      <c r="S1498" s="25">
        <v>2</v>
      </c>
      <c r="T1498" s="13">
        <v>0</v>
      </c>
      <c r="U1498" s="25">
        <v>12</v>
      </c>
      <c r="V1498" s="13">
        <f t="shared" si="97"/>
        <v>12</v>
      </c>
      <c r="W1498" s="13" t="str">
        <f t="shared" si="98"/>
        <v>Math-57</v>
      </c>
    </row>
    <row r="1499" spans="1:23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101"/>
        <v>SimFix</v>
      </c>
      <c r="P1499" s="13" t="str">
        <f t="shared" si="99"/>
        <v>Search Like Pattern</v>
      </c>
      <c r="Q1499" s="13" t="str">
        <f t="shared" si="100"/>
        <v>Repaired</v>
      </c>
      <c r="R1499" s="13" t="s">
        <v>1668</v>
      </c>
      <c r="S1499" s="25">
        <v>3</v>
      </c>
      <c r="T1499" s="25">
        <v>1</v>
      </c>
      <c r="U1499" s="25">
        <v>6</v>
      </c>
      <c r="V1499" s="13">
        <f t="shared" si="97"/>
        <v>7</v>
      </c>
      <c r="W1499" s="13" t="str">
        <f t="shared" si="98"/>
        <v>Math-59</v>
      </c>
    </row>
    <row r="1500" spans="1:23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101"/>
        <v>SimFix</v>
      </c>
      <c r="P1500" s="13" t="str">
        <f t="shared" si="99"/>
        <v>Search Like Pattern</v>
      </c>
      <c r="Q1500" s="13" t="str">
        <f t="shared" si="100"/>
        <v>Repaired</v>
      </c>
      <c r="R1500" s="13" t="s">
        <v>1669</v>
      </c>
      <c r="S1500" s="25">
        <v>2</v>
      </c>
      <c r="T1500" s="13">
        <v>0</v>
      </c>
      <c r="U1500" s="25">
        <v>5</v>
      </c>
      <c r="V1500" s="13">
        <f t="shared" si="97"/>
        <v>5</v>
      </c>
      <c r="W1500" s="13" t="str">
        <f t="shared" si="98"/>
        <v>Math-63</v>
      </c>
    </row>
    <row r="1501" spans="1:23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101"/>
        <v>SimFix</v>
      </c>
      <c r="P1501" s="13" t="str">
        <f t="shared" si="99"/>
        <v>Search Like Pattern</v>
      </c>
      <c r="Q1501" s="13" t="str">
        <f t="shared" si="100"/>
        <v>Repaired</v>
      </c>
      <c r="R1501" s="13" t="s">
        <v>1669</v>
      </c>
      <c r="S1501" s="25">
        <v>2</v>
      </c>
      <c r="T1501" s="13">
        <v>0</v>
      </c>
      <c r="U1501" s="25">
        <v>11</v>
      </c>
      <c r="V1501" s="13">
        <f t="shared" si="97"/>
        <v>11</v>
      </c>
      <c r="W1501" s="13" t="str">
        <f t="shared" si="98"/>
        <v>Math-69</v>
      </c>
    </row>
    <row r="1502" spans="1:23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101"/>
        <v>SimFix</v>
      </c>
      <c r="P1502" s="13" t="str">
        <f t="shared" si="99"/>
        <v>Search Like Pattern</v>
      </c>
      <c r="Q1502" s="13" t="str">
        <f t="shared" si="100"/>
        <v>Repaired</v>
      </c>
      <c r="R1502" s="13" t="s">
        <v>1668</v>
      </c>
      <c r="S1502" s="25">
        <v>2</v>
      </c>
      <c r="T1502" s="13">
        <v>0</v>
      </c>
      <c r="U1502" s="25">
        <v>5</v>
      </c>
      <c r="V1502" s="13">
        <f t="shared" si="97"/>
        <v>5</v>
      </c>
      <c r="W1502" s="13" t="str">
        <f t="shared" si="98"/>
        <v>Math-70</v>
      </c>
    </row>
    <row r="1503" spans="1:23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101"/>
        <v>SimFix</v>
      </c>
      <c r="P1503" s="13" t="str">
        <f t="shared" si="99"/>
        <v>Search Like Pattern</v>
      </c>
      <c r="Q1503" s="13" t="str">
        <f t="shared" si="100"/>
        <v>Repaired</v>
      </c>
      <c r="R1503" s="13" t="s">
        <v>1668</v>
      </c>
      <c r="S1503" s="25">
        <v>2</v>
      </c>
      <c r="T1503" s="13">
        <v>0</v>
      </c>
      <c r="U1503" s="25">
        <v>11</v>
      </c>
      <c r="V1503" s="13">
        <f t="shared" si="97"/>
        <v>11</v>
      </c>
      <c r="W1503" s="13" t="str">
        <f t="shared" si="98"/>
        <v>Math-71</v>
      </c>
    </row>
    <row r="1504" spans="1:23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101"/>
        <v>SimFix</v>
      </c>
      <c r="P1504" s="13" t="str">
        <f t="shared" si="99"/>
        <v>Search Like Pattern</v>
      </c>
      <c r="Q1504" s="13" t="str">
        <f t="shared" si="100"/>
        <v>Repaired</v>
      </c>
      <c r="R1504" s="13" t="s">
        <v>1668</v>
      </c>
      <c r="S1504" s="25">
        <v>2</v>
      </c>
      <c r="T1504" s="13">
        <v>0</v>
      </c>
      <c r="U1504" s="25">
        <v>8</v>
      </c>
      <c r="V1504" s="13">
        <f t="shared" si="97"/>
        <v>8</v>
      </c>
      <c r="W1504" s="13" t="str">
        <f t="shared" si="98"/>
        <v>Math-72</v>
      </c>
    </row>
    <row r="1505" spans="1:23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101"/>
        <v>SimFix</v>
      </c>
      <c r="P1505" s="13" t="str">
        <f t="shared" si="99"/>
        <v>Search Like Pattern</v>
      </c>
      <c r="Q1505" s="13" t="str">
        <f t="shared" si="100"/>
        <v>Repaired</v>
      </c>
      <c r="R1505" s="13" t="s">
        <v>1669</v>
      </c>
      <c r="S1505" s="25">
        <v>2</v>
      </c>
      <c r="T1505" s="13">
        <v>0</v>
      </c>
      <c r="U1505" s="25">
        <v>8</v>
      </c>
      <c r="V1505" s="13">
        <f t="shared" si="97"/>
        <v>8</v>
      </c>
      <c r="W1505" s="13" t="str">
        <f t="shared" si="98"/>
        <v>Math-73</v>
      </c>
    </row>
    <row r="1506" spans="1:23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101"/>
        <v>SimFix</v>
      </c>
      <c r="P1506" s="13" t="str">
        <f t="shared" si="99"/>
        <v>Search Like Pattern</v>
      </c>
      <c r="Q1506" s="13" t="str">
        <f t="shared" si="100"/>
        <v>Repaired</v>
      </c>
      <c r="R1506" s="13" t="s">
        <v>1668</v>
      </c>
      <c r="S1506" s="25">
        <v>2</v>
      </c>
      <c r="T1506" s="13">
        <v>0</v>
      </c>
      <c r="U1506" s="25">
        <v>5</v>
      </c>
      <c r="V1506" s="13">
        <f t="shared" si="97"/>
        <v>5</v>
      </c>
      <c r="W1506" s="13" t="str">
        <f t="shared" si="98"/>
        <v>Math-75</v>
      </c>
    </row>
    <row r="1507" spans="1:23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101"/>
        <v>SimFix</v>
      </c>
      <c r="P1507" s="13" t="str">
        <f t="shared" si="99"/>
        <v>Search Like Pattern</v>
      </c>
      <c r="Q1507" s="13" t="str">
        <f t="shared" si="100"/>
        <v>Repaired</v>
      </c>
      <c r="R1507" s="13" t="s">
        <v>1668</v>
      </c>
      <c r="S1507" s="25">
        <v>2</v>
      </c>
      <c r="T1507" s="13">
        <v>0</v>
      </c>
      <c r="U1507" s="25">
        <v>10</v>
      </c>
      <c r="V1507" s="13">
        <f t="shared" si="97"/>
        <v>10</v>
      </c>
      <c r="W1507" s="13" t="str">
        <f t="shared" si="98"/>
        <v>Math-79</v>
      </c>
    </row>
    <row r="1508" spans="1:23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101"/>
        <v>SimFix</v>
      </c>
      <c r="P1508" s="13" t="str">
        <f t="shared" si="99"/>
        <v>Search Like Pattern</v>
      </c>
      <c r="Q1508" s="13" t="str">
        <f t="shared" si="100"/>
        <v>Repaired</v>
      </c>
      <c r="R1508" s="13" t="s">
        <v>1669</v>
      </c>
      <c r="S1508" s="25">
        <v>2</v>
      </c>
      <c r="T1508" s="13">
        <v>0</v>
      </c>
      <c r="U1508" s="25">
        <v>7</v>
      </c>
      <c r="V1508" s="13">
        <f t="shared" si="97"/>
        <v>7</v>
      </c>
      <c r="W1508" s="13" t="str">
        <f t="shared" si="98"/>
        <v>Math-8</v>
      </c>
    </row>
    <row r="1509" spans="1:23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101"/>
        <v>SimFix</v>
      </c>
      <c r="P1509" s="13" t="str">
        <f t="shared" si="99"/>
        <v>Search Like Pattern</v>
      </c>
      <c r="Q1509" s="13" t="str">
        <f t="shared" si="100"/>
        <v>Repaired</v>
      </c>
      <c r="R1509" s="13" t="s">
        <v>1669</v>
      </c>
      <c r="S1509" s="25">
        <v>2</v>
      </c>
      <c r="T1509" s="13">
        <v>0</v>
      </c>
      <c r="U1509" s="25">
        <v>9</v>
      </c>
      <c r="V1509" s="13">
        <f t="shared" si="97"/>
        <v>9</v>
      </c>
      <c r="W1509" s="13" t="str">
        <f t="shared" si="98"/>
        <v>Math-80</v>
      </c>
    </row>
    <row r="1510" spans="1:23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101"/>
        <v>SimFix</v>
      </c>
      <c r="P1510" s="13" t="str">
        <f t="shared" si="99"/>
        <v>Search Like Pattern</v>
      </c>
      <c r="Q1510" s="13" t="str">
        <f t="shared" si="100"/>
        <v>Repaired</v>
      </c>
      <c r="R1510" s="13" t="s">
        <v>1669</v>
      </c>
      <c r="S1510" s="25">
        <v>2</v>
      </c>
      <c r="T1510" s="13">
        <v>0</v>
      </c>
      <c r="U1510" s="25">
        <v>23</v>
      </c>
      <c r="V1510" s="13">
        <f t="shared" ref="V1510:V1573" si="102">T1510+U1510</f>
        <v>23</v>
      </c>
      <c r="W1510" s="13" t="str">
        <f t="shared" ref="W1510:W1573" si="103">MID(A1510, SEARCH("_", A1510) +1, SEARCH("_", A1510, SEARCH("_", A1510) +1) - SEARCH("_", A1510) -1)</f>
        <v>Math-81</v>
      </c>
    </row>
    <row r="1511" spans="1:23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101"/>
        <v>SimFix</v>
      </c>
      <c r="P1511" s="13" t="str">
        <f t="shared" si="99"/>
        <v>Search Like Pattern</v>
      </c>
      <c r="Q1511" s="13" t="str">
        <f t="shared" si="100"/>
        <v>Repaired</v>
      </c>
      <c r="R1511" s="13" t="s">
        <v>1669</v>
      </c>
      <c r="S1511" s="25">
        <v>2</v>
      </c>
      <c r="T1511" s="13">
        <v>0</v>
      </c>
      <c r="U1511" s="25">
        <v>8</v>
      </c>
      <c r="V1511" s="13">
        <f t="shared" si="102"/>
        <v>8</v>
      </c>
      <c r="W1511" s="13" t="str">
        <f t="shared" si="103"/>
        <v>Math-82</v>
      </c>
    </row>
    <row r="1512" spans="1:23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101"/>
        <v>SimFix</v>
      </c>
      <c r="P1512" s="13" t="str">
        <f t="shared" si="99"/>
        <v>Search Like Pattern</v>
      </c>
      <c r="Q1512" s="13" t="str">
        <f t="shared" si="100"/>
        <v>Repaired</v>
      </c>
      <c r="R1512" s="13" t="s">
        <v>1669</v>
      </c>
      <c r="S1512" s="25">
        <v>2</v>
      </c>
      <c r="T1512" s="13">
        <v>0</v>
      </c>
      <c r="U1512" s="25">
        <v>7</v>
      </c>
      <c r="V1512" s="13">
        <f t="shared" si="102"/>
        <v>7</v>
      </c>
      <c r="W1512" s="13" t="str">
        <f t="shared" si="103"/>
        <v>Math-84</v>
      </c>
    </row>
    <row r="1513" spans="1:23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101"/>
        <v>SimFix</v>
      </c>
      <c r="P1513" s="13" t="str">
        <f t="shared" si="99"/>
        <v>Search Like Pattern</v>
      </c>
      <c r="Q1513" s="13" t="str">
        <f t="shared" si="100"/>
        <v>Repaired</v>
      </c>
      <c r="R1513" s="13" t="s">
        <v>1669</v>
      </c>
      <c r="S1513" s="25">
        <v>2</v>
      </c>
      <c r="T1513" s="13">
        <v>0</v>
      </c>
      <c r="U1513" s="25">
        <v>7</v>
      </c>
      <c r="V1513" s="13">
        <f t="shared" si="102"/>
        <v>7</v>
      </c>
      <c r="W1513" s="13" t="str">
        <f t="shared" si="103"/>
        <v>Math-85</v>
      </c>
    </row>
    <row r="1514" spans="1:23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101"/>
        <v>TBar</v>
      </c>
      <c r="P1514" s="13" t="str">
        <f t="shared" si="99"/>
        <v>True Pattern</v>
      </c>
      <c r="Q1514" s="13" t="str">
        <f t="shared" si="100"/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f t="shared" si="102"/>
        <v>2</v>
      </c>
      <c r="W1514" s="13" t="str">
        <f t="shared" si="103"/>
        <v>Chart-1</v>
      </c>
    </row>
    <row r="1515" spans="1:23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101"/>
        <v>TBar</v>
      </c>
      <c r="P1515" s="13" t="str">
        <f t="shared" si="99"/>
        <v>True Pattern</v>
      </c>
      <c r="Q1515" s="13" t="str">
        <f t="shared" si="100"/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f t="shared" si="102"/>
        <v>2</v>
      </c>
      <c r="W1515" s="13" t="str">
        <f t="shared" si="103"/>
        <v>Chart-11</v>
      </c>
    </row>
    <row r="1516" spans="1:23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101"/>
        <v>TBar</v>
      </c>
      <c r="P1516" s="13" t="str">
        <f t="shared" si="99"/>
        <v>True Pattern</v>
      </c>
      <c r="Q1516" s="13" t="str">
        <f t="shared" si="100"/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f t="shared" si="102"/>
        <v>2</v>
      </c>
      <c r="W1516" s="13" t="str">
        <f t="shared" si="103"/>
        <v>Chart-12</v>
      </c>
    </row>
    <row r="1517" spans="1:23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101"/>
        <v>TBar</v>
      </c>
      <c r="P1517" s="13" t="str">
        <f t="shared" si="99"/>
        <v>True Pattern</v>
      </c>
      <c r="Q1517" s="13" t="str">
        <f t="shared" si="100"/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f t="shared" si="102"/>
        <v>2</v>
      </c>
      <c r="W1517" s="13" t="str">
        <f t="shared" si="103"/>
        <v>Chart-13</v>
      </c>
    </row>
    <row r="1518" spans="1:23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101"/>
        <v>TBar</v>
      </c>
      <c r="P1518" s="13" t="str">
        <f t="shared" si="99"/>
        <v>True Pattern</v>
      </c>
      <c r="Q1518" s="13" t="str">
        <f t="shared" si="100"/>
        <v>Repaired</v>
      </c>
      <c r="R1518" s="13" t="s">
        <v>1668</v>
      </c>
      <c r="S1518" s="25">
        <v>1</v>
      </c>
      <c r="T1518" s="25">
        <v>1</v>
      </c>
      <c r="U1518" s="25">
        <v>4</v>
      </c>
      <c r="V1518" s="13">
        <f t="shared" si="102"/>
        <v>5</v>
      </c>
      <c r="W1518" s="13" t="str">
        <f t="shared" si="103"/>
        <v>Chart-19</v>
      </c>
    </row>
    <row r="1519" spans="1:23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101"/>
        <v>TBar</v>
      </c>
      <c r="P1519" s="13" t="str">
        <f t="shared" si="99"/>
        <v>True Pattern</v>
      </c>
      <c r="Q1519" s="13" t="str">
        <f t="shared" si="100"/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f t="shared" si="102"/>
        <v>2</v>
      </c>
      <c r="W1519" s="13" t="str">
        <f t="shared" si="103"/>
        <v>Chart-20</v>
      </c>
    </row>
    <row r="1520" spans="1:23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101"/>
        <v>TBar</v>
      </c>
      <c r="P1520" s="13" t="str">
        <f t="shared" si="99"/>
        <v>True Pattern</v>
      </c>
      <c r="Q1520" s="13" t="str">
        <f t="shared" si="100"/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f t="shared" si="102"/>
        <v>2</v>
      </c>
      <c r="W1520" s="13" t="str">
        <f t="shared" si="103"/>
        <v>Chart-24</v>
      </c>
    </row>
    <row r="1521" spans="1:23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101"/>
        <v>TBar</v>
      </c>
      <c r="P1521" s="13" t="str">
        <f t="shared" si="99"/>
        <v>True Pattern</v>
      </c>
      <c r="Q1521" s="13" t="str">
        <f t="shared" si="100"/>
        <v>Repaired</v>
      </c>
      <c r="R1521" s="13" t="s">
        <v>1669</v>
      </c>
      <c r="S1521" s="25">
        <v>1</v>
      </c>
      <c r="T1521" s="25">
        <v>43</v>
      </c>
      <c r="U1521" s="25">
        <v>1</v>
      </c>
      <c r="V1521" s="13">
        <f t="shared" si="102"/>
        <v>44</v>
      </c>
      <c r="W1521" s="13" t="str">
        <f t="shared" si="103"/>
        <v>Chart-25</v>
      </c>
    </row>
    <row r="1522" spans="1:23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101"/>
        <v>TBar</v>
      </c>
      <c r="P1522" s="13" t="str">
        <f t="shared" si="99"/>
        <v>True Pattern</v>
      </c>
      <c r="Q1522" s="13" t="str">
        <f t="shared" si="100"/>
        <v>Repaired</v>
      </c>
      <c r="R1522" s="13" t="s">
        <v>1668</v>
      </c>
      <c r="S1522" s="25">
        <v>2</v>
      </c>
      <c r="T1522" s="25">
        <v>1</v>
      </c>
      <c r="U1522" s="25">
        <v>4</v>
      </c>
      <c r="V1522" s="13">
        <f t="shared" si="102"/>
        <v>5</v>
      </c>
      <c r="W1522" s="13" t="str">
        <f t="shared" si="103"/>
        <v>Chart-26</v>
      </c>
    </row>
    <row r="1523" spans="1:23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101"/>
        <v>TBar</v>
      </c>
      <c r="P1523" s="13" t="str">
        <f t="shared" si="99"/>
        <v>True Pattern</v>
      </c>
      <c r="Q1523" s="13" t="str">
        <f t="shared" si="100"/>
        <v>Repaired</v>
      </c>
      <c r="R1523" s="13" t="s">
        <v>1669</v>
      </c>
      <c r="S1523" s="25">
        <v>1</v>
      </c>
      <c r="T1523" s="25">
        <v>1</v>
      </c>
      <c r="U1523" s="25">
        <v>2</v>
      </c>
      <c r="V1523" s="13">
        <f t="shared" si="102"/>
        <v>3</v>
      </c>
      <c r="W1523" s="13" t="str">
        <f t="shared" si="103"/>
        <v>Chart-3</v>
      </c>
    </row>
    <row r="1524" spans="1:23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101"/>
        <v>TBar</v>
      </c>
      <c r="P1524" s="13" t="str">
        <f t="shared" si="99"/>
        <v>True Pattern</v>
      </c>
      <c r="Q1524" s="13" t="str">
        <f t="shared" si="100"/>
        <v>Repaired</v>
      </c>
      <c r="R1524" s="13" t="s">
        <v>1668</v>
      </c>
      <c r="S1524" s="25">
        <v>2</v>
      </c>
      <c r="T1524" s="25">
        <v>1</v>
      </c>
      <c r="U1524" s="25">
        <v>4</v>
      </c>
      <c r="V1524" s="13">
        <f t="shared" si="102"/>
        <v>5</v>
      </c>
      <c r="W1524" s="13" t="str">
        <f t="shared" si="103"/>
        <v>Chart-4</v>
      </c>
    </row>
    <row r="1525" spans="1:23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101"/>
        <v>TBar</v>
      </c>
      <c r="P1525" s="13" t="str">
        <f t="shared" si="99"/>
        <v>True Pattern</v>
      </c>
      <c r="Q1525" s="13" t="str">
        <f t="shared" si="100"/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f t="shared" si="102"/>
        <v>2</v>
      </c>
      <c r="W1525" s="13" t="str">
        <f t="shared" si="103"/>
        <v>Chart-5</v>
      </c>
    </row>
    <row r="1526" spans="1:23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101"/>
        <v>TBar</v>
      </c>
      <c r="P1526" s="13" t="str">
        <f t="shared" si="99"/>
        <v>True Pattern</v>
      </c>
      <c r="Q1526" s="13" t="str">
        <f t="shared" si="100"/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f t="shared" si="102"/>
        <v>2</v>
      </c>
      <c r="W1526" s="13" t="str">
        <f t="shared" si="103"/>
        <v>Chart-7</v>
      </c>
    </row>
    <row r="1527" spans="1:23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101"/>
        <v>TBar</v>
      </c>
      <c r="P1527" s="13" t="str">
        <f t="shared" si="99"/>
        <v>True Pattern</v>
      </c>
      <c r="Q1527" s="13" t="str">
        <f t="shared" si="100"/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f t="shared" si="102"/>
        <v>2</v>
      </c>
      <c r="W1527" s="13" t="str">
        <f t="shared" si="103"/>
        <v>Chart-8</v>
      </c>
    </row>
    <row r="1528" spans="1:23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101"/>
        <v>TBar</v>
      </c>
      <c r="P1528" s="13" t="str">
        <f t="shared" si="99"/>
        <v>True Pattern</v>
      </c>
      <c r="Q1528" s="13" t="str">
        <f t="shared" si="100"/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f t="shared" si="102"/>
        <v>2</v>
      </c>
      <c r="W1528" s="13" t="str">
        <f t="shared" si="103"/>
        <v>Chart-9</v>
      </c>
    </row>
    <row r="1529" spans="1:23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101"/>
        <v>TBar</v>
      </c>
      <c r="P1529" s="13" t="str">
        <f t="shared" si="99"/>
        <v>True Pattern</v>
      </c>
      <c r="Q1529" s="13" t="str">
        <f t="shared" si="100"/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f t="shared" si="102"/>
        <v>2</v>
      </c>
      <c r="W1529" s="13" t="str">
        <f t="shared" si="103"/>
        <v>Closure-10</v>
      </c>
    </row>
    <row r="1530" spans="1:23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101"/>
        <v>TBar</v>
      </c>
      <c r="P1530" s="13" t="str">
        <f t="shared" si="99"/>
        <v>True Pattern</v>
      </c>
      <c r="Q1530" s="13" t="str">
        <f t="shared" si="100"/>
        <v>Repaired</v>
      </c>
      <c r="R1530" s="13" t="s">
        <v>1668</v>
      </c>
      <c r="S1530" s="25">
        <v>2</v>
      </c>
      <c r="T1530" s="25">
        <v>2</v>
      </c>
      <c r="U1530" s="25">
        <v>4</v>
      </c>
      <c r="V1530" s="13">
        <f t="shared" si="102"/>
        <v>6</v>
      </c>
      <c r="W1530" s="13" t="str">
        <f t="shared" si="103"/>
        <v>Closure-102</v>
      </c>
    </row>
    <row r="1531" spans="1:23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101"/>
        <v>TBar</v>
      </c>
      <c r="P1531" s="13" t="str">
        <f t="shared" si="99"/>
        <v>True Pattern</v>
      </c>
      <c r="Q1531" s="13" t="str">
        <f t="shared" si="100"/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f t="shared" si="102"/>
        <v>2</v>
      </c>
      <c r="W1531" s="13" t="str">
        <f t="shared" si="103"/>
        <v>Closure-11</v>
      </c>
    </row>
    <row r="1532" spans="1:23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101"/>
        <v>TBar</v>
      </c>
      <c r="P1532" s="13" t="str">
        <f t="shared" si="99"/>
        <v>True Pattern</v>
      </c>
      <c r="Q1532" s="13" t="str">
        <f t="shared" si="100"/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f t="shared" si="102"/>
        <v>2</v>
      </c>
      <c r="W1532" s="13" t="str">
        <f t="shared" si="103"/>
        <v>Closure-115</v>
      </c>
    </row>
    <row r="1533" spans="1:23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101"/>
        <v>TBar</v>
      </c>
      <c r="P1533" s="13" t="str">
        <f t="shared" si="99"/>
        <v>True Pattern</v>
      </c>
      <c r="Q1533" s="13" t="str">
        <f t="shared" si="100"/>
        <v>Repaired</v>
      </c>
      <c r="R1533" s="13" t="s">
        <v>1668</v>
      </c>
      <c r="S1533" s="25">
        <v>2</v>
      </c>
      <c r="T1533" s="25">
        <v>13</v>
      </c>
      <c r="U1533" s="25">
        <v>15</v>
      </c>
      <c r="V1533" s="13">
        <f t="shared" si="102"/>
        <v>28</v>
      </c>
      <c r="W1533" s="13" t="str">
        <f t="shared" si="103"/>
        <v>Closure-117</v>
      </c>
    </row>
    <row r="1534" spans="1:23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101"/>
        <v>TBar</v>
      </c>
      <c r="P1534" s="13" t="str">
        <f t="shared" si="99"/>
        <v>True Pattern</v>
      </c>
      <c r="Q1534" s="13" t="str">
        <f t="shared" si="100"/>
        <v>Repaired</v>
      </c>
      <c r="R1534" s="13" t="s">
        <v>1668</v>
      </c>
      <c r="S1534" s="25">
        <v>2</v>
      </c>
      <c r="T1534" s="25">
        <v>1</v>
      </c>
      <c r="U1534" s="25">
        <v>3</v>
      </c>
      <c r="V1534" s="13">
        <f t="shared" si="102"/>
        <v>4</v>
      </c>
      <c r="W1534" s="13" t="str">
        <f t="shared" si="103"/>
        <v>Closure-13</v>
      </c>
    </row>
    <row r="1535" spans="1:23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101"/>
        <v>TBar</v>
      </c>
      <c r="P1535" s="13" t="str">
        <f t="shared" si="99"/>
        <v>True Pattern</v>
      </c>
      <c r="Q1535" s="13" t="str">
        <f t="shared" si="100"/>
        <v>Repaired</v>
      </c>
      <c r="R1535" s="13" t="s">
        <v>1669</v>
      </c>
      <c r="S1535" s="25">
        <v>1</v>
      </c>
      <c r="T1535" s="25">
        <v>2</v>
      </c>
      <c r="U1535" s="25">
        <v>1</v>
      </c>
      <c r="V1535" s="13">
        <f t="shared" si="102"/>
        <v>3</v>
      </c>
      <c r="W1535" s="13" t="str">
        <f t="shared" si="103"/>
        <v>Closure-19</v>
      </c>
    </row>
    <row r="1536" spans="1:23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101"/>
        <v>TBar</v>
      </c>
      <c r="P1536" s="13" t="str">
        <f t="shared" si="99"/>
        <v>True Pattern</v>
      </c>
      <c r="Q1536" s="13" t="str">
        <f t="shared" si="100"/>
        <v>Repaired</v>
      </c>
      <c r="R1536" s="13" t="s">
        <v>1668</v>
      </c>
      <c r="S1536" s="25">
        <v>2</v>
      </c>
      <c r="T1536" s="25">
        <v>1</v>
      </c>
      <c r="U1536" s="25">
        <v>4</v>
      </c>
      <c r="V1536" s="13">
        <f t="shared" si="102"/>
        <v>5</v>
      </c>
      <c r="W1536" s="13" t="str">
        <f t="shared" si="103"/>
        <v>Closure-2</v>
      </c>
    </row>
    <row r="1537" spans="1:23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101"/>
        <v>TBar</v>
      </c>
      <c r="P1537" s="13" t="str">
        <f t="shared" si="99"/>
        <v>True Pattern</v>
      </c>
      <c r="Q1537" s="13" t="str">
        <f t="shared" si="100"/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f t="shared" si="102"/>
        <v>2</v>
      </c>
      <c r="W1537" s="13" t="str">
        <f t="shared" si="103"/>
        <v>Closure-21</v>
      </c>
    </row>
    <row r="1538" spans="1:23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101"/>
        <v>TBar</v>
      </c>
      <c r="P1538" s="13" t="str">
        <f t="shared" si="99"/>
        <v>True Pattern</v>
      </c>
      <c r="Q1538" s="13" t="str">
        <f t="shared" si="100"/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f t="shared" si="102"/>
        <v>2</v>
      </c>
      <c r="W1538" s="13" t="str">
        <f t="shared" si="103"/>
        <v>Closure-22</v>
      </c>
    </row>
    <row r="1539" spans="1:23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101"/>
        <v>TBar</v>
      </c>
      <c r="P1539" s="13" t="str">
        <f t="shared" si="99"/>
        <v>True Pattern</v>
      </c>
      <c r="Q1539" s="13" t="str">
        <f t="shared" si="100"/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f t="shared" si="102"/>
        <v>2</v>
      </c>
      <c r="W1539" s="13" t="str">
        <f t="shared" si="103"/>
        <v>Closure-35</v>
      </c>
    </row>
    <row r="1540" spans="1:23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101"/>
        <v>TBar</v>
      </c>
      <c r="P1540" s="13" t="str">
        <f t="shared" si="99"/>
        <v>True Pattern</v>
      </c>
      <c r="Q1540" s="13" t="str">
        <f t="shared" si="100"/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f t="shared" si="102"/>
        <v>2</v>
      </c>
      <c r="W1540" s="13" t="str">
        <f t="shared" si="103"/>
        <v>Closure-38</v>
      </c>
    </row>
    <row r="1541" spans="1:23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101"/>
        <v>TBar</v>
      </c>
      <c r="P1541" s="13" t="str">
        <f t="shared" si="99"/>
        <v>True Pattern</v>
      </c>
      <c r="Q1541" s="13" t="str">
        <f t="shared" si="100"/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f t="shared" si="102"/>
        <v>2</v>
      </c>
      <c r="W1541" s="13" t="str">
        <f t="shared" si="103"/>
        <v>Closure-4</v>
      </c>
    </row>
    <row r="1542" spans="1:23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101"/>
        <v>TBar</v>
      </c>
      <c r="P1542" s="13" t="str">
        <f t="shared" si="99"/>
        <v>True Pattern</v>
      </c>
      <c r="Q1542" s="13" t="str">
        <f t="shared" si="100"/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f t="shared" si="102"/>
        <v>2</v>
      </c>
      <c r="W1542" s="13" t="str">
        <f t="shared" si="103"/>
        <v>Closure-40</v>
      </c>
    </row>
    <row r="1543" spans="1:23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101"/>
        <v>TBar</v>
      </c>
      <c r="P1543" s="13" t="str">
        <f t="shared" si="99"/>
        <v>True Pattern</v>
      </c>
      <c r="Q1543" s="13" t="str">
        <f t="shared" si="100"/>
        <v>Repaired</v>
      </c>
      <c r="R1543" s="13" t="s">
        <v>1668</v>
      </c>
      <c r="S1543" s="25">
        <v>1</v>
      </c>
      <c r="T1543" s="25">
        <v>16</v>
      </c>
      <c r="U1543" s="25">
        <v>1</v>
      </c>
      <c r="V1543" s="13">
        <f t="shared" si="102"/>
        <v>17</v>
      </c>
      <c r="W1543" s="13" t="str">
        <f t="shared" si="103"/>
        <v>Closure-46</v>
      </c>
    </row>
    <row r="1544" spans="1:23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101"/>
        <v>TBar</v>
      </c>
      <c r="P1544" s="13" t="str">
        <f t="shared" si="99"/>
        <v>True Pattern</v>
      </c>
      <c r="Q1544" s="13" t="str">
        <f t="shared" si="100"/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f t="shared" si="102"/>
        <v>2</v>
      </c>
      <c r="W1544" s="13" t="str">
        <f t="shared" si="103"/>
        <v>Closure-62</v>
      </c>
    </row>
    <row r="1545" spans="1:23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101"/>
        <v>TBar</v>
      </c>
      <c r="P1545" s="13" t="str">
        <f t="shared" si="99"/>
        <v>True Pattern</v>
      </c>
      <c r="Q1545" s="13" t="str">
        <f t="shared" si="100"/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f t="shared" si="102"/>
        <v>2</v>
      </c>
      <c r="W1545" s="13" t="str">
        <f t="shared" si="103"/>
        <v>Closure-66</v>
      </c>
    </row>
    <row r="1546" spans="1:23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101"/>
        <v>TBar</v>
      </c>
      <c r="P1546" s="13" t="str">
        <f t="shared" ref="P1546:P1598" si="104"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 t="shared" si="100"/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f t="shared" si="102"/>
        <v>2</v>
      </c>
      <c r="W1546" s="13" t="str">
        <f t="shared" si="103"/>
        <v>Closure-70</v>
      </c>
    </row>
    <row r="1547" spans="1:23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101"/>
        <v>TBar</v>
      </c>
      <c r="P1547" s="13" t="str">
        <f t="shared" si="104"/>
        <v>True Pattern</v>
      </c>
      <c r="Q1547" s="13" t="str">
        <f t="shared" si="100"/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f t="shared" si="102"/>
        <v>2</v>
      </c>
      <c r="W1547" s="13" t="str">
        <f t="shared" si="103"/>
        <v>Closure-73</v>
      </c>
    </row>
    <row r="1548" spans="1:23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101"/>
        <v>TBar</v>
      </c>
      <c r="P1548" s="13" t="str">
        <f t="shared" si="104"/>
        <v>True Pattern</v>
      </c>
      <c r="Q1548" s="13" t="str">
        <f t="shared" si="100"/>
        <v>Repaired</v>
      </c>
      <c r="R1548" s="13" t="s">
        <v>1668</v>
      </c>
      <c r="S1548" s="25">
        <v>1</v>
      </c>
      <c r="T1548" s="25">
        <v>7</v>
      </c>
      <c r="U1548" s="25">
        <v>1</v>
      </c>
      <c r="V1548" s="13">
        <f t="shared" si="102"/>
        <v>8</v>
      </c>
      <c r="W1548" s="13" t="str">
        <f t="shared" si="103"/>
        <v>Lang-10</v>
      </c>
    </row>
    <row r="1549" spans="1:23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101"/>
        <v>TBar</v>
      </c>
      <c r="P1549" s="13" t="str">
        <f t="shared" si="104"/>
        <v>True Pattern</v>
      </c>
      <c r="Q1549" s="13" t="str">
        <f t="shared" si="100"/>
        <v>Repaired</v>
      </c>
      <c r="R1549" s="13" t="s">
        <v>1669</v>
      </c>
      <c r="S1549" s="25">
        <v>1</v>
      </c>
      <c r="T1549" s="25">
        <v>17</v>
      </c>
      <c r="U1549" s="25">
        <v>1</v>
      </c>
      <c r="V1549" s="13">
        <f t="shared" si="102"/>
        <v>18</v>
      </c>
      <c r="W1549" s="13" t="str">
        <f t="shared" si="103"/>
        <v>Lang-13</v>
      </c>
    </row>
    <row r="1550" spans="1:23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101"/>
        <v>TBar</v>
      </c>
      <c r="P1550" s="13" t="str">
        <f t="shared" si="104"/>
        <v>True Pattern</v>
      </c>
      <c r="Q1550" s="13" t="str">
        <f t="shared" si="100"/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f t="shared" si="102"/>
        <v>2</v>
      </c>
      <c r="W1550" s="13" t="str">
        <f t="shared" si="103"/>
        <v>Lang-18</v>
      </c>
    </row>
    <row r="1551" spans="1:23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101"/>
        <v>TBar</v>
      </c>
      <c r="P1551" s="13" t="str">
        <f t="shared" si="104"/>
        <v>True Pattern</v>
      </c>
      <c r="Q1551" s="13" t="str">
        <f t="shared" si="100"/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f t="shared" si="102"/>
        <v>2</v>
      </c>
      <c r="W1551" s="13" t="str">
        <f t="shared" si="103"/>
        <v>Lang-20</v>
      </c>
    </row>
    <row r="1552" spans="1:23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101"/>
        <v>TBar</v>
      </c>
      <c r="P1552" s="13" t="str">
        <f t="shared" si="104"/>
        <v>True Pattern</v>
      </c>
      <c r="Q1552" s="13" t="str">
        <f t="shared" si="100"/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f t="shared" si="102"/>
        <v>2</v>
      </c>
      <c r="W1552" s="13" t="str">
        <f t="shared" si="103"/>
        <v>Lang-22</v>
      </c>
    </row>
    <row r="1553" spans="1:23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101"/>
        <v>TBar</v>
      </c>
      <c r="P1553" s="13" t="str">
        <f t="shared" si="104"/>
        <v>True Pattern</v>
      </c>
      <c r="Q1553" s="13" t="str">
        <f t="shared" si="100"/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f t="shared" si="102"/>
        <v>2</v>
      </c>
      <c r="W1553" s="13" t="str">
        <f t="shared" si="103"/>
        <v>Lang-24</v>
      </c>
    </row>
    <row r="1554" spans="1:23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101"/>
        <v>TBar</v>
      </c>
      <c r="P1554" s="13" t="str">
        <f t="shared" si="104"/>
        <v>True Pattern</v>
      </c>
      <c r="Q1554" s="13" t="str">
        <f t="shared" si="100"/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f t="shared" si="102"/>
        <v>2</v>
      </c>
      <c r="W1554" s="13" t="str">
        <f t="shared" si="103"/>
        <v>Lang-26</v>
      </c>
    </row>
    <row r="1555" spans="1:23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101"/>
        <v>TBar</v>
      </c>
      <c r="P1555" s="13" t="str">
        <f t="shared" si="104"/>
        <v>True Pattern</v>
      </c>
      <c r="Q1555" s="13" t="str">
        <f t="shared" si="100"/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f t="shared" si="102"/>
        <v>2</v>
      </c>
      <c r="W1555" s="13" t="str">
        <f t="shared" si="103"/>
        <v>Lang-27</v>
      </c>
    </row>
    <row r="1556" spans="1:23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101"/>
        <v>TBar</v>
      </c>
      <c r="P1556" s="13" t="str">
        <f t="shared" si="104"/>
        <v>True Pattern</v>
      </c>
      <c r="Q1556" s="13" t="str">
        <f t="shared" si="100"/>
        <v>Repaired</v>
      </c>
      <c r="R1556" s="13" t="s">
        <v>1668</v>
      </c>
      <c r="S1556" s="25">
        <v>1</v>
      </c>
      <c r="T1556" s="25">
        <v>1</v>
      </c>
      <c r="U1556" s="25">
        <v>3</v>
      </c>
      <c r="V1556" s="13">
        <f t="shared" si="102"/>
        <v>4</v>
      </c>
      <c r="W1556" s="13" t="str">
        <f t="shared" si="103"/>
        <v>Lang-33</v>
      </c>
    </row>
    <row r="1557" spans="1:23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101"/>
        <v>TBar</v>
      </c>
      <c r="P1557" s="13" t="str">
        <f t="shared" si="104"/>
        <v>True Pattern</v>
      </c>
      <c r="Q1557" s="13" t="str">
        <f t="shared" si="100"/>
        <v>Repaired</v>
      </c>
      <c r="R1557" s="13" t="s">
        <v>1668</v>
      </c>
      <c r="S1557" s="25">
        <v>1</v>
      </c>
      <c r="T1557" s="25">
        <v>1</v>
      </c>
      <c r="U1557" s="25">
        <v>3</v>
      </c>
      <c r="V1557" s="13">
        <f t="shared" si="102"/>
        <v>4</v>
      </c>
      <c r="W1557" s="13" t="str">
        <f t="shared" si="103"/>
        <v>Lang-39</v>
      </c>
    </row>
    <row r="1558" spans="1:23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101"/>
        <v>TBar</v>
      </c>
      <c r="P1558" s="13" t="str">
        <f t="shared" si="104"/>
        <v>True Pattern</v>
      </c>
      <c r="Q1558" s="13" t="str">
        <f t="shared" ref="Q1558:Q1598" si="105"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f t="shared" si="102"/>
        <v>2</v>
      </c>
      <c r="W1558" s="13" t="str">
        <f t="shared" si="103"/>
        <v>Lang-41</v>
      </c>
    </row>
    <row r="1559" spans="1:23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ref="O1559:O1598" si="106">LEFT($A1559,FIND("_",$A1559)-1)</f>
        <v>TBar</v>
      </c>
      <c r="P1559" s="13" t="str">
        <f t="shared" si="104"/>
        <v>True Pattern</v>
      </c>
      <c r="Q1559" s="13" t="str">
        <f t="shared" si="105"/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f t="shared" si="102"/>
        <v>2</v>
      </c>
      <c r="W1559" s="13" t="str">
        <f t="shared" si="103"/>
        <v>Lang-43</v>
      </c>
    </row>
    <row r="1560" spans="1:23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si="106"/>
        <v>TBar</v>
      </c>
      <c r="P1560" s="13" t="str">
        <f t="shared" si="104"/>
        <v>True Pattern</v>
      </c>
      <c r="Q1560" s="13" t="str">
        <f t="shared" si="105"/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f t="shared" si="102"/>
        <v>4</v>
      </c>
      <c r="W1560" s="13" t="str">
        <f t="shared" si="103"/>
        <v>Lang-44</v>
      </c>
    </row>
    <row r="1561" spans="1:23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106"/>
        <v>TBar</v>
      </c>
      <c r="P1561" s="13" t="str">
        <f t="shared" si="104"/>
        <v>True Pattern</v>
      </c>
      <c r="Q1561" s="13" t="str">
        <f t="shared" si="105"/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f t="shared" si="102"/>
        <v>2</v>
      </c>
      <c r="W1561" s="13" t="str">
        <f t="shared" si="103"/>
        <v>Lang-45</v>
      </c>
    </row>
    <row r="1562" spans="1:23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106"/>
        <v>TBar</v>
      </c>
      <c r="P1562" s="13" t="str">
        <f t="shared" si="104"/>
        <v>True Pattern</v>
      </c>
      <c r="Q1562" s="13" t="str">
        <f t="shared" si="105"/>
        <v>Repaired</v>
      </c>
      <c r="R1562" s="13" t="s">
        <v>1668</v>
      </c>
      <c r="S1562" s="25">
        <v>1</v>
      </c>
      <c r="T1562" s="25">
        <v>1</v>
      </c>
      <c r="U1562" s="25">
        <v>2</v>
      </c>
      <c r="V1562" s="13">
        <f t="shared" si="102"/>
        <v>3</v>
      </c>
      <c r="W1562" s="13" t="str">
        <f t="shared" si="103"/>
        <v>Lang-47</v>
      </c>
    </row>
    <row r="1563" spans="1:23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106"/>
        <v>TBar</v>
      </c>
      <c r="P1563" s="13" t="str">
        <f t="shared" si="104"/>
        <v>True Pattern</v>
      </c>
      <c r="Q1563" s="13" t="str">
        <f t="shared" si="105"/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f t="shared" si="102"/>
        <v>2</v>
      </c>
      <c r="W1563" s="13" t="str">
        <f t="shared" si="103"/>
        <v>Lang-50</v>
      </c>
    </row>
    <row r="1564" spans="1:23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106"/>
        <v>TBar</v>
      </c>
      <c r="P1564" s="13" t="str">
        <f t="shared" si="104"/>
        <v>True Pattern</v>
      </c>
      <c r="Q1564" s="13" t="str">
        <f t="shared" si="105"/>
        <v>Repaired</v>
      </c>
      <c r="R1564" s="13" t="s">
        <v>1668</v>
      </c>
      <c r="S1564" s="25">
        <v>1</v>
      </c>
      <c r="T1564" s="13">
        <v>0</v>
      </c>
      <c r="U1564" s="25">
        <v>2</v>
      </c>
      <c r="V1564" s="13">
        <f t="shared" si="102"/>
        <v>2</v>
      </c>
      <c r="W1564" s="13" t="str">
        <f t="shared" si="103"/>
        <v>Lang-51</v>
      </c>
    </row>
    <row r="1565" spans="1:23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106"/>
        <v>TBar</v>
      </c>
      <c r="P1565" s="13" t="str">
        <f t="shared" si="104"/>
        <v>True Pattern</v>
      </c>
      <c r="Q1565" s="13" t="str">
        <f t="shared" si="105"/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f t="shared" si="102"/>
        <v>2</v>
      </c>
      <c r="W1565" s="13" t="str">
        <f t="shared" si="103"/>
        <v>Lang-57</v>
      </c>
    </row>
    <row r="1566" spans="1:23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106"/>
        <v>TBar</v>
      </c>
      <c r="P1566" s="13" t="str">
        <f t="shared" si="104"/>
        <v>True Pattern</v>
      </c>
      <c r="Q1566" s="13" t="str">
        <f t="shared" si="105"/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f t="shared" si="102"/>
        <v>4</v>
      </c>
      <c r="W1566" s="13" t="str">
        <f t="shared" si="103"/>
        <v>Lang-58</v>
      </c>
    </row>
    <row r="1567" spans="1:23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106"/>
        <v>TBar</v>
      </c>
      <c r="P1567" s="13" t="str">
        <f t="shared" si="104"/>
        <v>True Pattern</v>
      </c>
      <c r="Q1567" s="13" t="str">
        <f t="shared" si="105"/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f t="shared" si="102"/>
        <v>2</v>
      </c>
      <c r="W1567" s="13" t="str">
        <f t="shared" si="103"/>
        <v>Lang-59</v>
      </c>
    </row>
    <row r="1568" spans="1:23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106"/>
        <v>TBar</v>
      </c>
      <c r="P1568" s="13" t="str">
        <f t="shared" si="104"/>
        <v>True Pattern</v>
      </c>
      <c r="Q1568" s="13" t="str">
        <f t="shared" si="105"/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f t="shared" si="102"/>
        <v>2</v>
      </c>
      <c r="W1568" s="13" t="str">
        <f t="shared" si="103"/>
        <v>Lang-6</v>
      </c>
    </row>
    <row r="1569" spans="1:23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106"/>
        <v>TBar</v>
      </c>
      <c r="P1569" s="13" t="str">
        <f t="shared" si="104"/>
        <v>True Pattern</v>
      </c>
      <c r="Q1569" s="13" t="str">
        <f t="shared" si="105"/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f t="shared" si="102"/>
        <v>2</v>
      </c>
      <c r="W1569" s="13" t="str">
        <f t="shared" si="103"/>
        <v>Lang-60</v>
      </c>
    </row>
    <row r="1570" spans="1:23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106"/>
        <v>TBar</v>
      </c>
      <c r="P1570" s="13" t="str">
        <f t="shared" si="104"/>
        <v>True Pattern</v>
      </c>
      <c r="Q1570" s="13" t="str">
        <f t="shared" si="105"/>
        <v>Repaired</v>
      </c>
      <c r="R1570" s="13" t="s">
        <v>1669</v>
      </c>
      <c r="S1570" s="25">
        <v>2</v>
      </c>
      <c r="T1570" s="25">
        <v>2</v>
      </c>
      <c r="U1570" s="25">
        <v>3</v>
      </c>
      <c r="V1570" s="13">
        <f t="shared" si="102"/>
        <v>5</v>
      </c>
      <c r="W1570" s="13" t="str">
        <f t="shared" si="103"/>
        <v>Lang-63</v>
      </c>
    </row>
    <row r="1571" spans="1:23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106"/>
        <v>TBar</v>
      </c>
      <c r="P1571" s="13" t="str">
        <f t="shared" si="104"/>
        <v>True Pattern</v>
      </c>
      <c r="Q1571" s="13" t="str">
        <f t="shared" si="105"/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f t="shared" si="102"/>
        <v>2</v>
      </c>
      <c r="W1571" s="13" t="str">
        <f t="shared" si="103"/>
        <v>Lang-7</v>
      </c>
    </row>
    <row r="1572" spans="1:23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106"/>
        <v>TBar</v>
      </c>
      <c r="P1572" s="13" t="str">
        <f t="shared" si="104"/>
        <v>True Pattern</v>
      </c>
      <c r="Q1572" s="13" t="str">
        <f t="shared" si="105"/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f t="shared" si="102"/>
        <v>2</v>
      </c>
      <c r="W1572" s="13" t="str">
        <f t="shared" si="103"/>
        <v>Math-11</v>
      </c>
    </row>
    <row r="1573" spans="1:23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106"/>
        <v>TBar</v>
      </c>
      <c r="P1573" s="13" t="str">
        <f t="shared" si="104"/>
        <v>True Pattern</v>
      </c>
      <c r="Q1573" s="13" t="str">
        <f t="shared" si="105"/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f t="shared" si="102"/>
        <v>2</v>
      </c>
      <c r="W1573" s="13" t="str">
        <f t="shared" si="103"/>
        <v>Math-15</v>
      </c>
    </row>
    <row r="1574" spans="1:23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106"/>
        <v>TBar</v>
      </c>
      <c r="P1574" s="13" t="str">
        <f t="shared" si="104"/>
        <v>True Pattern</v>
      </c>
      <c r="Q1574" s="13" t="str">
        <f t="shared" si="105"/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f t="shared" ref="V1574:V1598" si="107">T1574+U1574</f>
        <v>4</v>
      </c>
      <c r="W1574" s="13" t="str">
        <f t="shared" ref="W1574:W1598" si="108">MID(A1574, SEARCH("_", A1574) +1, SEARCH("_", A1574, SEARCH("_", A1574) +1) - SEARCH("_", A1574) -1)</f>
        <v>Math-2</v>
      </c>
    </row>
    <row r="1575" spans="1:23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106"/>
        <v>TBar</v>
      </c>
      <c r="P1575" s="13" t="str">
        <f t="shared" si="104"/>
        <v>True Pattern</v>
      </c>
      <c r="Q1575" s="13" t="str">
        <f t="shared" si="105"/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f t="shared" si="107"/>
        <v>2</v>
      </c>
      <c r="W1575" s="13" t="str">
        <f t="shared" si="108"/>
        <v>Math-5</v>
      </c>
    </row>
    <row r="1576" spans="1:23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106"/>
        <v>TBar</v>
      </c>
      <c r="P1576" s="13" t="str">
        <f t="shared" si="104"/>
        <v>True Pattern</v>
      </c>
      <c r="Q1576" s="13" t="str">
        <f t="shared" si="105"/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f t="shared" si="107"/>
        <v>2</v>
      </c>
      <c r="W1576" s="13" t="str">
        <f t="shared" si="108"/>
        <v>Math-50</v>
      </c>
    </row>
    <row r="1577" spans="1:23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106"/>
        <v>TBar</v>
      </c>
      <c r="P1577" s="13" t="str">
        <f t="shared" si="104"/>
        <v>True Pattern</v>
      </c>
      <c r="Q1577" s="13" t="str">
        <f t="shared" si="105"/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f t="shared" si="107"/>
        <v>2</v>
      </c>
      <c r="W1577" s="13" t="str">
        <f t="shared" si="108"/>
        <v>Math-52</v>
      </c>
    </row>
    <row r="1578" spans="1:23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106"/>
        <v>TBar</v>
      </c>
      <c r="P1578" s="13" t="str">
        <f t="shared" si="104"/>
        <v>True Pattern</v>
      </c>
      <c r="Q1578" s="13" t="str">
        <f t="shared" si="105"/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f t="shared" si="107"/>
        <v>2</v>
      </c>
      <c r="W1578" s="13" t="str">
        <f t="shared" si="108"/>
        <v>Math-57</v>
      </c>
    </row>
    <row r="1579" spans="1:23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106"/>
        <v>TBar</v>
      </c>
      <c r="P1579" s="13" t="str">
        <f t="shared" si="104"/>
        <v>True Pattern</v>
      </c>
      <c r="Q1579" s="13" t="str">
        <f t="shared" si="105"/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f t="shared" si="107"/>
        <v>2</v>
      </c>
      <c r="W1579" s="13" t="str">
        <f t="shared" si="108"/>
        <v>Math-58</v>
      </c>
    </row>
    <row r="1580" spans="1:23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106"/>
        <v>TBar</v>
      </c>
      <c r="P1580" s="13" t="str">
        <f t="shared" si="104"/>
        <v>True Pattern</v>
      </c>
      <c r="Q1580" s="13" t="str">
        <f t="shared" si="105"/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f t="shared" si="107"/>
        <v>2</v>
      </c>
      <c r="W1580" s="13" t="str">
        <f t="shared" si="108"/>
        <v>Math-62</v>
      </c>
    </row>
    <row r="1581" spans="1:23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106"/>
        <v>TBar</v>
      </c>
      <c r="P1581" s="13" t="str">
        <f t="shared" si="104"/>
        <v>True Pattern</v>
      </c>
      <c r="Q1581" s="13" t="str">
        <f t="shared" si="105"/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f t="shared" si="107"/>
        <v>2</v>
      </c>
      <c r="W1581" s="13" t="str">
        <f t="shared" si="108"/>
        <v>Math-63</v>
      </c>
    </row>
    <row r="1582" spans="1:23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106"/>
        <v>TBar</v>
      </c>
      <c r="P1582" s="13" t="str">
        <f t="shared" si="104"/>
        <v>True Pattern</v>
      </c>
      <c r="Q1582" s="13" t="str">
        <f t="shared" si="105"/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f t="shared" si="107"/>
        <v>2</v>
      </c>
      <c r="W1582" s="13" t="str">
        <f t="shared" si="108"/>
        <v>Math-65</v>
      </c>
    </row>
    <row r="1583" spans="1:23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106"/>
        <v>TBar</v>
      </c>
      <c r="P1583" s="13" t="str">
        <f t="shared" si="104"/>
        <v>True Pattern</v>
      </c>
      <c r="Q1583" s="13" t="str">
        <f t="shared" si="105"/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f t="shared" si="107"/>
        <v>2</v>
      </c>
      <c r="W1583" s="13" t="str">
        <f t="shared" si="108"/>
        <v>Math-70</v>
      </c>
    </row>
    <row r="1584" spans="1:23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106"/>
        <v>TBar</v>
      </c>
      <c r="P1584" s="13" t="str">
        <f t="shared" si="104"/>
        <v>True Pattern</v>
      </c>
      <c r="Q1584" s="13" t="str">
        <f t="shared" si="105"/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f t="shared" si="107"/>
        <v>2</v>
      </c>
      <c r="W1584" s="13" t="str">
        <f t="shared" si="108"/>
        <v>Math-75</v>
      </c>
    </row>
    <row r="1585" spans="1:23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106"/>
        <v>TBar</v>
      </c>
      <c r="P1585" s="13" t="str">
        <f t="shared" si="104"/>
        <v>True Pattern</v>
      </c>
      <c r="Q1585" s="13" t="str">
        <f t="shared" si="105"/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f t="shared" si="107"/>
        <v>4</v>
      </c>
      <c r="W1585" s="13" t="str">
        <f t="shared" si="108"/>
        <v>Math-79</v>
      </c>
    </row>
    <row r="1586" spans="1:23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106"/>
        <v>TBar</v>
      </c>
      <c r="P1586" s="13" t="str">
        <f t="shared" si="104"/>
        <v>True Pattern</v>
      </c>
      <c r="Q1586" s="13" t="str">
        <f t="shared" si="105"/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f t="shared" si="107"/>
        <v>2</v>
      </c>
      <c r="W1586" s="13" t="str">
        <f t="shared" si="108"/>
        <v>Math-8</v>
      </c>
    </row>
    <row r="1587" spans="1:23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106"/>
        <v>TBar</v>
      </c>
      <c r="P1587" s="13" t="str">
        <f t="shared" si="104"/>
        <v>True Pattern</v>
      </c>
      <c r="Q1587" s="13" t="str">
        <f t="shared" si="105"/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f t="shared" si="107"/>
        <v>2</v>
      </c>
      <c r="W1587" s="13" t="str">
        <f t="shared" si="108"/>
        <v>Math-80</v>
      </c>
    </row>
    <row r="1588" spans="1:23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106"/>
        <v>TBar</v>
      </c>
      <c r="P1588" s="13" t="str">
        <f t="shared" si="104"/>
        <v>True Pattern</v>
      </c>
      <c r="Q1588" s="13" t="str">
        <f t="shared" si="105"/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f t="shared" si="107"/>
        <v>2</v>
      </c>
      <c r="W1588" s="13" t="str">
        <f t="shared" si="108"/>
        <v>Math-81</v>
      </c>
    </row>
    <row r="1589" spans="1:23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106"/>
        <v>TBar</v>
      </c>
      <c r="P1589" s="13" t="str">
        <f t="shared" si="104"/>
        <v>True Pattern</v>
      </c>
      <c r="Q1589" s="13" t="str">
        <f t="shared" si="105"/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f t="shared" si="107"/>
        <v>2</v>
      </c>
      <c r="W1589" s="13" t="str">
        <f t="shared" si="108"/>
        <v>Math-82</v>
      </c>
    </row>
    <row r="1590" spans="1:23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106"/>
        <v>TBar</v>
      </c>
      <c r="P1590" s="13" t="str">
        <f t="shared" si="104"/>
        <v>True Pattern</v>
      </c>
      <c r="Q1590" s="13" t="str">
        <f t="shared" si="105"/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f t="shared" si="107"/>
        <v>2</v>
      </c>
      <c r="W1590" s="13" t="str">
        <f t="shared" si="108"/>
        <v>Math-84</v>
      </c>
    </row>
    <row r="1591" spans="1:23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106"/>
        <v>TBar</v>
      </c>
      <c r="P1591" s="13" t="str">
        <f t="shared" si="104"/>
        <v>True Pattern</v>
      </c>
      <c r="Q1591" s="13" t="str">
        <f t="shared" si="105"/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f t="shared" si="107"/>
        <v>2</v>
      </c>
      <c r="W1591" s="13" t="str">
        <f t="shared" si="108"/>
        <v>Math-85</v>
      </c>
    </row>
    <row r="1592" spans="1:23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106"/>
        <v>TBar</v>
      </c>
      <c r="P1592" s="13" t="str">
        <f t="shared" si="104"/>
        <v>True Pattern</v>
      </c>
      <c r="Q1592" s="13" t="str">
        <f t="shared" si="105"/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f t="shared" si="107"/>
        <v>2</v>
      </c>
      <c r="W1592" s="13" t="str">
        <f t="shared" si="108"/>
        <v>Math-88</v>
      </c>
    </row>
    <row r="1593" spans="1:23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106"/>
        <v>TBar</v>
      </c>
      <c r="P1593" s="13" t="str">
        <f t="shared" si="104"/>
        <v>True Pattern</v>
      </c>
      <c r="Q1593" s="13" t="str">
        <f t="shared" si="105"/>
        <v>Repaired</v>
      </c>
      <c r="R1593" s="13" t="s">
        <v>1668</v>
      </c>
      <c r="S1593" s="25">
        <v>1</v>
      </c>
      <c r="T1593" s="25">
        <v>1</v>
      </c>
      <c r="U1593" s="25">
        <v>6</v>
      </c>
      <c r="V1593" s="13">
        <f t="shared" si="107"/>
        <v>7</v>
      </c>
      <c r="W1593" s="13" t="str">
        <f t="shared" si="108"/>
        <v>Math-89</v>
      </c>
    </row>
    <row r="1594" spans="1:23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106"/>
        <v>TBar</v>
      </c>
      <c r="P1594" s="13" t="str">
        <f t="shared" si="104"/>
        <v>True Pattern</v>
      </c>
      <c r="Q1594" s="13" t="str">
        <f t="shared" si="105"/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f t="shared" si="107"/>
        <v>2</v>
      </c>
      <c r="W1594" s="13" t="str">
        <f t="shared" si="108"/>
        <v>Math-95</v>
      </c>
    </row>
    <row r="1595" spans="1:23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106"/>
        <v>TBar</v>
      </c>
      <c r="P1595" s="13" t="str">
        <f t="shared" si="104"/>
        <v>True Pattern</v>
      </c>
      <c r="Q1595" s="13" t="str">
        <f t="shared" si="105"/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f t="shared" si="107"/>
        <v>2</v>
      </c>
      <c r="W1595" s="13" t="str">
        <f t="shared" si="108"/>
        <v>Math-96</v>
      </c>
    </row>
    <row r="1596" spans="1:23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106"/>
        <v>TBar</v>
      </c>
      <c r="P1596" s="13" t="str">
        <f t="shared" si="104"/>
        <v>True Pattern</v>
      </c>
      <c r="Q1596" s="13" t="str">
        <f t="shared" si="105"/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f t="shared" si="107"/>
        <v>2</v>
      </c>
      <c r="W1596" s="13" t="str">
        <f t="shared" si="108"/>
        <v>Mockito-26</v>
      </c>
    </row>
    <row r="1597" spans="1:23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106"/>
        <v>TBar</v>
      </c>
      <c r="P1597" s="13" t="str">
        <f t="shared" si="104"/>
        <v>True Pattern</v>
      </c>
      <c r="Q1597" s="13" t="str">
        <f t="shared" si="105"/>
        <v>Repaired</v>
      </c>
      <c r="R1597" s="13" t="s">
        <v>1668</v>
      </c>
      <c r="S1597" s="25">
        <v>1</v>
      </c>
      <c r="T1597" s="25">
        <v>1</v>
      </c>
      <c r="U1597" s="25">
        <v>4</v>
      </c>
      <c r="V1597" s="13">
        <f t="shared" si="107"/>
        <v>5</v>
      </c>
      <c r="W1597" s="13" t="str">
        <f t="shared" si="108"/>
        <v>Mockito-29</v>
      </c>
    </row>
    <row r="1598" spans="1:23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106"/>
        <v>TBar</v>
      </c>
      <c r="P1598" s="13" t="str">
        <f t="shared" si="104"/>
        <v>True Pattern</v>
      </c>
      <c r="Q1598" s="13" t="str">
        <f t="shared" si="105"/>
        <v>Repaired</v>
      </c>
      <c r="R1598" s="13" t="s">
        <v>1668</v>
      </c>
      <c r="S1598" s="25">
        <v>1</v>
      </c>
      <c r="T1598" s="25">
        <v>1</v>
      </c>
      <c r="U1598" s="25">
        <v>4</v>
      </c>
      <c r="V1598" s="13">
        <f t="shared" si="107"/>
        <v>5</v>
      </c>
      <c r="W1598" s="13" t="str">
        <f t="shared" si="108"/>
        <v>Mockito-38</v>
      </c>
    </row>
    <row r="1599" spans="1:23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1693</v>
      </c>
      <c r="S1599" s="12" t="s">
        <v>1292</v>
      </c>
      <c r="T1599" s="12" t="s">
        <v>1293</v>
      </c>
      <c r="U1599" s="12" t="s">
        <v>1294</v>
      </c>
      <c r="V1599" s="12" t="s">
        <v>1715</v>
      </c>
      <c r="W1599" s="12" t="s">
        <v>1716</v>
      </c>
    </row>
    <row r="1600" spans="1:23" x14ac:dyDescent="0.35">
      <c r="A1600" s="9" t="s">
        <v>1286</v>
      </c>
      <c r="B1600" s="35">
        <f>SUM(B24:B1598)</f>
        <v>6110.0599999999995</v>
      </c>
      <c r="C1600" s="35">
        <f t="shared" ref="C1600:N1600" si="109">SUM(C24:C1598)</f>
        <v>122620.01000000024</v>
      </c>
      <c r="D1600" s="35">
        <f t="shared" si="109"/>
        <v>29050.499999999978</v>
      </c>
      <c r="E1600" s="35">
        <f t="shared" si="109"/>
        <v>10386.690000000042</v>
      </c>
      <c r="F1600" s="35">
        <f t="shared" si="109"/>
        <v>22011.879999999965</v>
      </c>
      <c r="G1600" s="35">
        <f t="shared" si="109"/>
        <v>6394.6399999999876</v>
      </c>
      <c r="H1600" s="35">
        <f t="shared" si="109"/>
        <v>16781.850000000028</v>
      </c>
      <c r="I1600" s="35">
        <f t="shared" si="109"/>
        <v>51062.079999999944</v>
      </c>
      <c r="J1600" s="35">
        <f t="shared" si="109"/>
        <v>88217.189999999915</v>
      </c>
      <c r="K1600" s="35">
        <f t="shared" si="109"/>
        <v>608.8660000000001</v>
      </c>
      <c r="L1600" s="35">
        <f t="shared" si="109"/>
        <v>85.660599999999988</v>
      </c>
      <c r="M1600" s="35">
        <f t="shared" si="109"/>
        <v>89101.632000000085</v>
      </c>
      <c r="N1600" s="35">
        <f t="shared" si="109"/>
        <v>4950.0409999999911</v>
      </c>
      <c r="O1600" s="10"/>
    </row>
    <row r="1601" spans="1:18" x14ac:dyDescent="0.35">
      <c r="A1601" s="11" t="s">
        <v>1287</v>
      </c>
      <c r="B1601" s="36">
        <f>AVERAGE(B24:B1598)</f>
        <v>3.8794031746031741</v>
      </c>
      <c r="C1601" s="36">
        <f t="shared" ref="C1601:N1601" si="110">AVERAGE(C24:C1598)</f>
        <v>77.853974603174763</v>
      </c>
      <c r="D1601" s="36">
        <f t="shared" si="110"/>
        <v>18.44476190476189</v>
      </c>
      <c r="E1601" s="36">
        <f t="shared" si="110"/>
        <v>6.5947238095238365</v>
      </c>
      <c r="F1601" s="36">
        <f t="shared" si="110"/>
        <v>13.975796825396802</v>
      </c>
      <c r="G1601" s="36">
        <f t="shared" si="110"/>
        <v>4.0600888888888811</v>
      </c>
      <c r="H1601" s="36">
        <f t="shared" si="110"/>
        <v>10.655142857142875</v>
      </c>
      <c r="I1601" s="36">
        <f t="shared" si="110"/>
        <v>32.420368253968221</v>
      </c>
      <c r="J1601" s="36">
        <f t="shared" si="110"/>
        <v>56.010914285714229</v>
      </c>
      <c r="K1601" s="36">
        <f t="shared" si="110"/>
        <v>0.38658158730158737</v>
      </c>
      <c r="L1601" s="36">
        <f t="shared" si="110"/>
        <v>5.4387682539682534E-2</v>
      </c>
      <c r="M1601" s="36">
        <f t="shared" si="110"/>
        <v>56.572464761904818</v>
      </c>
      <c r="N1601" s="36">
        <f t="shared" si="110"/>
        <v>3.1428831746031691</v>
      </c>
      <c r="O1601" s="10"/>
    </row>
    <row r="1602" spans="1:18" x14ac:dyDescent="0.35">
      <c r="A1602" s="9" t="s">
        <v>1288</v>
      </c>
      <c r="B1602" s="35">
        <f>MIN(B24:B1598)</f>
        <v>1.25</v>
      </c>
      <c r="C1602" s="35">
        <f t="shared" ref="C1602:N1602" si="111">MIN(C24:C1598)</f>
        <v>48</v>
      </c>
      <c r="D1602" s="35">
        <f t="shared" si="111"/>
        <v>1.92</v>
      </c>
      <c r="E1602" s="35">
        <f t="shared" si="111"/>
        <v>2.25</v>
      </c>
      <c r="F1602" s="35">
        <f t="shared" si="111"/>
        <v>1.5</v>
      </c>
      <c r="G1602" s="35">
        <f t="shared" si="111"/>
        <v>1.25</v>
      </c>
      <c r="H1602" s="35">
        <f t="shared" si="111"/>
        <v>3.5</v>
      </c>
      <c r="I1602" s="35">
        <f t="shared" si="111"/>
        <v>5</v>
      </c>
      <c r="J1602" s="35">
        <f t="shared" si="111"/>
        <v>8.25</v>
      </c>
      <c r="K1602" s="35">
        <f t="shared" si="111"/>
        <v>0</v>
      </c>
      <c r="L1602" s="35">
        <f t="shared" si="111"/>
        <v>0</v>
      </c>
      <c r="M1602" s="35">
        <f t="shared" si="111"/>
        <v>0</v>
      </c>
      <c r="N1602" s="35">
        <f t="shared" si="111"/>
        <v>0</v>
      </c>
      <c r="O1602" s="10"/>
    </row>
    <row r="1603" spans="1:18" x14ac:dyDescent="0.35">
      <c r="A1603" s="11" t="s">
        <v>1289</v>
      </c>
      <c r="B1603" s="36">
        <f>MAX(B24:B1598)</f>
        <v>20</v>
      </c>
      <c r="C1603" s="36">
        <f t="shared" ref="C1603:N1603" si="112">MAX(C24:C1598)</f>
        <v>92.05</v>
      </c>
      <c r="D1603" s="36">
        <f t="shared" si="112"/>
        <v>96.6</v>
      </c>
      <c r="E1603" s="36">
        <f t="shared" si="112"/>
        <v>34</v>
      </c>
      <c r="F1603" s="36">
        <f t="shared" si="112"/>
        <v>75</v>
      </c>
      <c r="G1603" s="36">
        <f t="shared" si="112"/>
        <v>17</v>
      </c>
      <c r="H1603" s="36">
        <f t="shared" si="112"/>
        <v>51</v>
      </c>
      <c r="I1603" s="36">
        <f t="shared" si="112"/>
        <v>160</v>
      </c>
      <c r="J1603" s="36">
        <f t="shared" si="112"/>
        <v>373.42</v>
      </c>
      <c r="K1603" s="36">
        <f t="shared" si="112"/>
        <v>6.92</v>
      </c>
      <c r="L1603" s="36">
        <f t="shared" si="112"/>
        <v>0.5</v>
      </c>
      <c r="M1603" s="36">
        <f t="shared" si="112"/>
        <v>4301</v>
      </c>
      <c r="N1603" s="36">
        <f t="shared" si="112"/>
        <v>238.96</v>
      </c>
      <c r="O1603" s="10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 t="shared" ref="C1604:N1604" si="113">_xlfn.STDEV.S(C24:C1598)</f>
        <v>6.6830758825718544</v>
      </c>
      <c r="D1604" s="35">
        <f t="shared" si="113"/>
        <v>14.092272997999244</v>
      </c>
      <c r="E1604" s="35">
        <f t="shared" si="113"/>
        <v>2.8664947508819871</v>
      </c>
      <c r="F1604" s="35">
        <f t="shared" si="113"/>
        <v>10.382056109294227</v>
      </c>
      <c r="G1604" s="35">
        <f t="shared" si="113"/>
        <v>1.6761721206716083</v>
      </c>
      <c r="H1604" s="35">
        <f t="shared" si="113"/>
        <v>4.337648586768827</v>
      </c>
      <c r="I1604" s="35">
        <f t="shared" si="113"/>
        <v>24.070666938264704</v>
      </c>
      <c r="J1604" s="35">
        <f t="shared" si="113"/>
        <v>33.651333135272665</v>
      </c>
      <c r="K1604" s="35">
        <f t="shared" si="113"/>
        <v>0.69212855269812046</v>
      </c>
      <c r="L1604" s="35">
        <f t="shared" si="113"/>
        <v>8.2222352023029951E-2</v>
      </c>
      <c r="M1604" s="35">
        <f t="shared" si="113"/>
        <v>289.43446882895324</v>
      </c>
      <c r="N1604" s="35">
        <f t="shared" si="113"/>
        <v>16.080127988902351</v>
      </c>
      <c r="O1604" s="10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 t="shared" ref="C1605:N1605" si="114">_xlfn.VAR.S(C24:C1598)</f>
        <v>44.663503252213573</v>
      </c>
      <c r="D1605" s="36">
        <f t="shared" si="114"/>
        <v>198.5921582501386</v>
      </c>
      <c r="E1605" s="36">
        <f t="shared" si="114"/>
        <v>8.2167921568339857</v>
      </c>
      <c r="F1605" s="36">
        <f t="shared" si="114"/>
        <v>107.7870890565336</v>
      </c>
      <c r="G1605" s="36">
        <f t="shared" si="114"/>
        <v>2.8095529781167565</v>
      </c>
      <c r="H1605" s="36">
        <f t="shared" si="114"/>
        <v>18.8151952622976</v>
      </c>
      <c r="I1605" s="36">
        <f t="shared" si="114"/>
        <v>579.39700685286959</v>
      </c>
      <c r="J1605" s="36">
        <f t="shared" si="114"/>
        <v>1132.4122217811</v>
      </c>
      <c r="K1605" s="36">
        <f t="shared" si="114"/>
        <v>0.47904193345999491</v>
      </c>
      <c r="L1605" s="36">
        <f t="shared" si="114"/>
        <v>6.760515172199057E-3</v>
      </c>
      <c r="M1605" s="36">
        <f t="shared" si="114"/>
        <v>83772.311746298292</v>
      </c>
      <c r="N1605" s="36">
        <f t="shared" si="114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1335</v>
      </c>
      <c r="B1610" s="14" t="s">
        <v>1296</v>
      </c>
      <c r="C1610" s="14" t="s">
        <v>1297</v>
      </c>
      <c r="D1610" s="14" t="s">
        <v>1298</v>
      </c>
      <c r="E1610" s="14" t="s">
        <v>21</v>
      </c>
      <c r="F1610" s="14" t="s">
        <v>1299</v>
      </c>
      <c r="G1610" s="14" t="s">
        <v>22</v>
      </c>
      <c r="H1610" s="14" t="s">
        <v>1300</v>
      </c>
      <c r="I1610" s="14" t="s">
        <v>1301</v>
      </c>
      <c r="J1610" s="14" t="s">
        <v>1302</v>
      </c>
      <c r="K1610" s="14" t="s">
        <v>1303</v>
      </c>
      <c r="L1610" s="14" t="s">
        <v>1304</v>
      </c>
      <c r="M1610" s="14" t="s">
        <v>1305</v>
      </c>
      <c r="N1610" s="14" t="s">
        <v>1306</v>
      </c>
      <c r="O1610"/>
      <c r="P1610"/>
      <c r="Q1610"/>
      <c r="R1610"/>
    </row>
    <row r="1611" spans="1:18" ht="15" x14ac:dyDescent="0.35">
      <c r="A1611" s="1" t="s">
        <v>1307</v>
      </c>
      <c r="B1611" s="27">
        <f t="shared" ref="B1611:N1611" si="115">AVERAGEIF($A$24:$A$1598, "*Buggy", B$24:B$1598)</f>
        <v>3.8787428571428553</v>
      </c>
      <c r="C1611" s="27">
        <f t="shared" si="115"/>
        <v>77.878285714285767</v>
      </c>
      <c r="D1611" s="27">
        <f t="shared" si="115"/>
        <v>18.437790476190468</v>
      </c>
      <c r="E1611" s="27">
        <f t="shared" si="115"/>
        <v>6.5805142857142886</v>
      </c>
      <c r="F1611" s="27">
        <f t="shared" si="115"/>
        <v>13.997790476190461</v>
      </c>
      <c r="G1611" s="27">
        <f t="shared" si="115"/>
        <v>4.0440380952380925</v>
      </c>
      <c r="H1611" s="27">
        <f t="shared" si="115"/>
        <v>10.624971428571437</v>
      </c>
      <c r="I1611" s="27">
        <f t="shared" si="115"/>
        <v>32.435047619047609</v>
      </c>
      <c r="J1611" s="27">
        <f t="shared" si="115"/>
        <v>55.840723809523787</v>
      </c>
      <c r="K1611" s="27">
        <f t="shared" si="115"/>
        <v>0.38132571428571366</v>
      </c>
      <c r="L1611" s="27">
        <f t="shared" si="115"/>
        <v>5.3943238095238107E-2</v>
      </c>
      <c r="M1611" s="27">
        <f t="shared" si="115"/>
        <v>56.324617142857178</v>
      </c>
      <c r="N1611" s="27">
        <f t="shared" si="115"/>
        <v>3.1290799999999992</v>
      </c>
      <c r="O1611"/>
      <c r="P1611"/>
      <c r="Q1611"/>
      <c r="R1611"/>
    </row>
    <row r="1612" spans="1:18" x14ac:dyDescent="0.35">
      <c r="A1612" s="1" t="s">
        <v>1308</v>
      </c>
      <c r="B1612" s="27">
        <f t="shared" ref="B1612:N1612" si="116">AVERAGEIF($A$24:$A$1598, "*Fixed", B$24:B$1598)</f>
        <v>3.880876190476187</v>
      </c>
      <c r="C1612" s="27">
        <f t="shared" si="116"/>
        <v>77.839695238095359</v>
      </c>
      <c r="D1612" s="27">
        <f t="shared" si="116"/>
        <v>18.525257142857154</v>
      </c>
      <c r="E1612" s="27">
        <f t="shared" si="116"/>
        <v>6.6144571428571393</v>
      </c>
      <c r="F1612" s="27">
        <f t="shared" si="116"/>
        <v>13.975923809523787</v>
      </c>
      <c r="G1612" s="27">
        <f t="shared" si="116"/>
        <v>4.0725333333333307</v>
      </c>
      <c r="H1612" s="27">
        <f t="shared" si="116"/>
        <v>10.68740952380953</v>
      </c>
      <c r="I1612" s="27">
        <f t="shared" si="116"/>
        <v>32.501238095238058</v>
      </c>
      <c r="J1612" s="27">
        <f t="shared" si="116"/>
        <v>56.267561904761862</v>
      </c>
      <c r="K1612" s="27">
        <f t="shared" si="116"/>
        <v>0.3880228571428565</v>
      </c>
      <c r="L1612" s="27">
        <f t="shared" si="116"/>
        <v>5.4305142857142864E-2</v>
      </c>
      <c r="M1612" s="27">
        <f t="shared" si="116"/>
        <v>56.688045714285728</v>
      </c>
      <c r="N1612" s="27">
        <f t="shared" si="116"/>
        <v>3.1493733333333331</v>
      </c>
    </row>
    <row r="1613" spans="1:18" x14ac:dyDescent="0.35">
      <c r="A1613" s="1" t="s">
        <v>1309</v>
      </c>
      <c r="B1613" s="27">
        <f t="shared" ref="B1613:N1613" si="117">AVERAGEIF($A$24:$A$1598, "*Repaired", B$24:B$1598)</f>
        <v>3.8785904761904719</v>
      </c>
      <c r="C1613" s="27">
        <f t="shared" si="117"/>
        <v>77.843942857142892</v>
      </c>
      <c r="D1613" s="27">
        <f t="shared" si="117"/>
        <v>18.371238095238098</v>
      </c>
      <c r="E1613" s="27">
        <f t="shared" si="117"/>
        <v>6.5891999999999982</v>
      </c>
      <c r="F1613" s="27">
        <f t="shared" si="117"/>
        <v>13.953676190476186</v>
      </c>
      <c r="G1613" s="27">
        <f t="shared" si="117"/>
        <v>4.0636952380952369</v>
      </c>
      <c r="H1613" s="27">
        <f t="shared" si="117"/>
        <v>10.653047619047621</v>
      </c>
      <c r="I1613" s="27">
        <f t="shared" si="117"/>
        <v>32.324819047619044</v>
      </c>
      <c r="J1613" s="27">
        <f t="shared" si="117"/>
        <v>55.924457142857101</v>
      </c>
      <c r="K1613" s="27">
        <f t="shared" si="117"/>
        <v>0.3903961904761899</v>
      </c>
      <c r="L1613" s="27">
        <f t="shared" si="117"/>
        <v>5.4914666666666667E-2</v>
      </c>
      <c r="M1613" s="27">
        <f t="shared" si="117"/>
        <v>56.704731428571435</v>
      </c>
      <c r="N1613" s="27">
        <f t="shared" si="117"/>
        <v>3.1501961904761897</v>
      </c>
    </row>
    <row r="1614" spans="1:18" x14ac:dyDescent="0.35">
      <c r="A1614" s="37" t="s">
        <v>1704</v>
      </c>
      <c r="D1614" s="37" t="s">
        <v>1695</v>
      </c>
      <c r="I1614" s="37" t="s">
        <v>1695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 t="shared" ref="D1619:O1619" si="118">AVERAGEIFS(C$24:C$1598, $Q$24:$Q$1598, "*Fixed", $R$24:$R$1598, "correct")</f>
        <v>79.375303030303044</v>
      </c>
      <c r="E1619" s="27">
        <f t="shared" si="118"/>
        <v>14.623131313131307</v>
      </c>
      <c r="F1619" s="27">
        <f t="shared" si="118"/>
        <v>5.9473232323232317</v>
      </c>
      <c r="G1619" s="27">
        <f t="shared" si="118"/>
        <v>11.140101010101011</v>
      </c>
      <c r="H1619" s="27">
        <f t="shared" si="118"/>
        <v>3.6630303030303057</v>
      </c>
      <c r="I1619" s="27">
        <f t="shared" si="118"/>
        <v>9.6111111111111072</v>
      </c>
      <c r="J1619" s="27">
        <f t="shared" si="118"/>
        <v>25.76373737373736</v>
      </c>
      <c r="K1619" s="27">
        <f t="shared" si="118"/>
        <v>47.571060606060577</v>
      </c>
      <c r="L1619" s="27">
        <f t="shared" si="118"/>
        <v>0.42216161616161618</v>
      </c>
      <c r="M1619" s="27">
        <f t="shared" si="118"/>
        <v>5.0134343434343434E-2</v>
      </c>
      <c r="N1619" s="27">
        <f t="shared" si="118"/>
        <v>53.700808080808088</v>
      </c>
      <c r="O1619" s="27">
        <f t="shared" si="118"/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 t="shared" ref="D1620:O1620" si="119">AVERAGEIFS(C$24:C$1598, $Q$24:$Q$1598, "*Repaired", $R$24:$R$1598, "correct")</f>
        <v>79.217121212121228</v>
      </c>
      <c r="E1620" s="27">
        <f t="shared" si="119"/>
        <v>14.705353535353527</v>
      </c>
      <c r="F1620" s="27">
        <f t="shared" si="119"/>
        <v>5.9746464646464625</v>
      </c>
      <c r="G1620" s="27">
        <f t="shared" si="119"/>
        <v>11.297373737373736</v>
      </c>
      <c r="H1620" s="27">
        <f t="shared" si="119"/>
        <v>3.7004040404040435</v>
      </c>
      <c r="I1620" s="27">
        <f t="shared" si="119"/>
        <v>9.6751515151515175</v>
      </c>
      <c r="J1620" s="27">
        <f t="shared" si="119"/>
        <v>26.002323232323224</v>
      </c>
      <c r="K1620" s="27">
        <f t="shared" si="119"/>
        <v>47.960303030302988</v>
      </c>
      <c r="L1620" s="27">
        <f t="shared" si="119"/>
        <v>0.4374898989898991</v>
      </c>
      <c r="M1620" s="27">
        <f t="shared" si="119"/>
        <v>5.1578787878787877E-2</v>
      </c>
      <c r="N1620" s="27">
        <f t="shared" si="119"/>
        <v>54.37969696969698</v>
      </c>
      <c r="O1620" s="27">
        <f t="shared" si="119"/>
        <v>3.0211313131313124</v>
      </c>
      <c r="P1620"/>
    </row>
    <row r="1621" spans="1:33" x14ac:dyDescent="0.35">
      <c r="A1621" s="37" t="s">
        <v>1704</v>
      </c>
      <c r="C1621" s="37" t="s">
        <v>1695</v>
      </c>
      <c r="D1621" s="37" t="s">
        <v>1695</v>
      </c>
      <c r="E1621" s="37" t="s">
        <v>1695</v>
      </c>
      <c r="F1621" s="37" t="s">
        <v>1695</v>
      </c>
      <c r="G1621" s="37" t="s">
        <v>1695</v>
      </c>
      <c r="H1621" s="37" t="s">
        <v>1695</v>
      </c>
      <c r="I1621" s="37" t="s">
        <v>1695</v>
      </c>
      <c r="J1621" s="37" t="s">
        <v>1695</v>
      </c>
      <c r="K1621" s="37" t="s">
        <v>1695</v>
      </c>
      <c r="L1621" s="37"/>
      <c r="M1621" s="37"/>
      <c r="N1621" s="37"/>
      <c r="O1621" s="37"/>
    </row>
    <row r="1622" spans="1:33" ht="28.8" x14ac:dyDescent="0.35">
      <c r="B1622" s="14" t="s">
        <v>1335</v>
      </c>
      <c r="C1622" s="14" t="s">
        <v>1296</v>
      </c>
      <c r="D1622" s="14" t="s">
        <v>1297</v>
      </c>
      <c r="E1622" s="14" t="s">
        <v>1298</v>
      </c>
      <c r="F1622" s="14" t="s">
        <v>21</v>
      </c>
      <c r="G1622" s="14" t="s">
        <v>1299</v>
      </c>
      <c r="H1622" s="14" t="s">
        <v>22</v>
      </c>
      <c r="I1622" s="14" t="s">
        <v>1300</v>
      </c>
      <c r="J1622" s="14" t="s">
        <v>1301</v>
      </c>
      <c r="K1622" s="14" t="s">
        <v>1302</v>
      </c>
      <c r="L1622" s="14" t="s">
        <v>1303</v>
      </c>
      <c r="M1622" s="14" t="s">
        <v>1304</v>
      </c>
      <c r="N1622" s="14" t="s">
        <v>1305</v>
      </c>
      <c r="O1622" s="14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 t="shared" ref="D1623:N1623" si="120">AVERAGEIFS(C$24:C$1598, $Q$24:$Q$1598, "*Fixed", $R$24:$R$1598, "plausible")</f>
        <v>76.909877675841074</v>
      </c>
      <c r="E1623" s="27">
        <f t="shared" si="120"/>
        <v>20.888012232415903</v>
      </c>
      <c r="F1623" s="27">
        <f t="shared" si="120"/>
        <v>7.0184097859327235</v>
      </c>
      <c r="G1623" s="27">
        <f t="shared" si="120"/>
        <v>15.693027522935763</v>
      </c>
      <c r="H1623" s="27">
        <f t="shared" si="120"/>
        <v>4.3204892966360831</v>
      </c>
      <c r="I1623" s="27">
        <f t="shared" si="120"/>
        <v>11.339113149847099</v>
      </c>
      <c r="J1623" s="27">
        <f t="shared" si="120"/>
        <v>36.580825688073354</v>
      </c>
      <c r="K1623" s="27">
        <f t="shared" si="120"/>
        <v>61.533333333333381</v>
      </c>
      <c r="L1623" s="27">
        <f t="shared" si="120"/>
        <v>0.36735168195718676</v>
      </c>
      <c r="M1623" s="27">
        <f t="shared" si="120"/>
        <v>5.6830581039755364E-2</v>
      </c>
      <c r="N1623" s="27">
        <f t="shared" si="120"/>
        <v>58.4968318042813</v>
      </c>
      <c r="O1623" s="27">
        <f t="shared" ref="E1623:O1624" si="121"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 t="shared" si="121"/>
        <v>20.590948012232403</v>
      </c>
      <c r="F1624" s="27">
        <f t="shared" si="121"/>
        <v>6.9613149847094808</v>
      </c>
      <c r="G1624" s="27">
        <f t="shared" si="121"/>
        <v>15.562079510703374</v>
      </c>
      <c r="H1624" s="27">
        <f t="shared" si="121"/>
        <v>4.2836697247706406</v>
      </c>
      <c r="I1624" s="27">
        <f t="shared" si="121"/>
        <v>11.24516819571865</v>
      </c>
      <c r="J1624" s="27">
        <f t="shared" si="121"/>
        <v>36.153119266055043</v>
      </c>
      <c r="K1624" s="27">
        <f t="shared" si="121"/>
        <v>60.746788990825642</v>
      </c>
      <c r="L1624" s="27">
        <f t="shared" si="121"/>
        <v>0.36188073394495435</v>
      </c>
      <c r="M1624" s="27">
        <f t="shared" si="121"/>
        <v>5.6934556574923557E-2</v>
      </c>
      <c r="N1624" s="27">
        <f t="shared" si="121"/>
        <v>58.112550458715553</v>
      </c>
      <c r="O1624" s="27">
        <f t="shared" si="121"/>
        <v>3.2283455657492364</v>
      </c>
    </row>
    <row r="1625" spans="1:33" customFormat="1" ht="15" x14ac:dyDescent="0.35">
      <c r="A1625" s="37" t="s">
        <v>1704</v>
      </c>
      <c r="C1625" s="37" t="s">
        <v>1695</v>
      </c>
      <c r="D1625" s="37" t="s">
        <v>1695</v>
      </c>
      <c r="E1625" s="37" t="s">
        <v>1695</v>
      </c>
      <c r="F1625" s="37" t="s">
        <v>1695</v>
      </c>
      <c r="G1625" s="37" t="s">
        <v>1695</v>
      </c>
      <c r="H1625" s="37" t="s">
        <v>1695</v>
      </c>
      <c r="I1625" s="37" t="s">
        <v>1695</v>
      </c>
      <c r="J1625" s="37" t="s">
        <v>1695</v>
      </c>
      <c r="K1625" s="37" t="s">
        <v>1695</v>
      </c>
      <c r="L1625" s="37" t="s">
        <v>1695</v>
      </c>
      <c r="N1625" s="37" t="s">
        <v>1695</v>
      </c>
      <c r="O1625" s="37" t="s">
        <v>1695</v>
      </c>
    </row>
    <row r="1626" spans="1:33" ht="18.600000000000001" customHeight="1" x14ac:dyDescent="0.35">
      <c r="A1626" s="33" t="s">
        <v>1692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S1626" s="47" t="s">
        <v>1713</v>
      </c>
      <c r="T1626" s="47"/>
      <c r="U1626" s="47"/>
      <c r="V1626" s="47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/>
    </row>
    <row r="1627" spans="1:33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33" ht="57.6" x14ac:dyDescent="0.35">
      <c r="B1628" s="14" t="s">
        <v>1335</v>
      </c>
      <c r="C1628" s="14" t="s">
        <v>1296</v>
      </c>
      <c r="D1628" s="14" t="s">
        <v>1297</v>
      </c>
      <c r="E1628" s="14" t="s">
        <v>1298</v>
      </c>
      <c r="F1628" s="14" t="s">
        <v>21</v>
      </c>
      <c r="G1628" s="14" t="s">
        <v>1299</v>
      </c>
      <c r="H1628" s="14" t="s">
        <v>22</v>
      </c>
      <c r="I1628" s="14" t="s">
        <v>1300</v>
      </c>
      <c r="J1628" s="14" t="s">
        <v>1301</v>
      </c>
      <c r="K1628" s="14" t="s">
        <v>1302</v>
      </c>
      <c r="L1628" s="14" t="s">
        <v>1303</v>
      </c>
      <c r="M1628" s="14" t="s">
        <v>1304</v>
      </c>
      <c r="N1628" s="14" t="s">
        <v>1305</v>
      </c>
      <c r="O1628" s="14" t="s">
        <v>1306</v>
      </c>
      <c r="S1628" s="14" t="s">
        <v>1335</v>
      </c>
      <c r="T1628" s="14" t="s">
        <v>1296</v>
      </c>
      <c r="U1628" s="14" t="s">
        <v>1297</v>
      </c>
      <c r="V1628" s="14" t="s">
        <v>1298</v>
      </c>
      <c r="W1628" s="14" t="s">
        <v>21</v>
      </c>
      <c r="X1628" s="14" t="s">
        <v>1299</v>
      </c>
      <c r="Y1628" s="14" t="s">
        <v>22</v>
      </c>
      <c r="Z1628" s="14" t="s">
        <v>1300</v>
      </c>
      <c r="AA1628" s="14" t="s">
        <v>1301</v>
      </c>
      <c r="AB1628" s="14" t="s">
        <v>1302</v>
      </c>
      <c r="AC1628" s="14" t="s">
        <v>1303</v>
      </c>
      <c r="AD1628" s="14" t="s">
        <v>1304</v>
      </c>
      <c r="AE1628" s="14" t="s">
        <v>1305</v>
      </c>
      <c r="AF1628" s="14" t="s">
        <v>1306</v>
      </c>
    </row>
    <row r="1629" spans="1:33" x14ac:dyDescent="0.35">
      <c r="A1629" s="1">
        <f>COUNTIFS($Q$24:$Q$1598, "*Fixed", $S$24:$S$1598, "&lt;2")</f>
        <v>271</v>
      </c>
      <c r="B1629" s="1" t="s">
        <v>1696</v>
      </c>
      <c r="C1629" s="27">
        <f t="shared" ref="C1629:O1629" si="122">AVERAGEIFS(B$24:B$1598, $Q$24:$Q$1598, "*Fixed", $S$24:$S$1598, "&lt;2")</f>
        <v>3.8940221402214039</v>
      </c>
      <c r="D1629" s="27">
        <f t="shared" si="122"/>
        <v>77.983911439114479</v>
      </c>
      <c r="E1629" s="27">
        <f t="shared" si="122"/>
        <v>18.020885608856091</v>
      </c>
      <c r="F1629" s="27">
        <f t="shared" si="122"/>
        <v>6.4891881918819188</v>
      </c>
      <c r="G1629" s="27">
        <f t="shared" si="122"/>
        <v>13.478118081180812</v>
      </c>
      <c r="H1629" s="27">
        <f t="shared" si="122"/>
        <v>4.019520295202951</v>
      </c>
      <c r="I1629" s="27">
        <f t="shared" si="122"/>
        <v>10.508671586715854</v>
      </c>
      <c r="J1629" s="27">
        <f t="shared" si="122"/>
        <v>31.498966789667868</v>
      </c>
      <c r="K1629" s="27">
        <f t="shared" si="122"/>
        <v>54.547269372693755</v>
      </c>
      <c r="L1629" s="27">
        <f t="shared" si="122"/>
        <v>0.40367158671586728</v>
      </c>
      <c r="M1629" s="27">
        <f t="shared" si="122"/>
        <v>5.0355719557195602E-2</v>
      </c>
      <c r="N1629" s="27">
        <f t="shared" si="122"/>
        <v>45.778929889298894</v>
      </c>
      <c r="O1629" s="27">
        <f t="shared" si="122"/>
        <v>2.5431549815498156</v>
      </c>
      <c r="R1629" s="1">
        <f>COUNTIFS($Q$24:$Q$1598, "*Fixed", $S$24:$S$1598, "&lt;2",  $V$24:$V$1598, "&lt;2")</f>
        <v>11</v>
      </c>
      <c r="S1629" s="1" t="s">
        <v>1711</v>
      </c>
      <c r="T1629" s="43">
        <f>AVERAGEIFS(B$24:B$1598, $Q$24:$Q$1598, "*Fixed", $S$24:$S$1598, "&lt;2", $V$24:$V$1598, "&lt;2")</f>
        <v>3.4299999999999997</v>
      </c>
      <c r="U1629" s="43">
        <f t="shared" ref="U1629:AF1629" si="123">AVERAGEIFS(C$24:C$1598, $Q$24:$Q$1598, "*Fixed", $S$24:$S$1598, "&lt;2", $V$24:$V$1598, "&lt;2")</f>
        <v>80.956363636363648</v>
      </c>
      <c r="V1629" s="43">
        <f t="shared" si="123"/>
        <v>13.758181818181816</v>
      </c>
      <c r="W1629" s="43">
        <f t="shared" si="123"/>
        <v>6.5281818181818183</v>
      </c>
      <c r="X1629" s="43">
        <f t="shared" si="123"/>
        <v>9.9381818181818193</v>
      </c>
      <c r="Y1629" s="43">
        <f t="shared" si="123"/>
        <v>3.5081818181818192</v>
      </c>
      <c r="Z1629" s="43">
        <f t="shared" si="123"/>
        <v>10.036363636363637</v>
      </c>
      <c r="AA1629" s="43">
        <f t="shared" si="123"/>
        <v>23.696363636363639</v>
      </c>
      <c r="AB1629" s="43">
        <f t="shared" si="123"/>
        <v>48.200909090909086</v>
      </c>
      <c r="AC1629" s="43">
        <f t="shared" si="123"/>
        <v>0.15163636363636362</v>
      </c>
      <c r="AD1629" s="43">
        <f t="shared" si="123"/>
        <v>7.8909090909090915E-2</v>
      </c>
      <c r="AE1629" s="43">
        <f t="shared" si="123"/>
        <v>6.928181818181816</v>
      </c>
      <c r="AF1629" s="43">
        <f t="shared" si="123"/>
        <v>0.38363636363636372</v>
      </c>
    </row>
    <row r="1630" spans="1:33" x14ac:dyDescent="0.35">
      <c r="A1630" s="1">
        <f>COUNTIFS($Q$24:$Q$1598, "*Repaired", $S$24:$S$1598, "&lt;2")</f>
        <v>417</v>
      </c>
      <c r="B1630" s="1" t="s">
        <v>1697</v>
      </c>
      <c r="C1630" s="27">
        <f t="shared" ref="C1630:O1630" si="124">AVERAGEIFS(B$24:B$1598, $Q$24:$Q$1598, "*Repaired", $S$24:$S$1598, "&lt;2")</f>
        <v>3.7877937649880069</v>
      </c>
      <c r="D1630" s="27">
        <f t="shared" si="124"/>
        <v>78.035995203836919</v>
      </c>
      <c r="E1630" s="27">
        <f t="shared" si="124"/>
        <v>17.518896882493991</v>
      </c>
      <c r="F1630" s="27">
        <f t="shared" si="124"/>
        <v>6.4578417266186996</v>
      </c>
      <c r="G1630" s="27">
        <f t="shared" si="124"/>
        <v>13.374004796163058</v>
      </c>
      <c r="H1630" s="27">
        <f t="shared" si="124"/>
        <v>3.9784892086330923</v>
      </c>
      <c r="I1630" s="27">
        <f t="shared" si="124"/>
        <v>10.436354916067138</v>
      </c>
      <c r="J1630" s="27">
        <f t="shared" si="124"/>
        <v>30.892829736211056</v>
      </c>
      <c r="K1630" s="27">
        <f t="shared" si="124"/>
        <v>54.116666666666646</v>
      </c>
      <c r="L1630" s="27">
        <f t="shared" si="124"/>
        <v>0.39704316546762553</v>
      </c>
      <c r="M1630" s="27">
        <f t="shared" si="124"/>
        <v>5.5131414868105529E-2</v>
      </c>
      <c r="N1630" s="27">
        <f t="shared" si="124"/>
        <v>57.091239808153468</v>
      </c>
      <c r="O1630" s="27">
        <f t="shared" si="124"/>
        <v>3.1716767386091118</v>
      </c>
      <c r="R1630" s="1">
        <f>COUNTIFS($Q$24:$Q$1598, "*Repaired", $S$24:$S$1598, "&lt;2",  $V$24:$V$1598, "&lt;2")</f>
        <v>12</v>
      </c>
      <c r="S1630" s="1" t="s">
        <v>1708</v>
      </c>
      <c r="T1630" s="43">
        <f>AVERAGEIFS(B$24:B$1598, $Q$24:$Q$1598, "*Repaired", $S$24:$S$1598, "&lt;2", $V$24:$V$1598, "&lt;2")</f>
        <v>4.9141666666666666</v>
      </c>
      <c r="U1630" s="43">
        <f t="shared" ref="U1630:AF1630" si="125">AVERAGEIFS(C$24:C$1598, $Q$24:$Q$1598, "*Repaired", $S$24:$S$1598, "&lt;2", $V$24:$V$1598, "&lt;2")</f>
        <v>74.953333333333333</v>
      </c>
      <c r="V1630" s="43">
        <f t="shared" si="125"/>
        <v>18.47583333333333</v>
      </c>
      <c r="W1630" s="43">
        <f t="shared" si="125"/>
        <v>7.1033333333333344</v>
      </c>
      <c r="X1630" s="43">
        <f t="shared" si="125"/>
        <v>15.095833333333331</v>
      </c>
      <c r="Y1630" s="43">
        <f t="shared" si="125"/>
        <v>4.5666666666666664</v>
      </c>
      <c r="Z1630" s="43">
        <f t="shared" si="125"/>
        <v>11.670833333333334</v>
      </c>
      <c r="AA1630" s="43">
        <f t="shared" si="125"/>
        <v>33.57</v>
      </c>
      <c r="AB1630" s="43">
        <f t="shared" si="125"/>
        <v>61.528333333333336</v>
      </c>
      <c r="AC1630" s="43">
        <f t="shared" si="125"/>
        <v>0.27208333333333329</v>
      </c>
      <c r="AD1630" s="43">
        <f t="shared" si="125"/>
        <v>5.1333333333333335E-2</v>
      </c>
      <c r="AE1630" s="43">
        <f t="shared" si="125"/>
        <v>59.103333333333332</v>
      </c>
      <c r="AF1630" s="43">
        <f t="shared" si="125"/>
        <v>3.2847500000000003</v>
      </c>
    </row>
    <row r="1631" spans="1:33" x14ac:dyDescent="0.35">
      <c r="A1631" s="37" t="s">
        <v>1704</v>
      </c>
      <c r="R1631" s="37" t="s">
        <v>1704</v>
      </c>
      <c r="T1631" s="44"/>
      <c r="U1631" s="44"/>
      <c r="V1631" s="44"/>
      <c r="W1631" s="44"/>
      <c r="X1631" s="44"/>
      <c r="Y1631" s="44"/>
      <c r="Z1631" s="44"/>
      <c r="AA1631" s="44"/>
      <c r="AB1631" s="44"/>
      <c r="AC1631" s="44"/>
      <c r="AD1631" s="44"/>
      <c r="AE1631" s="44"/>
      <c r="AF1631" s="44"/>
    </row>
    <row r="1632" spans="1:33" ht="57.6" x14ac:dyDescent="0.35">
      <c r="B1632" s="14" t="s">
        <v>1335</v>
      </c>
      <c r="C1632" s="14" t="s">
        <v>1296</v>
      </c>
      <c r="D1632" s="14" t="s">
        <v>1297</v>
      </c>
      <c r="E1632" s="14" t="s">
        <v>1298</v>
      </c>
      <c r="F1632" s="14" t="s">
        <v>21</v>
      </c>
      <c r="G1632" s="14" t="s">
        <v>1299</v>
      </c>
      <c r="H1632" s="14" t="s">
        <v>22</v>
      </c>
      <c r="I1632" s="14" t="s">
        <v>1300</v>
      </c>
      <c r="J1632" s="14" t="s">
        <v>1301</v>
      </c>
      <c r="K1632" s="14" t="s">
        <v>1302</v>
      </c>
      <c r="L1632" s="14" t="s">
        <v>1303</v>
      </c>
      <c r="M1632" s="14" t="s">
        <v>1304</v>
      </c>
      <c r="N1632" s="14" t="s">
        <v>1305</v>
      </c>
      <c r="O1632" s="14" t="s">
        <v>1306</v>
      </c>
      <c r="S1632" s="14" t="s">
        <v>1335</v>
      </c>
      <c r="T1632" s="45" t="s">
        <v>1296</v>
      </c>
      <c r="U1632" s="45" t="s">
        <v>1297</v>
      </c>
      <c r="V1632" s="45" t="s">
        <v>1298</v>
      </c>
      <c r="W1632" s="45" t="s">
        <v>21</v>
      </c>
      <c r="X1632" s="45" t="s">
        <v>1299</v>
      </c>
      <c r="Y1632" s="45" t="s">
        <v>22</v>
      </c>
      <c r="Z1632" s="45" t="s">
        <v>1300</v>
      </c>
      <c r="AA1632" s="45" t="s">
        <v>1301</v>
      </c>
      <c r="AB1632" s="45" t="s">
        <v>1302</v>
      </c>
      <c r="AC1632" s="45" t="s">
        <v>1303</v>
      </c>
      <c r="AD1632" s="45" t="s">
        <v>1304</v>
      </c>
      <c r="AE1632" s="45" t="s">
        <v>1305</v>
      </c>
      <c r="AF1632" s="45" t="s">
        <v>1306</v>
      </c>
    </row>
    <row r="1633" spans="1:33" customFormat="1" ht="15" x14ac:dyDescent="0.35">
      <c r="A1633" s="1">
        <f>COUNTIFS($Q$24:$Q$1598, "*Fixed", $S$24:$S$1598, "&gt;1")</f>
        <v>254</v>
      </c>
      <c r="B1633" s="1" t="s">
        <v>1698</v>
      </c>
      <c r="C1633" s="27">
        <f t="shared" ref="C1633:O1633" si="126">AVERAGEIFS(B$24:B$1598, $Q$24:$Q$1598, "*Fixed", $S$24:$S$1598, "&gt;1")</f>
        <v>3.8668503937007923</v>
      </c>
      <c r="D1633" s="27">
        <f t="shared" si="126"/>
        <v>77.685826771653538</v>
      </c>
      <c r="E1633" s="27">
        <f t="shared" si="126"/>
        <v>19.063385826771665</v>
      </c>
      <c r="F1633" s="27">
        <f t="shared" si="126"/>
        <v>6.748110236220473</v>
      </c>
      <c r="G1633" s="27">
        <f t="shared" si="126"/>
        <v>14.507047244094496</v>
      </c>
      <c r="H1633" s="27">
        <f t="shared" si="126"/>
        <v>4.1290944881889784</v>
      </c>
      <c r="I1633" s="27">
        <f t="shared" si="126"/>
        <v>10.878110236220472</v>
      </c>
      <c r="J1633" s="27">
        <f t="shared" si="126"/>
        <v>33.57059055118112</v>
      </c>
      <c r="K1633" s="27">
        <f t="shared" si="126"/>
        <v>58.102992125984272</v>
      </c>
      <c r="L1633" s="27">
        <f t="shared" si="126"/>
        <v>0.37132677165354344</v>
      </c>
      <c r="M1633" s="27">
        <f t="shared" si="126"/>
        <v>5.8518897637795289E-2</v>
      </c>
      <c r="N1633" s="27">
        <f t="shared" si="126"/>
        <v>68.327299212598376</v>
      </c>
      <c r="O1633" s="27">
        <f t="shared" si="126"/>
        <v>3.7961653543307117</v>
      </c>
      <c r="R1633" s="1">
        <f>COUNTIFS($Q$24:$Q$1598, "*Fixed", $S$24:$S$1598, "&lt;2", $V$24:$V$1598, "&gt;1")</f>
        <v>260</v>
      </c>
      <c r="S1633" s="1" t="s">
        <v>1705</v>
      </c>
      <c r="T1633" s="43">
        <f>AVERAGEIFS(B$24:B$1598, $Q$24:$Q$1598, "*Fixed", $S$24:$S$1598, "&lt;2", $V$24:$V$1598, "&gt;1")</f>
        <v>3.9136538461538475</v>
      </c>
      <c r="U1633" s="43">
        <f t="shared" ref="U1633:AF1633" si="127">AVERAGEIFS(C$24:C$1598, $Q$24:$Q$1598, "*Fixed", $S$24:$S$1598, "&lt;2", $V$24:$V$1598, "&gt;1")</f>
        <v>77.858153846153911</v>
      </c>
      <c r="V1633" s="43">
        <f t="shared" si="127"/>
        <v>18.201230769230776</v>
      </c>
      <c r="W1633" s="43">
        <f t="shared" si="127"/>
        <v>6.4875384615384597</v>
      </c>
      <c r="X1633" s="43">
        <f t="shared" si="127"/>
        <v>13.627884615384611</v>
      </c>
      <c r="Y1633" s="43">
        <f t="shared" si="127"/>
        <v>4.0411538461538452</v>
      </c>
      <c r="Z1633" s="43">
        <f t="shared" si="127"/>
        <v>10.528653846153835</v>
      </c>
      <c r="AA1633" s="43">
        <f t="shared" si="127"/>
        <v>31.829076923076894</v>
      </c>
      <c r="AB1633" s="43">
        <f t="shared" si="127"/>
        <v>54.815769230769249</v>
      </c>
      <c r="AC1633" s="43">
        <f t="shared" si="127"/>
        <v>0.41433461538461563</v>
      </c>
      <c r="AD1633" s="43">
        <f t="shared" si="127"/>
        <v>4.914769230769233E-2</v>
      </c>
      <c r="AE1633" s="43">
        <f t="shared" si="127"/>
        <v>47.422615384615376</v>
      </c>
      <c r="AF1633" s="43">
        <f t="shared" si="127"/>
        <v>2.6345192307692304</v>
      </c>
    </row>
    <row r="1634" spans="1:33" x14ac:dyDescent="0.35">
      <c r="A1634" s="1">
        <f>COUNTIFS($Q$24:$Q$1598, "*Repaired", $S$24:$S$1598, "&gt;1")</f>
        <v>108</v>
      </c>
      <c r="B1634" s="1" t="s">
        <v>1699</v>
      </c>
      <c r="C1634" s="27">
        <f t="shared" ref="C1634:O1634" si="128">AVERAGEIFS(B$24:B$1598, $Q$24:$Q$1598, "*Repaired", $S$24:$S$1598, "&gt;1")</f>
        <v>4.2291666666666652</v>
      </c>
      <c r="D1634" s="27">
        <f t="shared" si="128"/>
        <v>77.102407407407426</v>
      </c>
      <c r="E1634" s="27">
        <f t="shared" si="128"/>
        <v>21.662222222222209</v>
      </c>
      <c r="F1634" s="27">
        <f t="shared" si="128"/>
        <v>7.0963888888888853</v>
      </c>
      <c r="G1634" s="27">
        <f t="shared" si="128"/>
        <v>16.191851851851851</v>
      </c>
      <c r="H1634" s="27">
        <f t="shared" si="128"/>
        <v>4.3926851851851856</v>
      </c>
      <c r="I1634" s="27">
        <f t="shared" si="128"/>
        <v>11.489722222222222</v>
      </c>
      <c r="J1634" s="27">
        <f t="shared" si="128"/>
        <v>37.853888888888882</v>
      </c>
      <c r="K1634" s="27">
        <f t="shared" si="128"/>
        <v>62.904537037037045</v>
      </c>
      <c r="L1634" s="27">
        <f t="shared" si="128"/>
        <v>0.36473148148148149</v>
      </c>
      <c r="M1634" s="27">
        <f t="shared" si="128"/>
        <v>5.4077777777777759E-2</v>
      </c>
      <c r="N1634" s="27">
        <f t="shared" si="128"/>
        <v>55.212379629629652</v>
      </c>
      <c r="O1634" s="27">
        <f t="shared" si="128"/>
        <v>3.0672574074074079</v>
      </c>
      <c r="R1634" s="1">
        <f>COUNTIFS($Q$24:$Q$1598, "*Repaired",  $S$24:$S$1598, "&lt;2", $V$24:$V$1598, "&gt;1")</f>
        <v>405</v>
      </c>
      <c r="S1634" s="1" t="s">
        <v>1709</v>
      </c>
      <c r="T1634" s="43">
        <f>AVERAGEIFS(B$24:B$1598, $Q$24:$Q$1598, "*Repaired", $S$24:$S$1598, "&lt;2", $V$24:$V$1598, "&gt;1")</f>
        <v>3.7544197530864167</v>
      </c>
      <c r="U1634" s="43">
        <f t="shared" ref="U1634:AF1634" si="129">AVERAGEIFS(C$24:C$1598, $Q$24:$Q$1598, "*Repaired", $S$24:$S$1598, "&lt;2", $V$24:$V$1598, "&gt;1")</f>
        <v>78.127333333333326</v>
      </c>
      <c r="V1634" s="43">
        <f t="shared" si="129"/>
        <v>17.490543209876531</v>
      </c>
      <c r="W1634" s="43">
        <f t="shared" si="129"/>
        <v>6.4387160493827116</v>
      </c>
      <c r="X1634" s="43">
        <f t="shared" si="129"/>
        <v>13.322987654320974</v>
      </c>
      <c r="Y1634" s="43">
        <f t="shared" si="129"/>
        <v>3.9610617283950607</v>
      </c>
      <c r="Z1634" s="43">
        <f t="shared" si="129"/>
        <v>10.399777777777768</v>
      </c>
      <c r="AA1634" s="43">
        <f t="shared" si="129"/>
        <v>30.813506172839535</v>
      </c>
      <c r="AB1634" s="43">
        <f t="shared" si="129"/>
        <v>53.89706172839503</v>
      </c>
      <c r="AC1634" s="43">
        <f t="shared" si="129"/>
        <v>0.40074567901234537</v>
      </c>
      <c r="AD1634" s="43">
        <f t="shared" si="129"/>
        <v>5.524395061728396E-2</v>
      </c>
      <c r="AE1634" s="43">
        <f t="shared" si="129"/>
        <v>57.031622222222218</v>
      </c>
      <c r="AF1634" s="43">
        <f t="shared" si="129"/>
        <v>3.1683264197530865</v>
      </c>
    </row>
    <row r="1635" spans="1:33" x14ac:dyDescent="0.35">
      <c r="A1635" s="37" t="s">
        <v>1704</v>
      </c>
      <c r="C1635" s="37" t="s">
        <v>1695</v>
      </c>
      <c r="D1635" s="27"/>
      <c r="E1635" s="37" t="s">
        <v>1695</v>
      </c>
      <c r="F1635" s="37" t="s">
        <v>1695</v>
      </c>
      <c r="G1635" s="37" t="s">
        <v>1695</v>
      </c>
      <c r="H1635" s="37" t="s">
        <v>1695</v>
      </c>
      <c r="I1635" s="37" t="s">
        <v>1695</v>
      </c>
      <c r="J1635" s="37" t="s">
        <v>1695</v>
      </c>
      <c r="K1635" s="37" t="s">
        <v>1695</v>
      </c>
      <c r="L1635" s="27"/>
      <c r="M1635" s="27"/>
      <c r="N1635" s="27"/>
      <c r="O1635" s="27"/>
      <c r="R1635" s="37" t="s">
        <v>1704</v>
      </c>
      <c r="T1635" s="46" t="s">
        <v>1695</v>
      </c>
      <c r="U1635" s="43"/>
      <c r="V1635" s="46" t="s">
        <v>1695</v>
      </c>
      <c r="W1635" s="46" t="s">
        <v>1695</v>
      </c>
      <c r="X1635" s="46" t="s">
        <v>1695</v>
      </c>
      <c r="Y1635" s="46" t="s">
        <v>1695</v>
      </c>
      <c r="Z1635" s="46" t="s">
        <v>1695</v>
      </c>
      <c r="AA1635" s="46" t="s">
        <v>1695</v>
      </c>
      <c r="AB1635" s="46" t="s">
        <v>1695</v>
      </c>
      <c r="AC1635" s="43"/>
      <c r="AD1635" s="43"/>
      <c r="AE1635" s="43"/>
      <c r="AF1635" s="43"/>
    </row>
    <row r="1636" spans="1:33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</row>
    <row r="1637" spans="1:33" ht="57.6" x14ac:dyDescent="0.35">
      <c r="B1637" s="14" t="s">
        <v>1335</v>
      </c>
      <c r="C1637" s="14" t="s">
        <v>1296</v>
      </c>
      <c r="D1637" s="14" t="s">
        <v>1297</v>
      </c>
      <c r="E1637" s="14" t="s">
        <v>1298</v>
      </c>
      <c r="F1637" s="14" t="s">
        <v>21</v>
      </c>
      <c r="G1637" s="14" t="s">
        <v>1299</v>
      </c>
      <c r="H1637" s="14" t="s">
        <v>22</v>
      </c>
      <c r="I1637" s="14" t="s">
        <v>1300</v>
      </c>
      <c r="J1637" s="14" t="s">
        <v>1301</v>
      </c>
      <c r="K1637" s="14" t="s">
        <v>1302</v>
      </c>
      <c r="L1637" s="14" t="s">
        <v>1303</v>
      </c>
      <c r="M1637" s="14" t="s">
        <v>1304</v>
      </c>
      <c r="N1637" s="14" t="s">
        <v>1305</v>
      </c>
      <c r="O1637" s="14" t="s">
        <v>1306</v>
      </c>
      <c r="S1637" s="14" t="s">
        <v>1335</v>
      </c>
      <c r="T1637" s="45" t="s">
        <v>1296</v>
      </c>
      <c r="U1637" s="45" t="s">
        <v>1297</v>
      </c>
      <c r="V1637" s="45" t="s">
        <v>1298</v>
      </c>
      <c r="W1637" s="45" t="s">
        <v>21</v>
      </c>
      <c r="X1637" s="45" t="s">
        <v>1299</v>
      </c>
      <c r="Y1637" s="45" t="s">
        <v>22</v>
      </c>
      <c r="Z1637" s="45" t="s">
        <v>1300</v>
      </c>
      <c r="AA1637" s="45" t="s">
        <v>1301</v>
      </c>
      <c r="AB1637" s="45" t="s">
        <v>1302</v>
      </c>
      <c r="AC1637" s="45" t="s">
        <v>1303</v>
      </c>
      <c r="AD1637" s="45" t="s">
        <v>1304</v>
      </c>
      <c r="AE1637" s="45" t="s">
        <v>1305</v>
      </c>
      <c r="AF1637" s="45" t="s">
        <v>1306</v>
      </c>
    </row>
    <row r="1638" spans="1:33" x14ac:dyDescent="0.35">
      <c r="A1638" s="1">
        <f>COUNTIFS($Q$24:$Q$1598, "*Fixed", $V$24:$V$1598, "&lt;2")</f>
        <v>11</v>
      </c>
      <c r="B1638" s="1" t="s">
        <v>1700</v>
      </c>
      <c r="C1638" s="27">
        <f t="shared" ref="C1638:O1638" si="130">AVERAGEIFS(B$24:B$1598, $Q$24:$Q$1598, "*Fixed", $V$24:$V$1598, "&lt;2")</f>
        <v>3.4299999999999997</v>
      </c>
      <c r="D1638" s="27">
        <f t="shared" si="130"/>
        <v>80.956363636363648</v>
      </c>
      <c r="E1638" s="27">
        <f t="shared" si="130"/>
        <v>13.758181818181816</v>
      </c>
      <c r="F1638" s="27">
        <f t="shared" si="130"/>
        <v>6.5281818181818183</v>
      </c>
      <c r="G1638" s="27">
        <f t="shared" si="130"/>
        <v>9.9381818181818193</v>
      </c>
      <c r="H1638" s="27">
        <f t="shared" si="130"/>
        <v>3.5081818181818192</v>
      </c>
      <c r="I1638" s="27">
        <f t="shared" si="130"/>
        <v>10.036363636363637</v>
      </c>
      <c r="J1638" s="27">
        <f t="shared" si="130"/>
        <v>23.696363636363639</v>
      </c>
      <c r="K1638" s="27">
        <f t="shared" si="130"/>
        <v>48.200909090909086</v>
      </c>
      <c r="L1638" s="27">
        <f t="shared" si="130"/>
        <v>0.15163636363636362</v>
      </c>
      <c r="M1638" s="27">
        <f t="shared" si="130"/>
        <v>7.8909090909090915E-2</v>
      </c>
      <c r="N1638" s="27">
        <f t="shared" si="130"/>
        <v>6.928181818181816</v>
      </c>
      <c r="O1638" s="27">
        <f t="shared" si="130"/>
        <v>0.38363636363636372</v>
      </c>
      <c r="R1638" s="1">
        <f>COUNTIFS($Q$24:$Q$1598, "*Fixed", $S$24:$S$1598, "&gt;1", $V$24:$V$1598, "&lt;2")</f>
        <v>0</v>
      </c>
      <c r="S1638" s="1" t="s">
        <v>1706</v>
      </c>
      <c r="T1638" s="43" t="e">
        <f>AVERAGEIFS(B$24:B$1598, $Q$24:$Q$1598, "*Fixed", $S$24:$S$1598, "&gt;1", $V$24:$V$1598, "&lt;2")</f>
        <v>#DIV/0!</v>
      </c>
      <c r="U1638" s="43" t="e">
        <f t="shared" ref="U1638:AF1638" si="131">AVERAGEIFS(C$24:C$1598, $Q$24:$Q$1598, "*Fixed", $S$24:$S$1598, "&gt;1", $V$24:$V$1598, "&lt;2")</f>
        <v>#DIV/0!</v>
      </c>
      <c r="V1638" s="43" t="e">
        <f t="shared" si="131"/>
        <v>#DIV/0!</v>
      </c>
      <c r="W1638" s="43" t="e">
        <f t="shared" si="131"/>
        <v>#DIV/0!</v>
      </c>
      <c r="X1638" s="43" t="e">
        <f t="shared" si="131"/>
        <v>#DIV/0!</v>
      </c>
      <c r="Y1638" s="43" t="e">
        <f t="shared" si="131"/>
        <v>#DIV/0!</v>
      </c>
      <c r="Z1638" s="43" t="e">
        <f t="shared" si="131"/>
        <v>#DIV/0!</v>
      </c>
      <c r="AA1638" s="43" t="e">
        <f t="shared" si="131"/>
        <v>#DIV/0!</v>
      </c>
      <c r="AB1638" s="43" t="e">
        <f t="shared" si="131"/>
        <v>#DIV/0!</v>
      </c>
      <c r="AC1638" s="43" t="e">
        <f t="shared" si="131"/>
        <v>#DIV/0!</v>
      </c>
      <c r="AD1638" s="43" t="e">
        <f t="shared" si="131"/>
        <v>#DIV/0!</v>
      </c>
      <c r="AE1638" s="43" t="e">
        <f t="shared" si="131"/>
        <v>#DIV/0!</v>
      </c>
      <c r="AF1638" s="43" t="e">
        <f t="shared" si="131"/>
        <v>#DIV/0!</v>
      </c>
    </row>
    <row r="1639" spans="1:33" x14ac:dyDescent="0.35">
      <c r="A1639" s="1">
        <f>COUNTIFS($Q$24:$Q$1598, "*Repaired", $V$24:$V$1598, "&lt;2")</f>
        <v>12</v>
      </c>
      <c r="B1639" s="1" t="s">
        <v>1701</v>
      </c>
      <c r="C1639" s="27">
        <f t="shared" ref="C1639:O1639" si="132">AVERAGEIFS(B$24:B$1598, $Q$24:$Q$1598, "*Repaired", $V$24:$V$1598, "&lt;2")</f>
        <v>4.9141666666666666</v>
      </c>
      <c r="D1639" s="27">
        <f t="shared" si="132"/>
        <v>74.953333333333333</v>
      </c>
      <c r="E1639" s="27">
        <f t="shared" si="132"/>
        <v>18.47583333333333</v>
      </c>
      <c r="F1639" s="27">
        <f t="shared" si="132"/>
        <v>7.1033333333333344</v>
      </c>
      <c r="G1639" s="27">
        <f t="shared" si="132"/>
        <v>15.095833333333331</v>
      </c>
      <c r="H1639" s="27">
        <f t="shared" si="132"/>
        <v>4.5666666666666664</v>
      </c>
      <c r="I1639" s="27">
        <f t="shared" si="132"/>
        <v>11.670833333333334</v>
      </c>
      <c r="J1639" s="27">
        <f t="shared" si="132"/>
        <v>33.57</v>
      </c>
      <c r="K1639" s="27">
        <f t="shared" si="132"/>
        <v>61.528333333333336</v>
      </c>
      <c r="L1639" s="27">
        <f t="shared" si="132"/>
        <v>0.27208333333333329</v>
      </c>
      <c r="M1639" s="27">
        <f t="shared" si="132"/>
        <v>5.1333333333333335E-2</v>
      </c>
      <c r="N1639" s="27">
        <f t="shared" si="132"/>
        <v>59.103333333333332</v>
      </c>
      <c r="O1639" s="27">
        <f t="shared" si="132"/>
        <v>3.2847500000000003</v>
      </c>
      <c r="R1639" s="1">
        <f>COUNTIFS($Q$24:$Q$1598, "*Repaired", $S$24:$S$1598, "&gt;1", $V$24:$V$1598, "&lt;2")</f>
        <v>0</v>
      </c>
      <c r="S1639" s="1" t="s">
        <v>1710</v>
      </c>
      <c r="T1639" s="43" t="e">
        <f>AVERAGEIFS(B$24:B$1598, $Q$24:$Q$1598, "*Repaired", $S$24:$S$1598, "&gt;1", $V$24:$V$1598, "&lt;2")</f>
        <v>#DIV/0!</v>
      </c>
      <c r="U1639" s="43" t="e">
        <f t="shared" ref="U1639:AF1639" si="133">AVERAGEIFS(C$24:C$1598, $Q$24:$Q$1598, "*Repaired", $S$24:$S$1598, "&gt;1", $V$24:$V$1598, "&lt;2")</f>
        <v>#DIV/0!</v>
      </c>
      <c r="V1639" s="43" t="e">
        <f t="shared" si="133"/>
        <v>#DIV/0!</v>
      </c>
      <c r="W1639" s="43" t="e">
        <f t="shared" si="133"/>
        <v>#DIV/0!</v>
      </c>
      <c r="X1639" s="43" t="e">
        <f t="shared" si="133"/>
        <v>#DIV/0!</v>
      </c>
      <c r="Y1639" s="43" t="e">
        <f t="shared" si="133"/>
        <v>#DIV/0!</v>
      </c>
      <c r="Z1639" s="43" t="e">
        <f t="shared" si="133"/>
        <v>#DIV/0!</v>
      </c>
      <c r="AA1639" s="43" t="e">
        <f t="shared" si="133"/>
        <v>#DIV/0!</v>
      </c>
      <c r="AB1639" s="43" t="e">
        <f t="shared" si="133"/>
        <v>#DIV/0!</v>
      </c>
      <c r="AC1639" s="43" t="e">
        <f t="shared" si="133"/>
        <v>#DIV/0!</v>
      </c>
      <c r="AD1639" s="43" t="e">
        <f t="shared" si="133"/>
        <v>#DIV/0!</v>
      </c>
      <c r="AE1639" s="43" t="e">
        <f t="shared" si="133"/>
        <v>#DIV/0!</v>
      </c>
      <c r="AF1639" s="43" t="e">
        <f t="shared" si="133"/>
        <v>#DIV/0!</v>
      </c>
    </row>
    <row r="1640" spans="1:33" x14ac:dyDescent="0.35">
      <c r="A1640" s="37"/>
      <c r="C1640" s="37"/>
      <c r="D1640" s="37"/>
      <c r="E1640" s="37"/>
      <c r="F1640" s="27"/>
      <c r="G1640" s="37"/>
      <c r="H1640" s="27"/>
      <c r="I1640" s="27"/>
      <c r="J1640" s="37"/>
      <c r="K1640" s="27"/>
      <c r="L1640" s="27"/>
      <c r="M1640" s="27"/>
      <c r="N1640" s="27"/>
      <c r="O1640" s="27"/>
      <c r="R1640" s="37" t="s">
        <v>1704</v>
      </c>
      <c r="T1640" s="44"/>
      <c r="U1640" s="44"/>
      <c r="V1640" s="44"/>
      <c r="W1640" s="44"/>
      <c r="X1640" s="44"/>
      <c r="Y1640" s="44"/>
      <c r="Z1640" s="44"/>
      <c r="AA1640" s="44"/>
      <c r="AB1640" s="44"/>
      <c r="AC1640" s="44"/>
      <c r="AD1640" s="44"/>
      <c r="AE1640" s="44"/>
      <c r="AF1640" s="44"/>
    </row>
    <row r="1641" spans="1:33" ht="57.6" x14ac:dyDescent="0.35">
      <c r="B1641" s="14" t="s">
        <v>1335</v>
      </c>
      <c r="C1641" s="14" t="s">
        <v>1296</v>
      </c>
      <c r="D1641" s="14" t="s">
        <v>1297</v>
      </c>
      <c r="E1641" s="14" t="s">
        <v>1298</v>
      </c>
      <c r="F1641" s="14" t="s">
        <v>21</v>
      </c>
      <c r="G1641" s="14" t="s">
        <v>1299</v>
      </c>
      <c r="H1641" s="14" t="s">
        <v>22</v>
      </c>
      <c r="I1641" s="14" t="s">
        <v>1300</v>
      </c>
      <c r="J1641" s="14" t="s">
        <v>1301</v>
      </c>
      <c r="K1641" s="14" t="s">
        <v>1302</v>
      </c>
      <c r="L1641" s="14" t="s">
        <v>1303</v>
      </c>
      <c r="M1641" s="14" t="s">
        <v>1304</v>
      </c>
      <c r="N1641" s="14" t="s">
        <v>1305</v>
      </c>
      <c r="O1641" s="14" t="s">
        <v>1306</v>
      </c>
      <c r="S1641" s="14" t="s">
        <v>1335</v>
      </c>
      <c r="T1641" s="45" t="s">
        <v>1296</v>
      </c>
      <c r="U1641" s="45" t="s">
        <v>1297</v>
      </c>
      <c r="V1641" s="45" t="s">
        <v>1298</v>
      </c>
      <c r="W1641" s="45" t="s">
        <v>21</v>
      </c>
      <c r="X1641" s="45" t="s">
        <v>1299</v>
      </c>
      <c r="Y1641" s="45" t="s">
        <v>22</v>
      </c>
      <c r="Z1641" s="45" t="s">
        <v>1300</v>
      </c>
      <c r="AA1641" s="45" t="s">
        <v>1301</v>
      </c>
      <c r="AB1641" s="45" t="s">
        <v>1302</v>
      </c>
      <c r="AC1641" s="45" t="s">
        <v>1303</v>
      </c>
      <c r="AD1641" s="45" t="s">
        <v>1304</v>
      </c>
      <c r="AE1641" s="45" t="s">
        <v>1305</v>
      </c>
      <c r="AF1641" s="45" t="s">
        <v>1306</v>
      </c>
    </row>
    <row r="1642" spans="1:33" x14ac:dyDescent="0.35">
      <c r="A1642" s="1">
        <f>COUNTIFS($Q$24:$Q$1598, "*Fixed", $V$24:$V$1598, "&gt;1")</f>
        <v>514</v>
      </c>
      <c r="B1642" s="1" t="s">
        <v>1702</v>
      </c>
      <c r="C1642" s="27">
        <f t="shared" ref="C1642:O1642" si="134">AVERAGEIFS(B$24:B$1598, $Q$24:$Q$1598, "*Fixed", $V$24:$V$1598, "&gt;1")</f>
        <v>3.8905252918287894</v>
      </c>
      <c r="D1642" s="27">
        <f t="shared" si="134"/>
        <v>77.772996108949528</v>
      </c>
      <c r="E1642" s="27">
        <f t="shared" si="134"/>
        <v>18.627276264591444</v>
      </c>
      <c r="F1642" s="27">
        <f t="shared" si="134"/>
        <v>6.6163035019455201</v>
      </c>
      <c r="G1642" s="27">
        <f t="shared" si="134"/>
        <v>14.062334630350168</v>
      </c>
      <c r="H1642" s="27">
        <f t="shared" si="134"/>
        <v>4.0846108949416324</v>
      </c>
      <c r="I1642" s="27">
        <f t="shared" si="134"/>
        <v>10.701342412451368</v>
      </c>
      <c r="J1642" s="27">
        <f t="shared" si="134"/>
        <v>32.689669260700349</v>
      </c>
      <c r="K1642" s="27">
        <f t="shared" si="134"/>
        <v>56.440194552529142</v>
      </c>
      <c r="L1642" s="27">
        <f t="shared" si="134"/>
        <v>0.39308171206225623</v>
      </c>
      <c r="M1642" s="27">
        <f t="shared" si="134"/>
        <v>5.3778599221789895E-2</v>
      </c>
      <c r="N1642" s="27">
        <f t="shared" si="134"/>
        <v>57.75294552529185</v>
      </c>
      <c r="O1642" s="27">
        <f t="shared" si="134"/>
        <v>3.2085622568093379</v>
      </c>
      <c r="R1642" s="1">
        <f>COUNTIFS($Q$24:$Q$1598, "*Fixed", $S$24:$S$1598, "&gt;1", $V$24:$V$1598, "&gt;1")</f>
        <v>254</v>
      </c>
      <c r="S1642" s="1" t="s">
        <v>1712</v>
      </c>
      <c r="T1642" s="43">
        <f>AVERAGEIFS(B$24:B$1598, $Q$24:$Q$1598, "*Fixed", $S$24:$S$1598, "&gt;1", $V$24:$V$1598, "&gt;1")</f>
        <v>3.8668503937007923</v>
      </c>
      <c r="U1642" s="43">
        <f t="shared" ref="U1642:AF1642" si="135">AVERAGEIFS(C$24:C$1598, $Q$24:$Q$1598, "*Fixed", $S$24:$S$1598, "&gt;1", $V$24:$V$1598, "&gt;1")</f>
        <v>77.685826771653538</v>
      </c>
      <c r="V1642" s="43">
        <f t="shared" si="135"/>
        <v>19.063385826771665</v>
      </c>
      <c r="W1642" s="43">
        <f t="shared" si="135"/>
        <v>6.748110236220473</v>
      </c>
      <c r="X1642" s="43">
        <f t="shared" si="135"/>
        <v>14.507047244094496</v>
      </c>
      <c r="Y1642" s="43">
        <f t="shared" si="135"/>
        <v>4.1290944881889784</v>
      </c>
      <c r="Z1642" s="43">
        <f t="shared" si="135"/>
        <v>10.878110236220472</v>
      </c>
      <c r="AA1642" s="43">
        <f t="shared" si="135"/>
        <v>33.57059055118112</v>
      </c>
      <c r="AB1642" s="43">
        <f t="shared" si="135"/>
        <v>58.102992125984272</v>
      </c>
      <c r="AC1642" s="43">
        <f t="shared" si="135"/>
        <v>0.37132677165354344</v>
      </c>
      <c r="AD1642" s="43">
        <f t="shared" si="135"/>
        <v>5.8518897637795289E-2</v>
      </c>
      <c r="AE1642" s="43">
        <f t="shared" si="135"/>
        <v>68.327299212598376</v>
      </c>
      <c r="AF1642" s="43">
        <f t="shared" si="135"/>
        <v>3.7961653543307117</v>
      </c>
    </row>
    <row r="1643" spans="1:33" x14ac:dyDescent="0.35">
      <c r="A1643" s="1">
        <f>COUNTIFS($Q$24:$Q$1598, "*Repaired", $V$24:$V$1598, "&gt;1")</f>
        <v>513</v>
      </c>
      <c r="B1643" s="1" t="s">
        <v>1703</v>
      </c>
      <c r="C1643" s="27">
        <f t="shared" ref="C1643:O1643" si="136">AVERAGEIFS(B$24:B$1598, $Q$24:$Q$1598, "*Repaired", $V$24:$V$1598, "&gt;1")</f>
        <v>3.8543664717348887</v>
      </c>
      <c r="D1643" s="27">
        <f t="shared" si="136"/>
        <v>77.911559454191064</v>
      </c>
      <c r="E1643" s="27">
        <f t="shared" si="136"/>
        <v>18.368791423001941</v>
      </c>
      <c r="F1643" s="27">
        <f t="shared" si="136"/>
        <v>6.577173489278751</v>
      </c>
      <c r="G1643" s="27">
        <f t="shared" si="136"/>
        <v>13.926959064327482</v>
      </c>
      <c r="H1643" s="27">
        <f t="shared" si="136"/>
        <v>4.0519298245614035</v>
      </c>
      <c r="I1643" s="27">
        <f t="shared" si="136"/>
        <v>10.629239766081874</v>
      </c>
      <c r="J1643" s="27">
        <f t="shared" si="136"/>
        <v>32.295692007797278</v>
      </c>
      <c r="K1643" s="27">
        <f t="shared" si="136"/>
        <v>55.793372319688068</v>
      </c>
      <c r="L1643" s="27">
        <f t="shared" si="136"/>
        <v>0.39316374269005783</v>
      </c>
      <c r="M1643" s="27">
        <f t="shared" si="136"/>
        <v>5.4998440545808984E-2</v>
      </c>
      <c r="N1643" s="27">
        <f t="shared" si="136"/>
        <v>56.648623781676434</v>
      </c>
      <c r="O1643" s="27">
        <f t="shared" si="136"/>
        <v>3.1470487329434689</v>
      </c>
      <c r="R1643" s="1">
        <f>COUNTIFS($Q$24:$Q$1598, "*Repaired", $S$24:$S$1598, "&gt;1", $V$24:$V$1598, "&gt;1")</f>
        <v>108</v>
      </c>
      <c r="S1643" s="1" t="s">
        <v>1707</v>
      </c>
      <c r="T1643" s="43">
        <f>AVERAGEIFS(B$24:B$1598, $Q$24:$Q$1598, "*Repaired", $S$24:$S$1598, "&gt;1", $V$24:$V$1598, "&gt;1")</f>
        <v>4.2291666666666652</v>
      </c>
      <c r="U1643" s="43">
        <f t="shared" ref="U1643:AF1643" si="137">AVERAGEIFS(C$24:C$1598, $Q$24:$Q$1598, "*Repaired", $S$24:$S$1598, "&gt;1", $V$24:$V$1598, "&gt;1")</f>
        <v>77.102407407407426</v>
      </c>
      <c r="V1643" s="43">
        <f t="shared" si="137"/>
        <v>21.662222222222209</v>
      </c>
      <c r="W1643" s="43">
        <f t="shared" si="137"/>
        <v>7.0963888888888853</v>
      </c>
      <c r="X1643" s="43">
        <f t="shared" si="137"/>
        <v>16.191851851851851</v>
      </c>
      <c r="Y1643" s="43">
        <f t="shared" si="137"/>
        <v>4.3926851851851856</v>
      </c>
      <c r="Z1643" s="43">
        <f t="shared" si="137"/>
        <v>11.489722222222222</v>
      </c>
      <c r="AA1643" s="43">
        <f t="shared" si="137"/>
        <v>37.853888888888882</v>
      </c>
      <c r="AB1643" s="43">
        <f t="shared" si="137"/>
        <v>62.904537037037045</v>
      </c>
      <c r="AC1643" s="43">
        <f t="shared" si="137"/>
        <v>0.36473148148148149</v>
      </c>
      <c r="AD1643" s="43">
        <f t="shared" si="137"/>
        <v>5.4077777777777759E-2</v>
      </c>
      <c r="AE1643" s="43">
        <f t="shared" si="137"/>
        <v>55.212379629629652</v>
      </c>
      <c r="AF1643" s="43">
        <f t="shared" si="137"/>
        <v>3.0672574074074079</v>
      </c>
    </row>
    <row r="1644" spans="1:33" x14ac:dyDescent="0.35">
      <c r="A1644" s="37" t="s">
        <v>1704</v>
      </c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R1644" s="37" t="s">
        <v>1704</v>
      </c>
      <c r="T1644" s="37" t="s">
        <v>1695</v>
      </c>
      <c r="U1644" s="27"/>
      <c r="V1644" s="37" t="s">
        <v>1695</v>
      </c>
      <c r="W1644" s="37" t="s">
        <v>1695</v>
      </c>
      <c r="X1644" s="37" t="s">
        <v>1695</v>
      </c>
      <c r="Y1644" s="37" t="s">
        <v>1695</v>
      </c>
      <c r="Z1644" s="37" t="s">
        <v>1695</v>
      </c>
      <c r="AA1644" s="37" t="s">
        <v>1695</v>
      </c>
      <c r="AB1644" s="37" t="s">
        <v>1695</v>
      </c>
      <c r="AC1644" s="27"/>
      <c r="AD1644" s="27"/>
      <c r="AE1644" s="27"/>
      <c r="AF1644" s="27"/>
    </row>
    <row r="1645" spans="1:33" ht="15" x14ac:dyDescent="0.35"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/>
    </row>
    <row r="1646" spans="1:33" ht="17.399999999999999" customHeight="1" x14ac:dyDescent="0.35">
      <c r="A1646" s="33" t="s">
        <v>1694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S1646" s="48" t="s">
        <v>1714</v>
      </c>
      <c r="T1646" s="48"/>
      <c r="U1646" s="48"/>
      <c r="V1646" s="48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  <c r="AG1646"/>
    </row>
    <row r="1647" spans="1:33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33" ht="31.2" customHeight="1" x14ac:dyDescent="0.35">
      <c r="B1648" s="14" t="s">
        <v>1335</v>
      </c>
      <c r="C1648" s="14" t="s">
        <v>1296</v>
      </c>
      <c r="D1648" s="14" t="s">
        <v>1297</v>
      </c>
      <c r="E1648" s="14" t="s">
        <v>1298</v>
      </c>
      <c r="F1648" s="14" t="s">
        <v>21</v>
      </c>
      <c r="G1648" s="14" t="s">
        <v>1299</v>
      </c>
      <c r="H1648" s="14" t="s">
        <v>22</v>
      </c>
      <c r="I1648" s="14" t="s">
        <v>1300</v>
      </c>
      <c r="J1648" s="14" t="s">
        <v>1301</v>
      </c>
      <c r="K1648" s="14" t="s">
        <v>1302</v>
      </c>
      <c r="L1648" s="14" t="s">
        <v>1303</v>
      </c>
      <c r="M1648" s="14" t="s">
        <v>1304</v>
      </c>
      <c r="N1648" s="14" t="s">
        <v>1305</v>
      </c>
      <c r="O1648" s="14" t="s">
        <v>1306</v>
      </c>
      <c r="S1648" s="14" t="s">
        <v>1335</v>
      </c>
      <c r="T1648" s="14" t="s">
        <v>1296</v>
      </c>
      <c r="U1648" s="14" t="s">
        <v>1297</v>
      </c>
      <c r="V1648" s="14" t="s">
        <v>1298</v>
      </c>
      <c r="W1648" s="14" t="s">
        <v>21</v>
      </c>
      <c r="X1648" s="14" t="s">
        <v>1299</v>
      </c>
      <c r="Y1648" s="14" t="s">
        <v>22</v>
      </c>
      <c r="Z1648" s="14" t="s">
        <v>1300</v>
      </c>
      <c r="AA1648" s="14" t="s">
        <v>1301</v>
      </c>
      <c r="AB1648" s="14" t="s">
        <v>1302</v>
      </c>
      <c r="AC1648" s="14" t="s">
        <v>1303</v>
      </c>
      <c r="AD1648" s="14" t="s">
        <v>1304</v>
      </c>
      <c r="AE1648" s="14" t="s">
        <v>1305</v>
      </c>
      <c r="AF1648" s="14" t="s">
        <v>1306</v>
      </c>
    </row>
    <row r="1649" spans="1:32" x14ac:dyDescent="0.35">
      <c r="A1649" s="1">
        <f>COUNTIFS($S$549:$S$1073, "&lt;2", $S$1074:$S$1598, "&lt;2")</f>
        <v>225</v>
      </c>
      <c r="B1649" s="1" t="s">
        <v>1696</v>
      </c>
      <c r="C1649" s="27">
        <f>AVERAGEIFS(B$549:B$1073, $S$549:$S$1073, "&lt;2", $S$1074:$S$1598, "&lt;2")</f>
        <v>3.781022222222223</v>
      </c>
      <c r="D1649" s="27">
        <f t="shared" ref="D1649:O1649" si="138">AVERAGEIFS(C$549:C$1073, $S$549:$S$1073, "&lt;2", $S$1074:$S$1598, "&lt;2")</f>
        <v>78.341244444444555</v>
      </c>
      <c r="E1649" s="27">
        <f t="shared" si="138"/>
        <v>17.151333333333341</v>
      </c>
      <c r="F1649" s="27">
        <f t="shared" si="138"/>
        <v>6.3301333333333316</v>
      </c>
      <c r="G1649" s="27">
        <f t="shared" si="138"/>
        <v>12.818711111111112</v>
      </c>
      <c r="H1649" s="27">
        <f t="shared" si="138"/>
        <v>3.9085777777777779</v>
      </c>
      <c r="I1649" s="27">
        <f t="shared" si="138"/>
        <v>10.238577777777765</v>
      </c>
      <c r="J1649" s="27">
        <f t="shared" si="138"/>
        <v>29.96999999999997</v>
      </c>
      <c r="K1649" s="27">
        <f t="shared" si="138"/>
        <v>52.366666666666667</v>
      </c>
      <c r="L1649" s="27">
        <f t="shared" si="138"/>
        <v>0.42130666666666677</v>
      </c>
      <c r="M1649" s="27">
        <f t="shared" si="138"/>
        <v>5.0608000000000014E-2</v>
      </c>
      <c r="N1649" s="27">
        <f t="shared" si="138"/>
        <v>44.244133333333345</v>
      </c>
      <c r="O1649" s="27">
        <f t="shared" si="138"/>
        <v>2.4579066666666662</v>
      </c>
      <c r="R1649" s="1">
        <f>COUNTIFS($S$549:$S$1073, "&lt;2", $V$549:$V$1073, "&lt;2", $S$1074:$S$1598, "&lt;2", $V$1074:$V$1598, "&lt;2")</f>
        <v>0</v>
      </c>
      <c r="S1649" s="1" t="s">
        <v>1711</v>
      </c>
      <c r="T1649" s="43" t="e">
        <f>AVERAGEIFS(B$549:B$1073, $S$549:$S$1073, "&lt;2", $V$549:$V$1073, "&lt;2", $S$1074:$S$1598, "&lt;2", $V$1074:$V$1598, "&lt;2")</f>
        <v>#DIV/0!</v>
      </c>
      <c r="U1649" s="43" t="e">
        <f t="shared" ref="U1649:AF1649" si="139">AVERAGEIFS(C$549:C$1073, $S$549:$S$1073, "&lt;2", $V$549:$V$1073, "&lt;2", $S$1074:$S$1598, "&lt;2", $V$1074:$V$1598, "&lt;2")</f>
        <v>#DIV/0!</v>
      </c>
      <c r="V1649" s="43" t="e">
        <f t="shared" si="139"/>
        <v>#DIV/0!</v>
      </c>
      <c r="W1649" s="43" t="e">
        <f t="shared" si="139"/>
        <v>#DIV/0!</v>
      </c>
      <c r="X1649" s="43" t="e">
        <f t="shared" si="139"/>
        <v>#DIV/0!</v>
      </c>
      <c r="Y1649" s="43" t="e">
        <f t="shared" si="139"/>
        <v>#DIV/0!</v>
      </c>
      <c r="Z1649" s="43" t="e">
        <f t="shared" si="139"/>
        <v>#DIV/0!</v>
      </c>
      <c r="AA1649" s="43" t="e">
        <f t="shared" si="139"/>
        <v>#DIV/0!</v>
      </c>
      <c r="AB1649" s="43" t="e">
        <f t="shared" si="139"/>
        <v>#DIV/0!</v>
      </c>
      <c r="AC1649" s="43" t="e">
        <f t="shared" si="139"/>
        <v>#DIV/0!</v>
      </c>
      <c r="AD1649" s="43" t="e">
        <f t="shared" si="139"/>
        <v>#DIV/0!</v>
      </c>
      <c r="AE1649" s="43" t="e">
        <f t="shared" si="139"/>
        <v>#DIV/0!</v>
      </c>
      <c r="AF1649" s="43" t="e">
        <f t="shared" si="139"/>
        <v>#DIV/0!</v>
      </c>
    </row>
    <row r="1650" spans="1:32" x14ac:dyDescent="0.35">
      <c r="A1650" s="1">
        <f>COUNTIFS($S$549:$S$1073, "&lt;2", $S$1074:$S$1598, "&lt;2")</f>
        <v>225</v>
      </c>
      <c r="B1650" s="1" t="s">
        <v>1697</v>
      </c>
      <c r="C1650" s="27">
        <f>AVERAGEIFS(B$1074:B$1598, $S$549:$S$1073, "&lt;2", $S$1074:$S$1598, "&lt;2")</f>
        <v>3.7904444444444447</v>
      </c>
      <c r="D1650" s="27">
        <f t="shared" ref="D1650:O1650" si="140">AVERAGEIFS(C$1074:C$1598, $S$549:$S$1073, "&lt;2", $S$1074:$S$1598, "&lt;2")</f>
        <v>78.257600000000039</v>
      </c>
      <c r="E1650" s="27">
        <f t="shared" si="140"/>
        <v>17.166933333333333</v>
      </c>
      <c r="F1650" s="27">
        <f t="shared" si="140"/>
        <v>6.3368444444444414</v>
      </c>
      <c r="G1650" s="27">
        <f t="shared" si="140"/>
        <v>12.88355555555556</v>
      </c>
      <c r="H1650" s="27">
        <f t="shared" si="140"/>
        <v>3.9263111111111129</v>
      </c>
      <c r="I1650" s="27">
        <f t="shared" si="140"/>
        <v>10.263244444444437</v>
      </c>
      <c r="J1650" s="27">
        <f t="shared" si="140"/>
        <v>30.050711111111085</v>
      </c>
      <c r="K1650" s="27">
        <f t="shared" si="140"/>
        <v>52.476088888888846</v>
      </c>
      <c r="L1650" s="27">
        <f t="shared" si="140"/>
        <v>0.41940444444444458</v>
      </c>
      <c r="M1650" s="27">
        <f t="shared" si="140"/>
        <v>5.1430222222222252E-2</v>
      </c>
      <c r="N1650" s="27">
        <f t="shared" si="140"/>
        <v>44.282888888888913</v>
      </c>
      <c r="O1650" s="27">
        <f t="shared" si="140"/>
        <v>2.4600622222222217</v>
      </c>
      <c r="R1650" s="1">
        <f>COUNTIFS($S$549:$S$1073, "&lt;2", $V$549:$V$1073, "&lt;2", $S$1074:$S$1598, "&lt;2", $V$1074:$V$1598, "&lt;2")</f>
        <v>0</v>
      </c>
      <c r="S1650" s="1" t="s">
        <v>1708</v>
      </c>
      <c r="T1650" s="43" t="e">
        <f>AVERAGEIFS(B$1074:B$1598, $S$549:$S$1073, "&lt;2", $V$549:$V$1073, "&lt;2", $S$1074:$S$1598, "&lt;2", $V$1074:$V$1598, "&lt;2")</f>
        <v>#DIV/0!</v>
      </c>
      <c r="U1650" s="43" t="e">
        <f t="shared" ref="U1650:AF1650" si="141">AVERAGEIFS(C$1074:C$1598, $S$549:$S$1073, "&lt;2", $V$549:$V$1073, "&lt;2", $S$1074:$S$1598, "&lt;2", $V$1074:$V$1598, "&lt;2")</f>
        <v>#DIV/0!</v>
      </c>
      <c r="V1650" s="43" t="e">
        <f t="shared" si="141"/>
        <v>#DIV/0!</v>
      </c>
      <c r="W1650" s="43" t="e">
        <f t="shared" si="141"/>
        <v>#DIV/0!</v>
      </c>
      <c r="X1650" s="43" t="e">
        <f t="shared" si="141"/>
        <v>#DIV/0!</v>
      </c>
      <c r="Y1650" s="43" t="e">
        <f t="shared" si="141"/>
        <v>#DIV/0!</v>
      </c>
      <c r="Z1650" s="43" t="e">
        <f t="shared" si="141"/>
        <v>#DIV/0!</v>
      </c>
      <c r="AA1650" s="43" t="e">
        <f t="shared" si="141"/>
        <v>#DIV/0!</v>
      </c>
      <c r="AB1650" s="43" t="e">
        <f t="shared" si="141"/>
        <v>#DIV/0!</v>
      </c>
      <c r="AC1650" s="43" t="e">
        <f t="shared" si="141"/>
        <v>#DIV/0!</v>
      </c>
      <c r="AD1650" s="43" t="e">
        <f t="shared" si="141"/>
        <v>#DIV/0!</v>
      </c>
      <c r="AE1650" s="43" t="e">
        <f t="shared" si="141"/>
        <v>#DIV/0!</v>
      </c>
      <c r="AF1650" s="43" t="e">
        <f t="shared" si="141"/>
        <v>#DIV/0!</v>
      </c>
    </row>
    <row r="1651" spans="1:32" x14ac:dyDescent="0.35">
      <c r="A1651" s="37" t="s">
        <v>1704</v>
      </c>
      <c r="D1651" s="37" t="s">
        <v>1695</v>
      </c>
      <c r="F1651" s="37" t="s">
        <v>1695</v>
      </c>
      <c r="H1651" s="37" t="s">
        <v>1695</v>
      </c>
      <c r="I1651" s="37" t="s">
        <v>1695</v>
      </c>
      <c r="K1651" s="37" t="s">
        <v>1695</v>
      </c>
      <c r="R1651" s="37" t="s">
        <v>1704</v>
      </c>
      <c r="T1651" s="44"/>
      <c r="U1651" s="44"/>
      <c r="V1651" s="44"/>
      <c r="W1651" s="44"/>
      <c r="X1651" s="44"/>
      <c r="Y1651" s="44"/>
      <c r="Z1651" s="44"/>
      <c r="AA1651" s="44"/>
      <c r="AB1651" s="44"/>
      <c r="AC1651" s="44"/>
      <c r="AD1651" s="44"/>
      <c r="AE1651" s="44"/>
      <c r="AF1651" s="44"/>
    </row>
    <row r="1652" spans="1:32" ht="31.2" customHeight="1" x14ac:dyDescent="0.35">
      <c r="B1652" s="14" t="s">
        <v>1335</v>
      </c>
      <c r="C1652" s="14" t="s">
        <v>1296</v>
      </c>
      <c r="D1652" s="14" t="s">
        <v>1297</v>
      </c>
      <c r="E1652" s="14" t="s">
        <v>1298</v>
      </c>
      <c r="F1652" s="14" t="s">
        <v>21</v>
      </c>
      <c r="G1652" s="14" t="s">
        <v>1299</v>
      </c>
      <c r="H1652" s="14" t="s">
        <v>22</v>
      </c>
      <c r="I1652" s="14" t="s">
        <v>1300</v>
      </c>
      <c r="J1652" s="14" t="s">
        <v>1301</v>
      </c>
      <c r="K1652" s="14" t="s">
        <v>1302</v>
      </c>
      <c r="L1652" s="14" t="s">
        <v>1303</v>
      </c>
      <c r="M1652" s="14" t="s">
        <v>1304</v>
      </c>
      <c r="N1652" s="14" t="s">
        <v>1305</v>
      </c>
      <c r="O1652" s="14" t="s">
        <v>1306</v>
      </c>
      <c r="S1652" s="14" t="s">
        <v>1335</v>
      </c>
      <c r="T1652" s="45" t="s">
        <v>1296</v>
      </c>
      <c r="U1652" s="45" t="s">
        <v>1297</v>
      </c>
      <c r="V1652" s="45" t="s">
        <v>1298</v>
      </c>
      <c r="W1652" s="45" t="s">
        <v>21</v>
      </c>
      <c r="X1652" s="45" t="s">
        <v>1299</v>
      </c>
      <c r="Y1652" s="45" t="s">
        <v>22</v>
      </c>
      <c r="Z1652" s="45" t="s">
        <v>1300</v>
      </c>
      <c r="AA1652" s="45" t="s">
        <v>1301</v>
      </c>
      <c r="AB1652" s="45" t="s">
        <v>1302</v>
      </c>
      <c r="AC1652" s="45" t="s">
        <v>1303</v>
      </c>
      <c r="AD1652" s="45" t="s">
        <v>1304</v>
      </c>
      <c r="AE1652" s="45" t="s">
        <v>1305</v>
      </c>
      <c r="AF1652" s="45" t="s">
        <v>1306</v>
      </c>
    </row>
    <row r="1653" spans="1:32" x14ac:dyDescent="0.35">
      <c r="A1653" s="1">
        <f>COUNTIFS($S$549:$S$1073, "&gt;1", $S$1074:$S$1598, "&gt;1")</f>
        <v>62</v>
      </c>
      <c r="B1653" s="1" t="s">
        <v>1698</v>
      </c>
      <c r="C1653" s="27">
        <f>AVERAGEIFS(B$549:B$1073, $S$549:$S$1073, "&gt;1", $S$1074:$S$1598, "&gt;1")</f>
        <v>4.0487096774193549</v>
      </c>
      <c r="D1653" s="27">
        <f t="shared" ref="D1653:O1653" si="142">AVERAGEIFS(C$549:C$1073, $S$549:$S$1073, "&gt;1", $S$1074:$S$1598, "&gt;1")</f>
        <v>77.940967741935467</v>
      </c>
      <c r="E1653" s="27">
        <f t="shared" si="142"/>
        <v>21.405483870967739</v>
      </c>
      <c r="F1653" s="27">
        <f t="shared" si="142"/>
        <v>6.9729032258064532</v>
      </c>
      <c r="G1653" s="27">
        <f t="shared" si="142"/>
        <v>15.855806451612908</v>
      </c>
      <c r="H1653" s="27">
        <f t="shared" si="142"/>
        <v>4.2169354838709685</v>
      </c>
      <c r="I1653" s="27">
        <f t="shared" si="142"/>
        <v>11.190806451612904</v>
      </c>
      <c r="J1653" s="27">
        <f t="shared" si="142"/>
        <v>37.26064516129032</v>
      </c>
      <c r="K1653" s="27">
        <f t="shared" si="142"/>
        <v>61.217903225806459</v>
      </c>
      <c r="L1653" s="27">
        <f t="shared" si="142"/>
        <v>0.37467741935483867</v>
      </c>
      <c r="M1653" s="27">
        <f t="shared" si="142"/>
        <v>5.2287096774193534E-2</v>
      </c>
      <c r="N1653" s="27">
        <f t="shared" si="142"/>
        <v>55.909629032258081</v>
      </c>
      <c r="O1653" s="27">
        <f t="shared" si="142"/>
        <v>3.1062548387096771</v>
      </c>
      <c r="R1653" s="1">
        <f>COUNTIFS($S$549:$S$1073, "&lt;2", $V$549:$V$1073, "&gt;1", $S$1074:$S$1598, "&lt;2", $V$1074:$V$1598, "&gt;1")</f>
        <v>210</v>
      </c>
      <c r="S1653" s="1" t="s">
        <v>1705</v>
      </c>
      <c r="T1653" s="43">
        <f>AVERAGEIFS(B$549:B$1073, $S$549:$S$1073, "&lt;2", $V$549:$V$1073, "&gt;1", $S$1074:$S$1598, "&lt;2", $V$1074:$V$1598, "&gt;1")</f>
        <v>3.7931428571428576</v>
      </c>
      <c r="U1653" s="43">
        <f t="shared" ref="U1653:AF1653" si="143">AVERAGEIFS(C$549:C$1073, $S$549:$S$1073, "&lt;2", $V$549:$V$1073, "&gt;1", $S$1074:$S$1598, "&lt;2", $V$1074:$V$1598, "&gt;1")</f>
        <v>78.244428571428642</v>
      </c>
      <c r="V1653" s="43">
        <f t="shared" si="143"/>
        <v>17.406619047619056</v>
      </c>
      <c r="W1653" s="43">
        <f t="shared" si="143"/>
        <v>6.3357619047619025</v>
      </c>
      <c r="X1653" s="43">
        <f t="shared" si="143"/>
        <v>13.016904761904758</v>
      </c>
      <c r="Y1653" s="43">
        <f t="shared" si="143"/>
        <v>3.9191904761904772</v>
      </c>
      <c r="Z1653" s="43">
        <f t="shared" si="143"/>
        <v>10.254761904761892</v>
      </c>
      <c r="AA1653" s="43">
        <f t="shared" si="143"/>
        <v>30.423476190476158</v>
      </c>
      <c r="AB1653" s="43">
        <f t="shared" si="143"/>
        <v>52.691142857142843</v>
      </c>
      <c r="AC1653" s="43">
        <f t="shared" si="143"/>
        <v>0.43918571428571451</v>
      </c>
      <c r="AD1653" s="43">
        <f t="shared" si="143"/>
        <v>4.8418095238095246E-2</v>
      </c>
      <c r="AE1653" s="43">
        <f t="shared" si="143"/>
        <v>46.978666666666662</v>
      </c>
      <c r="AF1653" s="43">
        <f t="shared" si="143"/>
        <v>2.6098523809523804</v>
      </c>
    </row>
    <row r="1654" spans="1:32" x14ac:dyDescent="0.35">
      <c r="A1654" s="1">
        <f>COUNTIFS($S$549:$S$1073, "&gt;1", $S$1074:$S$1598, "&gt;1")</f>
        <v>62</v>
      </c>
      <c r="B1654" s="1" t="s">
        <v>1699</v>
      </c>
      <c r="C1654" s="27">
        <f>AVERAGEIFS(B$1074:B$1598, $S$549:$S$1073, "&gt;1", $S$1074:$S$1598, "&gt;1")</f>
        <v>4.0730645161290333</v>
      </c>
      <c r="D1654" s="27">
        <f t="shared" ref="D1654:O1654" si="144">AVERAGEIFS(C$1074:C$1598, $S$549:$S$1073, "&gt;1", $S$1074:$S$1598, "&gt;1")</f>
        <v>77.757580645161269</v>
      </c>
      <c r="E1654" s="27">
        <f t="shared" si="144"/>
        <v>21.26193548387096</v>
      </c>
      <c r="F1654" s="27">
        <f t="shared" si="144"/>
        <v>6.9777419354838726</v>
      </c>
      <c r="G1654" s="27">
        <f t="shared" si="144"/>
        <v>15.834193548387097</v>
      </c>
      <c r="H1654" s="27">
        <f t="shared" si="144"/>
        <v>4.2558064516129033</v>
      </c>
      <c r="I1654" s="27">
        <f t="shared" si="144"/>
        <v>11.234193548387095</v>
      </c>
      <c r="J1654" s="27">
        <f t="shared" si="144"/>
        <v>37.095322580645167</v>
      </c>
      <c r="K1654" s="27">
        <f t="shared" si="144"/>
        <v>61.194677419354832</v>
      </c>
      <c r="L1654" s="27">
        <f t="shared" si="144"/>
        <v>0.40354838709677415</v>
      </c>
      <c r="M1654" s="27">
        <f t="shared" si="144"/>
        <v>5.7916129032258054E-2</v>
      </c>
      <c r="N1654" s="27">
        <f t="shared" si="144"/>
        <v>56.821080645161302</v>
      </c>
      <c r="O1654" s="27">
        <f t="shared" si="144"/>
        <v>3.1567387096774184</v>
      </c>
      <c r="R1654" s="1">
        <f>COUNTIFS($S$549:$S$1073, "&lt;2", $V$549:$V$1073, "&gt;1", $S$1074:$S$1598, "&lt;2", $V$1074:$V$1598, "&gt;1")</f>
        <v>210</v>
      </c>
      <c r="S1654" s="1" t="s">
        <v>1709</v>
      </c>
      <c r="T1654" s="43">
        <f>AVERAGEIFS(B$1074:B$1598, $S$549:$S$1073, "&lt;2", $V$549:$V$1073, "&gt;1", $S$1074:$S$1598, "&lt;2", $V$1074:$V$1598, "&gt;1")</f>
        <v>3.8024285714285715</v>
      </c>
      <c r="U1654" s="43">
        <f t="shared" ref="U1654:AF1654" si="145">AVERAGEIFS(C$1074:C$1598, $S$549:$S$1073, "&lt;2", $V$549:$V$1073, "&gt;1", $S$1074:$S$1598, "&lt;2", $V$1074:$V$1598, "&gt;1")</f>
        <v>78.154523809523795</v>
      </c>
      <c r="V1654" s="43">
        <f t="shared" si="145"/>
        <v>17.423952380952382</v>
      </c>
      <c r="W1654" s="43">
        <f t="shared" si="145"/>
        <v>6.3423809523809487</v>
      </c>
      <c r="X1654" s="43">
        <f t="shared" si="145"/>
        <v>13.083523809523813</v>
      </c>
      <c r="Y1654" s="43">
        <f t="shared" si="145"/>
        <v>3.9376666666666691</v>
      </c>
      <c r="Z1654" s="43">
        <f t="shared" si="145"/>
        <v>10.280142857142852</v>
      </c>
      <c r="AA1654" s="43">
        <f t="shared" si="145"/>
        <v>30.507761904761875</v>
      </c>
      <c r="AB1654" s="43">
        <f t="shared" si="145"/>
        <v>52.804857142857074</v>
      </c>
      <c r="AC1654" s="43">
        <f t="shared" si="145"/>
        <v>0.43714761904761928</v>
      </c>
      <c r="AD1654" s="43">
        <f t="shared" si="145"/>
        <v>4.9289523809523825E-2</v>
      </c>
      <c r="AE1654" s="43">
        <f t="shared" si="145"/>
        <v>47.019571428571439</v>
      </c>
      <c r="AF1654" s="43">
        <f t="shared" si="145"/>
        <v>2.6121142857142847</v>
      </c>
    </row>
    <row r="1655" spans="1:32" x14ac:dyDescent="0.35">
      <c r="A1655" s="37" t="s">
        <v>1704</v>
      </c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37" t="s">
        <v>1695</v>
      </c>
      <c r="N1655" s="27"/>
      <c r="O1655" s="27"/>
      <c r="R1655" s="37" t="s">
        <v>1704</v>
      </c>
      <c r="T1655" s="46" t="s">
        <v>1695</v>
      </c>
      <c r="U1655" s="43"/>
      <c r="V1655" s="46" t="s">
        <v>1695</v>
      </c>
      <c r="W1655" s="46" t="s">
        <v>1695</v>
      </c>
      <c r="X1655" s="46" t="s">
        <v>1695</v>
      </c>
      <c r="Y1655" s="46" t="s">
        <v>1695</v>
      </c>
      <c r="Z1655" s="46" t="s">
        <v>1695</v>
      </c>
      <c r="AA1655" s="46" t="s">
        <v>1695</v>
      </c>
      <c r="AB1655" s="46" t="s">
        <v>1695</v>
      </c>
      <c r="AC1655" s="43"/>
      <c r="AD1655" s="43"/>
      <c r="AE1655" s="43"/>
      <c r="AF1655" s="43"/>
    </row>
    <row r="1656" spans="1:32" x14ac:dyDescent="0.35"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</row>
    <row r="1657" spans="1:32" ht="33.6" customHeight="1" x14ac:dyDescent="0.35">
      <c r="B1657" s="14" t="s">
        <v>1335</v>
      </c>
      <c r="C1657" s="14" t="s">
        <v>1296</v>
      </c>
      <c r="D1657" s="14" t="s">
        <v>1297</v>
      </c>
      <c r="E1657" s="14" t="s">
        <v>1298</v>
      </c>
      <c r="F1657" s="14" t="s">
        <v>21</v>
      </c>
      <c r="G1657" s="14" t="s">
        <v>1299</v>
      </c>
      <c r="H1657" s="14" t="s">
        <v>22</v>
      </c>
      <c r="I1657" s="14" t="s">
        <v>1300</v>
      </c>
      <c r="J1657" s="14" t="s">
        <v>1301</v>
      </c>
      <c r="K1657" s="14" t="s">
        <v>1302</v>
      </c>
      <c r="L1657" s="14" t="s">
        <v>1303</v>
      </c>
      <c r="M1657" s="14" t="s">
        <v>1304</v>
      </c>
      <c r="N1657" s="14" t="s">
        <v>1305</v>
      </c>
      <c r="O1657" s="14" t="s">
        <v>1306</v>
      </c>
      <c r="S1657" s="14" t="s">
        <v>1335</v>
      </c>
      <c r="T1657" s="45" t="s">
        <v>1296</v>
      </c>
      <c r="U1657" s="45" t="s">
        <v>1297</v>
      </c>
      <c r="V1657" s="45" t="s">
        <v>1298</v>
      </c>
      <c r="W1657" s="45" t="s">
        <v>21</v>
      </c>
      <c r="X1657" s="45" t="s">
        <v>1299</v>
      </c>
      <c r="Y1657" s="45" t="s">
        <v>22</v>
      </c>
      <c r="Z1657" s="45" t="s">
        <v>1300</v>
      </c>
      <c r="AA1657" s="45" t="s">
        <v>1301</v>
      </c>
      <c r="AB1657" s="45" t="s">
        <v>1302</v>
      </c>
      <c r="AC1657" s="45" t="s">
        <v>1303</v>
      </c>
      <c r="AD1657" s="45" t="s">
        <v>1304</v>
      </c>
      <c r="AE1657" s="45" t="s">
        <v>1305</v>
      </c>
      <c r="AF1657" s="45" t="s">
        <v>1306</v>
      </c>
    </row>
    <row r="1658" spans="1:32" x14ac:dyDescent="0.35">
      <c r="A1658" s="1">
        <f>COUNTIFS($V$549:$V$1073, "&lt;2", $V$1074:$V$1598, "&lt;2")</f>
        <v>0</v>
      </c>
      <c r="B1658" s="1" t="s">
        <v>1700</v>
      </c>
      <c r="C1658" s="27" t="e">
        <f>AVERAGEIFS(B$549:B$1073, $V$549:$V$1073, "&lt;2", $V$1074:$V$1598, "&lt;2")</f>
        <v>#DIV/0!</v>
      </c>
      <c r="D1658" s="27" t="e">
        <f t="shared" ref="D1658:O1658" si="146">AVERAGEIFS(C$549:C$1073, $V$549:$V$1073, "&lt;2", $V$1074:$V$1598, "&lt;2")</f>
        <v>#DIV/0!</v>
      </c>
      <c r="E1658" s="27" t="e">
        <f t="shared" si="146"/>
        <v>#DIV/0!</v>
      </c>
      <c r="F1658" s="27" t="e">
        <f t="shared" si="146"/>
        <v>#DIV/0!</v>
      </c>
      <c r="G1658" s="27" t="e">
        <f t="shared" si="146"/>
        <v>#DIV/0!</v>
      </c>
      <c r="H1658" s="27" t="e">
        <f t="shared" si="146"/>
        <v>#DIV/0!</v>
      </c>
      <c r="I1658" s="27" t="e">
        <f t="shared" si="146"/>
        <v>#DIV/0!</v>
      </c>
      <c r="J1658" s="27" t="e">
        <f t="shared" si="146"/>
        <v>#DIV/0!</v>
      </c>
      <c r="K1658" s="27" t="e">
        <f t="shared" si="146"/>
        <v>#DIV/0!</v>
      </c>
      <c r="L1658" s="27" t="e">
        <f t="shared" si="146"/>
        <v>#DIV/0!</v>
      </c>
      <c r="M1658" s="27" t="e">
        <f t="shared" si="146"/>
        <v>#DIV/0!</v>
      </c>
      <c r="N1658" s="27" t="e">
        <f t="shared" si="146"/>
        <v>#DIV/0!</v>
      </c>
      <c r="O1658" s="27" t="e">
        <f t="shared" si="146"/>
        <v>#DIV/0!</v>
      </c>
      <c r="R1658" s="1">
        <f>COUNTIFS($S$549:$S$1073, "&gt;1", $V$549:$V$1073, "&lt;2", $S$1074:$S$1598, "&gt;1", $V$1074:$V$1598, "&lt;2")</f>
        <v>0</v>
      </c>
      <c r="S1658" s="1" t="s">
        <v>1706</v>
      </c>
      <c r="T1658" s="43" t="e">
        <f>AVERAGEIFS(B$549:B$1073, $S$549:$S$1073, "&gt;1", $V$549:$V$1073, "&lt;2", $S$1074:$S$1598, "&gt;1", $V$1074:$V$1598, "&lt;2")</f>
        <v>#DIV/0!</v>
      </c>
      <c r="U1658" s="43" t="e">
        <f t="shared" ref="U1658" si="147">AVERAGEIFS(C$24:C$1598, $Q$24:$Q$1598, "*Fixed", $S$24:$S$1598, "&gt;1", $V$24:$V$1598, "&lt;2")</f>
        <v>#DIV/0!</v>
      </c>
      <c r="V1658" s="43" t="e">
        <f t="shared" ref="V1658" si="148">AVERAGEIFS(D$24:D$1598, $Q$24:$Q$1598, "*Fixed", $S$24:$S$1598, "&gt;1", $V$24:$V$1598, "&lt;2")</f>
        <v>#DIV/0!</v>
      </c>
      <c r="W1658" s="43" t="e">
        <f t="shared" ref="W1658" si="149">AVERAGEIFS(E$24:E$1598, $Q$24:$Q$1598, "*Fixed", $S$24:$S$1598, "&gt;1", $V$24:$V$1598, "&lt;2")</f>
        <v>#DIV/0!</v>
      </c>
      <c r="X1658" s="43" t="e">
        <f t="shared" ref="X1658" si="150">AVERAGEIFS(F$24:F$1598, $Q$24:$Q$1598, "*Fixed", $S$24:$S$1598, "&gt;1", $V$24:$V$1598, "&lt;2")</f>
        <v>#DIV/0!</v>
      </c>
      <c r="Y1658" s="43" t="e">
        <f t="shared" ref="Y1658" si="151">AVERAGEIFS(G$24:G$1598, $Q$24:$Q$1598, "*Fixed", $S$24:$S$1598, "&gt;1", $V$24:$V$1598, "&lt;2")</f>
        <v>#DIV/0!</v>
      </c>
      <c r="Z1658" s="43" t="e">
        <f t="shared" ref="Z1658" si="152">AVERAGEIFS(H$24:H$1598, $Q$24:$Q$1598, "*Fixed", $S$24:$S$1598, "&gt;1", $V$24:$V$1598, "&lt;2")</f>
        <v>#DIV/0!</v>
      </c>
      <c r="AA1658" s="43" t="e">
        <f t="shared" ref="AA1658" si="153">AVERAGEIFS(I$24:I$1598, $Q$24:$Q$1598, "*Fixed", $S$24:$S$1598, "&gt;1", $V$24:$V$1598, "&lt;2")</f>
        <v>#DIV/0!</v>
      </c>
      <c r="AB1658" s="43" t="e">
        <f t="shared" ref="AB1658" si="154">AVERAGEIFS(J$24:J$1598, $Q$24:$Q$1598, "*Fixed", $S$24:$S$1598, "&gt;1", $V$24:$V$1598, "&lt;2")</f>
        <v>#DIV/0!</v>
      </c>
      <c r="AC1658" s="43" t="e">
        <f t="shared" ref="AC1658" si="155">AVERAGEIFS(K$24:K$1598, $Q$24:$Q$1598, "*Fixed", $S$24:$S$1598, "&gt;1", $V$24:$V$1598, "&lt;2")</f>
        <v>#DIV/0!</v>
      </c>
      <c r="AD1658" s="43" t="e">
        <f t="shared" ref="AD1658" si="156">AVERAGEIFS(L$24:L$1598, $Q$24:$Q$1598, "*Fixed", $S$24:$S$1598, "&gt;1", $V$24:$V$1598, "&lt;2")</f>
        <v>#DIV/0!</v>
      </c>
      <c r="AE1658" s="43" t="e">
        <f t="shared" ref="AE1658" si="157">AVERAGEIFS(M$24:M$1598, $Q$24:$Q$1598, "*Fixed", $S$24:$S$1598, "&gt;1", $V$24:$V$1598, "&lt;2")</f>
        <v>#DIV/0!</v>
      </c>
      <c r="AF1658" s="43" t="e">
        <f t="shared" ref="AF1658" si="158">AVERAGEIFS(N$24:N$1598, $Q$24:$Q$1598, "*Fixed", $S$24:$S$1598, "&gt;1", $V$24:$V$1598, "&lt;2")</f>
        <v>#DIV/0!</v>
      </c>
    </row>
    <row r="1659" spans="1:32" x14ac:dyDescent="0.35">
      <c r="A1659" s="1">
        <f>COUNTIFS($V$549:$V$1073, "&lt;2", $V$1074:$V$1598, "&lt;2")</f>
        <v>0</v>
      </c>
      <c r="B1659" s="1" t="s">
        <v>1701</v>
      </c>
      <c r="C1659" s="27" t="e">
        <f>AVERAGEIFS(B$1074:B$1598, $V$549:$V$1073, "&lt;2", $V$1074:$V$1598, "&lt;2")</f>
        <v>#DIV/0!</v>
      </c>
      <c r="D1659" s="27" t="e">
        <f t="shared" ref="D1659:O1659" si="159">AVERAGEIFS(C$1074:C$1598, $V$549:$V$1073, "&lt;2", $V$1074:$V$1598, "&lt;2")</f>
        <v>#DIV/0!</v>
      </c>
      <c r="E1659" s="27" t="e">
        <f t="shared" si="159"/>
        <v>#DIV/0!</v>
      </c>
      <c r="F1659" s="27" t="e">
        <f t="shared" si="159"/>
        <v>#DIV/0!</v>
      </c>
      <c r="G1659" s="27" t="e">
        <f t="shared" si="159"/>
        <v>#DIV/0!</v>
      </c>
      <c r="H1659" s="27" t="e">
        <f t="shared" si="159"/>
        <v>#DIV/0!</v>
      </c>
      <c r="I1659" s="27" t="e">
        <f t="shared" si="159"/>
        <v>#DIV/0!</v>
      </c>
      <c r="J1659" s="27" t="e">
        <f t="shared" si="159"/>
        <v>#DIV/0!</v>
      </c>
      <c r="K1659" s="27" t="e">
        <f t="shared" si="159"/>
        <v>#DIV/0!</v>
      </c>
      <c r="L1659" s="27" t="e">
        <f t="shared" si="159"/>
        <v>#DIV/0!</v>
      </c>
      <c r="M1659" s="27" t="e">
        <f t="shared" si="159"/>
        <v>#DIV/0!</v>
      </c>
      <c r="N1659" s="27" t="e">
        <f t="shared" si="159"/>
        <v>#DIV/0!</v>
      </c>
      <c r="O1659" s="27" t="e">
        <f t="shared" si="159"/>
        <v>#DIV/0!</v>
      </c>
      <c r="R1659" s="1">
        <f>COUNTIFS($S$549:$S$1073, "&gt;1", $V$549:$V$1073, "&lt;2", $S$1074:$S$1598, "&gt;1", $V$1074:$V$1598, "&lt;2")</f>
        <v>0</v>
      </c>
      <c r="S1659" s="1" t="s">
        <v>1710</v>
      </c>
      <c r="T1659" s="43" t="e">
        <f>AVERAGEIFS(B$1074:B$1598, $S$549:$S$1073, "&gt;1", $V$549:$V$1073, "&lt;2", $S$1074:$S$1598, "&gt;1", $V$1074:$V$1598, "&lt;2")</f>
        <v>#DIV/0!</v>
      </c>
      <c r="U1659" s="43" t="e">
        <f t="shared" ref="U1659" si="160">AVERAGEIFS(C$24:C$1598, $Q$24:$Q$1598, "*Repaired", $S$24:$S$1598, "&gt;1", $V$24:$V$1598, "&lt;2")</f>
        <v>#DIV/0!</v>
      </c>
      <c r="V1659" s="43" t="e">
        <f t="shared" ref="V1659" si="161">AVERAGEIFS(D$24:D$1598, $Q$24:$Q$1598, "*Repaired", $S$24:$S$1598, "&gt;1", $V$24:$V$1598, "&lt;2")</f>
        <v>#DIV/0!</v>
      </c>
      <c r="W1659" s="43" t="e">
        <f t="shared" ref="W1659" si="162">AVERAGEIFS(E$24:E$1598, $Q$24:$Q$1598, "*Repaired", $S$24:$S$1598, "&gt;1", $V$24:$V$1598, "&lt;2")</f>
        <v>#DIV/0!</v>
      </c>
      <c r="X1659" s="43" t="e">
        <f t="shared" ref="X1659" si="163">AVERAGEIFS(F$24:F$1598, $Q$24:$Q$1598, "*Repaired", $S$24:$S$1598, "&gt;1", $V$24:$V$1598, "&lt;2")</f>
        <v>#DIV/0!</v>
      </c>
      <c r="Y1659" s="43" t="e">
        <f t="shared" ref="Y1659" si="164">AVERAGEIFS(G$24:G$1598, $Q$24:$Q$1598, "*Repaired", $S$24:$S$1598, "&gt;1", $V$24:$V$1598, "&lt;2")</f>
        <v>#DIV/0!</v>
      </c>
      <c r="Z1659" s="43" t="e">
        <f t="shared" ref="Z1659" si="165">AVERAGEIFS(H$24:H$1598, $Q$24:$Q$1598, "*Repaired", $S$24:$S$1598, "&gt;1", $V$24:$V$1598, "&lt;2")</f>
        <v>#DIV/0!</v>
      </c>
      <c r="AA1659" s="43" t="e">
        <f t="shared" ref="AA1659" si="166">AVERAGEIFS(I$24:I$1598, $Q$24:$Q$1598, "*Repaired", $S$24:$S$1598, "&gt;1", $V$24:$V$1598, "&lt;2")</f>
        <v>#DIV/0!</v>
      </c>
      <c r="AB1659" s="43" t="e">
        <f t="shared" ref="AB1659" si="167">AVERAGEIFS(J$24:J$1598, $Q$24:$Q$1598, "*Repaired", $S$24:$S$1598, "&gt;1", $V$24:$V$1598, "&lt;2")</f>
        <v>#DIV/0!</v>
      </c>
      <c r="AC1659" s="43" t="e">
        <f t="shared" ref="AC1659" si="168">AVERAGEIFS(K$24:K$1598, $Q$24:$Q$1598, "*Repaired", $S$24:$S$1598, "&gt;1", $V$24:$V$1598, "&lt;2")</f>
        <v>#DIV/0!</v>
      </c>
      <c r="AD1659" s="43" t="e">
        <f t="shared" ref="AD1659" si="169">AVERAGEIFS(L$24:L$1598, $Q$24:$Q$1598, "*Repaired", $S$24:$S$1598, "&gt;1", $V$24:$V$1598, "&lt;2")</f>
        <v>#DIV/0!</v>
      </c>
      <c r="AE1659" s="43" t="e">
        <f t="shared" ref="AE1659" si="170">AVERAGEIFS(M$24:M$1598, $Q$24:$Q$1598, "*Repaired", $S$24:$S$1598, "&gt;1", $V$24:$V$1598, "&lt;2")</f>
        <v>#DIV/0!</v>
      </c>
      <c r="AF1659" s="43" t="e">
        <f t="shared" ref="AF1659" si="171">AVERAGEIFS(N$24:N$1598, $Q$24:$Q$1598, "*Repaired", $S$24:$S$1598, "&gt;1", $V$24:$V$1598, "&lt;2")</f>
        <v>#DIV/0!</v>
      </c>
    </row>
    <row r="1660" spans="1:32" x14ac:dyDescent="0.35">
      <c r="A1660" s="3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R1660" s="37" t="s">
        <v>1704</v>
      </c>
      <c r="T1660" s="44"/>
      <c r="U1660" s="44"/>
      <c r="V1660" s="44"/>
      <c r="W1660" s="44"/>
      <c r="X1660" s="44"/>
      <c r="Y1660" s="44"/>
      <c r="Z1660" s="44"/>
      <c r="AA1660" s="44"/>
      <c r="AB1660" s="44"/>
      <c r="AC1660" s="44"/>
      <c r="AD1660" s="44"/>
      <c r="AE1660" s="44"/>
      <c r="AF1660" s="44"/>
    </row>
    <row r="1661" spans="1:32" ht="32.4" customHeight="1" x14ac:dyDescent="0.35">
      <c r="B1661" s="14" t="s">
        <v>1335</v>
      </c>
      <c r="C1661" s="14" t="s">
        <v>1296</v>
      </c>
      <c r="D1661" s="14" t="s">
        <v>1297</v>
      </c>
      <c r="E1661" s="14" t="s">
        <v>1298</v>
      </c>
      <c r="F1661" s="14" t="s">
        <v>21</v>
      </c>
      <c r="G1661" s="14" t="s">
        <v>1299</v>
      </c>
      <c r="H1661" s="14" t="s">
        <v>22</v>
      </c>
      <c r="I1661" s="14" t="s">
        <v>1300</v>
      </c>
      <c r="J1661" s="14" t="s">
        <v>1301</v>
      </c>
      <c r="K1661" s="14" t="s">
        <v>1302</v>
      </c>
      <c r="L1661" s="14" t="s">
        <v>1303</v>
      </c>
      <c r="M1661" s="14" t="s">
        <v>1304</v>
      </c>
      <c r="N1661" s="14" t="s">
        <v>1305</v>
      </c>
      <c r="O1661" s="14" t="s">
        <v>1306</v>
      </c>
      <c r="S1661" s="14" t="s">
        <v>1335</v>
      </c>
      <c r="T1661" s="45" t="s">
        <v>1296</v>
      </c>
      <c r="U1661" s="45" t="s">
        <v>1297</v>
      </c>
      <c r="V1661" s="45" t="s">
        <v>1298</v>
      </c>
      <c r="W1661" s="45" t="s">
        <v>21</v>
      </c>
      <c r="X1661" s="45" t="s">
        <v>1299</v>
      </c>
      <c r="Y1661" s="45" t="s">
        <v>22</v>
      </c>
      <c r="Z1661" s="45" t="s">
        <v>1300</v>
      </c>
      <c r="AA1661" s="45" t="s">
        <v>1301</v>
      </c>
      <c r="AB1661" s="45" t="s">
        <v>1302</v>
      </c>
      <c r="AC1661" s="45" t="s">
        <v>1303</v>
      </c>
      <c r="AD1661" s="45" t="s">
        <v>1304</v>
      </c>
      <c r="AE1661" s="45" t="s">
        <v>1305</v>
      </c>
      <c r="AF1661" s="45" t="s">
        <v>1306</v>
      </c>
    </row>
    <row r="1662" spans="1:32" x14ac:dyDescent="0.35">
      <c r="A1662" s="1">
        <f>COUNTIFS($V$549:$V$1073, "&gt;1", $V$1074:$V$1598, "&gt;1")</f>
        <v>502</v>
      </c>
      <c r="B1662" s="1" t="s">
        <v>1702</v>
      </c>
      <c r="C1662" s="27">
        <f>AVERAGEIFS(B$549:B$1073, $V$549:$V$1073, "&gt;1", $V$1074:$V$1598, "&gt;1")</f>
        <v>3.8656374501991988</v>
      </c>
      <c r="D1662" s="27">
        <f t="shared" ref="D1662:O1662" si="172">AVERAGEIFS(C$549:C$1073, $V$549:$V$1073, "&gt;1", $V$1074:$V$1598, "&gt;1")</f>
        <v>77.844721115537951</v>
      </c>
      <c r="E1662" s="27">
        <f t="shared" si="172"/>
        <v>18.62898406374503</v>
      </c>
      <c r="F1662" s="27">
        <f t="shared" si="172"/>
        <v>6.603904382470116</v>
      </c>
      <c r="G1662" s="27">
        <f t="shared" si="172"/>
        <v>14.033446215139413</v>
      </c>
      <c r="H1662" s="27">
        <f t="shared" si="172"/>
        <v>4.0719322709163324</v>
      </c>
      <c r="I1662" s="27">
        <f t="shared" si="172"/>
        <v>10.676235059760963</v>
      </c>
      <c r="J1662" s="27">
        <f t="shared" si="172"/>
        <v>32.662470119521878</v>
      </c>
      <c r="K1662" s="27">
        <f t="shared" si="172"/>
        <v>56.305378486055751</v>
      </c>
      <c r="L1662" s="27">
        <f t="shared" si="172"/>
        <v>0.39596215139442176</v>
      </c>
      <c r="M1662" s="27">
        <f t="shared" si="172"/>
        <v>5.3837051792828702E-2</v>
      </c>
      <c r="N1662" s="27">
        <f t="shared" si="172"/>
        <v>57.720784860557778</v>
      </c>
      <c r="O1662" s="27">
        <f t="shared" si="172"/>
        <v>3.2067529880478078</v>
      </c>
      <c r="R1662" s="1">
        <f>COUNTIFS($S$549:$S$1073, "&gt;1", $V$549:$V$1073, "&gt;1", $S$1074:$S$1598, "&gt;1", $V$1074:$V$1598, "&gt;1")</f>
        <v>62</v>
      </c>
      <c r="S1662" s="1" t="s">
        <v>1712</v>
      </c>
      <c r="T1662" s="43">
        <f>AVERAGEIFS(B$549:B$1073, $S$549:$S$1073, "&gt;1", $V$549:$V$1073, "&gt;1", $S$1074:$S$1598, "&gt;1", $V$1074:$V$1598, "&gt;1")</f>
        <v>4.0487096774193549</v>
      </c>
      <c r="U1662" s="43">
        <f t="shared" ref="U1662:AF1662" si="173">AVERAGEIFS(C$549:C$1073, $S$549:$S$1073, "&gt;1", $V$549:$V$1073, "&gt;1", $S$1074:$S$1598, "&gt;1", $V$1074:$V$1598, "&gt;1")</f>
        <v>77.940967741935467</v>
      </c>
      <c r="V1662" s="43">
        <f t="shared" si="173"/>
        <v>21.405483870967739</v>
      </c>
      <c r="W1662" s="43">
        <f t="shared" si="173"/>
        <v>6.9729032258064532</v>
      </c>
      <c r="X1662" s="43">
        <f t="shared" si="173"/>
        <v>15.855806451612908</v>
      </c>
      <c r="Y1662" s="43">
        <f t="shared" si="173"/>
        <v>4.2169354838709685</v>
      </c>
      <c r="Z1662" s="43">
        <f t="shared" si="173"/>
        <v>11.190806451612904</v>
      </c>
      <c r="AA1662" s="43">
        <f t="shared" si="173"/>
        <v>37.26064516129032</v>
      </c>
      <c r="AB1662" s="43">
        <f t="shared" si="173"/>
        <v>61.217903225806459</v>
      </c>
      <c r="AC1662" s="43">
        <f t="shared" si="173"/>
        <v>0.37467741935483867</v>
      </c>
      <c r="AD1662" s="43">
        <f t="shared" si="173"/>
        <v>5.2287096774193534E-2</v>
      </c>
      <c r="AE1662" s="43">
        <f t="shared" si="173"/>
        <v>55.909629032258081</v>
      </c>
      <c r="AF1662" s="43">
        <f t="shared" si="173"/>
        <v>3.1062548387096771</v>
      </c>
    </row>
    <row r="1663" spans="1:32" x14ac:dyDescent="0.35">
      <c r="A1663" s="1">
        <f>COUNTIFS($V$549:$V$1073, "&gt;1", $V$1074:$V$1598, "&gt;1")</f>
        <v>502</v>
      </c>
      <c r="B1663" s="1" t="s">
        <v>1703</v>
      </c>
      <c r="C1663" s="27">
        <f>AVERAGEIFS(B$1074:B$1598, $V$549:$V$1073, "&gt;1", $V$1074:$V$1598, "&gt;1")</f>
        <v>3.8638645418326645</v>
      </c>
      <c r="D1663" s="27">
        <f t="shared" ref="D1663:O1663" si="174">AVERAGEIFS(C$1074:C$1598, $V$549:$V$1073, "&gt;1", $V$1074:$V$1598, "&gt;1")</f>
        <v>77.84454183266935</v>
      </c>
      <c r="E1663" s="27">
        <f t="shared" si="174"/>
        <v>18.47077689243028</v>
      </c>
      <c r="F1663" s="27">
        <f t="shared" si="174"/>
        <v>6.5781872509960122</v>
      </c>
      <c r="G1663" s="27">
        <f t="shared" si="174"/>
        <v>14.014541832669316</v>
      </c>
      <c r="H1663" s="27">
        <f t="shared" si="174"/>
        <v>4.0637051792828673</v>
      </c>
      <c r="I1663" s="27">
        <f t="shared" si="174"/>
        <v>10.642051792828687</v>
      </c>
      <c r="J1663" s="27">
        <f t="shared" si="174"/>
        <v>32.485239043824706</v>
      </c>
      <c r="K1663" s="27">
        <f t="shared" si="174"/>
        <v>55.958864541832632</v>
      </c>
      <c r="L1663" s="27">
        <f t="shared" si="174"/>
        <v>0.39845617529880417</v>
      </c>
      <c r="M1663" s="27">
        <f t="shared" si="174"/>
        <v>5.4474501992031882E-2</v>
      </c>
      <c r="N1663" s="27">
        <f t="shared" si="174"/>
        <v>57.738115537848635</v>
      </c>
      <c r="O1663" s="27">
        <f t="shared" si="174"/>
        <v>3.2076015936254962</v>
      </c>
      <c r="R1663" s="1">
        <f>COUNTIFS($S$549:$S$1073, "&gt;1", $V$549:$V$1073, "&gt;1", $S$1074:$S$1598, "&gt;1", $V$1074:$V$1598, "&gt;1")</f>
        <v>62</v>
      </c>
      <c r="S1663" s="1" t="s">
        <v>1707</v>
      </c>
      <c r="T1663" s="43">
        <f>AVERAGEIFS(B$1074:B$1598, $S$549:$S$1073, "&gt;1", $V$549:$V$1073, "&gt;1", $S$1074:$S$1598, "&gt;1", $V$1074:$V$1598, "&gt;1")</f>
        <v>4.0730645161290333</v>
      </c>
      <c r="U1663" s="43">
        <f t="shared" ref="U1663:AF1663" si="175">AVERAGEIFS(C$1074:C$1598, $S$549:$S$1073, "&gt;1", $V$549:$V$1073, "&gt;1", $S$1074:$S$1598, "&gt;1", $V$1074:$V$1598, "&gt;1")</f>
        <v>77.757580645161269</v>
      </c>
      <c r="V1663" s="43">
        <f t="shared" si="175"/>
        <v>21.26193548387096</v>
      </c>
      <c r="W1663" s="43">
        <f t="shared" si="175"/>
        <v>6.9777419354838726</v>
      </c>
      <c r="X1663" s="43">
        <f t="shared" si="175"/>
        <v>15.834193548387097</v>
      </c>
      <c r="Y1663" s="43">
        <f t="shared" si="175"/>
        <v>4.2558064516129033</v>
      </c>
      <c r="Z1663" s="43">
        <f t="shared" si="175"/>
        <v>11.234193548387095</v>
      </c>
      <c r="AA1663" s="43">
        <f t="shared" si="175"/>
        <v>37.095322580645167</v>
      </c>
      <c r="AB1663" s="43">
        <f t="shared" si="175"/>
        <v>61.194677419354832</v>
      </c>
      <c r="AC1663" s="43">
        <f t="shared" si="175"/>
        <v>0.40354838709677415</v>
      </c>
      <c r="AD1663" s="43">
        <f t="shared" si="175"/>
        <v>5.7916129032258054E-2</v>
      </c>
      <c r="AE1663" s="43">
        <f t="shared" si="175"/>
        <v>56.821080645161302</v>
      </c>
      <c r="AF1663" s="43">
        <f t="shared" si="175"/>
        <v>3.1567387096774184</v>
      </c>
    </row>
    <row r="1664" spans="1:32" x14ac:dyDescent="0.35">
      <c r="A1664" s="37" t="s">
        <v>1704</v>
      </c>
      <c r="C1664" s="27"/>
      <c r="D1664" s="27"/>
      <c r="E1664" s="37" t="s">
        <v>1695</v>
      </c>
      <c r="F1664" s="27"/>
      <c r="G1664" s="27"/>
      <c r="H1664" s="27"/>
      <c r="I1664" s="27"/>
      <c r="J1664" s="37" t="s">
        <v>1695</v>
      </c>
      <c r="K1664" s="27"/>
      <c r="L1664" s="27"/>
      <c r="M1664" s="27"/>
      <c r="N1664" s="27"/>
      <c r="O1664" s="27"/>
      <c r="R1664" s="37" t="s">
        <v>1704</v>
      </c>
      <c r="T1664" s="37" t="s">
        <v>1695</v>
      </c>
      <c r="U1664" s="27"/>
      <c r="V1664" s="37" t="s">
        <v>1695</v>
      </c>
      <c r="W1664" s="37" t="s">
        <v>1695</v>
      </c>
      <c r="X1664" s="37" t="s">
        <v>1695</v>
      </c>
      <c r="Y1664" s="37" t="s">
        <v>1695</v>
      </c>
      <c r="Z1664" s="37" t="s">
        <v>1695</v>
      </c>
      <c r="AA1664" s="37" t="s">
        <v>1695</v>
      </c>
      <c r="AB1664" s="37" t="s">
        <v>1695</v>
      </c>
      <c r="AC1664" s="27"/>
      <c r="AD1664" s="27"/>
      <c r="AE1664" s="27"/>
      <c r="AF1664" s="27"/>
    </row>
    <row r="1665" spans="1:15" ht="15" x14ac:dyDescent="0.35">
      <c r="O1665"/>
    </row>
    <row r="1666" spans="1:15" x14ac:dyDescent="0.35">
      <c r="A1666" s="33" t="s">
        <v>1337</v>
      </c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 ht="15" x14ac:dyDescent="0.3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customFormat="1" ht="28.8" x14ac:dyDescent="0.3">
      <c r="A1668" s="14" t="s">
        <v>1310</v>
      </c>
      <c r="B1668" s="14" t="s">
        <v>1335</v>
      </c>
      <c r="C1668" s="14" t="s">
        <v>1296</v>
      </c>
      <c r="D1668" s="14" t="s">
        <v>1297</v>
      </c>
      <c r="E1668" s="14" t="s">
        <v>1298</v>
      </c>
      <c r="F1668" s="14" t="s">
        <v>21</v>
      </c>
      <c r="G1668" s="14" t="s">
        <v>1299</v>
      </c>
      <c r="H1668" s="14" t="s">
        <v>22</v>
      </c>
      <c r="I1668" s="14" t="s">
        <v>1300</v>
      </c>
      <c r="J1668" s="14" t="s">
        <v>1301</v>
      </c>
      <c r="K1668" s="14" t="s">
        <v>1302</v>
      </c>
      <c r="L1668" s="14" t="s">
        <v>1303</v>
      </c>
      <c r="M1668" s="14" t="s">
        <v>1304</v>
      </c>
      <c r="N1668" s="14" t="s">
        <v>1305</v>
      </c>
      <c r="O1668" s="14" t="s">
        <v>1306</v>
      </c>
    </row>
    <row r="1669" spans="1:15" x14ac:dyDescent="0.35">
      <c r="A1669" s="1">
        <f>COUNTIF($A$24:$A$1598, "*Chart*Buggy")</f>
        <v>74</v>
      </c>
      <c r="B1669" s="1" t="s">
        <v>1670</v>
      </c>
      <c r="C1669" s="27">
        <f t="shared" ref="C1669:O1669" si="176">AVERAGEIF($A$24:$A$1598, "*Chart-*_Buggy", B$24:B$1598)</f>
        <v>3.120000000000001</v>
      </c>
      <c r="D1669" s="27">
        <f t="shared" si="176"/>
        <v>79.330135135135123</v>
      </c>
      <c r="E1669" s="27">
        <f t="shared" si="176"/>
        <v>19.88027027027027</v>
      </c>
      <c r="F1669" s="27">
        <f t="shared" si="176"/>
        <v>6.1609459459459481</v>
      </c>
      <c r="G1669" s="27">
        <f t="shared" si="176"/>
        <v>11.595810810810818</v>
      </c>
      <c r="H1669" s="27">
        <f t="shared" si="176"/>
        <v>2.9586486486486487</v>
      </c>
      <c r="I1669" s="27">
        <f t="shared" si="176"/>
        <v>9.1193243243243263</v>
      </c>
      <c r="J1669" s="27">
        <f t="shared" si="176"/>
        <v>31.475540540540546</v>
      </c>
      <c r="K1669" s="27">
        <f t="shared" si="176"/>
        <v>47.962027027027041</v>
      </c>
      <c r="L1669" s="27">
        <f t="shared" si="176"/>
        <v>0.1100945945945946</v>
      </c>
      <c r="M1669" s="27">
        <f t="shared" si="176"/>
        <v>3.0783783783783773E-2</v>
      </c>
      <c r="N1669" s="27">
        <f t="shared" si="176"/>
        <v>2.8813513513513516</v>
      </c>
      <c r="O1669" s="27">
        <f t="shared" si="176"/>
        <v>0.15991891891891891</v>
      </c>
    </row>
    <row r="1670" spans="1:15" x14ac:dyDescent="0.35">
      <c r="A1670" s="1">
        <f>COUNTIF($A$24:$A$1598, "*Chart*Fixed")</f>
        <v>74</v>
      </c>
      <c r="B1670" s="1" t="s">
        <v>1671</v>
      </c>
      <c r="C1670" s="27">
        <f t="shared" ref="C1670:O1670" si="177">AVERAGEIF($A$24:$A$1598, "*Chart-*_Fixed", B$24:B$1598)</f>
        <v>3.1512162162162167</v>
      </c>
      <c r="D1670" s="27">
        <f t="shared" si="177"/>
        <v>79.288783783783757</v>
      </c>
      <c r="E1670" s="27">
        <f t="shared" si="177"/>
        <v>20.012837837837846</v>
      </c>
      <c r="F1670" s="27">
        <f t="shared" si="177"/>
        <v>6.1772972972972982</v>
      </c>
      <c r="G1670" s="27">
        <f t="shared" si="177"/>
        <v>11.680540540540544</v>
      </c>
      <c r="H1670" s="27">
        <f t="shared" si="177"/>
        <v>2.9681081081081078</v>
      </c>
      <c r="I1670" s="27">
        <f t="shared" si="177"/>
        <v>9.1451351351351384</v>
      </c>
      <c r="J1670" s="27">
        <f t="shared" si="177"/>
        <v>31.693108108108103</v>
      </c>
      <c r="K1670" s="27">
        <f t="shared" si="177"/>
        <v>48.238243243243254</v>
      </c>
      <c r="L1670" s="27">
        <f t="shared" si="177"/>
        <v>0.12941891891891891</v>
      </c>
      <c r="M1670" s="27">
        <f t="shared" si="177"/>
        <v>3.2067567567567561E-2</v>
      </c>
      <c r="N1670" s="27">
        <f t="shared" si="177"/>
        <v>3.791891891891892</v>
      </c>
      <c r="O1670" s="27">
        <f t="shared" si="177"/>
        <v>0.21086486486486491</v>
      </c>
    </row>
    <row r="1671" spans="1:15" x14ac:dyDescent="0.35">
      <c r="A1671" s="1">
        <f>COUNTIF($A$24:$A$1598, "*Chart*Repaired")</f>
        <v>74</v>
      </c>
      <c r="B1671" s="1" t="s">
        <v>1672</v>
      </c>
      <c r="C1671" s="27">
        <f t="shared" ref="C1671:O1671" si="178">AVERAGEIF($A$24:$A$1598, "*Chart-*_Repaired", B$24:B$1598)</f>
        <v>3.1294594594594596</v>
      </c>
      <c r="D1671" s="27">
        <f t="shared" si="178"/>
        <v>79.330540540540539</v>
      </c>
      <c r="E1671" s="27">
        <f t="shared" si="178"/>
        <v>19.889864864864869</v>
      </c>
      <c r="F1671" s="27">
        <f t="shared" si="178"/>
        <v>6.1589189189189204</v>
      </c>
      <c r="G1671" s="27">
        <f t="shared" si="178"/>
        <v>11.659729729729733</v>
      </c>
      <c r="H1671" s="27">
        <f t="shared" si="178"/>
        <v>2.9693243243243246</v>
      </c>
      <c r="I1671" s="27">
        <f t="shared" si="178"/>
        <v>9.1281081081081119</v>
      </c>
      <c r="J1671" s="27">
        <f t="shared" si="178"/>
        <v>31.549459459459452</v>
      </c>
      <c r="K1671" s="27">
        <f t="shared" si="178"/>
        <v>48.073513513513518</v>
      </c>
      <c r="L1671" s="27">
        <f t="shared" si="178"/>
        <v>0.11979729729729728</v>
      </c>
      <c r="M1671" s="27">
        <f t="shared" si="178"/>
        <v>3.1527027027027012E-2</v>
      </c>
      <c r="N1671" s="27">
        <f t="shared" si="178"/>
        <v>3.3404054054054058</v>
      </c>
      <c r="O1671" s="27">
        <f t="shared" si="178"/>
        <v>0.18545945945945946</v>
      </c>
    </row>
    <row r="1672" spans="1:15" ht="15" x14ac:dyDescent="0.35">
      <c r="A1672" s="37" t="s">
        <v>1704</v>
      </c>
      <c r="E1672" s="37" t="s">
        <v>1695</v>
      </c>
      <c r="F1672" s="37"/>
      <c r="L1672" s="37" t="s">
        <v>1695</v>
      </c>
      <c r="O1672"/>
    </row>
    <row r="1673" spans="1:15" ht="28.8" x14ac:dyDescent="0.35">
      <c r="B1673" s="14" t="s">
        <v>1335</v>
      </c>
      <c r="C1673" s="14" t="s">
        <v>1296</v>
      </c>
      <c r="D1673" s="14" t="s">
        <v>1297</v>
      </c>
      <c r="E1673" s="14" t="s">
        <v>1298</v>
      </c>
      <c r="F1673" s="14" t="s">
        <v>21</v>
      </c>
      <c r="G1673" s="14" t="s">
        <v>1299</v>
      </c>
      <c r="H1673" s="14" t="s">
        <v>22</v>
      </c>
      <c r="I1673" s="14" t="s">
        <v>1300</v>
      </c>
      <c r="J1673" s="14" t="s">
        <v>1301</v>
      </c>
      <c r="K1673" s="14" t="s">
        <v>1302</v>
      </c>
      <c r="L1673" s="14" t="s">
        <v>1303</v>
      </c>
      <c r="M1673" s="14" t="s">
        <v>1304</v>
      </c>
      <c r="N1673" s="14" t="s">
        <v>1305</v>
      </c>
      <c r="O1673" s="14" t="s">
        <v>1306</v>
      </c>
    </row>
    <row r="1674" spans="1:15" x14ac:dyDescent="0.35">
      <c r="A1674" s="1">
        <f>COUNTIF($A$24:$A$1598, "*Closure*Buggy")</f>
        <v>132</v>
      </c>
      <c r="B1674" s="1" t="s">
        <v>1673</v>
      </c>
      <c r="C1674" s="27">
        <f t="shared" ref="C1674:O1674" si="179">AVERAGEIF($A$24:$A$1598, "*Closure-*_Buggy", B$24:B$1598)</f>
        <v>5.0234848484848476</v>
      </c>
      <c r="D1674" s="27">
        <f t="shared" si="179"/>
        <v>76.518863636363676</v>
      </c>
      <c r="E1674" s="27">
        <f t="shared" si="179"/>
        <v>17.456742424242428</v>
      </c>
      <c r="F1674" s="27">
        <f t="shared" si="179"/>
        <v>6.8529545454545469</v>
      </c>
      <c r="G1674" s="27">
        <f t="shared" si="179"/>
        <v>16.091060606060605</v>
      </c>
      <c r="H1674" s="27">
        <f t="shared" si="179"/>
        <v>3.9240909090909111</v>
      </c>
      <c r="I1674" s="27">
        <f t="shared" si="179"/>
        <v>10.777727272727274</v>
      </c>
      <c r="J1674" s="27">
        <f t="shared" si="179"/>
        <v>33.547045454545469</v>
      </c>
      <c r="K1674" s="27">
        <f t="shared" si="179"/>
        <v>57.254469696969721</v>
      </c>
      <c r="L1674" s="27">
        <f t="shared" si="179"/>
        <v>0.43204545454545429</v>
      </c>
      <c r="M1674" s="27">
        <f t="shared" si="179"/>
        <v>2.3789393939393937E-2</v>
      </c>
      <c r="N1674" s="27">
        <f t="shared" si="179"/>
        <v>115.55431818181819</v>
      </c>
      <c r="O1674" s="27">
        <f t="shared" si="179"/>
        <v>6.4195909090909122</v>
      </c>
    </row>
    <row r="1675" spans="1:15" x14ac:dyDescent="0.35">
      <c r="A1675" s="1">
        <f>COUNTIF($A$24:$A$1598, "*Closure*Fixed")</f>
        <v>132</v>
      </c>
      <c r="B1675" s="1" t="s">
        <v>1674</v>
      </c>
      <c r="C1675" s="27">
        <f t="shared" ref="C1675:O1675" si="180">AVERAGEIF($A$24:$A$1598, "*Closure-*_Fixed", B$24:B$1598)</f>
        <v>4.8346212121212151</v>
      </c>
      <c r="D1675" s="27">
        <f t="shared" si="180"/>
        <v>76.655227272727288</v>
      </c>
      <c r="E1675" s="27">
        <f t="shared" si="180"/>
        <v>17.208106060606063</v>
      </c>
      <c r="F1675" s="27">
        <f t="shared" si="180"/>
        <v>6.80833333333333</v>
      </c>
      <c r="G1675" s="27">
        <f t="shared" si="180"/>
        <v>15.438106060606071</v>
      </c>
      <c r="H1675" s="27">
        <f t="shared" si="180"/>
        <v>3.9088636363636375</v>
      </c>
      <c r="I1675" s="27">
        <f t="shared" si="180"/>
        <v>10.718106060606054</v>
      </c>
      <c r="J1675" s="27">
        <f t="shared" si="180"/>
        <v>32.647499999999987</v>
      </c>
      <c r="K1675" s="27">
        <f t="shared" si="180"/>
        <v>56.562803030303066</v>
      </c>
      <c r="L1675" s="27">
        <f t="shared" si="180"/>
        <v>0.43143939393939368</v>
      </c>
      <c r="M1675" s="27">
        <f t="shared" si="180"/>
        <v>2.3569696969696963E-2</v>
      </c>
      <c r="N1675" s="27">
        <f t="shared" si="180"/>
        <v>115.47287878787877</v>
      </c>
      <c r="O1675" s="27">
        <f t="shared" si="180"/>
        <v>6.4151742424242455</v>
      </c>
    </row>
    <row r="1676" spans="1:15" x14ac:dyDescent="0.35">
      <c r="A1676" s="1">
        <f>COUNTIF($A$24:$A$1598, "*Closure*Repaired")</f>
        <v>132</v>
      </c>
      <c r="B1676" s="1" t="s">
        <v>1675</v>
      </c>
      <c r="C1676" s="27">
        <f t="shared" ref="C1676:O1676" si="181">AVERAGEIF($A$24:$A$1598, "*Closure-*_Repaired", B$24:B$1598)</f>
        <v>4.9743939393939396</v>
      </c>
      <c r="D1676" s="27">
        <f t="shared" si="181"/>
        <v>76.662727272727295</v>
      </c>
      <c r="E1676" s="27">
        <f t="shared" si="181"/>
        <v>17.306742424242429</v>
      </c>
      <c r="F1676" s="27">
        <f t="shared" si="181"/>
        <v>6.8372727272727261</v>
      </c>
      <c r="G1676" s="27">
        <f t="shared" si="181"/>
        <v>15.866666666666667</v>
      </c>
      <c r="H1676" s="27">
        <f t="shared" si="181"/>
        <v>3.8911363636363663</v>
      </c>
      <c r="I1676" s="27">
        <f t="shared" si="181"/>
        <v>10.728560606060601</v>
      </c>
      <c r="J1676" s="27">
        <f t="shared" si="181"/>
        <v>33.173030303030302</v>
      </c>
      <c r="K1676" s="27">
        <f t="shared" si="181"/>
        <v>56.867196969696948</v>
      </c>
      <c r="L1676" s="27">
        <f t="shared" si="181"/>
        <v>0.43177272727272697</v>
      </c>
      <c r="M1676" s="27">
        <f t="shared" si="181"/>
        <v>2.3721212121212119E-2</v>
      </c>
      <c r="N1676" s="27">
        <f t="shared" si="181"/>
        <v>115.53924242424243</v>
      </c>
      <c r="O1676" s="27">
        <f t="shared" si="181"/>
        <v>6.4188030303030335</v>
      </c>
    </row>
    <row r="1677" spans="1:15" ht="15" x14ac:dyDescent="0.35">
      <c r="A1677" s="37" t="s">
        <v>1704</v>
      </c>
      <c r="E1677" s="37"/>
      <c r="F1677" s="37" t="s">
        <v>1695</v>
      </c>
      <c r="O1677"/>
    </row>
    <row r="1678" spans="1:15" ht="28.8" x14ac:dyDescent="0.35">
      <c r="B1678" s="14" t="s">
        <v>1335</v>
      </c>
      <c r="C1678" s="14" t="s">
        <v>1296</v>
      </c>
      <c r="D1678" s="14" t="s">
        <v>1297</v>
      </c>
      <c r="E1678" s="14" t="s">
        <v>1298</v>
      </c>
      <c r="F1678" s="14" t="s">
        <v>21</v>
      </c>
      <c r="G1678" s="14" t="s">
        <v>1299</v>
      </c>
      <c r="H1678" s="14" t="s">
        <v>22</v>
      </c>
      <c r="I1678" s="14" t="s">
        <v>1300</v>
      </c>
      <c r="J1678" s="14" t="s">
        <v>1301</v>
      </c>
      <c r="K1678" s="14" t="s">
        <v>1302</v>
      </c>
      <c r="L1678" s="14" t="s">
        <v>1303</v>
      </c>
      <c r="M1678" s="14" t="s">
        <v>1304</v>
      </c>
      <c r="N1678" s="14" t="s">
        <v>1305</v>
      </c>
      <c r="O1678" s="14" t="s">
        <v>1306</v>
      </c>
    </row>
    <row r="1679" spans="1:15" x14ac:dyDescent="0.35">
      <c r="A1679" s="1">
        <f>COUNTIF($A$24:$A$1598, "*Lang*Buggy")</f>
        <v>114</v>
      </c>
      <c r="B1679" s="1" t="s">
        <v>1676</v>
      </c>
      <c r="C1679" s="27">
        <f t="shared" ref="C1679:O1679" si="182">AVERAGEIF($A$24:$A$1598, "*Lang-*_Buggy", B$24:B$1598)</f>
        <v>3.9562280701754391</v>
      </c>
      <c r="D1679" s="27">
        <f t="shared" si="182"/>
        <v>77.790438596491271</v>
      </c>
      <c r="E1679" s="27">
        <f t="shared" si="182"/>
        <v>16.160789473684208</v>
      </c>
      <c r="F1679" s="27">
        <f t="shared" si="182"/>
        <v>6.4299122807017532</v>
      </c>
      <c r="G1679" s="27">
        <f t="shared" si="182"/>
        <v>11.319035087719302</v>
      </c>
      <c r="H1679" s="27">
        <f t="shared" si="182"/>
        <v>4.1098245614035083</v>
      </c>
      <c r="I1679" s="27">
        <f t="shared" si="182"/>
        <v>10.540087719298246</v>
      </c>
      <c r="J1679" s="27">
        <f t="shared" si="182"/>
        <v>27.480263157894736</v>
      </c>
      <c r="K1679" s="27">
        <f t="shared" si="182"/>
        <v>53.123596491228078</v>
      </c>
      <c r="L1679" s="27">
        <f t="shared" si="182"/>
        <v>0.29295614035087725</v>
      </c>
      <c r="M1679" s="27">
        <f t="shared" si="182"/>
        <v>2.9236842105263137E-2</v>
      </c>
      <c r="N1679" s="27">
        <f t="shared" si="182"/>
        <v>14.325315789473686</v>
      </c>
      <c r="O1679" s="27">
        <f t="shared" si="182"/>
        <v>0.79530526315789463</v>
      </c>
    </row>
    <row r="1680" spans="1:15" x14ac:dyDescent="0.35">
      <c r="A1680" s="1">
        <f>COUNTIF($A$24:$A$1598, "*Lang*Fixed")</f>
        <v>114</v>
      </c>
      <c r="B1680" s="1" t="s">
        <v>1677</v>
      </c>
      <c r="C1680" s="27">
        <f t="shared" ref="C1680:O1680" si="183">AVERAGEIF($A$24:$A$1598, "*Lang-*_Fixed", B$24:B$1598)</f>
        <v>4.075263157894736</v>
      </c>
      <c r="D1680" s="27">
        <f t="shared" si="183"/>
        <v>77.687105263157903</v>
      </c>
      <c r="E1680" s="27">
        <f t="shared" si="183"/>
        <v>16.403245614035082</v>
      </c>
      <c r="F1680" s="27">
        <f t="shared" si="183"/>
        <v>6.5173684210526295</v>
      </c>
      <c r="G1680" s="27">
        <f t="shared" si="183"/>
        <v>11.701578947368422</v>
      </c>
      <c r="H1680" s="27">
        <f t="shared" si="183"/>
        <v>4.1381578947368425</v>
      </c>
      <c r="I1680" s="27">
        <f t="shared" si="183"/>
        <v>10.655263157894739</v>
      </c>
      <c r="J1680" s="27">
        <f t="shared" si="183"/>
        <v>28.106140350877201</v>
      </c>
      <c r="K1680" s="27">
        <f t="shared" si="183"/>
        <v>54.17552631578949</v>
      </c>
      <c r="L1680" s="27">
        <f t="shared" si="183"/>
        <v>0.29593859649122811</v>
      </c>
      <c r="M1680" s="27">
        <f t="shared" si="183"/>
        <v>2.9236842105263137E-2</v>
      </c>
      <c r="N1680" s="27">
        <f t="shared" si="183"/>
        <v>14.483736842105264</v>
      </c>
      <c r="O1680" s="27">
        <f t="shared" si="183"/>
        <v>0.80407719298245606</v>
      </c>
    </row>
    <row r="1681" spans="1:15" x14ac:dyDescent="0.35">
      <c r="A1681" s="1">
        <f>COUNTIF($A$24:$A$1598, "*Lang*Repaired")</f>
        <v>114</v>
      </c>
      <c r="B1681" s="1" t="s">
        <v>1678</v>
      </c>
      <c r="C1681" s="27">
        <f t="shared" ref="C1681:O1681" si="184">AVERAGEIF($A$24:$A$1598, "*Lang-*_Repaired", B$24:B$1598)</f>
        <v>3.9649999999999985</v>
      </c>
      <c r="D1681" s="27">
        <f t="shared" si="184"/>
        <v>77.765175438596529</v>
      </c>
      <c r="E1681" s="27">
        <f t="shared" si="184"/>
        <v>16.161403508771929</v>
      </c>
      <c r="F1681" s="27">
        <f t="shared" si="184"/>
        <v>6.4428947368421063</v>
      </c>
      <c r="G1681" s="27">
        <f t="shared" si="184"/>
        <v>11.335175438596487</v>
      </c>
      <c r="H1681" s="27">
        <f t="shared" si="184"/>
        <v>4.1216666666666661</v>
      </c>
      <c r="I1681" s="27">
        <f t="shared" si="184"/>
        <v>10.564298245614035</v>
      </c>
      <c r="J1681" s="27">
        <f t="shared" si="184"/>
        <v>27.496578947368427</v>
      </c>
      <c r="K1681" s="27">
        <f t="shared" si="184"/>
        <v>53.263596491228078</v>
      </c>
      <c r="L1681" s="27">
        <f t="shared" si="184"/>
        <v>0.30427192982456147</v>
      </c>
      <c r="M1681" s="27">
        <f t="shared" si="184"/>
        <v>3.0201754385964889E-2</v>
      </c>
      <c r="N1681" s="27">
        <f t="shared" si="184"/>
        <v>14.80487719298246</v>
      </c>
      <c r="O1681" s="27">
        <f t="shared" si="184"/>
        <v>0.82188421052631577</v>
      </c>
    </row>
    <row r="1682" spans="1:15" ht="15" x14ac:dyDescent="0.35">
      <c r="A1682" s="37" t="s">
        <v>1704</v>
      </c>
      <c r="C1682" s="37" t="s">
        <v>1695</v>
      </c>
      <c r="G1682" s="37" t="s">
        <v>1695</v>
      </c>
      <c r="O1682"/>
    </row>
    <row r="1683" spans="1:15" ht="28.8" x14ac:dyDescent="0.35">
      <c r="B1683" s="14" t="s">
        <v>1335</v>
      </c>
      <c r="C1683" s="14" t="s">
        <v>1296</v>
      </c>
      <c r="D1683" s="14" t="s">
        <v>1297</v>
      </c>
      <c r="E1683" s="14" t="s">
        <v>1298</v>
      </c>
      <c r="F1683" s="14" t="s">
        <v>21</v>
      </c>
      <c r="G1683" s="14" t="s">
        <v>1299</v>
      </c>
      <c r="H1683" s="14" t="s">
        <v>22</v>
      </c>
      <c r="I1683" s="14" t="s">
        <v>1300</v>
      </c>
      <c r="J1683" s="14" t="s">
        <v>1301</v>
      </c>
      <c r="K1683" s="14" t="s">
        <v>1302</v>
      </c>
      <c r="L1683" s="14" t="s">
        <v>1303</v>
      </c>
      <c r="M1683" s="14" t="s">
        <v>1304</v>
      </c>
      <c r="N1683" s="14" t="s">
        <v>1305</v>
      </c>
      <c r="O1683" s="14" t="s">
        <v>1306</v>
      </c>
    </row>
    <row r="1684" spans="1:15" x14ac:dyDescent="0.35">
      <c r="A1684" s="1">
        <f>COUNTIF($A$24:$A$1598, "*Math*Buggy")</f>
        <v>195</v>
      </c>
      <c r="B1684" s="1" t="s">
        <v>1679</v>
      </c>
      <c r="C1684" s="27">
        <f t="shared" ref="C1684:O1684" si="185">AVERAGEIF($A$24:$A$1598, "*Math-*_Buggy", B$24:B$1598)</f>
        <v>3.4262051282051282</v>
      </c>
      <c r="D1684" s="27">
        <f t="shared" si="185"/>
        <v>78.042256410256385</v>
      </c>
      <c r="E1684" s="27">
        <f t="shared" si="185"/>
        <v>20.374461538461549</v>
      </c>
      <c r="F1684" s="27">
        <f t="shared" si="185"/>
        <v>6.7673333333333341</v>
      </c>
      <c r="G1684" s="27">
        <f t="shared" si="185"/>
        <v>15.485692307692306</v>
      </c>
      <c r="H1684" s="27">
        <f t="shared" si="185"/>
        <v>4.5667692307692347</v>
      </c>
      <c r="I1684" s="27">
        <f t="shared" si="185"/>
        <v>11.334666666666656</v>
      </c>
      <c r="J1684" s="27">
        <f t="shared" si="185"/>
        <v>35.859230769230734</v>
      </c>
      <c r="K1684" s="27">
        <f t="shared" si="185"/>
        <v>60.888256410256396</v>
      </c>
      <c r="L1684" s="27">
        <f t="shared" si="185"/>
        <v>0.51323589743589793</v>
      </c>
      <c r="M1684" s="27">
        <f t="shared" si="185"/>
        <v>9.8297435897435947E-2</v>
      </c>
      <c r="N1684" s="27">
        <f t="shared" si="185"/>
        <v>63.813169230769233</v>
      </c>
      <c r="O1684" s="27">
        <f t="shared" si="185"/>
        <v>3.5454420512820506</v>
      </c>
    </row>
    <row r="1685" spans="1:15" x14ac:dyDescent="0.35">
      <c r="A1685" s="1">
        <f>COUNTIF($A$24:$A$1598, "*Math*Fixed")</f>
        <v>195</v>
      </c>
      <c r="B1685" s="1" t="s">
        <v>1680</v>
      </c>
      <c r="C1685" s="27">
        <f t="shared" ref="C1685:O1685" si="186">AVERAGEIF($A$24:$A$1598, "*Math-*_Fixed", B$24:B$1598)</f>
        <v>3.4678461538461565</v>
      </c>
      <c r="D1685" s="27">
        <f t="shared" si="186"/>
        <v>77.937846153846166</v>
      </c>
      <c r="E1685" s="27">
        <f t="shared" si="186"/>
        <v>20.564256410256419</v>
      </c>
      <c r="F1685" s="27">
        <f t="shared" si="186"/>
        <v>6.8213333333333335</v>
      </c>
      <c r="G1685" s="27">
        <f t="shared" si="186"/>
        <v>15.597435897435906</v>
      </c>
      <c r="H1685" s="27">
        <f t="shared" si="186"/>
        <v>4.6223589743589759</v>
      </c>
      <c r="I1685" s="27">
        <f t="shared" si="186"/>
        <v>11.44446153846153</v>
      </c>
      <c r="J1685" s="27">
        <f t="shared" si="186"/>
        <v>36.160307692307647</v>
      </c>
      <c r="K1685" s="27">
        <f t="shared" si="186"/>
        <v>61.678512820512829</v>
      </c>
      <c r="L1685" s="27">
        <f t="shared" si="186"/>
        <v>0.52260000000000062</v>
      </c>
      <c r="M1685" s="27">
        <f t="shared" si="186"/>
        <v>9.8933333333333373E-2</v>
      </c>
      <c r="N1685" s="27">
        <f t="shared" si="186"/>
        <v>64.408605128205139</v>
      </c>
      <c r="O1685" s="27">
        <f t="shared" si="186"/>
        <v>3.5786061538461529</v>
      </c>
    </row>
    <row r="1686" spans="1:15" x14ac:dyDescent="0.35">
      <c r="A1686" s="1">
        <f>COUNTIF($A$24:$A$1598, "*Math*Repaired")</f>
        <v>195</v>
      </c>
      <c r="B1686" s="1" t="s">
        <v>1681</v>
      </c>
      <c r="C1686" s="27">
        <f t="shared" ref="C1686:O1686" si="187">AVERAGEIF($A$24:$A$1598, "*Math-*_Repaired", B$24:B$1598)</f>
        <v>3.4405128205128221</v>
      </c>
      <c r="D1686" s="27">
        <f t="shared" si="187"/>
        <v>77.949025641025585</v>
      </c>
      <c r="E1686" s="27">
        <f t="shared" si="187"/>
        <v>20.28861538461539</v>
      </c>
      <c r="F1686" s="27">
        <f t="shared" si="187"/>
        <v>6.7808205128205126</v>
      </c>
      <c r="G1686" s="27">
        <f t="shared" si="187"/>
        <v>15.46466666666667</v>
      </c>
      <c r="H1686" s="27">
        <f t="shared" si="187"/>
        <v>4.6106666666666696</v>
      </c>
      <c r="I1686" s="27">
        <f t="shared" si="187"/>
        <v>11.391948717948715</v>
      </c>
      <c r="J1686" s="27">
        <f t="shared" si="187"/>
        <v>35.753333333333316</v>
      </c>
      <c r="K1686" s="27">
        <f t="shared" si="187"/>
        <v>61.108769230769205</v>
      </c>
      <c r="L1686" s="27">
        <f t="shared" si="187"/>
        <v>0.5275435897435905</v>
      </c>
      <c r="M1686" s="27">
        <f t="shared" si="187"/>
        <v>0.10011282051282054</v>
      </c>
      <c r="N1686" s="27">
        <f t="shared" si="187"/>
        <v>64.392194871794871</v>
      </c>
      <c r="O1686" s="27">
        <f t="shared" si="187"/>
        <v>3.5775958974358963</v>
      </c>
    </row>
    <row r="1687" spans="1:15" ht="15" x14ac:dyDescent="0.35">
      <c r="A1687" s="37" t="s">
        <v>1704</v>
      </c>
      <c r="E1687" s="37" t="s">
        <v>1695</v>
      </c>
      <c r="G1687" s="37"/>
      <c r="H1687" s="37" t="s">
        <v>1695</v>
      </c>
      <c r="I1687" s="37" t="s">
        <v>1695</v>
      </c>
      <c r="O1687"/>
    </row>
    <row r="1688" spans="1:15" ht="28.8" x14ac:dyDescent="0.35">
      <c r="B1688" s="14" t="s">
        <v>1335</v>
      </c>
      <c r="C1688" s="14" t="s">
        <v>1296</v>
      </c>
      <c r="D1688" s="14" t="s">
        <v>1297</v>
      </c>
      <c r="E1688" s="14" t="s">
        <v>1298</v>
      </c>
      <c r="F1688" s="14" t="s">
        <v>21</v>
      </c>
      <c r="G1688" s="14" t="s">
        <v>1299</v>
      </c>
      <c r="H1688" s="14" t="s">
        <v>22</v>
      </c>
      <c r="I1688" s="14" t="s">
        <v>1300</v>
      </c>
      <c r="J1688" s="14" t="s">
        <v>1301</v>
      </c>
      <c r="K1688" s="14" t="s">
        <v>1302</v>
      </c>
      <c r="L1688" s="14" t="s">
        <v>1303</v>
      </c>
      <c r="M1688" s="14" t="s">
        <v>1304</v>
      </c>
      <c r="N1688" s="14" t="s">
        <v>1305</v>
      </c>
      <c r="O1688" s="14" t="s">
        <v>1306</v>
      </c>
    </row>
    <row r="1689" spans="1:15" x14ac:dyDescent="0.35">
      <c r="A1689" s="1">
        <f>COUNTIF($A$24:$A$1598, "*Mockito*Buggy")</f>
        <v>7</v>
      </c>
      <c r="B1689" s="1" t="s">
        <v>1682</v>
      </c>
      <c r="C1689" s="27">
        <f t="shared" ref="C1689:O1689" si="188">AVERAGEIF($A$24:$A$1598, "*Mockito-*_Buggy", B$24:B$1598)</f>
        <v>2.2485714285714287</v>
      </c>
      <c r="D1689" s="27">
        <f t="shared" si="188"/>
        <v>83.429999999999993</v>
      </c>
      <c r="E1689" s="27">
        <f t="shared" si="188"/>
        <v>7.0357142857142856</v>
      </c>
      <c r="F1689" s="27">
        <f t="shared" si="188"/>
        <v>3.8228571428571425</v>
      </c>
      <c r="G1689" s="27">
        <f t="shared" si="188"/>
        <v>4.6071428571428568</v>
      </c>
      <c r="H1689" s="27">
        <f t="shared" si="188"/>
        <v>2.2485714285714287</v>
      </c>
      <c r="I1689" s="27">
        <f t="shared" si="188"/>
        <v>6.0714285714285712</v>
      </c>
      <c r="J1689" s="27">
        <f t="shared" si="188"/>
        <v>11.642857142857142</v>
      </c>
      <c r="K1689" s="27">
        <f t="shared" si="188"/>
        <v>22.495714285714286</v>
      </c>
      <c r="L1689" s="27">
        <f t="shared" si="188"/>
        <v>0.21428571428571427</v>
      </c>
      <c r="M1689" s="27">
        <f t="shared" si="188"/>
        <v>5.1428571428571428E-2</v>
      </c>
      <c r="N1689" s="27">
        <f t="shared" si="188"/>
        <v>3.8571428571428572</v>
      </c>
      <c r="O1689" s="27">
        <f t="shared" si="188"/>
        <v>0.21428571428571427</v>
      </c>
    </row>
    <row r="1690" spans="1:15" x14ac:dyDescent="0.35">
      <c r="A1690" s="1">
        <f>COUNTIF($A$24:$A$1598, "*Mockito*Fixed")</f>
        <v>7</v>
      </c>
      <c r="B1690" s="1" t="s">
        <v>1683</v>
      </c>
      <c r="C1690" s="29">
        <f t="shared" ref="C1690:O1690" si="189">AVERAGEIF($A$24:$A$1598, "*Mockito-*_Fixed", B$24:B$1598)</f>
        <v>2.5014285714285713</v>
      </c>
      <c r="D1690" s="29">
        <f t="shared" si="189"/>
        <v>83.070000000000007</v>
      </c>
      <c r="E1690" s="29">
        <f t="shared" si="189"/>
        <v>7.4300000000000006</v>
      </c>
      <c r="F1690" s="29">
        <f t="shared" si="189"/>
        <v>4.0714285714285712</v>
      </c>
      <c r="G1690" s="29">
        <f t="shared" si="189"/>
        <v>4.8557142857142859</v>
      </c>
      <c r="H1690" s="29">
        <f t="shared" si="189"/>
        <v>2.5014285714285713</v>
      </c>
      <c r="I1690" s="29">
        <f t="shared" si="189"/>
        <v>6.5728571428571438</v>
      </c>
      <c r="J1690" s="29">
        <f t="shared" si="189"/>
        <v>12.285714285714286</v>
      </c>
      <c r="K1690" s="29">
        <f t="shared" si="189"/>
        <v>24.69</v>
      </c>
      <c r="L1690" s="29">
        <f t="shared" si="189"/>
        <v>0.21428571428571427</v>
      </c>
      <c r="M1690" s="29">
        <f t="shared" si="189"/>
        <v>5.1428571428571428E-2</v>
      </c>
      <c r="N1690" s="29">
        <f t="shared" si="189"/>
        <v>3.8571428571428572</v>
      </c>
      <c r="O1690" s="29">
        <f t="shared" si="189"/>
        <v>0.21428571428571427</v>
      </c>
    </row>
    <row r="1691" spans="1:15" x14ac:dyDescent="0.35">
      <c r="A1691" s="1">
        <f>COUNTIF($A$24:$A$1598, "*Mockito*Repaired")</f>
        <v>7</v>
      </c>
      <c r="B1691" s="1" t="s">
        <v>1684</v>
      </c>
      <c r="C1691" s="29">
        <f t="shared" ref="C1691:M1691" si="190">AVERAGEIF($A$24:$A$1598, "*Mockito-*_Repaired", B$24:B$1598)</f>
        <v>2.5014285714285713</v>
      </c>
      <c r="D1691" s="29">
        <f t="shared" si="190"/>
        <v>81.141428571428577</v>
      </c>
      <c r="E1691" s="29">
        <f t="shared" si="190"/>
        <v>7.1771428571428562</v>
      </c>
      <c r="F1691" s="29">
        <f t="shared" si="190"/>
        <v>4.2128571428571435</v>
      </c>
      <c r="G1691" s="29">
        <f t="shared" si="190"/>
        <v>5.1085714285714285</v>
      </c>
      <c r="H1691" s="29">
        <f t="shared" si="190"/>
        <v>2.75</v>
      </c>
      <c r="I1691" s="29">
        <f t="shared" si="190"/>
        <v>6.9628571428571417</v>
      </c>
      <c r="J1691" s="29">
        <f t="shared" si="190"/>
        <v>12.285714285714286</v>
      </c>
      <c r="K1691" s="29">
        <f t="shared" si="190"/>
        <v>26.099999999999998</v>
      </c>
      <c r="L1691" s="29">
        <f t="shared" si="190"/>
        <v>0.21428571428571427</v>
      </c>
      <c r="M1691" s="29">
        <f t="shared" si="190"/>
        <v>5.1428571428571428E-2</v>
      </c>
      <c r="N1691" s="29">
        <f>AVERAGEIF($A$24:$A$1598, "*Mockito-*_Repaired", M$24:M$1598)</f>
        <v>3.8571428571428572</v>
      </c>
      <c r="O1691" s="29">
        <f>AVERAGEIF($A$24:$A$1598, "*Mockito-*_Repaired", N$24:N$1598)</f>
        <v>0.21428571428571427</v>
      </c>
    </row>
    <row r="1692" spans="1:15" ht="15" x14ac:dyDescent="0.35">
      <c r="A1692" s="37"/>
      <c r="O1692"/>
    </row>
    <row r="1693" spans="1:15" ht="28.8" x14ac:dyDescent="0.35">
      <c r="B1693" s="14" t="s">
        <v>1335</v>
      </c>
      <c r="C1693" s="14" t="s">
        <v>1296</v>
      </c>
      <c r="D1693" s="14" t="s">
        <v>1297</v>
      </c>
      <c r="E1693" s="14" t="s">
        <v>1298</v>
      </c>
      <c r="F1693" s="14" t="s">
        <v>21</v>
      </c>
      <c r="G1693" s="14" t="s">
        <v>1299</v>
      </c>
      <c r="H1693" s="14" t="s">
        <v>22</v>
      </c>
      <c r="I1693" s="14" t="s">
        <v>1300</v>
      </c>
      <c r="J1693" s="14" t="s">
        <v>1301</v>
      </c>
      <c r="K1693" s="14" t="s">
        <v>1302</v>
      </c>
      <c r="L1693" s="14" t="s">
        <v>1303</v>
      </c>
      <c r="M1693" s="14" t="s">
        <v>1304</v>
      </c>
      <c r="N1693" s="14" t="s">
        <v>1305</v>
      </c>
      <c r="O1693" s="14" t="s">
        <v>1306</v>
      </c>
    </row>
    <row r="1694" spans="1:15" x14ac:dyDescent="0.35">
      <c r="A1694" s="1">
        <f>COUNTIF($A$24:$A$1598, "*Time*Buggy")</f>
        <v>3</v>
      </c>
      <c r="B1694" s="1" t="s">
        <v>1685</v>
      </c>
      <c r="C1694" s="27">
        <f t="shared" ref="C1694:O1694" si="191">AVERAGEIF($A$24:$A$1598, "*Time-*_Buggy", B$24:B$1598)</f>
        <v>2.5</v>
      </c>
      <c r="D1694" s="27">
        <f t="shared" si="191"/>
        <v>81.606666666666669</v>
      </c>
      <c r="E1694" s="27">
        <f t="shared" si="191"/>
        <v>13.269999999999998</v>
      </c>
      <c r="F1694" s="27">
        <f t="shared" si="191"/>
        <v>4.956666666666667</v>
      </c>
      <c r="G1694" s="27">
        <f t="shared" si="191"/>
        <v>8.1333333333333329</v>
      </c>
      <c r="H1694" s="27">
        <f t="shared" si="191"/>
        <v>3.8066666666666666</v>
      </c>
      <c r="I1694" s="27">
        <f t="shared" si="191"/>
        <v>8.7633333333333336</v>
      </c>
      <c r="J1694" s="27">
        <f t="shared" si="191"/>
        <v>21.400000000000002</v>
      </c>
      <c r="K1694" s="27">
        <f t="shared" si="191"/>
        <v>40.943333333333335</v>
      </c>
      <c r="L1694" s="27">
        <f t="shared" si="191"/>
        <v>1.3666666666666667E-2</v>
      </c>
      <c r="M1694" s="27">
        <f t="shared" si="191"/>
        <v>1.3666666666666667E-2</v>
      </c>
      <c r="N1694" s="27">
        <f t="shared" si="191"/>
        <v>0.12666666666666668</v>
      </c>
      <c r="O1694" s="27">
        <f t="shared" si="191"/>
        <v>7.0000000000000001E-3</v>
      </c>
    </row>
    <row r="1695" spans="1:15" x14ac:dyDescent="0.35">
      <c r="A1695" s="1">
        <f>COUNTIF($A$24:$A$1598, "*Time*Fixed")</f>
        <v>3</v>
      </c>
      <c r="B1695" s="1" t="s">
        <v>1686</v>
      </c>
      <c r="C1695" s="29">
        <f t="shared" ref="C1695:O1695" si="192">AVERAGEIF($A$24:$A$1598, "*Time-*_Fixed", B$24:B$1598)</f>
        <v>2.5933333333333337</v>
      </c>
      <c r="D1695" s="29">
        <f t="shared" si="192"/>
        <v>81.426666666666662</v>
      </c>
      <c r="E1695" s="29">
        <f t="shared" si="192"/>
        <v>13.776666666666666</v>
      </c>
      <c r="F1695" s="29">
        <f t="shared" si="192"/>
        <v>5.043333333333333</v>
      </c>
      <c r="G1695" s="29">
        <f t="shared" si="192"/>
        <v>8.5666666666666664</v>
      </c>
      <c r="H1695" s="29">
        <f t="shared" si="192"/>
        <v>3.9499999999999997</v>
      </c>
      <c r="I1695" s="29">
        <f t="shared" si="192"/>
        <v>8.9933333333333323</v>
      </c>
      <c r="J1695" s="29">
        <f t="shared" si="192"/>
        <v>22.343333333333334</v>
      </c>
      <c r="K1695" s="29">
        <f t="shared" si="192"/>
        <v>42.800000000000004</v>
      </c>
      <c r="L1695" s="29">
        <f t="shared" si="192"/>
        <v>1.3666666666666667E-2</v>
      </c>
      <c r="M1695" s="29">
        <f t="shared" si="192"/>
        <v>1.3666666666666667E-2</v>
      </c>
      <c r="N1695" s="29">
        <f t="shared" si="192"/>
        <v>0.12666666666666668</v>
      </c>
      <c r="O1695" s="29">
        <f t="shared" si="192"/>
        <v>7.0000000000000001E-3</v>
      </c>
    </row>
    <row r="1696" spans="1:15" x14ac:dyDescent="0.35">
      <c r="A1696" s="1">
        <f>COUNTIF($A$24:$A$1598, "*Time*Repaired")</f>
        <v>3</v>
      </c>
      <c r="B1696" s="1" t="s">
        <v>1687</v>
      </c>
      <c r="C1696" s="29">
        <f t="shared" ref="C1696:O1696" si="193">AVERAGEIF($A$24:$A$1598, "*Time-*_Repaired", B$24:B$1598)</f>
        <v>2.5466666666666669</v>
      </c>
      <c r="D1696" s="29">
        <f t="shared" si="193"/>
        <v>81.61666666666666</v>
      </c>
      <c r="E1696" s="29">
        <f t="shared" si="193"/>
        <v>13.213333333333333</v>
      </c>
      <c r="F1696" s="29">
        <f t="shared" si="193"/>
        <v>4.9366666666666665</v>
      </c>
      <c r="G1696" s="29">
        <f t="shared" si="193"/>
        <v>8.2933333333333348</v>
      </c>
      <c r="H1696" s="29">
        <f t="shared" si="193"/>
        <v>3.9600000000000004</v>
      </c>
      <c r="I1696" s="29">
        <f t="shared" si="193"/>
        <v>8.9</v>
      </c>
      <c r="J1696" s="29">
        <f t="shared" si="193"/>
        <v>21.506666666666664</v>
      </c>
      <c r="K1696" s="29">
        <f t="shared" si="193"/>
        <v>41.823333333333331</v>
      </c>
      <c r="L1696" s="29">
        <f t="shared" si="193"/>
        <v>1.3666666666666667E-2</v>
      </c>
      <c r="M1696" s="29">
        <f t="shared" si="193"/>
        <v>1.3666666666666667E-2</v>
      </c>
      <c r="N1696" s="29">
        <f t="shared" si="193"/>
        <v>0.12666666666666668</v>
      </c>
      <c r="O1696" s="29">
        <f t="shared" si="193"/>
        <v>7.0000000000000001E-3</v>
      </c>
    </row>
    <row r="1697" spans="1:29" ht="15" x14ac:dyDescent="0.35">
      <c r="A1697" s="37"/>
      <c r="O1697"/>
    </row>
    <row r="1698" spans="1:29" ht="15" x14ac:dyDescent="0.35">
      <c r="O1698"/>
    </row>
    <row r="1699" spans="1:29" x14ac:dyDescent="0.35">
      <c r="A1699" s="33" t="s">
        <v>1336</v>
      </c>
      <c r="B1699" s="28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28"/>
    </row>
    <row r="1700" spans="1:29" ht="15" x14ac:dyDescent="0.3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29" ht="28.8" x14ac:dyDescent="0.35">
      <c r="A1701" s="14" t="s">
        <v>1310</v>
      </c>
      <c r="B1701" s="14" t="s">
        <v>1335</v>
      </c>
      <c r="C1701" s="14" t="s">
        <v>1296</v>
      </c>
      <c r="D1701" s="14" t="s">
        <v>1297</v>
      </c>
      <c r="E1701" s="14" t="s">
        <v>1298</v>
      </c>
      <c r="F1701" s="14" t="s">
        <v>21</v>
      </c>
      <c r="G1701" s="14" t="s">
        <v>1299</v>
      </c>
      <c r="H1701" s="14" t="s">
        <v>22</v>
      </c>
      <c r="I1701" s="14" t="s">
        <v>1300</v>
      </c>
      <c r="J1701" s="14" t="s">
        <v>1301</v>
      </c>
      <c r="K1701" s="14" t="s">
        <v>1302</v>
      </c>
      <c r="L1701" s="14" t="s">
        <v>1303</v>
      </c>
      <c r="M1701" s="14" t="s">
        <v>1304</v>
      </c>
      <c r="N1701" s="14" t="s">
        <v>1305</v>
      </c>
      <c r="O1701" s="14" t="s">
        <v>1306</v>
      </c>
      <c r="Q1701" s="12" t="s">
        <v>1292</v>
      </c>
      <c r="R1701" s="12" t="s">
        <v>1293</v>
      </c>
      <c r="S1701" s="12" t="s">
        <v>1294</v>
      </c>
      <c r="T1701" s="12" t="s">
        <v>1715</v>
      </c>
    </row>
    <row r="1702" spans="1:29" ht="15" x14ac:dyDescent="0.35">
      <c r="A1702" s="1">
        <f>COUNTIF($A$24:$A$1598, "ACS*Fixed")</f>
        <v>19</v>
      </c>
      <c r="B1702" s="1" t="s">
        <v>1311</v>
      </c>
      <c r="C1702" s="27">
        <f t="shared" ref="C1702:O1702" si="194">AVERAGEIF($A$24:$A$1598, "ACS*Fixed", B$24:B$1598)</f>
        <v>3.6378947368421053</v>
      </c>
      <c r="D1702" s="27">
        <f t="shared" si="194"/>
        <v>77.220000000000013</v>
      </c>
      <c r="E1702" s="27">
        <f t="shared" si="194"/>
        <v>19.461052631578948</v>
      </c>
      <c r="F1702" s="27">
        <f t="shared" si="194"/>
        <v>6.63578947368421</v>
      </c>
      <c r="G1702" s="27">
        <f t="shared" si="194"/>
        <v>14.316315789473684</v>
      </c>
      <c r="H1702" s="27">
        <f t="shared" si="194"/>
        <v>4.7099999999999991</v>
      </c>
      <c r="I1702" s="27">
        <f t="shared" si="194"/>
        <v>11.346315789473683</v>
      </c>
      <c r="J1702" s="27">
        <f t="shared" si="194"/>
        <v>33.776315789473678</v>
      </c>
      <c r="K1702" s="27">
        <f t="shared" si="194"/>
        <v>59.617894736842103</v>
      </c>
      <c r="L1702" s="27">
        <f t="shared" si="194"/>
        <v>0.38278947368421051</v>
      </c>
      <c r="M1702" s="27">
        <f t="shared" si="194"/>
        <v>5.5473684210526321E-2</v>
      </c>
      <c r="N1702" s="27">
        <f t="shared" si="194"/>
        <v>12.57842105263158</v>
      </c>
      <c r="O1702" s="27">
        <f t="shared" si="194"/>
        <v>0.6986842105263158</v>
      </c>
      <c r="P1702"/>
      <c r="Q1702" s="27">
        <f>AVERAGEIF($A$24:$A$1598, "ACS*Fixed", S$24:S$1598)</f>
        <v>2.1052631578947367</v>
      </c>
      <c r="R1702" s="27">
        <f>AVERAGEIF($A$24:$A$1598, "ACS*Fixed", T$24:T$1598)</f>
        <v>0.94736842105263153</v>
      </c>
      <c r="S1702" s="27">
        <f>AVERAGEIF($A$24:$A$1598, "ACS*Fixed", U$24:U$1598)</f>
        <v>4.1578947368421053</v>
      </c>
      <c r="T1702" s="27">
        <f>AVERAGEIF($A$24:$A$1598, "ACS*Fixed", V$24:V$1598)</f>
        <v>5.1052631578947372</v>
      </c>
      <c r="X1702"/>
      <c r="Y1702"/>
      <c r="Z1702"/>
      <c r="AA1702"/>
      <c r="AB1702"/>
      <c r="AC1702"/>
    </row>
    <row r="1703" spans="1:29" ht="15.6" thickBot="1" x14ac:dyDescent="0.4">
      <c r="A1703" s="31">
        <f>COUNTIF($A$24:$A$1598, "ACS*Repaired")</f>
        <v>19</v>
      </c>
      <c r="B1703" s="31" t="s">
        <v>1312</v>
      </c>
      <c r="C1703" s="32">
        <f t="shared" ref="C1703:O1703" si="195">AVERAGEIF($A$24:$A$1598, "ACS*Repaired", B$24:B$1598)</f>
        <v>3.6494736842105264</v>
      </c>
      <c r="D1703" s="32">
        <f t="shared" si="195"/>
        <v>76.966842105263183</v>
      </c>
      <c r="E1703" s="32">
        <f t="shared" si="195"/>
        <v>19.37157894736842</v>
      </c>
      <c r="F1703" s="32">
        <f t="shared" si="195"/>
        <v>6.7163157894736845</v>
      </c>
      <c r="G1703" s="32">
        <f t="shared" si="195"/>
        <v>14.276842105263157</v>
      </c>
      <c r="H1703" s="32">
        <f t="shared" si="195"/>
        <v>4.8273684210526318</v>
      </c>
      <c r="I1703" s="32">
        <f t="shared" si="195"/>
        <v>11.544210526315791</v>
      </c>
      <c r="J1703" s="32">
        <f t="shared" si="195"/>
        <v>33.647368421052626</v>
      </c>
      <c r="K1703" s="32">
        <f t="shared" si="195"/>
        <v>60.594736842105263</v>
      </c>
      <c r="L1703" s="32">
        <f t="shared" si="195"/>
        <v>0.39657894736842103</v>
      </c>
      <c r="M1703" s="32">
        <f t="shared" si="195"/>
        <v>6.0631578947368418E-2</v>
      </c>
      <c r="N1703" s="32">
        <f t="shared" si="195"/>
        <v>12.799473684210525</v>
      </c>
      <c r="O1703" s="32">
        <f t="shared" si="195"/>
        <v>0.71084210526315794</v>
      </c>
      <c r="P1703"/>
      <c r="Q1703" s="32">
        <f>AVERAGEIF($A$24:$A$1598, "ACS*Repaired", S$24:S$1598)</f>
        <v>1.263157894736842</v>
      </c>
      <c r="R1703" s="32">
        <f>AVERAGEIF($A$24:$A$1598, "ACS*Repaired", T$24:T$1598)</f>
        <v>1.368421052631579</v>
      </c>
      <c r="S1703" s="32">
        <f>AVERAGEIF($A$24:$A$1598, "ACS*Repaired", U$24:U$1598)</f>
        <v>1.6842105263157894</v>
      </c>
      <c r="T1703" s="32">
        <f>AVERAGEIF($A$24:$A$1598, "ACS*Repaired", V$24:V$1598)</f>
        <v>3.0526315789473686</v>
      </c>
    </row>
    <row r="1704" spans="1:29" ht="15" x14ac:dyDescent="0.35">
      <c r="A1704" s="1">
        <f>COUNTIF($A$24:$A$1598, "Arja*Fixed")</f>
        <v>42</v>
      </c>
      <c r="B1704" s="1" t="s">
        <v>1313</v>
      </c>
      <c r="C1704" s="27">
        <f t="shared" ref="C1704:O1704" si="196">AVERAGEIF($A$24:$A$1598, "Arja*Fixed", B$24:B$1598)</f>
        <v>3.8414285714285703</v>
      </c>
      <c r="D1704" s="27">
        <f t="shared" si="196"/>
        <v>77.565476190476176</v>
      </c>
      <c r="E1704" s="27">
        <f t="shared" si="196"/>
        <v>18.336428571428574</v>
      </c>
      <c r="F1704" s="27">
        <f t="shared" si="196"/>
        <v>6.4509523809523825</v>
      </c>
      <c r="G1704" s="27">
        <f t="shared" si="196"/>
        <v>13.723333333333336</v>
      </c>
      <c r="H1704" s="27">
        <f t="shared" si="196"/>
        <v>4.0107142857142843</v>
      </c>
      <c r="I1704" s="27">
        <f t="shared" si="196"/>
        <v>10.46166666666667</v>
      </c>
      <c r="J1704" s="27">
        <f t="shared" si="196"/>
        <v>32.059761904761906</v>
      </c>
      <c r="K1704" s="27">
        <f t="shared" si="196"/>
        <v>54.547380952380948</v>
      </c>
      <c r="L1704" s="27">
        <f t="shared" si="196"/>
        <v>0.30504761904761896</v>
      </c>
      <c r="M1704" s="27">
        <f t="shared" si="196"/>
        <v>5.448571428571429E-2</v>
      </c>
      <c r="N1704" s="27">
        <f t="shared" si="196"/>
        <v>29.337785714285712</v>
      </c>
      <c r="O1704" s="27">
        <f t="shared" si="196"/>
        <v>1.6297333333333335</v>
      </c>
      <c r="P1704"/>
      <c r="Q1704" s="27">
        <f>AVERAGEIF($A$24:$A$1598, "Arja*Fixed", S$24:S$1598)</f>
        <v>2.1666666666666665</v>
      </c>
      <c r="R1704" s="27">
        <f>AVERAGEIF($A$24:$A$1598, "Arja*Fixed", T$24:T$1598)</f>
        <v>3.7380952380952381</v>
      </c>
      <c r="S1704" s="27">
        <f>AVERAGEIF($A$24:$A$1598, "Arja*Fixed", U$24:U$1598)</f>
        <v>3.2380952380952381</v>
      </c>
      <c r="T1704" s="27">
        <f>AVERAGEIF($A$24:$A$1598, "Arja*Fixed", V$24:V$1598)</f>
        <v>6.9761904761904763</v>
      </c>
    </row>
    <row r="1705" spans="1:29" ht="15.6" thickBot="1" x14ac:dyDescent="0.4">
      <c r="A1705" s="31">
        <f>COUNTIF($A$24:$A$1598, "Arja*Repaired")</f>
        <v>42</v>
      </c>
      <c r="B1705" s="31" t="s">
        <v>1314</v>
      </c>
      <c r="C1705" s="32">
        <f t="shared" ref="C1705:O1705" si="197">AVERAGEIF($A$24:$A$1598, "Arja*Repaired", B$24:B$1598)</f>
        <v>3.8221428571428557</v>
      </c>
      <c r="D1705" s="32">
        <f t="shared" si="197"/>
        <v>77.557142857142836</v>
      </c>
      <c r="E1705" s="32">
        <f t="shared" si="197"/>
        <v>18.03738095238095</v>
      </c>
      <c r="F1705" s="32">
        <f t="shared" si="197"/>
        <v>6.418333333333333</v>
      </c>
      <c r="G1705" s="32">
        <f t="shared" si="197"/>
        <v>13.544999999999996</v>
      </c>
      <c r="H1705" s="32">
        <f t="shared" si="197"/>
        <v>4.0064285714285708</v>
      </c>
      <c r="I1705" s="32">
        <f t="shared" si="197"/>
        <v>10.424523809523812</v>
      </c>
      <c r="J1705" s="32">
        <f t="shared" si="197"/>
        <v>31.584285714285709</v>
      </c>
      <c r="K1705" s="32">
        <f t="shared" si="197"/>
        <v>53.939523809523813</v>
      </c>
      <c r="L1705" s="32">
        <f t="shared" si="197"/>
        <v>0.3307619047619047</v>
      </c>
      <c r="M1705" s="32">
        <f t="shared" si="197"/>
        <v>5.8628571428571433E-2</v>
      </c>
      <c r="N1705" s="32">
        <f t="shared" si="197"/>
        <v>30.60254761904762</v>
      </c>
      <c r="O1705" s="32">
        <f t="shared" si="197"/>
        <v>1.699804761904762</v>
      </c>
      <c r="P1705"/>
      <c r="Q1705" s="32">
        <f>AVERAGEIF($A$24:$A$1598, "Arja*Repaired", S$24:S$1598)</f>
        <v>1.2857142857142858</v>
      </c>
      <c r="R1705" s="32">
        <f>AVERAGEIF($A$24:$A$1598, "Arja*Repaired", T$24:T$1598)</f>
        <v>7.6904761904761907</v>
      </c>
      <c r="S1705" s="32">
        <f>AVERAGEIF($A$24:$A$1598, "Arja*Repaired", U$24:U$1598)</f>
        <v>1.6428571428571428</v>
      </c>
      <c r="T1705" s="32">
        <f>AVERAGEIF($A$24:$A$1598, "Arja*Repaired", V$24:V$1598)</f>
        <v>9.3333333333333339</v>
      </c>
    </row>
    <row r="1706" spans="1:29" ht="15" x14ac:dyDescent="0.35">
      <c r="A1706" s="1">
        <f>COUNTIF($A$24:$A$1598, "AVATAR*Fixed")</f>
        <v>52</v>
      </c>
      <c r="B1706" s="1" t="s">
        <v>1315</v>
      </c>
      <c r="C1706" s="27">
        <f t="shared" ref="C1706:O1706" si="198">AVERAGEIF($A$24:$A$1598, "AVATAR*Fixed", B$24:B$1598)</f>
        <v>3.8761538461538461</v>
      </c>
      <c r="D1706" s="27">
        <f t="shared" si="198"/>
        <v>77.812884615384618</v>
      </c>
      <c r="E1706" s="27">
        <f t="shared" si="198"/>
        <v>17.430576923076927</v>
      </c>
      <c r="F1706" s="27">
        <f t="shared" si="198"/>
        <v>6.6100000000000012</v>
      </c>
      <c r="G1706" s="27">
        <f t="shared" si="198"/>
        <v>13.420961538461537</v>
      </c>
      <c r="H1706" s="27">
        <f t="shared" si="198"/>
        <v>3.9580769230769226</v>
      </c>
      <c r="I1706" s="27">
        <f t="shared" si="198"/>
        <v>10.568653846153849</v>
      </c>
      <c r="J1706" s="27">
        <f t="shared" si="198"/>
        <v>30.85153846153846</v>
      </c>
      <c r="K1706" s="27">
        <f t="shared" si="198"/>
        <v>54.975576923076929</v>
      </c>
      <c r="L1706" s="27">
        <f t="shared" si="198"/>
        <v>0.30101923076923082</v>
      </c>
      <c r="M1706" s="27">
        <f t="shared" si="198"/>
        <v>5.5125000000000007E-2</v>
      </c>
      <c r="N1706" s="27">
        <f t="shared" si="198"/>
        <v>48.711346153846165</v>
      </c>
      <c r="O1706" s="27">
        <f t="shared" si="198"/>
        <v>2.7063461538461544</v>
      </c>
      <c r="P1706"/>
      <c r="Q1706" s="27">
        <f>AVERAGEIF($A$24:$A$1598, "AVATAR*Fixed", S$24:S$1598)</f>
        <v>2.0192307692307692</v>
      </c>
      <c r="R1706" s="27">
        <f>AVERAGEIF($A$24:$A$1598, "AVATAR*Fixed", T$24:T$1598)</f>
        <v>3.0576923076923075</v>
      </c>
      <c r="S1706" s="27">
        <f>AVERAGEIF($A$24:$A$1598, "AVATAR*Fixed", U$24:U$1598)</f>
        <v>3.1153846153846154</v>
      </c>
      <c r="T1706" s="27">
        <f>AVERAGEIF($A$24:$A$1598, "AVATAR*Fixed", V$24:V$1598)</f>
        <v>6.1730769230769234</v>
      </c>
    </row>
    <row r="1707" spans="1:29" ht="15.6" thickBot="1" x14ac:dyDescent="0.4">
      <c r="A1707" s="31">
        <f>COUNTIF($A$24:$A$1598, "AVATAR*Repaired")</f>
        <v>52</v>
      </c>
      <c r="B1707" s="31" t="s">
        <v>1316</v>
      </c>
      <c r="C1707" s="32">
        <f t="shared" ref="C1707:O1707" si="199">AVERAGEIF($A$24:$A$1598, "AVATAR*Repaired", B$24:B$1598)</f>
        <v>3.893076923076924</v>
      </c>
      <c r="D1707" s="32">
        <f t="shared" si="199"/>
        <v>77.850576923076929</v>
      </c>
      <c r="E1707" s="32">
        <f t="shared" si="199"/>
        <v>17.34615384615385</v>
      </c>
      <c r="F1707" s="32">
        <f t="shared" si="199"/>
        <v>6.5634615384615396</v>
      </c>
      <c r="G1707" s="32">
        <f t="shared" si="199"/>
        <v>13.514615384615384</v>
      </c>
      <c r="H1707" s="32">
        <f t="shared" si="199"/>
        <v>3.9400000000000004</v>
      </c>
      <c r="I1707" s="32">
        <f t="shared" si="199"/>
        <v>10.503269230769234</v>
      </c>
      <c r="J1707" s="32">
        <f t="shared" si="199"/>
        <v>30.860192307692309</v>
      </c>
      <c r="K1707" s="32">
        <f t="shared" si="199"/>
        <v>54.600769230769203</v>
      </c>
      <c r="L1707" s="32">
        <f t="shared" si="199"/>
        <v>0.29638461538461541</v>
      </c>
      <c r="M1707" s="32">
        <f t="shared" si="199"/>
        <v>5.4298076923076935E-2</v>
      </c>
      <c r="N1707" s="32">
        <f t="shared" si="199"/>
        <v>48.521346153846167</v>
      </c>
      <c r="O1707" s="32">
        <f t="shared" si="199"/>
        <v>2.6955769230769233</v>
      </c>
      <c r="P1707"/>
      <c r="Q1707" s="32">
        <f>AVERAGEIF($A$24:$A$1598, "AVATAR*Repaired", S$24:S$1598)</f>
        <v>1.0769230769230769</v>
      </c>
      <c r="R1707" s="32">
        <f>AVERAGEIF($A$24:$A$1598, "AVATAR*Repaired", T$24:T$1598)</f>
        <v>3.5576923076923075</v>
      </c>
      <c r="S1707" s="32">
        <f>AVERAGEIF($A$24:$A$1598, "AVATAR*Repaired", U$24:U$1598)</f>
        <v>1.4230769230769231</v>
      </c>
      <c r="T1707" s="32">
        <f>AVERAGEIF($A$24:$A$1598, "AVATAR*Repaired", V$24:V$1598)</f>
        <v>4.9807692307692308</v>
      </c>
    </row>
    <row r="1708" spans="1:29" ht="15" x14ac:dyDescent="0.35">
      <c r="A1708" s="1">
        <f>COUNTIF($A$24:$A$1598, "DynaMoth*Fixed")</f>
        <v>24</v>
      </c>
      <c r="B1708" s="1" t="s">
        <v>1317</v>
      </c>
      <c r="C1708" s="27">
        <f t="shared" ref="C1708:O1708" si="200">AVERAGEIF($A$24:$A$1598, "DynaMoth*Fixed", B$24:B$1598)</f>
        <v>3.7154166666666661</v>
      </c>
      <c r="D1708" s="27">
        <f t="shared" si="200"/>
        <v>77.138749999999987</v>
      </c>
      <c r="E1708" s="27">
        <f t="shared" si="200"/>
        <v>21.758750000000003</v>
      </c>
      <c r="F1708" s="27">
        <f t="shared" si="200"/>
        <v>7.003333333333333</v>
      </c>
      <c r="G1708" s="27">
        <f t="shared" si="200"/>
        <v>15.356666666666664</v>
      </c>
      <c r="H1708" s="27">
        <f t="shared" si="200"/>
        <v>4.2541666666666655</v>
      </c>
      <c r="I1708" s="27">
        <f t="shared" si="200"/>
        <v>11.258333333333335</v>
      </c>
      <c r="J1708" s="27">
        <f t="shared" si="200"/>
        <v>37.115000000000002</v>
      </c>
      <c r="K1708" s="27">
        <f t="shared" si="200"/>
        <v>61.103333333333332</v>
      </c>
      <c r="L1708" s="27">
        <f t="shared" si="200"/>
        <v>0.57354166666666651</v>
      </c>
      <c r="M1708" s="27">
        <f t="shared" si="200"/>
        <v>7.0624999999999993E-2</v>
      </c>
      <c r="N1708" s="27">
        <f t="shared" si="200"/>
        <v>14.689041666666666</v>
      </c>
      <c r="O1708" s="27">
        <f t="shared" si="200"/>
        <v>0.81632499999999997</v>
      </c>
      <c r="P1708"/>
      <c r="Q1708" s="27">
        <f>AVERAGEIF($A$24:$A$1598, "DynaMoth*Fixed", S$24:S$1598)</f>
        <v>2.4166666666666665</v>
      </c>
      <c r="R1708" s="27">
        <f>AVERAGEIF($A$24:$A$1598, "DynaMoth*Fixed", T$24:T$1598)</f>
        <v>2.625</v>
      </c>
      <c r="S1708" s="27">
        <f>AVERAGEIF($A$24:$A$1598, "DynaMoth*Fixed", U$24:U$1598)</f>
        <v>3.4583333333333335</v>
      </c>
      <c r="T1708" s="27">
        <f>AVERAGEIF($A$24:$A$1598, "DynaMoth*Fixed", V$24:V$1598)</f>
        <v>6.083333333333333</v>
      </c>
    </row>
    <row r="1709" spans="1:29" ht="15.6" thickBot="1" x14ac:dyDescent="0.4">
      <c r="A1709" s="31">
        <f>COUNTIF($A$24:$A$1598, "DynaMoth*Repaired")</f>
        <v>24</v>
      </c>
      <c r="B1709" s="31" t="s">
        <v>1318</v>
      </c>
      <c r="C1709" s="32">
        <f t="shared" ref="C1709:O1709" si="201">AVERAGEIF($A$24:$A$1598, "DynaMoth*Repaired", B$24:B$1598)</f>
        <v>3.6891666666666665</v>
      </c>
      <c r="D1709" s="32">
        <f t="shared" si="201"/>
        <v>77.157083333333333</v>
      </c>
      <c r="E1709" s="32">
        <f t="shared" si="201"/>
        <v>21.617916666666662</v>
      </c>
      <c r="F1709" s="32">
        <f t="shared" si="201"/>
        <v>7.010416666666667</v>
      </c>
      <c r="G1709" s="32">
        <f t="shared" si="201"/>
        <v>15.21708333333333</v>
      </c>
      <c r="H1709" s="32">
        <f t="shared" si="201"/>
        <v>4.2145833333333327</v>
      </c>
      <c r="I1709" s="32">
        <f t="shared" si="201"/>
        <v>11.225833333333334</v>
      </c>
      <c r="J1709" s="32">
        <f t="shared" si="201"/>
        <v>36.837083333333332</v>
      </c>
      <c r="K1709" s="32">
        <f t="shared" si="201"/>
        <v>60.702916666666674</v>
      </c>
      <c r="L1709" s="32">
        <f t="shared" si="201"/>
        <v>0.57824999999999982</v>
      </c>
      <c r="M1709" s="32">
        <f t="shared" si="201"/>
        <v>7.1791666666666656E-2</v>
      </c>
      <c r="N1709" s="32">
        <f t="shared" si="201"/>
        <v>15.182791666666667</v>
      </c>
      <c r="O1709" s="32">
        <f t="shared" si="201"/>
        <v>0.84382499999999983</v>
      </c>
      <c r="P1709"/>
      <c r="Q1709" s="32">
        <f>AVERAGEIF($A$24:$A$1598, "DynaMoth*Repaired", S$24:S$1598)</f>
        <v>1.25</v>
      </c>
      <c r="R1709" s="32">
        <f>AVERAGEIF($A$24:$A$1598, "DynaMoth*Repaired", T$24:T$1598)</f>
        <v>3.5</v>
      </c>
      <c r="S1709" s="32">
        <f>AVERAGEIF($A$24:$A$1598, "DynaMoth*Repaired", U$24:U$1598)</f>
        <v>4.833333333333333</v>
      </c>
      <c r="T1709" s="32">
        <f>AVERAGEIF($A$24:$A$1598, "DynaMoth*Repaired", V$24:V$1598)</f>
        <v>8.3333333333333339</v>
      </c>
    </row>
    <row r="1710" spans="1:29" ht="15" x14ac:dyDescent="0.35">
      <c r="A1710" s="1">
        <f>COUNTIF($A$24:$A$1598, "FixMiner*Fixed")</f>
        <v>53</v>
      </c>
      <c r="B1710" s="1" t="s">
        <v>1319</v>
      </c>
      <c r="C1710" s="27">
        <f t="shared" ref="C1710:O1710" si="202">AVERAGEIF($A$24:$A$1598, "FixMiner*Fixed", B$24:B$1598)</f>
        <v>4.1247169811320745</v>
      </c>
      <c r="D1710" s="27">
        <f t="shared" si="202"/>
        <v>77.770377358490563</v>
      </c>
      <c r="E1710" s="27">
        <f t="shared" si="202"/>
        <v>21.188301886792459</v>
      </c>
      <c r="F1710" s="27">
        <f t="shared" si="202"/>
        <v>7.1550943396226421</v>
      </c>
      <c r="G1710" s="27">
        <f t="shared" si="202"/>
        <v>15.372830188679249</v>
      </c>
      <c r="H1710" s="27">
        <f t="shared" si="202"/>
        <v>4.2958490566037737</v>
      </c>
      <c r="I1710" s="27">
        <f t="shared" si="202"/>
        <v>11.451132075471699</v>
      </c>
      <c r="J1710" s="27">
        <f t="shared" si="202"/>
        <v>36.561509433962264</v>
      </c>
      <c r="K1710" s="27">
        <f t="shared" si="202"/>
        <v>63.226226415094345</v>
      </c>
      <c r="L1710" s="27">
        <f t="shared" si="202"/>
        <v>0.45133962264150951</v>
      </c>
      <c r="M1710" s="27">
        <f t="shared" si="202"/>
        <v>5.9837735849056599E-2</v>
      </c>
      <c r="N1710" s="27">
        <f t="shared" si="202"/>
        <v>33.480377358490578</v>
      </c>
      <c r="O1710" s="27">
        <f t="shared" si="202"/>
        <v>1.8602452830188674</v>
      </c>
      <c r="P1710"/>
      <c r="Q1710" s="27">
        <f>AVERAGEIF($A$24:$A$1598, "FixMiner*Fixed", S$24:S$1598)</f>
        <v>2.1320754716981134</v>
      </c>
      <c r="R1710" s="27">
        <f>AVERAGEIF($A$24:$A$1598, "FixMiner*Fixed", T$24:T$1598)</f>
        <v>2.358490566037736</v>
      </c>
      <c r="S1710" s="27">
        <f>AVERAGEIF($A$24:$A$1598, "FixMiner*Fixed", U$24:U$1598)</f>
        <v>2.9433962264150941</v>
      </c>
      <c r="T1710" s="27">
        <f>AVERAGEIF($A$24:$A$1598, "FixMiner*Fixed", V$24:V$1598)</f>
        <v>5.3018867924528301</v>
      </c>
    </row>
    <row r="1711" spans="1:29" ht="15.6" thickBot="1" x14ac:dyDescent="0.4">
      <c r="A1711" s="31">
        <f>COUNTIF($A$24:$A$1598, "FixMiner*Repaired")</f>
        <v>53</v>
      </c>
      <c r="B1711" s="31" t="s">
        <v>1320</v>
      </c>
      <c r="C1711" s="32">
        <f t="shared" ref="C1711:O1711" si="203">AVERAGEIF($A$24:$A$1598, "FixMiner*Repaired", B$24:B$1598)</f>
        <v>3.9037735849056596</v>
      </c>
      <c r="D1711" s="32">
        <f t="shared" si="203"/>
        <v>77.800566037735848</v>
      </c>
      <c r="E1711" s="32">
        <f t="shared" si="203"/>
        <v>20.514339622641508</v>
      </c>
      <c r="F1711" s="32">
        <f t="shared" si="203"/>
        <v>7.0328301886792461</v>
      </c>
      <c r="G1711" s="32">
        <f t="shared" si="203"/>
        <v>14.666415094339623</v>
      </c>
      <c r="H1711" s="32">
        <f t="shared" si="203"/>
        <v>4.2411320754716986</v>
      </c>
      <c r="I1711" s="32">
        <f t="shared" si="203"/>
        <v>11.274150943396227</v>
      </c>
      <c r="J1711" s="32">
        <f t="shared" si="203"/>
        <v>35.180188679245276</v>
      </c>
      <c r="K1711" s="32">
        <f t="shared" si="203"/>
        <v>61.24</v>
      </c>
      <c r="L1711" s="32">
        <f t="shared" si="203"/>
        <v>0.44667924528301878</v>
      </c>
      <c r="M1711" s="32">
        <f t="shared" si="203"/>
        <v>6.0177358490566039E-2</v>
      </c>
      <c r="N1711" s="32">
        <f t="shared" si="203"/>
        <v>33.251886792452829</v>
      </c>
      <c r="O1711" s="32">
        <f t="shared" si="203"/>
        <v>1.8474150943396221</v>
      </c>
      <c r="P1711"/>
      <c r="Q1711" s="32">
        <f>AVERAGEIF($A$24:$A$1598, "FixMiner*Repaired", S$24:S$1598)</f>
        <v>1.1509433962264151</v>
      </c>
      <c r="R1711" s="32">
        <f>AVERAGEIF($A$24:$A$1598, "FixMiner*Repaired", T$24:T$1598)</f>
        <v>1.7169811320754718</v>
      </c>
      <c r="S1711" s="32">
        <f>AVERAGEIF($A$24:$A$1598, "FixMiner*Repaired", U$24:U$1598)</f>
        <v>1.5660377358490567</v>
      </c>
      <c r="T1711" s="32">
        <f>AVERAGEIF($A$24:$A$1598, "FixMiner*Repaired", V$24:V$1598)</f>
        <v>3.2830188679245285</v>
      </c>
    </row>
    <row r="1712" spans="1:29" ht="15" x14ac:dyDescent="0.35">
      <c r="A1712" s="1">
        <f>COUNTIF($A$24:$A$1598, "GenProg*Fixed")</f>
        <v>28</v>
      </c>
      <c r="B1712" s="1" t="s">
        <v>1321</v>
      </c>
      <c r="C1712" s="27">
        <f t="shared" ref="C1712:O1712" si="204">AVERAGEIF($A$24:$A$1598, "GenProg*Fixed", B$24:B$1598)</f>
        <v>4.2857142857142856</v>
      </c>
      <c r="D1712" s="27">
        <f t="shared" si="204"/>
        <v>76.343571428571408</v>
      </c>
      <c r="E1712" s="27">
        <f t="shared" si="204"/>
        <v>20.396071428571428</v>
      </c>
      <c r="F1712" s="27">
        <f t="shared" si="204"/>
        <v>7.0178571428571432</v>
      </c>
      <c r="G1712" s="27">
        <f t="shared" si="204"/>
        <v>15.615714285714281</v>
      </c>
      <c r="H1712" s="27">
        <f t="shared" si="204"/>
        <v>4.2074999999999987</v>
      </c>
      <c r="I1712" s="27">
        <f t="shared" si="204"/>
        <v>11.225357142857145</v>
      </c>
      <c r="J1712" s="27">
        <f t="shared" si="204"/>
        <v>36.012142857142855</v>
      </c>
      <c r="K1712" s="27">
        <f t="shared" si="204"/>
        <v>60.018214285714272</v>
      </c>
      <c r="L1712" s="27">
        <f t="shared" si="204"/>
        <v>0.30746428571428569</v>
      </c>
      <c r="M1712" s="27">
        <f t="shared" si="204"/>
        <v>4.1049999999999996E-2</v>
      </c>
      <c r="N1712" s="27">
        <f t="shared" si="204"/>
        <v>41.513571428571431</v>
      </c>
      <c r="O1712" s="27">
        <f t="shared" si="204"/>
        <v>2.3057857142857143</v>
      </c>
      <c r="P1712"/>
      <c r="Q1712" s="27">
        <f>AVERAGEIF($A$24:$A$1598, "GenProg*Fixed", S$24:S$1598)</f>
        <v>1.8571428571428572</v>
      </c>
      <c r="R1712" s="27">
        <f>AVERAGEIF($A$24:$A$1598, "GenProg*Fixed", T$24:T$1598)</f>
        <v>4.1071428571428568</v>
      </c>
      <c r="S1712" s="27">
        <f>AVERAGEIF($A$24:$A$1598, "GenProg*Fixed", U$24:U$1598)</f>
        <v>2.7142857142857144</v>
      </c>
      <c r="T1712" s="27">
        <f>AVERAGEIF($A$24:$A$1598, "GenProg*Fixed", V$24:V$1598)</f>
        <v>6.8214285714285712</v>
      </c>
    </row>
    <row r="1713" spans="1:20" ht="15.6" thickBot="1" x14ac:dyDescent="0.4">
      <c r="A1713" s="31">
        <f>COUNTIF($A$24:$A$1598, "GenProg*Repaired")</f>
        <v>28</v>
      </c>
      <c r="B1713" s="31" t="s">
        <v>1322</v>
      </c>
      <c r="C1713" s="32">
        <f t="shared" ref="C1713:O1713" si="205">AVERAGEIF($A$24:$A$1598, "GenProg*Repaired", B$24:B$1598)</f>
        <v>4.2999999999999989</v>
      </c>
      <c r="D1713" s="32">
        <f t="shared" si="205"/>
        <v>76.361785714285702</v>
      </c>
      <c r="E1713" s="32">
        <f t="shared" si="205"/>
        <v>20.203214285714292</v>
      </c>
      <c r="F1713" s="32">
        <f t="shared" si="205"/>
        <v>7.0371428571428583</v>
      </c>
      <c r="G1713" s="32">
        <f t="shared" si="205"/>
        <v>15.597499999999997</v>
      </c>
      <c r="H1713" s="32">
        <f t="shared" si="205"/>
        <v>4.1796428571428574</v>
      </c>
      <c r="I1713" s="32">
        <f t="shared" si="205"/>
        <v>11.216428571428574</v>
      </c>
      <c r="J1713" s="32">
        <f t="shared" si="205"/>
        <v>35.799999999999997</v>
      </c>
      <c r="K1713" s="32">
        <f t="shared" si="205"/>
        <v>59.910357142857144</v>
      </c>
      <c r="L1713" s="32">
        <f t="shared" si="205"/>
        <v>0.29924999999999996</v>
      </c>
      <c r="M1713" s="32">
        <f t="shared" si="205"/>
        <v>4.0692857142857142E-2</v>
      </c>
      <c r="N1713" s="32">
        <f t="shared" si="205"/>
        <v>41.116071428571431</v>
      </c>
      <c r="O1713" s="32">
        <f t="shared" si="205"/>
        <v>2.2836428571428571</v>
      </c>
      <c r="P1713"/>
      <c r="Q1713" s="32">
        <f>AVERAGEIF($A$24:$A$1598, "GenProg*Repaired", S$24:S$1598)</f>
        <v>1.1071428571428572</v>
      </c>
      <c r="R1713" s="32">
        <f>AVERAGEIF($A$24:$A$1598, "GenProg*Repaired", T$24:T$1598)</f>
        <v>7</v>
      </c>
      <c r="S1713" s="32">
        <f>AVERAGEIF($A$24:$A$1598, "GenProg*Repaired", U$24:U$1598)</f>
        <v>1.7142857142857142</v>
      </c>
      <c r="T1713" s="32">
        <f>AVERAGEIF($A$24:$A$1598, "GenProg*Repaired", V$24:V$1598)</f>
        <v>8.7142857142857135</v>
      </c>
    </row>
    <row r="1714" spans="1:20" ht="15" x14ac:dyDescent="0.35">
      <c r="A1714" s="1">
        <f>COUNTIF($A$24:$A$1598, "Kali*Fixed")</f>
        <v>35</v>
      </c>
      <c r="B1714" s="1" t="s">
        <v>1323</v>
      </c>
      <c r="C1714" s="27">
        <f t="shared" ref="C1714:O1714" si="206">AVERAGEIF($A$24:$A$1598, "Kali*Fixed", B$24:B$1598)</f>
        <v>4.1511428571428572</v>
      </c>
      <c r="D1714" s="27">
        <f t="shared" si="206"/>
        <v>77.75800000000001</v>
      </c>
      <c r="E1714" s="27">
        <f t="shared" si="206"/>
        <v>17.137999999999998</v>
      </c>
      <c r="F1714" s="27">
        <f t="shared" si="206"/>
        <v>6.4871428571428567</v>
      </c>
      <c r="G1714" s="27">
        <f t="shared" si="206"/>
        <v>14.225428571428571</v>
      </c>
      <c r="H1714" s="27">
        <f t="shared" si="206"/>
        <v>3.9245714285714288</v>
      </c>
      <c r="I1714" s="27">
        <f t="shared" si="206"/>
        <v>10.41314285714286</v>
      </c>
      <c r="J1714" s="27">
        <f t="shared" si="206"/>
        <v>31.363999999999994</v>
      </c>
      <c r="K1714" s="27">
        <f t="shared" si="206"/>
        <v>54.313714285714283</v>
      </c>
      <c r="L1714" s="27">
        <f t="shared" si="206"/>
        <v>0.49397142857142851</v>
      </c>
      <c r="M1714" s="27">
        <f t="shared" si="206"/>
        <v>5.5628571428571423E-2</v>
      </c>
      <c r="N1714" s="27">
        <f t="shared" si="206"/>
        <v>78.728485714285711</v>
      </c>
      <c r="O1714" s="27">
        <f t="shared" si="206"/>
        <v>4.3740800000000002</v>
      </c>
      <c r="P1714"/>
      <c r="Q1714" s="27">
        <f>AVERAGEIF($A$24:$A$1598, "Kali*Fixed", S$24:S$1598)</f>
        <v>2.0285714285714285</v>
      </c>
      <c r="R1714" s="27">
        <f>AVERAGEIF($A$24:$A$1598, "Kali*Fixed", T$24:T$1598)</f>
        <v>4.5428571428571427</v>
      </c>
      <c r="S1714" s="27">
        <f>AVERAGEIF($A$24:$A$1598, "Kali*Fixed", U$24:U$1598)</f>
        <v>3.0285714285714285</v>
      </c>
      <c r="T1714" s="27">
        <f>AVERAGEIF($A$24:$A$1598, "Kali*Fixed", V$24:V$1598)</f>
        <v>7.5714285714285712</v>
      </c>
    </row>
    <row r="1715" spans="1:20" ht="15.6" thickBot="1" x14ac:dyDescent="0.4">
      <c r="A1715" s="31">
        <f>COUNTIF($A$24:$A$1598, "Kali*Repaired")</f>
        <v>35</v>
      </c>
      <c r="B1715" s="31" t="s">
        <v>1324</v>
      </c>
      <c r="C1715" s="32">
        <f t="shared" ref="C1715:O1715" si="207">AVERAGEIF($A$24:$A$1598, "Kali*Repaired", B$24:B$1598)</f>
        <v>4.2311428571428573</v>
      </c>
      <c r="D1715" s="32">
        <f t="shared" si="207"/>
        <v>77.712000000000032</v>
      </c>
      <c r="E1715" s="32">
        <f t="shared" si="207"/>
        <v>17.28857142857143</v>
      </c>
      <c r="F1715" s="32">
        <f t="shared" si="207"/>
        <v>6.5288571428571434</v>
      </c>
      <c r="G1715" s="32">
        <f t="shared" si="207"/>
        <v>14.539714285714288</v>
      </c>
      <c r="H1715" s="32">
        <f t="shared" si="207"/>
        <v>3.9302857142857142</v>
      </c>
      <c r="I1715" s="32">
        <f t="shared" si="207"/>
        <v>10.459714285714286</v>
      </c>
      <c r="J1715" s="32">
        <f t="shared" si="207"/>
        <v>31.828285714285716</v>
      </c>
      <c r="K1715" s="32">
        <f t="shared" si="207"/>
        <v>54.81485714285715</v>
      </c>
      <c r="L1715" s="32">
        <f t="shared" si="207"/>
        <v>0.49397142857142851</v>
      </c>
      <c r="M1715" s="32">
        <f t="shared" si="207"/>
        <v>5.5628571428571423E-2</v>
      </c>
      <c r="N1715" s="32">
        <f t="shared" si="207"/>
        <v>78.728485714285711</v>
      </c>
      <c r="O1715" s="32">
        <f t="shared" si="207"/>
        <v>4.3740800000000002</v>
      </c>
      <c r="P1715"/>
      <c r="Q1715" s="32">
        <f>AVERAGEIF($A$24:$A$1598, "Kali*Repaired", S$24:S$1598)</f>
        <v>1.0285714285714285</v>
      </c>
      <c r="R1715" s="32">
        <f>AVERAGEIF($A$24:$A$1598, "Kali*Repaired", T$24:T$1598)</f>
        <v>1.3142857142857143</v>
      </c>
      <c r="S1715" s="32">
        <f>AVERAGEIF($A$24:$A$1598, "Kali*Repaired", U$24:U$1598)</f>
        <v>1.3714285714285714</v>
      </c>
      <c r="T1715" s="32">
        <f>AVERAGEIF($A$24:$A$1598, "Kali*Repaired", V$24:V$1598)</f>
        <v>2.6857142857142855</v>
      </c>
    </row>
    <row r="1716" spans="1:20" ht="15" x14ac:dyDescent="0.35">
      <c r="A1716" s="1">
        <f>COUNTIF($A$24:$A$1598, "kPAR*Fixed")</f>
        <v>65</v>
      </c>
      <c r="B1716" s="1" t="s">
        <v>1325</v>
      </c>
      <c r="C1716" s="27">
        <f t="shared" ref="C1716:O1716" si="208">AVERAGEIF($A$24:$A$1598, "kPAR*Fixed", B$24:B$1598)</f>
        <v>3.9389230769230781</v>
      </c>
      <c r="D1716" s="27">
        <f t="shared" si="208"/>
        <v>78.203846153846129</v>
      </c>
      <c r="E1716" s="27">
        <f t="shared" si="208"/>
        <v>18.152615384615387</v>
      </c>
      <c r="F1716" s="27">
        <f t="shared" si="208"/>
        <v>6.6123076923076924</v>
      </c>
      <c r="G1716" s="27">
        <f t="shared" si="208"/>
        <v>13.688000000000004</v>
      </c>
      <c r="H1716" s="27">
        <f t="shared" si="208"/>
        <v>3.9859999999999998</v>
      </c>
      <c r="I1716" s="27">
        <f t="shared" si="208"/>
        <v>10.598923076923079</v>
      </c>
      <c r="J1716" s="27">
        <f t="shared" si="208"/>
        <v>31.840615384615397</v>
      </c>
      <c r="K1716" s="27">
        <f t="shared" si="208"/>
        <v>55.533076923076941</v>
      </c>
      <c r="L1716" s="27">
        <f t="shared" si="208"/>
        <v>0.3489692307692307</v>
      </c>
      <c r="M1716" s="27">
        <f t="shared" si="208"/>
        <v>4.3123076923076924E-2</v>
      </c>
      <c r="N1716" s="27">
        <f t="shared" si="208"/>
        <v>110.70112307692308</v>
      </c>
      <c r="O1716" s="27">
        <f t="shared" si="208"/>
        <v>6.1503907692307695</v>
      </c>
      <c r="P1716"/>
      <c r="Q1716" s="27">
        <f>AVERAGEIF($A$24:$A$1598, "kPAR*Fixed", S$24:S$1598)</f>
        <v>1.8153846153846154</v>
      </c>
      <c r="R1716" s="27">
        <f>AVERAGEIF($A$24:$A$1598, "kPAR*Fixed", T$24:T$1598)</f>
        <v>3.0923076923076924</v>
      </c>
      <c r="S1716" s="27">
        <f>AVERAGEIF($A$24:$A$1598, "kPAR*Fixed", U$24:U$1598)</f>
        <v>2.4923076923076923</v>
      </c>
      <c r="T1716" s="27">
        <f>AVERAGEIF($A$24:$A$1598, "kPAR*Fixed", V$24:V$1598)</f>
        <v>5.5846153846153843</v>
      </c>
    </row>
    <row r="1717" spans="1:20" ht="15.6" thickBot="1" x14ac:dyDescent="0.4">
      <c r="A1717" s="31">
        <f>COUNTIF($A$24:$A$1598, "kPAR*Repaired")</f>
        <v>65</v>
      </c>
      <c r="B1717" s="31" t="s">
        <v>1326</v>
      </c>
      <c r="C1717" s="32">
        <f t="shared" ref="C1717:O1717" si="209">AVERAGEIF($A$24:$A$1598, "kPAR*Repaired", B$24:B$1598)</f>
        <v>3.9863076923076934</v>
      </c>
      <c r="D1717" s="32">
        <f t="shared" si="209"/>
        <v>78.157999999999973</v>
      </c>
      <c r="E1717" s="32">
        <f t="shared" si="209"/>
        <v>18.137384615384615</v>
      </c>
      <c r="F1717" s="32">
        <f t="shared" si="209"/>
        <v>6.6104615384615384</v>
      </c>
      <c r="G1717" s="32">
        <f t="shared" si="209"/>
        <v>13.844000000000001</v>
      </c>
      <c r="H1717" s="32">
        <f t="shared" si="209"/>
        <v>3.9818461538461536</v>
      </c>
      <c r="I1717" s="32">
        <f t="shared" si="209"/>
        <v>10.592615384615387</v>
      </c>
      <c r="J1717" s="32">
        <f t="shared" si="209"/>
        <v>31.98092307692308</v>
      </c>
      <c r="K1717" s="32">
        <f t="shared" si="209"/>
        <v>55.503230769230768</v>
      </c>
      <c r="L1717" s="32">
        <f t="shared" si="209"/>
        <v>0.34763076923076919</v>
      </c>
      <c r="M1717" s="32">
        <f t="shared" si="209"/>
        <v>4.4092307692307695E-2</v>
      </c>
      <c r="N1717" s="32">
        <f t="shared" si="209"/>
        <v>110.19850769230771</v>
      </c>
      <c r="O1717" s="32">
        <f t="shared" si="209"/>
        <v>6.1222676923076937</v>
      </c>
      <c r="P1717"/>
      <c r="Q1717" s="32">
        <f>AVERAGEIF($A$24:$A$1598, "kPAR*Repaired", S$24:S$1598)</f>
        <v>1.0461538461538462</v>
      </c>
      <c r="R1717" s="32">
        <f>AVERAGEIF($A$24:$A$1598, "kPAR*Repaired", T$24:T$1598)</f>
        <v>1.0307692307692307</v>
      </c>
      <c r="S1717" s="32">
        <f>AVERAGEIF($A$24:$A$1598, "kPAR*Repaired", U$24:U$1598)</f>
        <v>1.323076923076923</v>
      </c>
      <c r="T1717" s="32">
        <f>AVERAGEIF($A$24:$A$1598, "kPAR*Repaired", V$24:V$1598)</f>
        <v>2.3538461538461539</v>
      </c>
    </row>
    <row r="1718" spans="1:20" ht="15" x14ac:dyDescent="0.35">
      <c r="A1718" s="1">
        <f>COUNTIF($A$24:$A$1598, "Nopol*Fixed")</f>
        <v>27</v>
      </c>
      <c r="B1718" s="1" t="s">
        <v>1327</v>
      </c>
      <c r="C1718" s="27">
        <f t="shared" ref="C1718:O1718" si="210">AVERAGEIF($A$24:$A$1598, "Nopol*Fixed", B$24:B$1598)</f>
        <v>3.4374074074074068</v>
      </c>
      <c r="D1718" s="27">
        <f t="shared" si="210"/>
        <v>78.719999999999985</v>
      </c>
      <c r="E1718" s="27">
        <f t="shared" si="210"/>
        <v>18.486666666666668</v>
      </c>
      <c r="F1718" s="27">
        <f t="shared" si="210"/>
        <v>6.412592592592592</v>
      </c>
      <c r="G1718" s="27">
        <f t="shared" si="210"/>
        <v>13.472962962962965</v>
      </c>
      <c r="H1718" s="27">
        <f t="shared" si="210"/>
        <v>3.9962962962962951</v>
      </c>
      <c r="I1718" s="27">
        <f t="shared" si="210"/>
        <v>10.409629629629629</v>
      </c>
      <c r="J1718" s="27">
        <f t="shared" si="210"/>
        <v>31.958518518518524</v>
      </c>
      <c r="K1718" s="27">
        <f t="shared" si="210"/>
        <v>54.469259259259253</v>
      </c>
      <c r="L1718" s="27">
        <f t="shared" si="210"/>
        <v>0.52892592592592591</v>
      </c>
      <c r="M1718" s="27">
        <f t="shared" si="210"/>
        <v>7.7148148148148132E-2</v>
      </c>
      <c r="N1718" s="27">
        <f t="shared" si="210"/>
        <v>15.025444444444442</v>
      </c>
      <c r="O1718" s="27">
        <f t="shared" si="210"/>
        <v>0.83510370370370379</v>
      </c>
      <c r="P1718"/>
      <c r="Q1718" s="27">
        <f>AVERAGEIF($A$24:$A$1598, "Nopol*Fixed", S$24:S$1598)</f>
        <v>2.3703703703703702</v>
      </c>
      <c r="R1718" s="27">
        <f>AVERAGEIF($A$24:$A$1598, "Nopol*Fixed", T$24:T$1598)</f>
        <v>2.1851851851851851</v>
      </c>
      <c r="S1718" s="27">
        <f>AVERAGEIF($A$24:$A$1598, "Nopol*Fixed", U$24:U$1598)</f>
        <v>3.2222222222222223</v>
      </c>
      <c r="T1718" s="27">
        <f>AVERAGEIF($A$24:$A$1598, "Nopol*Fixed", V$24:V$1598)</f>
        <v>5.4074074074074074</v>
      </c>
    </row>
    <row r="1719" spans="1:20" ht="15.6" thickBot="1" x14ac:dyDescent="0.4">
      <c r="A1719" s="31">
        <f>COUNTIF($A$24:$A$1598, "Nopol*Repaired")</f>
        <v>27</v>
      </c>
      <c r="B1719" s="31" t="s">
        <v>1328</v>
      </c>
      <c r="C1719" s="32">
        <f t="shared" ref="C1719:O1719" si="211">AVERAGEIF($A$24:$A$1598, "Nopol*Repaired", B$24:B$1598)</f>
        <v>3.4555555555555553</v>
      </c>
      <c r="D1719" s="32">
        <f t="shared" si="211"/>
        <v>78.704074074074072</v>
      </c>
      <c r="E1719" s="32">
        <f t="shared" si="211"/>
        <v>18.46</v>
      </c>
      <c r="F1719" s="32">
        <f t="shared" si="211"/>
        <v>6.4196296296296289</v>
      </c>
      <c r="G1719" s="32">
        <f t="shared" si="211"/>
        <v>13.541481481481481</v>
      </c>
      <c r="H1719" s="32">
        <f t="shared" si="211"/>
        <v>4.0192592592592593</v>
      </c>
      <c r="I1719" s="32">
        <f t="shared" si="211"/>
        <v>10.440370370370371</v>
      </c>
      <c r="J1719" s="32">
        <f t="shared" si="211"/>
        <v>32.002592592592585</v>
      </c>
      <c r="K1719" s="32">
        <f t="shared" si="211"/>
        <v>54.651111111111113</v>
      </c>
      <c r="L1719" s="32">
        <f t="shared" si="211"/>
        <v>0.53311111111111109</v>
      </c>
      <c r="M1719" s="32">
        <f t="shared" si="211"/>
        <v>7.8185185185185177E-2</v>
      </c>
      <c r="N1719" s="32">
        <f t="shared" si="211"/>
        <v>15.464333333333332</v>
      </c>
      <c r="O1719" s="32">
        <f t="shared" si="211"/>
        <v>0.85954814814814828</v>
      </c>
      <c r="P1719"/>
      <c r="Q1719" s="32">
        <f>AVERAGEIF($A$24:$A$1598, "Nopol*Repaired", S$24:S$1598)</f>
        <v>1.2592592592592593</v>
      </c>
      <c r="R1719" s="32">
        <f>AVERAGEIF($A$24:$A$1598, "Nopol*Repaired", T$24:T$1598)</f>
        <v>2.8518518518518516</v>
      </c>
      <c r="S1719" s="32">
        <f>AVERAGEIF($A$24:$A$1598, "Nopol*Repaired", U$24:U$1598)</f>
        <v>4.3703703703703702</v>
      </c>
      <c r="T1719" s="32">
        <f>AVERAGEIF($A$24:$A$1598, "Nopol*Repaired", V$24:V$1598)</f>
        <v>7.2222222222222223</v>
      </c>
    </row>
    <row r="1720" spans="1:20" ht="15" x14ac:dyDescent="0.35">
      <c r="A1720" s="1">
        <f>COUNTIF($A$24:$A$1598, "RSRepair*Fixed")</f>
        <v>41</v>
      </c>
      <c r="B1720" s="1" t="s">
        <v>1329</v>
      </c>
      <c r="C1720" s="27">
        <f t="shared" ref="C1720:O1720" si="212">AVERAGEIF($A$24:$A$1598, "RSRepair*Fixed", B$24:B$1598)</f>
        <v>3.9663414634146337</v>
      </c>
      <c r="D1720" s="27">
        <f t="shared" si="212"/>
        <v>77.469024390243902</v>
      </c>
      <c r="E1720" s="27">
        <f t="shared" si="212"/>
        <v>17.033170731707319</v>
      </c>
      <c r="F1720" s="27">
        <f t="shared" si="212"/>
        <v>6.3695121951219509</v>
      </c>
      <c r="G1720" s="27">
        <f t="shared" si="212"/>
        <v>13.589756097560977</v>
      </c>
      <c r="H1720" s="27">
        <f t="shared" si="212"/>
        <v>4.0695121951219502</v>
      </c>
      <c r="I1720" s="27">
        <f t="shared" si="212"/>
        <v>10.439024390243905</v>
      </c>
      <c r="J1720" s="27">
        <f t="shared" si="212"/>
        <v>30.623658536585364</v>
      </c>
      <c r="K1720" s="27">
        <f t="shared" si="212"/>
        <v>53.672439024390236</v>
      </c>
      <c r="L1720" s="27">
        <f t="shared" si="212"/>
        <v>0.46290243902439032</v>
      </c>
      <c r="M1720" s="27">
        <f t="shared" si="212"/>
        <v>6.0936585365853661E-2</v>
      </c>
      <c r="N1720" s="27">
        <f t="shared" si="212"/>
        <v>50.412195121951221</v>
      </c>
      <c r="O1720" s="27">
        <f t="shared" si="212"/>
        <v>2.8000731707317068</v>
      </c>
      <c r="P1720"/>
      <c r="Q1720" s="27">
        <f>AVERAGEIF($A$24:$A$1598, "RSRepair*Fixed", S$24:S$1598)</f>
        <v>2.0975609756097562</v>
      </c>
      <c r="R1720" s="27">
        <f>AVERAGEIF($A$24:$A$1598, "RSRepair*Fixed", T$24:T$1598)</f>
        <v>3.3414634146341462</v>
      </c>
      <c r="S1720" s="27">
        <f>AVERAGEIF($A$24:$A$1598, "RSRepair*Fixed", U$24:U$1598)</f>
        <v>3.5853658536585367</v>
      </c>
      <c r="T1720" s="27">
        <f>AVERAGEIF($A$24:$A$1598, "RSRepair*Fixed", V$24:V$1598)</f>
        <v>6.9268292682926829</v>
      </c>
    </row>
    <row r="1721" spans="1:20" ht="15.6" thickBot="1" x14ac:dyDescent="0.4">
      <c r="A1721" s="31">
        <f>COUNTIF($A$24:$A$1598, "RSRepair*Repaired")</f>
        <v>41</v>
      </c>
      <c r="B1721" s="31" t="s">
        <v>1330</v>
      </c>
      <c r="C1721" s="32">
        <f t="shared" ref="C1721:O1721" si="213">AVERAGEIF($A$24:$A$1598, "RSRepair*Repaired", B$24:B$1598)</f>
        <v>3.9436585365853656</v>
      </c>
      <c r="D1721" s="32">
        <f t="shared" si="213"/>
        <v>77.717560975609729</v>
      </c>
      <c r="E1721" s="32">
        <f t="shared" si="213"/>
        <v>16.619024390243901</v>
      </c>
      <c r="F1721" s="32">
        <f t="shared" si="213"/>
        <v>6.2756097560975617</v>
      </c>
      <c r="G1721" s="32">
        <f t="shared" si="213"/>
        <v>13.389024390243899</v>
      </c>
      <c r="H1721" s="32">
        <f t="shared" si="213"/>
        <v>4.0000000000000009</v>
      </c>
      <c r="I1721" s="32">
        <f t="shared" si="213"/>
        <v>10.275365853658538</v>
      </c>
      <c r="J1721" s="32">
        <f t="shared" si="213"/>
        <v>30.008048780487798</v>
      </c>
      <c r="K1721" s="32">
        <f t="shared" si="213"/>
        <v>52.502439024390256</v>
      </c>
      <c r="L1721" s="32">
        <f t="shared" si="213"/>
        <v>0.45714634146341471</v>
      </c>
      <c r="M1721" s="32">
        <f t="shared" si="213"/>
        <v>6.0692682926829278E-2</v>
      </c>
      <c r="N1721" s="32">
        <f t="shared" si="213"/>
        <v>50.142195121951232</v>
      </c>
      <c r="O1721" s="32">
        <f t="shared" si="213"/>
        <v>2.7850975609756095</v>
      </c>
      <c r="P1721"/>
      <c r="Q1721" s="32">
        <f>AVERAGEIF($A$24:$A$1598, "RSRepair*Repaired", S$24:S$1598)</f>
        <v>1.024390243902439</v>
      </c>
      <c r="R1721" s="32">
        <f>AVERAGEIF($A$24:$A$1598, "RSRepair*Repaired", T$24:T$1598)</f>
        <v>4.7560975609756095</v>
      </c>
      <c r="S1721" s="32">
        <f>AVERAGEIF($A$24:$A$1598, "RSRepair*Repaired", U$24:U$1598)</f>
        <v>1.0975609756097562</v>
      </c>
      <c r="T1721" s="32">
        <f>AVERAGEIF($A$24:$A$1598, "RSRepair*Repaired", V$24:V$1598)</f>
        <v>5.8536585365853657</v>
      </c>
    </row>
    <row r="1722" spans="1:20" ht="15" x14ac:dyDescent="0.35">
      <c r="A1722" s="1">
        <f>COUNTIF($A$24:$A$1598, "SimFix*Fixed")</f>
        <v>54</v>
      </c>
      <c r="B1722" s="1" t="s">
        <v>1331</v>
      </c>
      <c r="C1722" s="27">
        <f t="shared" ref="C1722:O1722" si="214">AVERAGEIF($A$24:$A$1598, "SimFix*Fixed", B$24:B$1598)</f>
        <v>3.9398148148148144</v>
      </c>
      <c r="D1722" s="27">
        <f t="shared" si="214"/>
        <v>77.628888888888852</v>
      </c>
      <c r="E1722" s="27">
        <f t="shared" si="214"/>
        <v>19.485185185185188</v>
      </c>
      <c r="F1722" s="27">
        <f t="shared" si="214"/>
        <v>6.8544444444444457</v>
      </c>
      <c r="G1722" s="27">
        <f t="shared" si="214"/>
        <v>14.755740740740739</v>
      </c>
      <c r="H1722" s="27">
        <f t="shared" si="214"/>
        <v>4.2961111111111103</v>
      </c>
      <c r="I1722" s="27">
        <f t="shared" si="214"/>
        <v>11.150555555555556</v>
      </c>
      <c r="J1722" s="27">
        <f t="shared" si="214"/>
        <v>34.241296296296298</v>
      </c>
      <c r="K1722" s="27">
        <f t="shared" si="214"/>
        <v>59.68666666666666</v>
      </c>
      <c r="L1722" s="27">
        <f t="shared" si="214"/>
        <v>0.36953703703703716</v>
      </c>
      <c r="M1722" s="27">
        <f t="shared" si="214"/>
        <v>5.4648148148148147E-2</v>
      </c>
      <c r="N1722" s="27">
        <f t="shared" si="214"/>
        <v>50.662037037037038</v>
      </c>
      <c r="O1722" s="27">
        <f t="shared" si="214"/>
        <v>2.8143333333333334</v>
      </c>
      <c r="P1722"/>
      <c r="Q1722" s="27">
        <f>AVERAGEIF($A$24:$A$1598, "SimFix*Fixed", S$24:S$1598)</f>
        <v>1.962962962962963</v>
      </c>
      <c r="R1722" s="27">
        <f>AVERAGEIF($A$24:$A$1598, "SimFix*Fixed", T$24:T$1598)</f>
        <v>3.0925925925925926</v>
      </c>
      <c r="S1722" s="27">
        <f>AVERAGEIF($A$24:$A$1598, "SimFix*Fixed", U$24:U$1598)</f>
        <v>3.1666666666666665</v>
      </c>
      <c r="T1722" s="27">
        <f>AVERAGEIF($A$24:$A$1598, "SimFix*Fixed", V$24:V$1598)</f>
        <v>6.2592592592592595</v>
      </c>
    </row>
    <row r="1723" spans="1:20" ht="15.6" thickBot="1" x14ac:dyDescent="0.4">
      <c r="A1723" s="31">
        <f>COUNTIF($A$24:$A$1598, "SimFix*Repaired")</f>
        <v>54</v>
      </c>
      <c r="B1723" s="31" t="s">
        <v>1332</v>
      </c>
      <c r="C1723" s="32">
        <f t="shared" ref="C1723:O1723" si="215">AVERAGEIF($A$24:$A$1598, "SimFix*Repaired", B$24:B$1598)</f>
        <v>3.9848148148148144</v>
      </c>
      <c r="D1723" s="32">
        <f t="shared" si="215"/>
        <v>77.523888888888877</v>
      </c>
      <c r="E1723" s="32">
        <f t="shared" si="215"/>
        <v>19.458333333333339</v>
      </c>
      <c r="F1723" s="32">
        <f t="shared" si="215"/>
        <v>6.8507407407407417</v>
      </c>
      <c r="G1723" s="32">
        <f t="shared" si="215"/>
        <v>14.928518518518516</v>
      </c>
      <c r="H1723" s="32">
        <f t="shared" si="215"/>
        <v>4.3237037037037043</v>
      </c>
      <c r="I1723" s="32">
        <f t="shared" si="215"/>
        <v>11.174444444444443</v>
      </c>
      <c r="J1723" s="32">
        <f t="shared" si="215"/>
        <v>34.38611111111112</v>
      </c>
      <c r="K1723" s="32">
        <f t="shared" si="215"/>
        <v>59.765925925925927</v>
      </c>
      <c r="L1723" s="32">
        <f t="shared" si="215"/>
        <v>0.37638888888888894</v>
      </c>
      <c r="M1723" s="32">
        <f t="shared" si="215"/>
        <v>5.5629629629629633E-2</v>
      </c>
      <c r="N1723" s="32">
        <f t="shared" si="215"/>
        <v>50.843333333333341</v>
      </c>
      <c r="O1723" s="32">
        <f t="shared" si="215"/>
        <v>2.8243333333333336</v>
      </c>
      <c r="P1723"/>
      <c r="Q1723" s="32">
        <f>AVERAGEIF($A$24:$A$1598, "SimFix*Repaired", S$24:S$1598)</f>
        <v>2.2777777777777777</v>
      </c>
      <c r="R1723" s="32">
        <f>AVERAGEIF($A$24:$A$1598, "SimFix*Repaired", T$24:T$1598)</f>
        <v>1.8518518518518517E-2</v>
      </c>
      <c r="S1723" s="32">
        <f>AVERAGEIF($A$24:$A$1598, "SimFix*Repaired", U$24:U$1598)</f>
        <v>10.407407407407407</v>
      </c>
      <c r="T1723" s="32">
        <f>AVERAGEIF($A$24:$A$1598, "SimFix*Repaired", V$24:V$1598)</f>
        <v>10.425925925925926</v>
      </c>
    </row>
    <row r="1724" spans="1:20" ht="15" x14ac:dyDescent="0.35">
      <c r="A1724" s="1">
        <f>COUNTIF($A$24:$A$1598, "TBar*Fixed")</f>
        <v>85</v>
      </c>
      <c r="B1724" s="1" t="s">
        <v>1333</v>
      </c>
      <c r="C1724" s="27">
        <f t="shared" ref="C1724:O1724" si="216">AVERAGEIF($A$24:$A$1598, "TBar*Fixed", B$24:B$1598)</f>
        <v>3.6254117647058819</v>
      </c>
      <c r="D1724" s="27">
        <f t="shared" si="216"/>
        <v>78.65235294117646</v>
      </c>
      <c r="E1724" s="27">
        <f t="shared" si="216"/>
        <v>16.867647058823529</v>
      </c>
      <c r="F1724" s="27">
        <f t="shared" si="216"/>
        <v>6.1972941176470595</v>
      </c>
      <c r="G1724" s="27">
        <f t="shared" si="216"/>
        <v>12.531176470588237</v>
      </c>
      <c r="H1724" s="27">
        <f t="shared" si="216"/>
        <v>3.8063529411764709</v>
      </c>
      <c r="I1724" s="27">
        <f t="shared" si="216"/>
        <v>10.004117647058827</v>
      </c>
      <c r="J1724" s="27">
        <f t="shared" si="216"/>
        <v>29.398705882352949</v>
      </c>
      <c r="K1724" s="27">
        <f t="shared" si="216"/>
        <v>51.236235294117655</v>
      </c>
      <c r="L1724" s="27">
        <f t="shared" si="216"/>
        <v>0.33519999999999994</v>
      </c>
      <c r="M1724" s="27">
        <f t="shared" si="216"/>
        <v>4.7095294117647069E-2</v>
      </c>
      <c r="N1724" s="27">
        <f t="shared" si="216"/>
        <v>85.979682352941182</v>
      </c>
      <c r="O1724" s="27">
        <f t="shared" si="216"/>
        <v>4.7767929411764705</v>
      </c>
      <c r="P1724"/>
      <c r="Q1724" s="27">
        <f>AVERAGEIF($A$24:$A$1598, "TBar*Fixed", S$24:S$1598)</f>
        <v>1.8235294117647058</v>
      </c>
      <c r="R1724" s="27">
        <f>AVERAGEIF($A$24:$A$1598, "TBar*Fixed", T$24:T$1598)</f>
        <v>2.7647058823529411</v>
      </c>
      <c r="S1724" s="27">
        <f>AVERAGEIF($A$24:$A$1598, "TBar*Fixed", U$24:U$1598)</f>
        <v>2.6588235294117646</v>
      </c>
      <c r="T1724" s="27">
        <f>AVERAGEIF($A$24:$A$1598, "TBar*Fixed", V$24:V$1598)</f>
        <v>5.4235294117647062</v>
      </c>
    </row>
    <row r="1725" spans="1:20" ht="15.6" thickBot="1" x14ac:dyDescent="0.4">
      <c r="A1725" s="31">
        <f>COUNTIF($A$24:$A$1598, "TBar*Repaired")</f>
        <v>85</v>
      </c>
      <c r="B1725" s="31" t="s">
        <v>1334</v>
      </c>
      <c r="C1725" s="32">
        <f t="shared" ref="C1725:O1725" si="217">AVERAGEIF($A$24:$A$1598, "TBar*Repaired", B$24:B$1598)</f>
        <v>3.6557647058823526</v>
      </c>
      <c r="D1725" s="32">
        <f t="shared" si="217"/>
        <v>78.692117647058808</v>
      </c>
      <c r="E1725" s="32">
        <f t="shared" si="217"/>
        <v>16.83423529411764</v>
      </c>
      <c r="F1725" s="32">
        <f t="shared" si="217"/>
        <v>6.1654117647058841</v>
      </c>
      <c r="G1725" s="32">
        <f t="shared" si="217"/>
        <v>12.635882352941175</v>
      </c>
      <c r="H1725" s="32">
        <f t="shared" si="217"/>
        <v>3.8027058823529423</v>
      </c>
      <c r="I1725" s="32">
        <f t="shared" si="217"/>
        <v>9.9681176470588273</v>
      </c>
      <c r="J1725" s="32">
        <f t="shared" si="217"/>
        <v>29.469647058823536</v>
      </c>
      <c r="K1725" s="32">
        <f t="shared" si="217"/>
        <v>51.088117647058823</v>
      </c>
      <c r="L1725" s="32">
        <f t="shared" si="217"/>
        <v>0.33930588235294112</v>
      </c>
      <c r="M1725" s="32">
        <f t="shared" si="217"/>
        <v>4.6165882352941182E-2</v>
      </c>
      <c r="N1725" s="32">
        <f t="shared" si="217"/>
        <v>85.918623529411775</v>
      </c>
      <c r="O1725" s="32">
        <f t="shared" si="217"/>
        <v>4.7732635294117651</v>
      </c>
      <c r="P1725"/>
      <c r="Q1725" s="32">
        <f>AVERAGEIF($A$24:$A$1598, "TBar*Repaired", S$24:S$1598)</f>
        <v>1.1176470588235294</v>
      </c>
      <c r="R1725" s="32">
        <f>AVERAGEIF($A$24:$A$1598, "TBar*Repaired", T$24:T$1598)</f>
        <v>2.1411764705882352</v>
      </c>
      <c r="S1725" s="32">
        <f>AVERAGEIF($A$24:$A$1598, "TBar*Repaired", U$24:U$1598)</f>
        <v>1.6470588235294117</v>
      </c>
      <c r="T1725" s="32">
        <f>AVERAGEIF($A$24:$A$1598, "TBar*Repaired", V$24:V$1598)</f>
        <v>3.7882352941176469</v>
      </c>
    </row>
    <row r="1726" spans="1:20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20" ht="15" x14ac:dyDescent="0.3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20" ht="28.8" x14ac:dyDescent="0.35">
      <c r="A1728" s="14" t="s">
        <v>1310</v>
      </c>
      <c r="B1728" s="14" t="s">
        <v>1652</v>
      </c>
      <c r="C1728" s="14" t="s">
        <v>1296</v>
      </c>
      <c r="D1728" s="14" t="s">
        <v>1297</v>
      </c>
      <c r="E1728" s="14" t="s">
        <v>1298</v>
      </c>
      <c r="F1728" s="14" t="s">
        <v>21</v>
      </c>
      <c r="G1728" s="14" t="s">
        <v>1299</v>
      </c>
      <c r="H1728" s="14" t="s">
        <v>22</v>
      </c>
      <c r="I1728" s="14" t="s">
        <v>1300</v>
      </c>
      <c r="J1728" s="14" t="s">
        <v>1301</v>
      </c>
      <c r="K1728" s="14" t="s">
        <v>1302</v>
      </c>
      <c r="L1728" s="14" t="s">
        <v>1303</v>
      </c>
      <c r="M1728" s="14" t="s">
        <v>1304</v>
      </c>
      <c r="N1728" s="14" t="s">
        <v>1305</v>
      </c>
      <c r="O1728" s="14" t="s">
        <v>1306</v>
      </c>
      <c r="Q1728" s="12" t="s">
        <v>1292</v>
      </c>
      <c r="R1728" s="12" t="s">
        <v>1293</v>
      </c>
      <c r="S1728" s="12" t="s">
        <v>1294</v>
      </c>
      <c r="T1728" s="12" t="s">
        <v>1715</v>
      </c>
    </row>
    <row r="1729" spans="1:24" ht="15" x14ac:dyDescent="0.35">
      <c r="A1729" s="1">
        <f>COUNTIFS($P$24:$P$1598, "True Search", $Q$24:$Q$1598, "Fixed")</f>
        <v>54</v>
      </c>
      <c r="B1729" s="1" t="s">
        <v>1653</v>
      </c>
      <c r="C1729" s="27">
        <f t="shared" ref="C1729:O1729" si="218">AVERAGEIFS(B$24:B$1598, $P$24:$P$1598, "True Search", $Q$24:$Q$1598, "Fixed")</f>
        <v>3.9705555555555545</v>
      </c>
      <c r="D1729" s="27">
        <f t="shared" si="218"/>
        <v>77.56870370370369</v>
      </c>
      <c r="E1729" s="27">
        <f t="shared" si="218"/>
        <v>17.955370370370375</v>
      </c>
      <c r="F1729" s="27">
        <f t="shared" si="218"/>
        <v>6.5394444444444479</v>
      </c>
      <c r="G1729" s="27">
        <f t="shared" si="218"/>
        <v>14.257407407407406</v>
      </c>
      <c r="H1729" s="27">
        <f t="shared" si="218"/>
        <v>4.2009259259259251</v>
      </c>
      <c r="I1729" s="27">
        <f t="shared" si="218"/>
        <v>10.741481481481483</v>
      </c>
      <c r="J1729" s="27">
        <f t="shared" si="218"/>
        <v>32.212777777777767</v>
      </c>
      <c r="K1729" s="27">
        <f t="shared" si="218"/>
        <v>56.180000000000007</v>
      </c>
      <c r="L1729" s="27">
        <f t="shared" si="218"/>
        <v>0.45485185185185179</v>
      </c>
      <c r="M1729" s="27">
        <f t="shared" si="218"/>
        <v>5.557407407407406E-2</v>
      </c>
      <c r="N1729" s="27">
        <f t="shared" si="218"/>
        <v>55.453462962962966</v>
      </c>
      <c r="O1729" s="27">
        <f t="shared" si="218"/>
        <v>3.0808851851851862</v>
      </c>
      <c r="P1729"/>
      <c r="Q1729" s="27">
        <f>AVERAGEIFS(S$24:S$1598, $P$24:$P$1598, "True Search", $Q$24:$Q$1598, "Fixed")</f>
        <v>2.0555555555555554</v>
      </c>
      <c r="R1729" s="27">
        <f>AVERAGEIFS(T$24:T$1598, $P$24:$P$1598, "True Search", $Q$24:$Q$1598, "Fixed")</f>
        <v>3.2777777777777777</v>
      </c>
      <c r="S1729" s="27">
        <f>AVERAGEIFS(U$24:U$1598, $P$24:$P$1598, "True Search", $Q$24:$Q$1598, "Fixed")</f>
        <v>3.425925925925926</v>
      </c>
      <c r="T1729" s="27">
        <f>AVERAGEIFS(V$24:V$1598, $P$24:$P$1598, "True Search", $Q$24:$Q$1598, "Fixed")</f>
        <v>6.7037037037037033</v>
      </c>
      <c r="X1729"/>
    </row>
    <row r="1730" spans="1:24" ht="15" x14ac:dyDescent="0.35">
      <c r="A1730" s="38">
        <f>COUNTIFS($P$24:$P$1598, "True Search", $Q$24:$Q$1598, "Repaired")</f>
        <v>54</v>
      </c>
      <c r="B1730" s="38" t="s">
        <v>1654</v>
      </c>
      <c r="C1730" s="39">
        <f t="shared" ref="C1730:O1730" si="219">AVERAGEIFS(B$24:B$1598, $P$24:$P$1598, "True Search", $Q$24:$Q$1598, "Repaired")</f>
        <v>4.02648148148148</v>
      </c>
      <c r="D1730" s="39">
        <f t="shared" si="219"/>
        <v>77.4498148148148</v>
      </c>
      <c r="E1730" s="39">
        <f t="shared" si="219"/>
        <v>18.02148148148148</v>
      </c>
      <c r="F1730" s="39">
        <f t="shared" si="219"/>
        <v>6.5948148148148142</v>
      </c>
      <c r="G1730" s="39">
        <f t="shared" si="219"/>
        <v>14.447222222222225</v>
      </c>
      <c r="H1730" s="39">
        <f t="shared" si="219"/>
        <v>4.245925925925925</v>
      </c>
      <c r="I1730" s="39">
        <f t="shared" si="219"/>
        <v>10.841296296296299</v>
      </c>
      <c r="J1730" s="39">
        <f t="shared" si="219"/>
        <v>32.468333333333327</v>
      </c>
      <c r="K1730" s="39">
        <f t="shared" si="219"/>
        <v>56.84851851851851</v>
      </c>
      <c r="L1730" s="39">
        <f t="shared" si="219"/>
        <v>0.45970370370370367</v>
      </c>
      <c r="M1730" s="39">
        <f t="shared" si="219"/>
        <v>5.7388888888888878E-2</v>
      </c>
      <c r="N1730" s="39">
        <f t="shared" si="219"/>
        <v>55.531240740740749</v>
      </c>
      <c r="O1730" s="39">
        <f t="shared" si="219"/>
        <v>3.0851629629629636</v>
      </c>
      <c r="P1730"/>
      <c r="Q1730" s="39">
        <f>AVERAGEIFS(S$24:S$1598, $P$24:$P$1598, "True Search", $Q$24:$Q$1598, "Repaired")</f>
        <v>1.1111111111111112</v>
      </c>
      <c r="R1730" s="39">
        <f>AVERAGEIFS(T$24:T$1598, $P$24:$P$1598, "True Search", $Q$24:$Q$1598, "Repaired")</f>
        <v>1.3333333333333333</v>
      </c>
      <c r="S1730" s="39">
        <f>AVERAGEIFS(U$24:U$1598, $P$24:$P$1598, "True Search", $Q$24:$Q$1598, "Repaired")</f>
        <v>1.4814814814814814</v>
      </c>
      <c r="T1730" s="39">
        <f>AVERAGEIFS(V$24:V$1598, $P$24:$P$1598, "True Search", $Q$24:$Q$1598, "Repaired")</f>
        <v>2.8148148148148149</v>
      </c>
      <c r="X1730"/>
    </row>
    <row r="1731" spans="1:24" ht="15.6" thickBot="1" x14ac:dyDescent="0.4">
      <c r="A1731" s="40" t="s">
        <v>1704</v>
      </c>
      <c r="B1731" s="31"/>
      <c r="C1731" s="41"/>
      <c r="D1731" s="41"/>
      <c r="E1731" s="41"/>
      <c r="F1731" s="42" t="s">
        <v>1695</v>
      </c>
      <c r="G1731" s="41"/>
      <c r="H1731" s="41"/>
      <c r="I1731" s="41"/>
      <c r="J1731" s="41"/>
      <c r="K1731" s="41"/>
      <c r="L1731" s="41"/>
      <c r="M1731" s="41"/>
      <c r="N1731" s="41"/>
      <c r="O1731" s="41"/>
      <c r="P1731"/>
      <c r="Q1731" s="41"/>
      <c r="R1731" s="41"/>
      <c r="S1731" s="41"/>
      <c r="T1731" s="41"/>
      <c r="X1731"/>
    </row>
    <row r="1732" spans="1:24" ht="15" x14ac:dyDescent="0.35">
      <c r="A1732" s="1">
        <f>COUNTIFS($P$24:$P$1598, "Evolutionary Search", $Q$24:$Q$1598, "Fixed")</f>
        <v>111</v>
      </c>
      <c r="B1732" s="1" t="s">
        <v>1655</v>
      </c>
      <c r="C1732" s="27">
        <f t="shared" ref="C1732:O1732" si="220">AVERAGEIFS(B$24:B$1598, $P$24:$P$1598, "Evolutionary Search", $Q$24:$Q$1598, "Fixed")</f>
        <v>3.9996396396396401</v>
      </c>
      <c r="D1732" s="27">
        <f t="shared" si="220"/>
        <v>77.221621621621594</v>
      </c>
      <c r="E1732" s="27">
        <f t="shared" si="220"/>
        <v>18.374594594594587</v>
      </c>
      <c r="F1732" s="27">
        <f t="shared" si="220"/>
        <v>6.5638738738738729</v>
      </c>
      <c r="G1732" s="27">
        <f t="shared" si="220"/>
        <v>14.15135135135136</v>
      </c>
      <c r="H1732" s="27">
        <f t="shared" si="220"/>
        <v>4.082072072072072</v>
      </c>
      <c r="I1732" s="27">
        <f t="shared" si="220"/>
        <v>10.64594594594594</v>
      </c>
      <c r="J1732" s="27">
        <f t="shared" si="220"/>
        <v>32.526306306306317</v>
      </c>
      <c r="K1732" s="27">
        <f t="shared" si="220"/>
        <v>55.604234234234248</v>
      </c>
      <c r="L1732" s="27">
        <f t="shared" si="220"/>
        <v>0.36396396396396397</v>
      </c>
      <c r="M1732" s="27">
        <f t="shared" si="220"/>
        <v>5.3479279279279278E-2</v>
      </c>
      <c r="N1732" s="27">
        <f t="shared" si="220"/>
        <v>40.193396396396402</v>
      </c>
      <c r="O1732" s="27">
        <f t="shared" si="220"/>
        <v>2.2325567567567575</v>
      </c>
      <c r="P1732"/>
      <c r="Q1732" s="27">
        <f>AVERAGEIFS(S$24:S$1598, $P$24:$P$1598, "Evolutionary Search", $Q$24:$Q$1598, "Fixed")</f>
        <v>2.0630630630630629</v>
      </c>
      <c r="R1732" s="27">
        <f>AVERAGEIFS(T$24:T$1598, $P$24:$P$1598, "Evolutionary Search", $Q$24:$Q$1598, "Fixed")</f>
        <v>3.6846846846846848</v>
      </c>
      <c r="S1732" s="27">
        <f>AVERAGEIFS(U$24:U$1598, $P$24:$P$1598, "Evolutionary Search", $Q$24:$Q$1598, "Fixed")</f>
        <v>3.2342342342342341</v>
      </c>
      <c r="T1732" s="27">
        <f>AVERAGEIFS(V$24:V$1598, $P$24:$P$1598, "Evolutionary Search", $Q$24:$Q$1598, "Fixed")</f>
        <v>6.9189189189189193</v>
      </c>
      <c r="X1732"/>
    </row>
    <row r="1733" spans="1:24" ht="15" x14ac:dyDescent="0.35">
      <c r="A1733" s="38">
        <f>COUNTIFS($P$24:$P$1598, "Evolutionary Search", $Q$24:$Q$1598, "Repaired")</f>
        <v>111</v>
      </c>
      <c r="B1733" s="38" t="s">
        <v>1656</v>
      </c>
      <c r="C1733" s="39">
        <f t="shared" ref="C1733:O1733" si="221">AVERAGEIFS(B$24:B$1598, $P$24:$P$1598, "Evolutionary Search", $Q$24:$Q$1598, "Repaired")</f>
        <v>3.9875675675675661</v>
      </c>
      <c r="D1733" s="39">
        <f t="shared" si="221"/>
        <v>77.314864864864859</v>
      </c>
      <c r="E1733" s="39">
        <f t="shared" si="221"/>
        <v>18.059819819819818</v>
      </c>
      <c r="F1733" s="39">
        <f t="shared" si="221"/>
        <v>6.5217117117117089</v>
      </c>
      <c r="G1733" s="39">
        <f t="shared" si="221"/>
        <v>14.005135135135141</v>
      </c>
      <c r="H1733" s="39">
        <f t="shared" si="221"/>
        <v>4.0477477477477493</v>
      </c>
      <c r="I1733" s="39">
        <f t="shared" si="221"/>
        <v>10.569189189189185</v>
      </c>
      <c r="J1733" s="39">
        <f t="shared" si="221"/>
        <v>32.065495495495497</v>
      </c>
      <c r="K1733" s="39">
        <f t="shared" si="221"/>
        <v>54.914864864864853</v>
      </c>
      <c r="L1733" s="39">
        <f t="shared" si="221"/>
        <v>0.36949549549549554</v>
      </c>
      <c r="M1733" s="39">
        <f t="shared" si="221"/>
        <v>5.4866666666666661E-2</v>
      </c>
      <c r="N1733" s="39">
        <f t="shared" si="221"/>
        <v>40.47195495495496</v>
      </c>
      <c r="O1733" s="39">
        <f t="shared" si="221"/>
        <v>2.247953153153154</v>
      </c>
      <c r="P1733"/>
      <c r="Q1733" s="39">
        <f>AVERAGEIFS(S$24:S$1598, $P$24:$P$1598, "Evolutionary Search", $Q$24:$Q$1598, "Repaired")</f>
        <v>1.1441441441441442</v>
      </c>
      <c r="R1733" s="39">
        <f>AVERAGEIFS(T$24:T$1598, $P$24:$P$1598, "Evolutionary Search", $Q$24:$Q$1598, "Repaired")</f>
        <v>6.4324324324324325</v>
      </c>
      <c r="S1733" s="39">
        <f>AVERAGEIFS(U$24:U$1598, $P$24:$P$1598, "Evolutionary Search", $Q$24:$Q$1598, "Repaired")</f>
        <v>1.4594594594594594</v>
      </c>
      <c r="T1733" s="39">
        <f>AVERAGEIFS(V$24:V$1598, $P$24:$P$1598, "Evolutionary Search", $Q$24:$Q$1598, "Repaired")</f>
        <v>7.8918918918918921</v>
      </c>
      <c r="X1733"/>
    </row>
    <row r="1734" spans="1:24" ht="15.6" thickBot="1" x14ac:dyDescent="0.4">
      <c r="A1734" s="40" t="s">
        <v>1704</v>
      </c>
      <c r="B1734" s="31"/>
      <c r="C1734" s="42" t="s">
        <v>1695</v>
      </c>
      <c r="D1734" s="41"/>
      <c r="E1734" s="42" t="s">
        <v>1695</v>
      </c>
      <c r="F1734" s="41"/>
      <c r="G1734" s="42" t="s">
        <v>1695</v>
      </c>
      <c r="H1734" s="42" t="s">
        <v>1695</v>
      </c>
      <c r="I1734" s="42" t="s">
        <v>1695</v>
      </c>
      <c r="J1734" s="42" t="s">
        <v>1695</v>
      </c>
      <c r="K1734" s="42" t="s">
        <v>1695</v>
      </c>
      <c r="L1734" s="41"/>
      <c r="M1734" s="41"/>
      <c r="N1734" s="41"/>
      <c r="O1734" s="41"/>
      <c r="P1734"/>
      <c r="Q1734" s="41"/>
      <c r="R1734" s="41"/>
      <c r="S1734" s="41"/>
      <c r="T1734" s="41"/>
      <c r="X1734"/>
    </row>
    <row r="1735" spans="1:24" ht="15" x14ac:dyDescent="0.35">
      <c r="A1735" s="1">
        <f>COUNTIFS($P$24:$P$1598, "True Semantic", $Q$24:$Q$1598, "Fixed")</f>
        <v>51</v>
      </c>
      <c r="B1735" s="1" t="s">
        <v>1657</v>
      </c>
      <c r="C1735" s="27">
        <f t="shared" ref="C1735:O1735" si="222">AVERAGEIFS(B$24:B$1598, $P$24:$P$1598, "True Semantic", $Q$24:$Q$1598, "Fixed")</f>
        <v>3.5682352941176458</v>
      </c>
      <c r="D1735" s="27">
        <f t="shared" si="222"/>
        <v>77.975882352941156</v>
      </c>
      <c r="E1735" s="27">
        <f t="shared" si="222"/>
        <v>20.026470588235295</v>
      </c>
      <c r="F1735" s="27">
        <f t="shared" si="222"/>
        <v>6.6905882352941184</v>
      </c>
      <c r="G1735" s="27">
        <f t="shared" si="222"/>
        <v>14.359411764705882</v>
      </c>
      <c r="H1735" s="27">
        <f t="shared" si="222"/>
        <v>4.1176470588235281</v>
      </c>
      <c r="I1735" s="27">
        <f t="shared" si="222"/>
        <v>10.809019607843139</v>
      </c>
      <c r="J1735" s="27">
        <f t="shared" si="222"/>
        <v>34.385098039215698</v>
      </c>
      <c r="K1735" s="27">
        <f t="shared" si="222"/>
        <v>57.591176470588216</v>
      </c>
      <c r="L1735" s="27">
        <f t="shared" si="222"/>
        <v>0.5499215686274509</v>
      </c>
      <c r="M1735" s="27">
        <f t="shared" si="222"/>
        <v>7.4078431372549006E-2</v>
      </c>
      <c r="N1735" s="27">
        <f t="shared" si="222"/>
        <v>14.867137254901962</v>
      </c>
      <c r="O1735" s="27">
        <f t="shared" si="222"/>
        <v>0.82626666666666682</v>
      </c>
      <c r="P1735"/>
      <c r="Q1735" s="27">
        <f>AVERAGEIFS(S$24:S$1598, $P$24:$P$1598, "True Semantic", $Q$24:$Q$1598, "Fixed")</f>
        <v>2.392156862745098</v>
      </c>
      <c r="R1735" s="27">
        <f>AVERAGEIFS(T$24:T$1598, $P$24:$P$1598, "True Semantic", $Q$24:$Q$1598, "Fixed")</f>
        <v>2.392156862745098</v>
      </c>
      <c r="S1735" s="27">
        <f>AVERAGEIFS(U$24:U$1598, $P$24:$P$1598, "True Semantic", $Q$24:$Q$1598, "Fixed")</f>
        <v>3.3333333333333335</v>
      </c>
      <c r="T1735" s="27">
        <f>AVERAGEIFS(V$24:V$1598, $P$24:$P$1598, "True Semantic", $Q$24:$Q$1598, "Fixed")</f>
        <v>5.7254901960784315</v>
      </c>
      <c r="X1735"/>
    </row>
    <row r="1736" spans="1:24" ht="15" x14ac:dyDescent="0.35">
      <c r="A1736" s="38">
        <f>COUNTIFS($P$24:$P$1598, "True Semantic", $Q$24:$Q$1598, "Repaired")</f>
        <v>51</v>
      </c>
      <c r="B1736" s="38" t="s">
        <v>1658</v>
      </c>
      <c r="C1736" s="39">
        <f t="shared" ref="C1736:O1736" si="223">AVERAGEIFS(B$24:B$1598, $P$24:$P$1598, "True Semantic", $Q$24:$Q$1598, "Repaired")</f>
        <v>3.5654901960784309</v>
      </c>
      <c r="D1736" s="39">
        <f t="shared" si="223"/>
        <v>77.976078431372557</v>
      </c>
      <c r="E1736" s="39">
        <f t="shared" si="223"/>
        <v>19.946078431372552</v>
      </c>
      <c r="F1736" s="39">
        <f t="shared" si="223"/>
        <v>6.6976470588235291</v>
      </c>
      <c r="G1736" s="39">
        <f t="shared" si="223"/>
        <v>14.329999999999997</v>
      </c>
      <c r="H1736" s="39">
        <f t="shared" si="223"/>
        <v>4.1111764705882345</v>
      </c>
      <c r="I1736" s="39">
        <f t="shared" si="223"/>
        <v>10.810000000000004</v>
      </c>
      <c r="J1736" s="39">
        <f t="shared" si="223"/>
        <v>34.277647058823526</v>
      </c>
      <c r="K1736" s="39">
        <f t="shared" si="223"/>
        <v>57.499019607843152</v>
      </c>
      <c r="L1736" s="39">
        <f t="shared" si="223"/>
        <v>0.55435294117647049</v>
      </c>
      <c r="M1736" s="39">
        <f t="shared" si="223"/>
        <v>7.5176470588235275E-2</v>
      </c>
      <c r="N1736" s="39">
        <f t="shared" si="223"/>
        <v>15.3318431372549</v>
      </c>
      <c r="O1736" s="39">
        <f t="shared" si="223"/>
        <v>0.85214901960784317</v>
      </c>
      <c r="P1736"/>
      <c r="Q1736" s="39">
        <f>AVERAGEIFS(S$24:S$1598, $P$24:$P$1598, "True Semantic", $Q$24:$Q$1598, "Repaired")</f>
        <v>1.2549019607843137</v>
      </c>
      <c r="R1736" s="39">
        <f>AVERAGEIFS(T$24:T$1598, $P$24:$P$1598, "True Semantic", $Q$24:$Q$1598, "Repaired")</f>
        <v>3.1568627450980391</v>
      </c>
      <c r="S1736" s="39">
        <f>AVERAGEIFS(U$24:U$1598, $P$24:$P$1598, "True Semantic", $Q$24:$Q$1598, "Repaired")</f>
        <v>4.5882352941176467</v>
      </c>
      <c r="T1736" s="39">
        <f>AVERAGEIFS(V$24:V$1598, $P$24:$P$1598, "True Semantic", $Q$24:$Q$1598, "Repaired")</f>
        <v>7.7450980392156863</v>
      </c>
      <c r="X1736"/>
    </row>
    <row r="1737" spans="1:24" ht="15.6" thickBot="1" x14ac:dyDescent="0.4">
      <c r="A1737" s="40" t="s">
        <v>1704</v>
      </c>
      <c r="B1737" s="31"/>
      <c r="C1737" s="41"/>
      <c r="D1737" s="41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/>
      <c r="Q1737" s="41"/>
      <c r="R1737" s="41"/>
      <c r="S1737" s="41"/>
      <c r="T1737" s="41"/>
      <c r="X1737"/>
    </row>
    <row r="1738" spans="1:24" ht="15" x14ac:dyDescent="0.35">
      <c r="A1738" s="1">
        <f>COUNTIFS($P$24:$P$1598, "True Pattern", $Q$24:$Q$1598, "Fixed")</f>
        <v>255</v>
      </c>
      <c r="B1738" s="1" t="s">
        <v>1659</v>
      </c>
      <c r="C1738" s="27">
        <f t="shared" ref="C1738:O1738" si="224">AVERAGEIFS(B$24:B$1598, $P$24:$P$1598, "True Pattern", $Q$24:$Q$1598, "Fixed")</f>
        <v>3.8602352941176497</v>
      </c>
      <c r="D1738" s="27">
        <f t="shared" si="224"/>
        <v>78.183529411764724</v>
      </c>
      <c r="E1738" s="27">
        <f t="shared" si="224"/>
        <v>18.207999999999998</v>
      </c>
      <c r="F1738" s="27">
        <f t="shared" si="224"/>
        <v>6.5863137254901982</v>
      </c>
      <c r="G1738" s="27">
        <f t="shared" si="224"/>
        <v>13.598117647058823</v>
      </c>
      <c r="H1738" s="27">
        <f t="shared" si="224"/>
        <v>3.9848235294117651</v>
      </c>
      <c r="I1738" s="27">
        <f t="shared" si="224"/>
        <v>10.571607843137253</v>
      </c>
      <c r="J1738" s="27">
        <f t="shared" si="224"/>
        <v>31.80615686274508</v>
      </c>
      <c r="K1738" s="27">
        <f t="shared" si="224"/>
        <v>55.586078431372535</v>
      </c>
      <c r="L1738" s="27">
        <f t="shared" si="224"/>
        <v>0.35587843137254904</v>
      </c>
      <c r="M1738" s="27">
        <f t="shared" si="224"/>
        <v>5.0368627450980405E-2</v>
      </c>
      <c r="N1738" s="27">
        <f t="shared" si="224"/>
        <v>73.769788235294115</v>
      </c>
      <c r="O1738" s="27">
        <f t="shared" si="224"/>
        <v>4.098532549019609</v>
      </c>
      <c r="P1738"/>
      <c r="Q1738" s="27">
        <f>AVERAGEIFS(S$24:S$1598, $P$24:$P$1598, "True Pattern", $Q$24:$Q$1598, "Fixed")</f>
        <v>1.9254901960784314</v>
      </c>
      <c r="R1738" s="27">
        <f>AVERAGEIFS(T$24:T$1598, $P$24:$P$1598, "True Pattern", $Q$24:$Q$1598, "Fixed")</f>
        <v>2.8235294117647061</v>
      </c>
      <c r="S1738" s="27">
        <f>AVERAGEIFS(U$24:U$1598, $P$24:$P$1598, "True Pattern", $Q$24:$Q$1598, "Fixed")</f>
        <v>2.7686274509803921</v>
      </c>
      <c r="T1738" s="27">
        <f>AVERAGEIFS(V$24:V$1598, $P$24:$P$1598, "True Pattern", $Q$24:$Q$1598, "Fixed")</f>
        <v>5.5921568627450977</v>
      </c>
      <c r="X1738"/>
    </row>
    <row r="1739" spans="1:24" ht="15" x14ac:dyDescent="0.35">
      <c r="A1739" s="38">
        <f>COUNTIFS($P$24:$P$1598, "True Pattern", $Q$24:$Q$1598, "Repaired")</f>
        <v>255</v>
      </c>
      <c r="B1739" s="38" t="s">
        <v>1660</v>
      </c>
      <c r="C1739" s="39">
        <f t="shared" ref="C1739:O1739" si="225">AVERAGEIFS(B$24:B$1598, $P$24:$P$1598, "True Pattern", $Q$24:$Q$1598, "Repaired")</f>
        <v>3.8399607843137269</v>
      </c>
      <c r="D1739" s="39">
        <f t="shared" si="225"/>
        <v>78.199058823529427</v>
      </c>
      <c r="E1739" s="39">
        <f t="shared" si="225"/>
        <v>18.035686274509789</v>
      </c>
      <c r="F1739" s="39">
        <f t="shared" si="225"/>
        <v>6.5403137254901971</v>
      </c>
      <c r="G1739" s="39">
        <f t="shared" si="225"/>
        <v>13.545058823529407</v>
      </c>
      <c r="H1739" s="39">
        <f t="shared" si="225"/>
        <v>3.9674901960784341</v>
      </c>
      <c r="I1739" s="39">
        <f t="shared" si="225"/>
        <v>10.507882352941166</v>
      </c>
      <c r="J1739" s="39">
        <f t="shared" si="225"/>
        <v>31.580235294117639</v>
      </c>
      <c r="K1739" s="39">
        <f t="shared" si="225"/>
        <v>55.039843137254856</v>
      </c>
      <c r="L1739" s="39">
        <f t="shared" si="225"/>
        <v>0.35499215686274521</v>
      </c>
      <c r="M1739" s="39">
        <f t="shared" si="225"/>
        <v>5.0207843137254918E-2</v>
      </c>
      <c r="N1739" s="39">
        <f t="shared" si="225"/>
        <v>73.53508235294116</v>
      </c>
      <c r="O1739" s="39">
        <f t="shared" si="225"/>
        <v>4.0853247058823525</v>
      </c>
      <c r="P1739"/>
      <c r="Q1739" s="39">
        <f>AVERAGEIFS(S$24:S$1598, $P$24:$P$1598, "True Pattern", $Q$24:$Q$1598, "Repaired")</f>
        <v>1.0980392156862746</v>
      </c>
      <c r="R1739" s="39">
        <f>AVERAGEIFS(T$24:T$1598, $P$24:$P$1598, "True Pattern", $Q$24:$Q$1598, "Repaired")</f>
        <v>2.0588235294117645</v>
      </c>
      <c r="S1739" s="39">
        <f>AVERAGEIFS(U$24:U$1598, $P$24:$P$1598, "True Pattern", $Q$24:$Q$1598, "Repaired")</f>
        <v>1.5019607843137255</v>
      </c>
      <c r="T1739" s="39">
        <f>AVERAGEIFS(V$24:V$1598, $P$24:$P$1598, "True Pattern", $Q$24:$Q$1598, "Repaired")</f>
        <v>3.56078431372549</v>
      </c>
      <c r="X1739"/>
    </row>
    <row r="1740" spans="1:24" ht="15.6" thickBot="1" x14ac:dyDescent="0.4">
      <c r="A1740" s="40" t="s">
        <v>1704</v>
      </c>
      <c r="B1740" s="31"/>
      <c r="C1740" s="41"/>
      <c r="D1740" s="41"/>
      <c r="E1740" s="42" t="s">
        <v>1695</v>
      </c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/>
      <c r="Q1740" s="41"/>
      <c r="R1740" s="41"/>
      <c r="S1740" s="41"/>
      <c r="T1740" s="41"/>
      <c r="X1740"/>
    </row>
    <row r="1741" spans="1:24" ht="15" x14ac:dyDescent="0.35">
      <c r="A1741" s="1">
        <f>COUNTIFS($P$24:$P$1598, "Search Like Pattern", $Q$24:$Q$1598, "Fixed")</f>
        <v>54</v>
      </c>
      <c r="B1741" s="1" t="s">
        <v>1661</v>
      </c>
      <c r="C1741" s="27">
        <f t="shared" ref="C1741:O1741" si="226">AVERAGEIFS(B$24:B$1598, $P$24:$P$1598, "Search Like Pattern", $Q$24:$Q$1598, "Fixed")</f>
        <v>3.9398148148148144</v>
      </c>
      <c r="D1741" s="27">
        <f t="shared" si="226"/>
        <v>77.628888888888852</v>
      </c>
      <c r="E1741" s="27">
        <f t="shared" si="226"/>
        <v>19.485185185185188</v>
      </c>
      <c r="F1741" s="27">
        <f t="shared" si="226"/>
        <v>6.8544444444444457</v>
      </c>
      <c r="G1741" s="27">
        <f t="shared" si="226"/>
        <v>14.755740740740739</v>
      </c>
      <c r="H1741" s="27">
        <f t="shared" si="226"/>
        <v>4.2961111111111103</v>
      </c>
      <c r="I1741" s="27">
        <f t="shared" si="226"/>
        <v>11.150555555555556</v>
      </c>
      <c r="J1741" s="27">
        <f t="shared" si="226"/>
        <v>34.241296296296298</v>
      </c>
      <c r="K1741" s="27">
        <f t="shared" si="226"/>
        <v>59.68666666666666</v>
      </c>
      <c r="L1741" s="27">
        <f t="shared" si="226"/>
        <v>0.36953703703703716</v>
      </c>
      <c r="M1741" s="27">
        <f t="shared" si="226"/>
        <v>5.4648148148148147E-2</v>
      </c>
      <c r="N1741" s="27">
        <f t="shared" si="226"/>
        <v>50.662037037037038</v>
      </c>
      <c r="O1741" s="27">
        <f t="shared" si="226"/>
        <v>2.8143333333333334</v>
      </c>
      <c r="P1741"/>
      <c r="Q1741" s="27">
        <f>AVERAGEIFS(S$24:S$1598, $P$24:$P$1598, "Search Like Pattern", $Q$24:$Q$1598, "Fixed")</f>
        <v>1.962962962962963</v>
      </c>
      <c r="R1741" s="27">
        <f>AVERAGEIFS(T$24:T$1598, $P$24:$P$1598, "Search Like Pattern", $Q$24:$Q$1598, "Fixed")</f>
        <v>3.0925925925925926</v>
      </c>
      <c r="S1741" s="27">
        <f>AVERAGEIFS(U$24:U$1598, $P$24:$P$1598, "Search Like Pattern", $Q$24:$Q$1598, "Fixed")</f>
        <v>3.1666666666666665</v>
      </c>
      <c r="T1741" s="27">
        <f>AVERAGEIFS(V$24:V$1598, $P$24:$P$1598, "Search Like Pattern", $Q$24:$Q$1598, "Fixed")</f>
        <v>6.2592592592592595</v>
      </c>
      <c r="X1741"/>
    </row>
    <row r="1742" spans="1:24" ht="15" x14ac:dyDescent="0.35">
      <c r="A1742" s="38">
        <f>COUNTIFS($P$24:$P$1598, "Search Like Pattern", $Q$24:$Q$1598, "Repaired")</f>
        <v>54</v>
      </c>
      <c r="B1742" s="38" t="s">
        <v>1662</v>
      </c>
      <c r="C1742" s="39">
        <f t="shared" ref="C1742:O1742" si="227">AVERAGEIFS(B$24:B$1598, $P$24:$P$1598, "Search Like Pattern", $Q$24:$Q$1598, "Repaired")</f>
        <v>3.9848148148148144</v>
      </c>
      <c r="D1742" s="39">
        <f t="shared" si="227"/>
        <v>77.523888888888877</v>
      </c>
      <c r="E1742" s="39">
        <f t="shared" si="227"/>
        <v>19.458333333333339</v>
      </c>
      <c r="F1742" s="39">
        <f t="shared" si="227"/>
        <v>6.8507407407407417</v>
      </c>
      <c r="G1742" s="39">
        <f t="shared" si="227"/>
        <v>14.928518518518516</v>
      </c>
      <c r="H1742" s="39">
        <f t="shared" si="227"/>
        <v>4.3237037037037043</v>
      </c>
      <c r="I1742" s="39">
        <f t="shared" si="227"/>
        <v>11.174444444444443</v>
      </c>
      <c r="J1742" s="39">
        <f t="shared" si="227"/>
        <v>34.38611111111112</v>
      </c>
      <c r="K1742" s="39">
        <f t="shared" si="227"/>
        <v>59.765925925925927</v>
      </c>
      <c r="L1742" s="39">
        <f t="shared" si="227"/>
        <v>0.37638888888888894</v>
      </c>
      <c r="M1742" s="39">
        <f t="shared" si="227"/>
        <v>5.5629629629629633E-2</v>
      </c>
      <c r="N1742" s="39">
        <f t="shared" si="227"/>
        <v>50.843333333333341</v>
      </c>
      <c r="O1742" s="39">
        <f t="shared" si="227"/>
        <v>2.8243333333333336</v>
      </c>
      <c r="P1742"/>
      <c r="Q1742" s="39">
        <f>AVERAGEIFS(S$24:S$1598, $P$24:$P$1598, "Search Like Pattern", $Q$24:$Q$1598, "Repaired")</f>
        <v>2.2777777777777777</v>
      </c>
      <c r="R1742" s="39">
        <f>AVERAGEIFS(T$24:T$1598, $P$24:$P$1598, "Search Like Pattern", $Q$24:$Q$1598, "Repaired")</f>
        <v>1.8518518518518517E-2</v>
      </c>
      <c r="S1742" s="39">
        <f>AVERAGEIFS(U$24:U$1598, $P$24:$P$1598, "Search Like Pattern", $Q$24:$Q$1598, "Repaired")</f>
        <v>10.407407407407407</v>
      </c>
      <c r="T1742" s="39">
        <f>AVERAGEIFS(V$24:V$1598, $P$24:$P$1598, "Search Like Pattern", $Q$24:$Q$1598, "Repaired")</f>
        <v>10.425925925925926</v>
      </c>
      <c r="X1742"/>
    </row>
    <row r="1743" spans="1:24" ht="15.6" thickBot="1" x14ac:dyDescent="0.4">
      <c r="A1743" s="40" t="s">
        <v>1704</v>
      </c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/>
      <c r="Q1743" s="32"/>
      <c r="R1743" s="32"/>
      <c r="S1743" s="32"/>
      <c r="T1743" s="32"/>
      <c r="X1743"/>
    </row>
    <row r="1744" spans="1:24" x14ac:dyDescent="0.35">
      <c r="A1744" s="1">
        <f>COUNTIFS($P$24:$P$1598, "Learning Pattern", $Q$24:$Q$1598, "Fixed")</f>
        <v>0</v>
      </c>
      <c r="B1744" s="1" t="s">
        <v>1663</v>
      </c>
      <c r="C1744" s="27" t="e">
        <f t="shared" ref="C1744:O1744" si="228">AVERAGEIFS(B$24:B$1598, $P$24:$P$1598, "Learning Pattern", $Q$24:$Q$1598, "Fixed")</f>
        <v>#DIV/0!</v>
      </c>
      <c r="D1744" s="27" t="e">
        <f t="shared" si="228"/>
        <v>#DIV/0!</v>
      </c>
      <c r="E1744" s="27" t="e">
        <f t="shared" si="228"/>
        <v>#DIV/0!</v>
      </c>
      <c r="F1744" s="27" t="e">
        <f t="shared" si="228"/>
        <v>#DIV/0!</v>
      </c>
      <c r="G1744" s="27" t="e">
        <f t="shared" si="228"/>
        <v>#DIV/0!</v>
      </c>
      <c r="H1744" s="27" t="e">
        <f t="shared" si="228"/>
        <v>#DIV/0!</v>
      </c>
      <c r="I1744" s="27" t="e">
        <f t="shared" si="228"/>
        <v>#DIV/0!</v>
      </c>
      <c r="J1744" s="27" t="e">
        <f t="shared" si="228"/>
        <v>#DIV/0!</v>
      </c>
      <c r="K1744" s="27" t="e">
        <f t="shared" si="228"/>
        <v>#DIV/0!</v>
      </c>
      <c r="L1744" s="27" t="e">
        <f t="shared" si="228"/>
        <v>#DIV/0!</v>
      </c>
      <c r="M1744" s="27" t="e">
        <f t="shared" si="228"/>
        <v>#DIV/0!</v>
      </c>
      <c r="N1744" s="27" t="e">
        <f t="shared" si="228"/>
        <v>#DIV/0!</v>
      </c>
      <c r="O1744" s="27" t="e">
        <f t="shared" si="228"/>
        <v>#DIV/0!</v>
      </c>
    </row>
    <row r="1745" spans="1:15" ht="15" thickBot="1" x14ac:dyDescent="0.4">
      <c r="A1745" s="31">
        <f>COUNTIFS($P$24:$P$1598, "Learning Pattern", $Q$24:$Q$1598, "Repaired")</f>
        <v>0</v>
      </c>
      <c r="B1745" s="31" t="s">
        <v>1664</v>
      </c>
      <c r="C1745" s="32" t="e">
        <f t="shared" ref="C1745:O1745" si="229">AVERAGEIFS(B$24:B$1598, $P$24:$P$1598, "Learning Pattern", $Q$24:$Q$1598, "Repaired")</f>
        <v>#DIV/0!</v>
      </c>
      <c r="D1745" s="32" t="e">
        <f t="shared" si="229"/>
        <v>#DIV/0!</v>
      </c>
      <c r="E1745" s="32" t="e">
        <f t="shared" si="229"/>
        <v>#DIV/0!</v>
      </c>
      <c r="F1745" s="32" t="e">
        <f t="shared" si="229"/>
        <v>#DIV/0!</v>
      </c>
      <c r="G1745" s="32" t="e">
        <f t="shared" si="229"/>
        <v>#DIV/0!</v>
      </c>
      <c r="H1745" s="32" t="e">
        <f t="shared" si="229"/>
        <v>#DIV/0!</v>
      </c>
      <c r="I1745" s="32" t="e">
        <f t="shared" si="229"/>
        <v>#DIV/0!</v>
      </c>
      <c r="J1745" s="32" t="e">
        <f t="shared" si="229"/>
        <v>#DIV/0!</v>
      </c>
      <c r="K1745" s="32" t="e">
        <f t="shared" si="229"/>
        <v>#DIV/0!</v>
      </c>
      <c r="L1745" s="32" t="e">
        <f t="shared" si="229"/>
        <v>#DIV/0!</v>
      </c>
      <c r="M1745" s="32" t="e">
        <f t="shared" si="229"/>
        <v>#DIV/0!</v>
      </c>
      <c r="N1745" s="32" t="e">
        <f t="shared" si="229"/>
        <v>#DIV/0!</v>
      </c>
      <c r="O1745" s="32" t="e">
        <f t="shared" si="229"/>
        <v>#DIV/0!</v>
      </c>
    </row>
    <row r="1746" spans="1:15" x14ac:dyDescent="0.35">
      <c r="A1746" s="1">
        <f>COUNTIFS($P$24:$P$1598, "Deep Learning", $Q$24:$Q$1598, "Fixed")</f>
        <v>0</v>
      </c>
      <c r="B1746" s="1" t="s">
        <v>1665</v>
      </c>
      <c r="C1746" s="27" t="e">
        <f t="shared" ref="C1746:O1746" si="230">AVERAGEIFS(B$24:B$1598, $P$24:$P$1598, "Deep Learning", $Q$24:$Q$1598, "Fixed")</f>
        <v>#DIV/0!</v>
      </c>
      <c r="D1746" s="27" t="e">
        <f t="shared" si="230"/>
        <v>#DIV/0!</v>
      </c>
      <c r="E1746" s="27" t="e">
        <f t="shared" si="230"/>
        <v>#DIV/0!</v>
      </c>
      <c r="F1746" s="27" t="e">
        <f t="shared" si="230"/>
        <v>#DIV/0!</v>
      </c>
      <c r="G1746" s="27" t="e">
        <f t="shared" si="230"/>
        <v>#DIV/0!</v>
      </c>
      <c r="H1746" s="27" t="e">
        <f t="shared" si="230"/>
        <v>#DIV/0!</v>
      </c>
      <c r="I1746" s="27" t="e">
        <f t="shared" si="230"/>
        <v>#DIV/0!</v>
      </c>
      <c r="J1746" s="27" t="e">
        <f t="shared" si="230"/>
        <v>#DIV/0!</v>
      </c>
      <c r="K1746" s="27" t="e">
        <f t="shared" si="230"/>
        <v>#DIV/0!</v>
      </c>
      <c r="L1746" s="27" t="e">
        <f t="shared" si="230"/>
        <v>#DIV/0!</v>
      </c>
      <c r="M1746" s="27" t="e">
        <f t="shared" si="230"/>
        <v>#DIV/0!</v>
      </c>
      <c r="N1746" s="27" t="e">
        <f t="shared" si="230"/>
        <v>#DIV/0!</v>
      </c>
      <c r="O1746" s="27" t="e">
        <f t="shared" si="230"/>
        <v>#DIV/0!</v>
      </c>
    </row>
    <row r="1747" spans="1:15" ht="15" thickBot="1" x14ac:dyDescent="0.4">
      <c r="A1747" s="31">
        <f>COUNTIFS($P$24:$P$1598, "Deep Learning", $Q$24:$Q$1598, "Repaired")</f>
        <v>0</v>
      </c>
      <c r="B1747" s="31" t="s">
        <v>1666</v>
      </c>
      <c r="C1747" s="32" t="e">
        <f t="shared" ref="C1747:O1747" si="231">AVERAGEIFS(B$24:B$1598, $P$24:$P$1598, "Deep Learning", $Q$24:$Q$1598, "Repaired")</f>
        <v>#DIV/0!</v>
      </c>
      <c r="D1747" s="32" t="e">
        <f t="shared" si="231"/>
        <v>#DIV/0!</v>
      </c>
      <c r="E1747" s="32" t="e">
        <f t="shared" si="231"/>
        <v>#DIV/0!</v>
      </c>
      <c r="F1747" s="32" t="e">
        <f t="shared" si="231"/>
        <v>#DIV/0!</v>
      </c>
      <c r="G1747" s="32" t="e">
        <f t="shared" si="231"/>
        <v>#DIV/0!</v>
      </c>
      <c r="H1747" s="32" t="e">
        <f t="shared" si="231"/>
        <v>#DIV/0!</v>
      </c>
      <c r="I1747" s="32" t="e">
        <f t="shared" si="231"/>
        <v>#DIV/0!</v>
      </c>
      <c r="J1747" s="32" t="e">
        <f t="shared" si="231"/>
        <v>#DIV/0!</v>
      </c>
      <c r="K1747" s="32" t="e">
        <f t="shared" si="231"/>
        <v>#DIV/0!</v>
      </c>
      <c r="L1747" s="32" t="e">
        <f t="shared" si="231"/>
        <v>#DIV/0!</v>
      </c>
      <c r="M1747" s="32" t="e">
        <f t="shared" si="231"/>
        <v>#DIV/0!</v>
      </c>
      <c r="N1747" s="32" t="e">
        <f t="shared" si="231"/>
        <v>#DIV/0!</v>
      </c>
      <c r="O1747" s="32" t="e">
        <f t="shared" si="231"/>
        <v>#DIV/0!</v>
      </c>
    </row>
    <row r="1748" spans="1:15" ht="15" x14ac:dyDescent="0.3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5" ht="15" x14ac:dyDescent="0.3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5" ht="15" x14ac:dyDescent="0.3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5" ht="15" x14ac:dyDescent="0.3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</sheetData>
  <sortState ref="A26:O1601">
    <sortCondition ref="O26:O1601"/>
    <sortCondition ref="A26:A1601"/>
  </sortState>
  <mergeCells count="2">
    <mergeCell ref="S1626:V1626"/>
    <mergeCell ref="S1646:V1646"/>
  </mergeCells>
  <conditionalFormatting sqref="S549:U1598">
    <cfRule type="cellIs" dxfId="12" priority="52" operator="greaterThan">
      <formula>$S$550</formula>
    </cfRule>
  </conditionalFormatting>
  <conditionalFormatting sqref="C1746:O1746 C1744:O1744 C1702:O1702 Q1702:T1702 C1704:O1704 C1706:O1706 C1708:O1708 C1710:O1710 C1712:O1712 C1714:O1714 C1716:O1716 C1718:O1718 C1720:O1720 C1722:O1722 C1724:O1724 Q1724:T1724 Q1722:T1722 Q1720:T1720 Q1718:T1718 Q1716:T1716 Q1714:T1714 Q1712:T1712 Q1710:T1710 Q1708:T1708 Q1706:T1706 Q1704:T1704 C1729:O1729 C1732:O1732 C1741:O1741 C1738:O1738 C1735:O1735 Q1735:T1735 Q1738:T1738 Q1741:T1741 Q1732:T1732 Q1729:T1729">
    <cfRule type="cellIs" dxfId="11" priority="39" operator="equal">
      <formula>C1703</formula>
    </cfRule>
    <cfRule type="cellIs" dxfId="10" priority="41" operator="greaterThan">
      <formula>C1703</formula>
    </cfRule>
  </conditionalFormatting>
  <conditionalFormatting sqref="C1747:O1747 C1745:O1745 C1703:O1703 C1705:O1705 C1707:O1707 C1709:O1709 C1711:O1711 C1713:O1713 C1715:O1715 C1717:O1717 C1719:O1719 C1721:O1721 C1723:O1723 C1725:O1725 Q1725:T1725 Q1723:T1723 Q1721:T1721 Q1719:T1719 Q1717:T1717 Q1715:T1715 Q1713:T1713 Q1711:T1711 Q1709:T1709 Q1707:T1707 Q1705:T1705 Q1703:T1703 C1730:O1730 C1733:O1733 C1742:O1743 C1739:O1739 C1736:O1736 Q1736:T1736 Q1739:T1739 Q1742:T1743 Q1733:T1733 Q1730:T1730">
    <cfRule type="cellIs" dxfId="9" priority="38" operator="equal">
      <formula>C1702</formula>
    </cfRule>
    <cfRule type="cellIs" dxfId="8" priority="40" operator="greaterThan">
      <formula>C1702</formula>
    </cfRule>
  </conditionalFormatting>
  <conditionalFormatting sqref="B1612:N1612 C1619:O1619 C1623:O1623 C1629:O1629 C1633:O1633 C1638:O1638 C1642:O1642 C1695:O1695 C1690:O1690 C1685:O1685 C1680:O1680 C1675:O1675 C1670:O1670">
    <cfRule type="cellIs" dxfId="7" priority="43" operator="equal">
      <formula>B1613</formula>
    </cfRule>
    <cfRule type="cellIs" dxfId="6" priority="45" operator="greaterThan">
      <formula>B1613</formula>
    </cfRule>
  </conditionalFormatting>
  <conditionalFormatting sqref="B1613:N1613 C1620:O1620 O1624 C1630:O1630 C1634:O1634 C1643:O1644 C1639:O1639 C1696:O1696 C1691:O1691 C1686:O1686 C1681:O1681 C1676:O1676 C1671:O1671">
    <cfRule type="cellIs" dxfId="5" priority="42" operator="equal">
      <formula>B1612</formula>
    </cfRule>
    <cfRule type="cellIs" dxfId="4" priority="44" operator="greaterThan">
      <formula>B1612</formula>
    </cfRule>
  </conditionalFormatting>
  <conditionalFormatting sqref="C1650:O1650 C1654:O1654 C1659:O1659 C1663:O1663 T1630:AF1630 T1634:AF1634 T1639:AF1639 T1643:AF1643 T1650:AF1650 T1654:AF1654 T1659:AF1659 T1663:AF1663">
    <cfRule type="cellIs" dxfId="3" priority="22" operator="equal">
      <formula>C1629</formula>
    </cfRule>
    <cfRule type="cellIs" dxfId="2" priority="24" operator="greaterThan">
      <formula>C1629</formula>
    </cfRule>
  </conditionalFormatting>
  <conditionalFormatting sqref="C1649:O1649 C1653:O1653 C1658:O1658 C1662:O1662 T1629:AF1629 T1633:AF1633 T1638:AF1638 T1642:AF1642 T1649:AF1649 T1653:AF1653 T1658:AF1658 T1662:AF1662">
    <cfRule type="cellIs" dxfId="1" priority="23" operator="equal">
      <formula>C1630</formula>
    </cfRule>
    <cfRule type="cellIs" dxfId="0" priority="25" operator="greaterThan">
      <formula>C1630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2023-10-20T12:34:36Z</dcterms:modified>
</cp:coreProperties>
</file>