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4. APR_Eff_Plausible_D4J_Metrics\"/>
    </mc:Choice>
  </mc:AlternateContent>
  <bookViews>
    <workbookView xWindow="120" yWindow="72" windowWidth="15252" windowHeight="7932"/>
  </bookViews>
  <sheets>
    <sheet name="QueryResult" sheetId="2" r:id="rId1"/>
  </sheets>
  <calcPr calcId="162913"/>
  <fileRecoveryPr repairLoad="1"/>
</workbook>
</file>

<file path=xl/calcChain.xml><?xml version="1.0" encoding="utf-8"?>
<calcChain xmlns="http://schemas.openxmlformats.org/spreadsheetml/2006/main">
  <c r="N1738" i="2" l="1"/>
  <c r="V1703" i="2" l="1"/>
  <c r="V1705" i="2"/>
  <c r="V1707" i="2"/>
  <c r="V1709" i="2"/>
  <c r="V1711" i="2"/>
  <c r="V1713" i="2"/>
  <c r="V1715" i="2"/>
  <c r="V1717" i="2"/>
  <c r="V1719" i="2"/>
  <c r="V1721" i="2"/>
  <c r="V1723" i="2"/>
  <c r="V1741" i="2"/>
  <c r="V1738" i="2"/>
  <c r="V1735" i="2"/>
  <c r="V1732" i="2"/>
  <c r="V1729" i="2"/>
  <c r="V1724" i="2"/>
  <c r="V1722" i="2"/>
  <c r="V1720" i="2"/>
  <c r="V1718" i="2"/>
  <c r="V1716" i="2"/>
  <c r="V1714" i="2"/>
  <c r="V1712" i="2"/>
  <c r="V1710" i="2"/>
  <c r="V1708" i="2"/>
  <c r="V1706" i="2"/>
  <c r="V1704" i="2"/>
  <c r="V1702" i="2"/>
  <c r="V1725" i="2"/>
  <c r="V1730" i="2"/>
  <c r="V1733" i="2"/>
  <c r="V1736" i="2"/>
  <c r="V1739" i="2"/>
  <c r="V1742" i="2"/>
  <c r="AL1643" i="2"/>
  <c r="AM1643" i="2"/>
  <c r="AN1643" i="2"/>
  <c r="AO1643" i="2"/>
  <c r="AP1643" i="2"/>
  <c r="AQ1643" i="2"/>
  <c r="AR1643" i="2"/>
  <c r="AS1643" i="2"/>
  <c r="AT1643" i="2"/>
  <c r="AU1643" i="2"/>
  <c r="AV1643" i="2"/>
  <c r="AW1643" i="2"/>
  <c r="AL1642" i="2"/>
  <c r="AM1642" i="2"/>
  <c r="AN1642" i="2"/>
  <c r="AO1642" i="2"/>
  <c r="AP1642" i="2"/>
  <c r="AQ1642" i="2"/>
  <c r="AR1642" i="2"/>
  <c r="AS1642" i="2"/>
  <c r="AT1642" i="2"/>
  <c r="AU1642" i="2"/>
  <c r="AV1642" i="2"/>
  <c r="AW1642" i="2"/>
  <c r="AI1643" i="2"/>
  <c r="AI1642" i="2"/>
  <c r="AK1643" i="2"/>
  <c r="AK1642" i="2"/>
  <c r="AC550" i="2"/>
  <c r="AD550" i="2"/>
  <c r="AE550" i="2"/>
  <c r="AF550" i="2"/>
  <c r="AC551" i="2"/>
  <c r="AD551" i="2"/>
  <c r="AE551" i="2"/>
  <c r="AF551" i="2"/>
  <c r="AC552" i="2"/>
  <c r="AD552" i="2"/>
  <c r="AE552" i="2"/>
  <c r="AF552" i="2"/>
  <c r="AC553" i="2"/>
  <c r="AD553" i="2"/>
  <c r="AE553" i="2"/>
  <c r="AF553" i="2"/>
  <c r="AC554" i="2"/>
  <c r="AD554" i="2"/>
  <c r="AE554" i="2"/>
  <c r="AF554" i="2"/>
  <c r="AC555" i="2"/>
  <c r="AD555" i="2"/>
  <c r="AE555" i="2"/>
  <c r="AF555" i="2"/>
  <c r="AC556" i="2"/>
  <c r="AD556" i="2"/>
  <c r="AE556" i="2"/>
  <c r="AF556" i="2"/>
  <c r="AC557" i="2"/>
  <c r="AD557" i="2"/>
  <c r="AE557" i="2"/>
  <c r="AF557" i="2"/>
  <c r="AC558" i="2"/>
  <c r="AD558" i="2"/>
  <c r="AE558" i="2"/>
  <c r="AF558" i="2"/>
  <c r="AC559" i="2"/>
  <c r="AD559" i="2"/>
  <c r="AE559" i="2"/>
  <c r="AF559" i="2"/>
  <c r="AC560" i="2"/>
  <c r="AD560" i="2"/>
  <c r="AE560" i="2"/>
  <c r="AF560" i="2"/>
  <c r="AC561" i="2"/>
  <c r="AD561" i="2"/>
  <c r="AE561" i="2"/>
  <c r="AF561" i="2"/>
  <c r="AC562" i="2"/>
  <c r="AD562" i="2"/>
  <c r="AE562" i="2"/>
  <c r="AF562" i="2"/>
  <c r="AC563" i="2"/>
  <c r="AD563" i="2"/>
  <c r="AE563" i="2"/>
  <c r="AF563" i="2"/>
  <c r="AC564" i="2"/>
  <c r="AD564" i="2"/>
  <c r="AE564" i="2"/>
  <c r="AF564" i="2"/>
  <c r="AC565" i="2"/>
  <c r="AD565" i="2"/>
  <c r="AE565" i="2"/>
  <c r="AF565" i="2"/>
  <c r="AC566" i="2"/>
  <c r="AD566" i="2"/>
  <c r="AE566" i="2"/>
  <c r="AF566" i="2"/>
  <c r="AC567" i="2"/>
  <c r="AD567" i="2"/>
  <c r="AE567" i="2"/>
  <c r="AF567" i="2"/>
  <c r="AC568" i="2"/>
  <c r="AD568" i="2"/>
  <c r="AE568" i="2"/>
  <c r="AF568" i="2"/>
  <c r="AC569" i="2"/>
  <c r="AD569" i="2"/>
  <c r="AE569" i="2"/>
  <c r="AF569" i="2"/>
  <c r="AC570" i="2"/>
  <c r="AD570" i="2"/>
  <c r="AE570" i="2"/>
  <c r="AF570" i="2"/>
  <c r="AC571" i="2"/>
  <c r="AD571" i="2"/>
  <c r="AE571" i="2"/>
  <c r="AF571" i="2"/>
  <c r="AC572" i="2"/>
  <c r="AD572" i="2"/>
  <c r="AE572" i="2"/>
  <c r="AF572" i="2"/>
  <c r="AC573" i="2"/>
  <c r="AD573" i="2"/>
  <c r="AE573" i="2"/>
  <c r="AF573" i="2"/>
  <c r="AC574" i="2"/>
  <c r="AD574" i="2"/>
  <c r="AE574" i="2"/>
  <c r="AF574" i="2"/>
  <c r="AC575" i="2"/>
  <c r="AD575" i="2"/>
  <c r="AE575" i="2"/>
  <c r="AF575" i="2"/>
  <c r="AC576" i="2"/>
  <c r="AD576" i="2"/>
  <c r="AE576" i="2"/>
  <c r="AF576" i="2"/>
  <c r="AC577" i="2"/>
  <c r="AD577" i="2"/>
  <c r="AE577" i="2"/>
  <c r="AF577" i="2"/>
  <c r="AC578" i="2"/>
  <c r="AD578" i="2"/>
  <c r="AE578" i="2"/>
  <c r="AF578" i="2"/>
  <c r="AC579" i="2"/>
  <c r="AD579" i="2"/>
  <c r="AE579" i="2"/>
  <c r="AF579" i="2"/>
  <c r="AC580" i="2"/>
  <c r="AD580" i="2"/>
  <c r="AE580" i="2"/>
  <c r="AF580" i="2"/>
  <c r="AC581" i="2"/>
  <c r="AD581" i="2"/>
  <c r="AE581" i="2"/>
  <c r="AF581" i="2"/>
  <c r="AC582" i="2"/>
  <c r="AD582" i="2"/>
  <c r="AE582" i="2"/>
  <c r="AF582" i="2"/>
  <c r="AC583" i="2"/>
  <c r="AD583" i="2"/>
  <c r="AE583" i="2"/>
  <c r="AF583" i="2"/>
  <c r="AC584" i="2"/>
  <c r="AD584" i="2"/>
  <c r="AE584" i="2"/>
  <c r="AF584" i="2"/>
  <c r="AC585" i="2"/>
  <c r="AD585" i="2"/>
  <c r="AE585" i="2"/>
  <c r="AF585" i="2"/>
  <c r="AC586" i="2"/>
  <c r="AD586" i="2"/>
  <c r="AE586" i="2"/>
  <c r="AF586" i="2"/>
  <c r="AC587" i="2"/>
  <c r="AD587" i="2"/>
  <c r="AE587" i="2"/>
  <c r="AF587" i="2"/>
  <c r="AC588" i="2"/>
  <c r="AD588" i="2"/>
  <c r="AE588" i="2"/>
  <c r="AF588" i="2"/>
  <c r="AC589" i="2"/>
  <c r="AD589" i="2"/>
  <c r="AE589" i="2"/>
  <c r="AF589" i="2"/>
  <c r="AC590" i="2"/>
  <c r="AD590" i="2"/>
  <c r="AE590" i="2"/>
  <c r="AF590" i="2"/>
  <c r="AC591" i="2"/>
  <c r="AD591" i="2"/>
  <c r="AE591" i="2"/>
  <c r="AF591" i="2"/>
  <c r="AC592" i="2"/>
  <c r="AD592" i="2"/>
  <c r="AE592" i="2"/>
  <c r="AF592" i="2"/>
  <c r="AC593" i="2"/>
  <c r="AD593" i="2"/>
  <c r="AE593" i="2"/>
  <c r="AF593" i="2"/>
  <c r="AC594" i="2"/>
  <c r="AD594" i="2"/>
  <c r="AE594" i="2"/>
  <c r="AF594" i="2"/>
  <c r="AC595" i="2"/>
  <c r="AD595" i="2"/>
  <c r="AE595" i="2"/>
  <c r="AF595" i="2"/>
  <c r="AC596" i="2"/>
  <c r="AD596" i="2"/>
  <c r="AE596" i="2"/>
  <c r="AF596" i="2"/>
  <c r="AC597" i="2"/>
  <c r="AD597" i="2"/>
  <c r="AE597" i="2"/>
  <c r="AF597" i="2"/>
  <c r="AC598" i="2"/>
  <c r="AD598" i="2"/>
  <c r="AE598" i="2"/>
  <c r="AF598" i="2"/>
  <c r="AC599" i="2"/>
  <c r="AD599" i="2"/>
  <c r="AE599" i="2"/>
  <c r="AF599" i="2"/>
  <c r="AC600" i="2"/>
  <c r="AD600" i="2"/>
  <c r="AE600" i="2"/>
  <c r="AF600" i="2"/>
  <c r="AC601" i="2"/>
  <c r="AD601" i="2"/>
  <c r="AE601" i="2"/>
  <c r="AF601" i="2"/>
  <c r="AC602" i="2"/>
  <c r="AD602" i="2"/>
  <c r="AE602" i="2"/>
  <c r="AF602" i="2"/>
  <c r="AC603" i="2"/>
  <c r="AD603" i="2"/>
  <c r="AE603" i="2"/>
  <c r="AF603" i="2"/>
  <c r="AC604" i="2"/>
  <c r="AD604" i="2"/>
  <c r="AE604" i="2"/>
  <c r="AF604" i="2"/>
  <c r="AC605" i="2"/>
  <c r="AD605" i="2"/>
  <c r="AE605" i="2"/>
  <c r="AF605" i="2"/>
  <c r="AC606" i="2"/>
  <c r="AD606" i="2"/>
  <c r="AE606" i="2"/>
  <c r="AF606" i="2"/>
  <c r="AC607" i="2"/>
  <c r="AD607" i="2"/>
  <c r="AE607" i="2"/>
  <c r="AF607" i="2"/>
  <c r="AC608" i="2"/>
  <c r="AD608" i="2"/>
  <c r="AE608" i="2"/>
  <c r="AF608" i="2"/>
  <c r="AC609" i="2"/>
  <c r="AD609" i="2"/>
  <c r="AE609" i="2"/>
  <c r="AF609" i="2"/>
  <c r="AC610" i="2"/>
  <c r="AD610" i="2"/>
  <c r="AE610" i="2"/>
  <c r="AF610" i="2"/>
  <c r="AC611" i="2"/>
  <c r="AD611" i="2"/>
  <c r="AE611" i="2"/>
  <c r="AF611" i="2"/>
  <c r="AC612" i="2"/>
  <c r="AD612" i="2"/>
  <c r="AE612" i="2"/>
  <c r="AF612" i="2"/>
  <c r="AC613" i="2"/>
  <c r="AD613" i="2"/>
  <c r="AE613" i="2"/>
  <c r="AF613" i="2"/>
  <c r="AC614" i="2"/>
  <c r="AD614" i="2"/>
  <c r="AE614" i="2"/>
  <c r="AF614" i="2"/>
  <c r="AC615" i="2"/>
  <c r="AD615" i="2"/>
  <c r="AE615" i="2"/>
  <c r="AF615" i="2"/>
  <c r="AC616" i="2"/>
  <c r="AD616" i="2"/>
  <c r="AE616" i="2"/>
  <c r="AF616" i="2"/>
  <c r="AC617" i="2"/>
  <c r="AD617" i="2"/>
  <c r="AE617" i="2"/>
  <c r="AF617" i="2"/>
  <c r="AC618" i="2"/>
  <c r="AD618" i="2"/>
  <c r="AE618" i="2"/>
  <c r="AF618" i="2"/>
  <c r="AC619" i="2"/>
  <c r="AD619" i="2"/>
  <c r="AE619" i="2"/>
  <c r="AF619" i="2"/>
  <c r="AC620" i="2"/>
  <c r="AD620" i="2"/>
  <c r="AE620" i="2"/>
  <c r="AF620" i="2"/>
  <c r="AC621" i="2"/>
  <c r="AD621" i="2"/>
  <c r="AE621" i="2"/>
  <c r="AF621" i="2"/>
  <c r="AC622" i="2"/>
  <c r="AD622" i="2"/>
  <c r="AE622" i="2"/>
  <c r="AF622" i="2"/>
  <c r="AC623" i="2"/>
  <c r="AD623" i="2"/>
  <c r="AE623" i="2"/>
  <c r="AF623" i="2"/>
  <c r="AC624" i="2"/>
  <c r="AD624" i="2"/>
  <c r="AE624" i="2"/>
  <c r="AF624" i="2"/>
  <c r="AC625" i="2"/>
  <c r="AD625" i="2"/>
  <c r="AE625" i="2"/>
  <c r="AF625" i="2"/>
  <c r="AC626" i="2"/>
  <c r="AD626" i="2"/>
  <c r="AE626" i="2"/>
  <c r="AF626" i="2"/>
  <c r="AC627" i="2"/>
  <c r="AD627" i="2"/>
  <c r="AE627" i="2"/>
  <c r="AF627" i="2"/>
  <c r="AC628" i="2"/>
  <c r="AD628" i="2"/>
  <c r="AE628" i="2"/>
  <c r="AF628" i="2"/>
  <c r="AC629" i="2"/>
  <c r="AD629" i="2"/>
  <c r="AE629" i="2"/>
  <c r="AF629" i="2"/>
  <c r="AC630" i="2"/>
  <c r="AD630" i="2"/>
  <c r="AE630" i="2"/>
  <c r="AF630" i="2"/>
  <c r="AC631" i="2"/>
  <c r="AD631" i="2"/>
  <c r="AE631" i="2"/>
  <c r="AF631" i="2"/>
  <c r="AC632" i="2"/>
  <c r="AD632" i="2"/>
  <c r="AE632" i="2"/>
  <c r="AF632" i="2"/>
  <c r="AC633" i="2"/>
  <c r="AD633" i="2"/>
  <c r="AE633" i="2"/>
  <c r="AF633" i="2"/>
  <c r="AC634" i="2"/>
  <c r="AD634" i="2"/>
  <c r="AE634" i="2"/>
  <c r="AF634" i="2"/>
  <c r="AC635" i="2"/>
  <c r="AD635" i="2"/>
  <c r="AE635" i="2"/>
  <c r="AF635" i="2"/>
  <c r="AC636" i="2"/>
  <c r="AD636" i="2"/>
  <c r="AE636" i="2"/>
  <c r="AF636" i="2"/>
  <c r="AC637" i="2"/>
  <c r="AD637" i="2"/>
  <c r="AE637" i="2"/>
  <c r="AF637" i="2"/>
  <c r="AC638" i="2"/>
  <c r="AD638" i="2"/>
  <c r="AE638" i="2"/>
  <c r="AF638" i="2"/>
  <c r="AC639" i="2"/>
  <c r="AD639" i="2"/>
  <c r="AE639" i="2"/>
  <c r="AF639" i="2"/>
  <c r="AC640" i="2"/>
  <c r="AD640" i="2"/>
  <c r="AE640" i="2"/>
  <c r="AF640" i="2"/>
  <c r="AC641" i="2"/>
  <c r="AD641" i="2"/>
  <c r="AE641" i="2"/>
  <c r="AF641" i="2"/>
  <c r="AC642" i="2"/>
  <c r="AD642" i="2"/>
  <c r="AE642" i="2"/>
  <c r="AF642" i="2"/>
  <c r="AC643" i="2"/>
  <c r="AD643" i="2"/>
  <c r="AE643" i="2"/>
  <c r="AF643" i="2"/>
  <c r="AC644" i="2"/>
  <c r="AD644" i="2"/>
  <c r="AE644" i="2"/>
  <c r="AF644" i="2"/>
  <c r="AC645" i="2"/>
  <c r="AD645" i="2"/>
  <c r="AE645" i="2"/>
  <c r="AF645" i="2"/>
  <c r="AC646" i="2"/>
  <c r="AD646" i="2"/>
  <c r="AE646" i="2"/>
  <c r="AF646" i="2"/>
  <c r="AC647" i="2"/>
  <c r="AD647" i="2"/>
  <c r="AE647" i="2"/>
  <c r="AF647" i="2"/>
  <c r="AC648" i="2"/>
  <c r="AD648" i="2"/>
  <c r="AE648" i="2"/>
  <c r="AF648" i="2"/>
  <c r="AC649" i="2"/>
  <c r="AD649" i="2"/>
  <c r="AE649" i="2"/>
  <c r="AF649" i="2"/>
  <c r="AC650" i="2"/>
  <c r="AD650" i="2"/>
  <c r="AE650" i="2"/>
  <c r="AF650" i="2"/>
  <c r="AC651" i="2"/>
  <c r="AD651" i="2"/>
  <c r="AE651" i="2"/>
  <c r="AF651" i="2"/>
  <c r="AC652" i="2"/>
  <c r="AD652" i="2"/>
  <c r="AE652" i="2"/>
  <c r="AF652" i="2"/>
  <c r="AC653" i="2"/>
  <c r="AD653" i="2"/>
  <c r="AE653" i="2"/>
  <c r="AF653" i="2"/>
  <c r="AC654" i="2"/>
  <c r="AD654" i="2"/>
  <c r="AE654" i="2"/>
  <c r="AF654" i="2"/>
  <c r="AC655" i="2"/>
  <c r="AD655" i="2"/>
  <c r="AE655" i="2"/>
  <c r="AF655" i="2"/>
  <c r="AC656" i="2"/>
  <c r="AD656" i="2"/>
  <c r="AE656" i="2"/>
  <c r="AF656" i="2"/>
  <c r="AC657" i="2"/>
  <c r="AD657" i="2"/>
  <c r="AE657" i="2"/>
  <c r="AF657" i="2"/>
  <c r="AC658" i="2"/>
  <c r="AD658" i="2"/>
  <c r="AE658" i="2"/>
  <c r="AF658" i="2"/>
  <c r="AC659" i="2"/>
  <c r="AD659" i="2"/>
  <c r="AE659" i="2"/>
  <c r="AF659" i="2"/>
  <c r="AC660" i="2"/>
  <c r="AD660" i="2"/>
  <c r="AE660" i="2"/>
  <c r="AF660" i="2"/>
  <c r="AC661" i="2"/>
  <c r="AD661" i="2"/>
  <c r="AE661" i="2"/>
  <c r="AF661" i="2"/>
  <c r="AC662" i="2"/>
  <c r="AD662" i="2"/>
  <c r="AE662" i="2"/>
  <c r="AF662" i="2"/>
  <c r="AC663" i="2"/>
  <c r="AD663" i="2"/>
  <c r="AE663" i="2"/>
  <c r="AF663" i="2"/>
  <c r="AC664" i="2"/>
  <c r="AD664" i="2"/>
  <c r="AE664" i="2"/>
  <c r="AF664" i="2"/>
  <c r="AC665" i="2"/>
  <c r="AD665" i="2"/>
  <c r="AE665" i="2"/>
  <c r="AF665" i="2"/>
  <c r="AC666" i="2"/>
  <c r="AD666" i="2"/>
  <c r="AE666" i="2"/>
  <c r="AF666" i="2"/>
  <c r="AC667" i="2"/>
  <c r="AD667" i="2"/>
  <c r="AE667" i="2"/>
  <c r="AF667" i="2"/>
  <c r="AC668" i="2"/>
  <c r="AD668" i="2"/>
  <c r="AE668" i="2"/>
  <c r="AF668" i="2"/>
  <c r="AC669" i="2"/>
  <c r="AD669" i="2"/>
  <c r="AE669" i="2"/>
  <c r="AF669" i="2"/>
  <c r="AC670" i="2"/>
  <c r="AD670" i="2"/>
  <c r="AE670" i="2"/>
  <c r="AF670" i="2"/>
  <c r="AC671" i="2"/>
  <c r="AD671" i="2"/>
  <c r="AE671" i="2"/>
  <c r="AF671" i="2"/>
  <c r="AC672" i="2"/>
  <c r="AD672" i="2"/>
  <c r="AE672" i="2"/>
  <c r="AF672" i="2"/>
  <c r="AC673" i="2"/>
  <c r="AD673" i="2"/>
  <c r="AE673" i="2"/>
  <c r="AF673" i="2"/>
  <c r="AC674" i="2"/>
  <c r="AD674" i="2"/>
  <c r="AE674" i="2"/>
  <c r="AF674" i="2"/>
  <c r="AC675" i="2"/>
  <c r="AD675" i="2"/>
  <c r="AE675" i="2"/>
  <c r="AF675" i="2"/>
  <c r="AC676" i="2"/>
  <c r="AD676" i="2"/>
  <c r="AE676" i="2"/>
  <c r="AF676" i="2"/>
  <c r="AC677" i="2"/>
  <c r="AD677" i="2"/>
  <c r="AE677" i="2"/>
  <c r="AF677" i="2"/>
  <c r="AC678" i="2"/>
  <c r="AD678" i="2"/>
  <c r="AE678" i="2"/>
  <c r="AF678" i="2"/>
  <c r="AC679" i="2"/>
  <c r="AD679" i="2"/>
  <c r="AE679" i="2"/>
  <c r="AF679" i="2"/>
  <c r="AC680" i="2"/>
  <c r="AD680" i="2"/>
  <c r="AE680" i="2"/>
  <c r="AF680" i="2"/>
  <c r="AC681" i="2"/>
  <c r="AD681" i="2"/>
  <c r="AE681" i="2"/>
  <c r="AF681" i="2"/>
  <c r="AC682" i="2"/>
  <c r="AD682" i="2"/>
  <c r="AE682" i="2"/>
  <c r="AF682" i="2"/>
  <c r="AC683" i="2"/>
  <c r="AD683" i="2"/>
  <c r="AE683" i="2"/>
  <c r="AF683" i="2"/>
  <c r="AC684" i="2"/>
  <c r="AD684" i="2"/>
  <c r="AE684" i="2"/>
  <c r="AF684" i="2"/>
  <c r="AC685" i="2"/>
  <c r="AD685" i="2"/>
  <c r="AE685" i="2"/>
  <c r="AF685" i="2"/>
  <c r="AC686" i="2"/>
  <c r="AD686" i="2"/>
  <c r="AE686" i="2"/>
  <c r="AF686" i="2"/>
  <c r="AC687" i="2"/>
  <c r="AD687" i="2"/>
  <c r="AE687" i="2"/>
  <c r="AF687" i="2"/>
  <c r="AC688" i="2"/>
  <c r="AD688" i="2"/>
  <c r="AE688" i="2"/>
  <c r="AF688" i="2"/>
  <c r="AC689" i="2"/>
  <c r="AD689" i="2"/>
  <c r="AE689" i="2"/>
  <c r="AF689" i="2"/>
  <c r="AC690" i="2"/>
  <c r="AD690" i="2"/>
  <c r="AE690" i="2"/>
  <c r="AF690" i="2"/>
  <c r="AC691" i="2"/>
  <c r="AD691" i="2"/>
  <c r="AE691" i="2"/>
  <c r="AF691" i="2"/>
  <c r="AC692" i="2"/>
  <c r="AD692" i="2"/>
  <c r="AE692" i="2"/>
  <c r="AF692" i="2"/>
  <c r="AC693" i="2"/>
  <c r="AD693" i="2"/>
  <c r="AE693" i="2"/>
  <c r="AF693" i="2"/>
  <c r="AC694" i="2"/>
  <c r="AD694" i="2"/>
  <c r="AE694" i="2"/>
  <c r="AF694" i="2"/>
  <c r="AC695" i="2"/>
  <c r="AD695" i="2"/>
  <c r="AE695" i="2"/>
  <c r="AF695" i="2"/>
  <c r="AC696" i="2"/>
  <c r="AD696" i="2"/>
  <c r="AE696" i="2"/>
  <c r="AF696" i="2"/>
  <c r="AC697" i="2"/>
  <c r="AD697" i="2"/>
  <c r="AE697" i="2"/>
  <c r="AF697" i="2"/>
  <c r="AC698" i="2"/>
  <c r="AD698" i="2"/>
  <c r="AE698" i="2"/>
  <c r="AF698" i="2"/>
  <c r="AC699" i="2"/>
  <c r="AD699" i="2"/>
  <c r="AE699" i="2"/>
  <c r="AF699" i="2"/>
  <c r="AC700" i="2"/>
  <c r="AD700" i="2"/>
  <c r="AE700" i="2"/>
  <c r="AF700" i="2"/>
  <c r="AC701" i="2"/>
  <c r="AD701" i="2"/>
  <c r="AE701" i="2"/>
  <c r="AF701" i="2"/>
  <c r="AC702" i="2"/>
  <c r="AD702" i="2"/>
  <c r="AE702" i="2"/>
  <c r="AF702" i="2"/>
  <c r="AC703" i="2"/>
  <c r="AD703" i="2"/>
  <c r="AE703" i="2"/>
  <c r="AF703" i="2"/>
  <c r="AC704" i="2"/>
  <c r="AD704" i="2"/>
  <c r="AE704" i="2"/>
  <c r="AF704" i="2"/>
  <c r="AC705" i="2"/>
  <c r="AD705" i="2"/>
  <c r="AE705" i="2"/>
  <c r="AF705" i="2"/>
  <c r="AC706" i="2"/>
  <c r="AD706" i="2"/>
  <c r="AE706" i="2"/>
  <c r="AF706" i="2"/>
  <c r="AC707" i="2"/>
  <c r="AD707" i="2"/>
  <c r="AE707" i="2"/>
  <c r="AF707" i="2"/>
  <c r="AC708" i="2"/>
  <c r="AD708" i="2"/>
  <c r="AE708" i="2"/>
  <c r="AF708" i="2"/>
  <c r="AC709" i="2"/>
  <c r="AD709" i="2"/>
  <c r="AE709" i="2"/>
  <c r="AF709" i="2"/>
  <c r="AC710" i="2"/>
  <c r="AD710" i="2"/>
  <c r="AE710" i="2"/>
  <c r="AF710" i="2"/>
  <c r="AC711" i="2"/>
  <c r="AD711" i="2"/>
  <c r="AE711" i="2"/>
  <c r="AF711" i="2"/>
  <c r="AC712" i="2"/>
  <c r="AD712" i="2"/>
  <c r="AE712" i="2"/>
  <c r="AF712" i="2"/>
  <c r="AC713" i="2"/>
  <c r="AD713" i="2"/>
  <c r="AE713" i="2"/>
  <c r="AF713" i="2"/>
  <c r="AC714" i="2"/>
  <c r="AD714" i="2"/>
  <c r="AE714" i="2"/>
  <c r="AF714" i="2"/>
  <c r="AC715" i="2"/>
  <c r="AD715" i="2"/>
  <c r="AE715" i="2"/>
  <c r="AF715" i="2"/>
  <c r="AC716" i="2"/>
  <c r="AD716" i="2"/>
  <c r="AE716" i="2"/>
  <c r="AF716" i="2"/>
  <c r="AC717" i="2"/>
  <c r="AD717" i="2"/>
  <c r="AE717" i="2"/>
  <c r="AF717" i="2"/>
  <c r="AC718" i="2"/>
  <c r="AD718" i="2"/>
  <c r="AE718" i="2"/>
  <c r="AF718" i="2"/>
  <c r="AC719" i="2"/>
  <c r="AD719" i="2"/>
  <c r="AE719" i="2"/>
  <c r="AF719" i="2"/>
  <c r="AC720" i="2"/>
  <c r="AD720" i="2"/>
  <c r="AE720" i="2"/>
  <c r="AF720" i="2"/>
  <c r="AC721" i="2"/>
  <c r="AD721" i="2"/>
  <c r="AE721" i="2"/>
  <c r="AF721" i="2"/>
  <c r="AC722" i="2"/>
  <c r="AD722" i="2"/>
  <c r="AE722" i="2"/>
  <c r="AF722" i="2"/>
  <c r="AC723" i="2"/>
  <c r="AD723" i="2"/>
  <c r="AE723" i="2"/>
  <c r="AF723" i="2"/>
  <c r="AC724" i="2"/>
  <c r="AD724" i="2"/>
  <c r="AE724" i="2"/>
  <c r="AF724" i="2"/>
  <c r="AC725" i="2"/>
  <c r="AD725" i="2"/>
  <c r="AE725" i="2"/>
  <c r="AF725" i="2"/>
  <c r="AC726" i="2"/>
  <c r="AD726" i="2"/>
  <c r="AE726" i="2"/>
  <c r="AF726" i="2"/>
  <c r="AC727" i="2"/>
  <c r="AD727" i="2"/>
  <c r="AE727" i="2"/>
  <c r="AF727" i="2"/>
  <c r="AC728" i="2"/>
  <c r="AD728" i="2"/>
  <c r="AE728" i="2"/>
  <c r="AF728" i="2"/>
  <c r="AC729" i="2"/>
  <c r="AD729" i="2"/>
  <c r="AE729" i="2"/>
  <c r="AF729" i="2"/>
  <c r="AC730" i="2"/>
  <c r="AD730" i="2"/>
  <c r="AE730" i="2"/>
  <c r="AF730" i="2"/>
  <c r="AC731" i="2"/>
  <c r="AD731" i="2"/>
  <c r="AE731" i="2"/>
  <c r="AF731" i="2"/>
  <c r="AC732" i="2"/>
  <c r="AD732" i="2"/>
  <c r="AE732" i="2"/>
  <c r="AF732" i="2"/>
  <c r="AC733" i="2"/>
  <c r="AD733" i="2"/>
  <c r="AE733" i="2"/>
  <c r="AF733" i="2"/>
  <c r="AC734" i="2"/>
  <c r="AD734" i="2"/>
  <c r="AE734" i="2"/>
  <c r="AF734" i="2"/>
  <c r="AC735" i="2"/>
  <c r="AD735" i="2"/>
  <c r="AE735" i="2"/>
  <c r="AF735" i="2"/>
  <c r="AC736" i="2"/>
  <c r="AD736" i="2"/>
  <c r="AE736" i="2"/>
  <c r="AF736" i="2"/>
  <c r="AC737" i="2"/>
  <c r="AD737" i="2"/>
  <c r="AE737" i="2"/>
  <c r="AF737" i="2"/>
  <c r="AC738" i="2"/>
  <c r="AD738" i="2"/>
  <c r="AE738" i="2"/>
  <c r="AF738" i="2"/>
  <c r="AC739" i="2"/>
  <c r="AD739" i="2"/>
  <c r="AE739" i="2"/>
  <c r="AF739" i="2"/>
  <c r="AC740" i="2"/>
  <c r="AD740" i="2"/>
  <c r="AE740" i="2"/>
  <c r="AF740" i="2"/>
  <c r="AC741" i="2"/>
  <c r="AD741" i="2"/>
  <c r="AE741" i="2"/>
  <c r="AF741" i="2"/>
  <c r="AC742" i="2"/>
  <c r="AD742" i="2"/>
  <c r="AE742" i="2"/>
  <c r="AF742" i="2"/>
  <c r="AC743" i="2"/>
  <c r="AD743" i="2"/>
  <c r="AE743" i="2"/>
  <c r="AF743" i="2"/>
  <c r="AC744" i="2"/>
  <c r="AD744" i="2"/>
  <c r="AE744" i="2"/>
  <c r="AF744" i="2"/>
  <c r="AC745" i="2"/>
  <c r="AD745" i="2"/>
  <c r="AE745" i="2"/>
  <c r="AF745" i="2"/>
  <c r="AC746" i="2"/>
  <c r="AD746" i="2"/>
  <c r="AE746" i="2"/>
  <c r="AF746" i="2"/>
  <c r="AC747" i="2"/>
  <c r="AD747" i="2"/>
  <c r="AE747" i="2"/>
  <c r="AF747" i="2"/>
  <c r="AC748" i="2"/>
  <c r="AD748" i="2"/>
  <c r="AE748" i="2"/>
  <c r="AF748" i="2"/>
  <c r="AC749" i="2"/>
  <c r="AD749" i="2"/>
  <c r="AE749" i="2"/>
  <c r="AF749" i="2"/>
  <c r="AC750" i="2"/>
  <c r="AD750" i="2"/>
  <c r="AE750" i="2"/>
  <c r="AF750" i="2"/>
  <c r="AC751" i="2"/>
  <c r="AD751" i="2"/>
  <c r="AE751" i="2"/>
  <c r="AF751" i="2"/>
  <c r="AC752" i="2"/>
  <c r="AD752" i="2"/>
  <c r="AE752" i="2"/>
  <c r="AF752" i="2"/>
  <c r="AC753" i="2"/>
  <c r="AD753" i="2"/>
  <c r="AE753" i="2"/>
  <c r="AF753" i="2"/>
  <c r="AC754" i="2"/>
  <c r="AD754" i="2"/>
  <c r="AE754" i="2"/>
  <c r="AF754" i="2"/>
  <c r="AC755" i="2"/>
  <c r="AD755" i="2"/>
  <c r="AE755" i="2"/>
  <c r="AF755" i="2"/>
  <c r="AC756" i="2"/>
  <c r="AD756" i="2"/>
  <c r="AE756" i="2"/>
  <c r="AF756" i="2"/>
  <c r="AC757" i="2"/>
  <c r="AD757" i="2"/>
  <c r="AE757" i="2"/>
  <c r="AF757" i="2"/>
  <c r="AC758" i="2"/>
  <c r="AD758" i="2"/>
  <c r="AE758" i="2"/>
  <c r="AF758" i="2"/>
  <c r="AC759" i="2"/>
  <c r="AD759" i="2"/>
  <c r="AE759" i="2"/>
  <c r="AF759" i="2"/>
  <c r="AC760" i="2"/>
  <c r="AD760" i="2"/>
  <c r="AE760" i="2"/>
  <c r="AF760" i="2"/>
  <c r="AC761" i="2"/>
  <c r="AD761" i="2"/>
  <c r="AE761" i="2"/>
  <c r="AF761" i="2"/>
  <c r="AC762" i="2"/>
  <c r="AD762" i="2"/>
  <c r="AE762" i="2"/>
  <c r="AF762" i="2"/>
  <c r="AC763" i="2"/>
  <c r="AD763" i="2"/>
  <c r="AE763" i="2"/>
  <c r="AF763" i="2"/>
  <c r="AC764" i="2"/>
  <c r="AD764" i="2"/>
  <c r="AE764" i="2"/>
  <c r="AF764" i="2"/>
  <c r="AC765" i="2"/>
  <c r="AD765" i="2"/>
  <c r="AE765" i="2"/>
  <c r="AF765" i="2"/>
  <c r="AC766" i="2"/>
  <c r="AD766" i="2"/>
  <c r="AE766" i="2"/>
  <c r="AF766" i="2"/>
  <c r="AC767" i="2"/>
  <c r="AD767" i="2"/>
  <c r="AE767" i="2"/>
  <c r="AF767" i="2"/>
  <c r="AC768" i="2"/>
  <c r="AD768" i="2"/>
  <c r="AE768" i="2"/>
  <c r="AF768" i="2"/>
  <c r="AC769" i="2"/>
  <c r="AD769" i="2"/>
  <c r="AE769" i="2"/>
  <c r="AF769" i="2"/>
  <c r="AC770" i="2"/>
  <c r="AD770" i="2"/>
  <c r="AE770" i="2"/>
  <c r="AF770" i="2"/>
  <c r="AC771" i="2"/>
  <c r="AD771" i="2"/>
  <c r="AE771" i="2"/>
  <c r="AF771" i="2"/>
  <c r="AC772" i="2"/>
  <c r="AD772" i="2"/>
  <c r="AE772" i="2"/>
  <c r="AF772" i="2"/>
  <c r="AC773" i="2"/>
  <c r="AD773" i="2"/>
  <c r="AE773" i="2"/>
  <c r="AF773" i="2"/>
  <c r="AC774" i="2"/>
  <c r="AD774" i="2"/>
  <c r="AE774" i="2"/>
  <c r="AF774" i="2"/>
  <c r="AC775" i="2"/>
  <c r="AD775" i="2"/>
  <c r="AE775" i="2"/>
  <c r="AF775" i="2"/>
  <c r="AC776" i="2"/>
  <c r="AD776" i="2"/>
  <c r="AE776" i="2"/>
  <c r="AF776" i="2"/>
  <c r="AC777" i="2"/>
  <c r="AD777" i="2"/>
  <c r="AE777" i="2"/>
  <c r="AF777" i="2"/>
  <c r="AC778" i="2"/>
  <c r="AD778" i="2"/>
  <c r="AE778" i="2"/>
  <c r="AF778" i="2"/>
  <c r="AC779" i="2"/>
  <c r="AD779" i="2"/>
  <c r="AE779" i="2"/>
  <c r="AF779" i="2"/>
  <c r="AC780" i="2"/>
  <c r="AD780" i="2"/>
  <c r="AE780" i="2"/>
  <c r="AF780" i="2"/>
  <c r="AC781" i="2"/>
  <c r="AD781" i="2"/>
  <c r="AE781" i="2"/>
  <c r="AF781" i="2"/>
  <c r="AC782" i="2"/>
  <c r="AD782" i="2"/>
  <c r="AE782" i="2"/>
  <c r="AF782" i="2"/>
  <c r="AC783" i="2"/>
  <c r="AD783" i="2"/>
  <c r="AE783" i="2"/>
  <c r="AF783" i="2"/>
  <c r="AC784" i="2"/>
  <c r="AD784" i="2"/>
  <c r="AE784" i="2"/>
  <c r="AF784" i="2"/>
  <c r="AC785" i="2"/>
  <c r="AD785" i="2"/>
  <c r="AE785" i="2"/>
  <c r="AF785" i="2"/>
  <c r="AC786" i="2"/>
  <c r="AD786" i="2"/>
  <c r="AE786" i="2"/>
  <c r="AF786" i="2"/>
  <c r="AC787" i="2"/>
  <c r="AD787" i="2"/>
  <c r="AE787" i="2"/>
  <c r="AF787" i="2"/>
  <c r="AC788" i="2"/>
  <c r="AD788" i="2"/>
  <c r="AE788" i="2"/>
  <c r="AF788" i="2"/>
  <c r="AC789" i="2"/>
  <c r="AD789" i="2"/>
  <c r="AE789" i="2"/>
  <c r="AF789" i="2"/>
  <c r="AC790" i="2"/>
  <c r="AD790" i="2"/>
  <c r="AE790" i="2"/>
  <c r="AF790" i="2"/>
  <c r="AC791" i="2"/>
  <c r="AD791" i="2"/>
  <c r="AE791" i="2"/>
  <c r="AF791" i="2"/>
  <c r="AC792" i="2"/>
  <c r="AD792" i="2"/>
  <c r="AE792" i="2"/>
  <c r="AF792" i="2"/>
  <c r="AC793" i="2"/>
  <c r="AD793" i="2"/>
  <c r="AE793" i="2"/>
  <c r="AF793" i="2"/>
  <c r="AC794" i="2"/>
  <c r="AD794" i="2"/>
  <c r="AE794" i="2"/>
  <c r="AF794" i="2"/>
  <c r="AC795" i="2"/>
  <c r="AD795" i="2"/>
  <c r="AE795" i="2"/>
  <c r="AF795" i="2"/>
  <c r="AC796" i="2"/>
  <c r="AD796" i="2"/>
  <c r="AE796" i="2"/>
  <c r="AF796" i="2"/>
  <c r="AC797" i="2"/>
  <c r="AD797" i="2"/>
  <c r="AE797" i="2"/>
  <c r="AF797" i="2"/>
  <c r="AC798" i="2"/>
  <c r="AD798" i="2"/>
  <c r="AE798" i="2"/>
  <c r="AF798" i="2"/>
  <c r="AC799" i="2"/>
  <c r="AD799" i="2"/>
  <c r="AE799" i="2"/>
  <c r="AF799" i="2"/>
  <c r="AC800" i="2"/>
  <c r="AD800" i="2"/>
  <c r="AE800" i="2"/>
  <c r="AF800" i="2"/>
  <c r="AC801" i="2"/>
  <c r="AD801" i="2"/>
  <c r="AE801" i="2"/>
  <c r="AF801" i="2"/>
  <c r="AC802" i="2"/>
  <c r="AD802" i="2"/>
  <c r="AE802" i="2"/>
  <c r="AF802" i="2"/>
  <c r="AC803" i="2"/>
  <c r="AD803" i="2"/>
  <c r="AE803" i="2"/>
  <c r="AF803" i="2"/>
  <c r="AC804" i="2"/>
  <c r="AD804" i="2"/>
  <c r="AE804" i="2"/>
  <c r="AF804" i="2"/>
  <c r="AC805" i="2"/>
  <c r="AD805" i="2"/>
  <c r="AE805" i="2"/>
  <c r="AF805" i="2"/>
  <c r="AC806" i="2"/>
  <c r="AD806" i="2"/>
  <c r="AE806" i="2"/>
  <c r="AF806" i="2"/>
  <c r="AC807" i="2"/>
  <c r="AD807" i="2"/>
  <c r="AE807" i="2"/>
  <c r="AF807" i="2"/>
  <c r="AC808" i="2"/>
  <c r="AD808" i="2"/>
  <c r="AE808" i="2"/>
  <c r="AF808" i="2"/>
  <c r="AC809" i="2"/>
  <c r="AD809" i="2"/>
  <c r="AE809" i="2"/>
  <c r="AF809" i="2"/>
  <c r="AC810" i="2"/>
  <c r="AD810" i="2"/>
  <c r="AE810" i="2"/>
  <c r="AF810" i="2"/>
  <c r="AC811" i="2"/>
  <c r="AD811" i="2"/>
  <c r="AE811" i="2"/>
  <c r="AF811" i="2"/>
  <c r="AC812" i="2"/>
  <c r="AD812" i="2"/>
  <c r="AE812" i="2"/>
  <c r="AF812" i="2"/>
  <c r="AC813" i="2"/>
  <c r="AD813" i="2"/>
  <c r="AE813" i="2"/>
  <c r="AF813" i="2"/>
  <c r="AC814" i="2"/>
  <c r="AD814" i="2"/>
  <c r="AE814" i="2"/>
  <c r="AF814" i="2"/>
  <c r="AC815" i="2"/>
  <c r="AD815" i="2"/>
  <c r="AE815" i="2"/>
  <c r="AF815" i="2"/>
  <c r="AC816" i="2"/>
  <c r="AD816" i="2"/>
  <c r="AE816" i="2"/>
  <c r="AF816" i="2"/>
  <c r="AC817" i="2"/>
  <c r="AD817" i="2"/>
  <c r="AE817" i="2"/>
  <c r="AF817" i="2"/>
  <c r="AC818" i="2"/>
  <c r="AD818" i="2"/>
  <c r="AE818" i="2"/>
  <c r="AF818" i="2"/>
  <c r="AC819" i="2"/>
  <c r="AD819" i="2"/>
  <c r="AE819" i="2"/>
  <c r="AF819" i="2"/>
  <c r="AC820" i="2"/>
  <c r="AD820" i="2"/>
  <c r="AE820" i="2"/>
  <c r="AF820" i="2"/>
  <c r="AC821" i="2"/>
  <c r="AD821" i="2"/>
  <c r="AE821" i="2"/>
  <c r="AF821" i="2"/>
  <c r="AC822" i="2"/>
  <c r="AD822" i="2"/>
  <c r="AE822" i="2"/>
  <c r="AF822" i="2"/>
  <c r="AC823" i="2"/>
  <c r="AD823" i="2"/>
  <c r="AE823" i="2"/>
  <c r="AF823" i="2"/>
  <c r="AC824" i="2"/>
  <c r="AD824" i="2"/>
  <c r="AE824" i="2"/>
  <c r="AF824" i="2"/>
  <c r="AC825" i="2"/>
  <c r="AD825" i="2"/>
  <c r="AE825" i="2"/>
  <c r="AF825" i="2"/>
  <c r="AC826" i="2"/>
  <c r="AD826" i="2"/>
  <c r="AE826" i="2"/>
  <c r="AF826" i="2"/>
  <c r="AC827" i="2"/>
  <c r="AD827" i="2"/>
  <c r="AE827" i="2"/>
  <c r="AF827" i="2"/>
  <c r="AC828" i="2"/>
  <c r="AD828" i="2"/>
  <c r="AE828" i="2"/>
  <c r="AF828" i="2"/>
  <c r="AC829" i="2"/>
  <c r="AD829" i="2"/>
  <c r="AE829" i="2"/>
  <c r="AF829" i="2"/>
  <c r="AC830" i="2"/>
  <c r="AD830" i="2"/>
  <c r="AE830" i="2"/>
  <c r="AF830" i="2"/>
  <c r="AC831" i="2"/>
  <c r="AD831" i="2"/>
  <c r="AE831" i="2"/>
  <c r="AF831" i="2"/>
  <c r="AC832" i="2"/>
  <c r="AD832" i="2"/>
  <c r="AE832" i="2"/>
  <c r="AF832" i="2"/>
  <c r="AC833" i="2"/>
  <c r="AD833" i="2"/>
  <c r="AE833" i="2"/>
  <c r="AF833" i="2"/>
  <c r="AC834" i="2"/>
  <c r="AD834" i="2"/>
  <c r="AE834" i="2"/>
  <c r="AF834" i="2"/>
  <c r="AC835" i="2"/>
  <c r="AD835" i="2"/>
  <c r="AE835" i="2"/>
  <c r="AF835" i="2"/>
  <c r="AC836" i="2"/>
  <c r="AD836" i="2"/>
  <c r="AE836" i="2"/>
  <c r="AF836" i="2"/>
  <c r="AC837" i="2"/>
  <c r="AD837" i="2"/>
  <c r="AE837" i="2"/>
  <c r="AF837" i="2"/>
  <c r="AC838" i="2"/>
  <c r="AD838" i="2"/>
  <c r="AE838" i="2"/>
  <c r="AF838" i="2"/>
  <c r="AC839" i="2"/>
  <c r="AD839" i="2"/>
  <c r="AE839" i="2"/>
  <c r="AF839" i="2"/>
  <c r="AC840" i="2"/>
  <c r="AD840" i="2"/>
  <c r="AE840" i="2"/>
  <c r="AF840" i="2"/>
  <c r="AC841" i="2"/>
  <c r="AD841" i="2"/>
  <c r="AE841" i="2"/>
  <c r="AF841" i="2"/>
  <c r="AC842" i="2"/>
  <c r="AD842" i="2"/>
  <c r="AE842" i="2"/>
  <c r="AF842" i="2"/>
  <c r="AC843" i="2"/>
  <c r="AD843" i="2"/>
  <c r="AE843" i="2"/>
  <c r="AF843" i="2"/>
  <c r="AC844" i="2"/>
  <c r="AD844" i="2"/>
  <c r="AE844" i="2"/>
  <c r="AF844" i="2"/>
  <c r="AC845" i="2"/>
  <c r="AD845" i="2"/>
  <c r="AE845" i="2"/>
  <c r="AF845" i="2"/>
  <c r="AC846" i="2"/>
  <c r="AD846" i="2"/>
  <c r="AE846" i="2"/>
  <c r="AF846" i="2"/>
  <c r="AC847" i="2"/>
  <c r="AD847" i="2"/>
  <c r="AE847" i="2"/>
  <c r="AF847" i="2"/>
  <c r="AC848" i="2"/>
  <c r="AD848" i="2"/>
  <c r="AE848" i="2"/>
  <c r="AF848" i="2"/>
  <c r="AC849" i="2"/>
  <c r="AD849" i="2"/>
  <c r="AE849" i="2"/>
  <c r="AF849" i="2"/>
  <c r="AC850" i="2"/>
  <c r="AD850" i="2"/>
  <c r="AE850" i="2"/>
  <c r="AF850" i="2"/>
  <c r="AC851" i="2"/>
  <c r="AD851" i="2"/>
  <c r="AE851" i="2"/>
  <c r="AF851" i="2"/>
  <c r="AC852" i="2"/>
  <c r="AD852" i="2"/>
  <c r="AE852" i="2"/>
  <c r="AF852" i="2"/>
  <c r="AC853" i="2"/>
  <c r="AD853" i="2"/>
  <c r="AE853" i="2"/>
  <c r="AF853" i="2"/>
  <c r="AC854" i="2"/>
  <c r="AD854" i="2"/>
  <c r="AE854" i="2"/>
  <c r="AF854" i="2"/>
  <c r="AC855" i="2"/>
  <c r="AD855" i="2"/>
  <c r="AE855" i="2"/>
  <c r="AF855" i="2"/>
  <c r="AC856" i="2"/>
  <c r="AD856" i="2"/>
  <c r="AE856" i="2"/>
  <c r="AF856" i="2"/>
  <c r="AC857" i="2"/>
  <c r="AD857" i="2"/>
  <c r="AE857" i="2"/>
  <c r="AF857" i="2"/>
  <c r="AC858" i="2"/>
  <c r="AD858" i="2"/>
  <c r="AE858" i="2"/>
  <c r="AF858" i="2"/>
  <c r="AC859" i="2"/>
  <c r="AD859" i="2"/>
  <c r="AE859" i="2"/>
  <c r="AF859" i="2"/>
  <c r="AC860" i="2"/>
  <c r="AD860" i="2"/>
  <c r="AE860" i="2"/>
  <c r="AF860" i="2"/>
  <c r="AC861" i="2"/>
  <c r="AD861" i="2"/>
  <c r="AE861" i="2"/>
  <c r="AF861" i="2"/>
  <c r="AC862" i="2"/>
  <c r="AD862" i="2"/>
  <c r="AE862" i="2"/>
  <c r="AF862" i="2"/>
  <c r="AC863" i="2"/>
  <c r="AD863" i="2"/>
  <c r="AE863" i="2"/>
  <c r="AF863" i="2"/>
  <c r="AC864" i="2"/>
  <c r="AD864" i="2"/>
  <c r="AE864" i="2"/>
  <c r="AF864" i="2"/>
  <c r="AC865" i="2"/>
  <c r="AD865" i="2"/>
  <c r="AE865" i="2"/>
  <c r="AF865" i="2"/>
  <c r="AC866" i="2"/>
  <c r="AD866" i="2"/>
  <c r="AE866" i="2"/>
  <c r="AF866" i="2"/>
  <c r="AC867" i="2"/>
  <c r="AD867" i="2"/>
  <c r="AE867" i="2"/>
  <c r="AF867" i="2"/>
  <c r="AC868" i="2"/>
  <c r="AD868" i="2"/>
  <c r="AE868" i="2"/>
  <c r="AF868" i="2"/>
  <c r="AC869" i="2"/>
  <c r="AD869" i="2"/>
  <c r="AE869" i="2"/>
  <c r="AF869" i="2"/>
  <c r="AC870" i="2"/>
  <c r="AD870" i="2"/>
  <c r="AE870" i="2"/>
  <c r="AF870" i="2"/>
  <c r="AC871" i="2"/>
  <c r="AD871" i="2"/>
  <c r="AE871" i="2"/>
  <c r="AF871" i="2"/>
  <c r="AC872" i="2"/>
  <c r="AD872" i="2"/>
  <c r="AE872" i="2"/>
  <c r="AF872" i="2"/>
  <c r="AC873" i="2"/>
  <c r="AD873" i="2"/>
  <c r="AE873" i="2"/>
  <c r="AF873" i="2"/>
  <c r="AC874" i="2"/>
  <c r="AD874" i="2"/>
  <c r="AE874" i="2"/>
  <c r="AF874" i="2"/>
  <c r="AC875" i="2"/>
  <c r="AD875" i="2"/>
  <c r="AE875" i="2"/>
  <c r="AF875" i="2"/>
  <c r="AC876" i="2"/>
  <c r="AD876" i="2"/>
  <c r="AE876" i="2"/>
  <c r="AF876" i="2"/>
  <c r="AC877" i="2"/>
  <c r="AD877" i="2"/>
  <c r="AE877" i="2"/>
  <c r="AF877" i="2"/>
  <c r="AC878" i="2"/>
  <c r="AD878" i="2"/>
  <c r="AE878" i="2"/>
  <c r="AF878" i="2"/>
  <c r="AC879" i="2"/>
  <c r="AD879" i="2"/>
  <c r="AE879" i="2"/>
  <c r="AF879" i="2"/>
  <c r="AC880" i="2"/>
  <c r="AD880" i="2"/>
  <c r="AE880" i="2"/>
  <c r="AF880" i="2"/>
  <c r="AC881" i="2"/>
  <c r="AD881" i="2"/>
  <c r="AE881" i="2"/>
  <c r="AF881" i="2"/>
  <c r="AC882" i="2"/>
  <c r="AD882" i="2"/>
  <c r="AE882" i="2"/>
  <c r="AF882" i="2"/>
  <c r="AC883" i="2"/>
  <c r="AD883" i="2"/>
  <c r="AE883" i="2"/>
  <c r="AF883" i="2"/>
  <c r="AC884" i="2"/>
  <c r="AD884" i="2"/>
  <c r="AE884" i="2"/>
  <c r="AF884" i="2"/>
  <c r="AC885" i="2"/>
  <c r="AD885" i="2"/>
  <c r="AE885" i="2"/>
  <c r="AF885" i="2"/>
  <c r="AC886" i="2"/>
  <c r="AD886" i="2"/>
  <c r="AE886" i="2"/>
  <c r="AF886" i="2"/>
  <c r="AC887" i="2"/>
  <c r="AD887" i="2"/>
  <c r="AE887" i="2"/>
  <c r="AF887" i="2"/>
  <c r="AC888" i="2"/>
  <c r="AD888" i="2"/>
  <c r="AE888" i="2"/>
  <c r="AF888" i="2"/>
  <c r="AC889" i="2"/>
  <c r="AD889" i="2"/>
  <c r="AE889" i="2"/>
  <c r="AF889" i="2"/>
  <c r="AC890" i="2"/>
  <c r="AD890" i="2"/>
  <c r="AE890" i="2"/>
  <c r="AF890" i="2"/>
  <c r="AC891" i="2"/>
  <c r="AD891" i="2"/>
  <c r="AE891" i="2"/>
  <c r="AF891" i="2"/>
  <c r="AC892" i="2"/>
  <c r="AD892" i="2"/>
  <c r="AE892" i="2"/>
  <c r="AF892" i="2"/>
  <c r="AC893" i="2"/>
  <c r="AD893" i="2"/>
  <c r="AE893" i="2"/>
  <c r="AF893" i="2"/>
  <c r="AC894" i="2"/>
  <c r="AD894" i="2"/>
  <c r="AE894" i="2"/>
  <c r="AF894" i="2"/>
  <c r="AC895" i="2"/>
  <c r="AD895" i="2"/>
  <c r="AE895" i="2"/>
  <c r="AF895" i="2"/>
  <c r="AC896" i="2"/>
  <c r="AD896" i="2"/>
  <c r="AE896" i="2"/>
  <c r="AF896" i="2"/>
  <c r="AC897" i="2"/>
  <c r="AD897" i="2"/>
  <c r="AE897" i="2"/>
  <c r="AF897" i="2"/>
  <c r="AC898" i="2"/>
  <c r="AD898" i="2"/>
  <c r="AE898" i="2"/>
  <c r="AF898" i="2"/>
  <c r="AC899" i="2"/>
  <c r="AD899" i="2"/>
  <c r="AE899" i="2"/>
  <c r="AF899" i="2"/>
  <c r="AC900" i="2"/>
  <c r="AD900" i="2"/>
  <c r="AE900" i="2"/>
  <c r="AF900" i="2"/>
  <c r="AC901" i="2"/>
  <c r="AD901" i="2"/>
  <c r="AE901" i="2"/>
  <c r="AF901" i="2"/>
  <c r="AC902" i="2"/>
  <c r="AD902" i="2"/>
  <c r="AE902" i="2"/>
  <c r="AF902" i="2"/>
  <c r="AC903" i="2"/>
  <c r="AD903" i="2"/>
  <c r="AE903" i="2"/>
  <c r="AF903" i="2"/>
  <c r="AC904" i="2"/>
  <c r="AD904" i="2"/>
  <c r="AE904" i="2"/>
  <c r="AF904" i="2"/>
  <c r="AC905" i="2"/>
  <c r="AD905" i="2"/>
  <c r="AE905" i="2"/>
  <c r="AF905" i="2"/>
  <c r="AC906" i="2"/>
  <c r="AD906" i="2"/>
  <c r="AE906" i="2"/>
  <c r="AF906" i="2"/>
  <c r="AC907" i="2"/>
  <c r="AD907" i="2"/>
  <c r="AE907" i="2"/>
  <c r="AF907" i="2"/>
  <c r="AC908" i="2"/>
  <c r="AD908" i="2"/>
  <c r="AE908" i="2"/>
  <c r="AF908" i="2"/>
  <c r="AC909" i="2"/>
  <c r="AD909" i="2"/>
  <c r="AE909" i="2"/>
  <c r="AF909" i="2"/>
  <c r="AC910" i="2"/>
  <c r="AD910" i="2"/>
  <c r="AE910" i="2"/>
  <c r="AF910" i="2"/>
  <c r="AC911" i="2"/>
  <c r="AD911" i="2"/>
  <c r="AE911" i="2"/>
  <c r="AF911" i="2"/>
  <c r="AC912" i="2"/>
  <c r="AD912" i="2"/>
  <c r="AE912" i="2"/>
  <c r="AF912" i="2"/>
  <c r="AC913" i="2"/>
  <c r="AD913" i="2"/>
  <c r="AE913" i="2"/>
  <c r="AF913" i="2"/>
  <c r="AC914" i="2"/>
  <c r="AD914" i="2"/>
  <c r="AE914" i="2"/>
  <c r="AF914" i="2"/>
  <c r="AC915" i="2"/>
  <c r="AD915" i="2"/>
  <c r="AE915" i="2"/>
  <c r="AF915" i="2"/>
  <c r="AC916" i="2"/>
  <c r="AD916" i="2"/>
  <c r="AE916" i="2"/>
  <c r="AF916" i="2"/>
  <c r="AC917" i="2"/>
  <c r="AD917" i="2"/>
  <c r="AE917" i="2"/>
  <c r="AF917" i="2"/>
  <c r="AC918" i="2"/>
  <c r="AD918" i="2"/>
  <c r="AE918" i="2"/>
  <c r="AF918" i="2"/>
  <c r="AC919" i="2"/>
  <c r="AD919" i="2"/>
  <c r="AE919" i="2"/>
  <c r="AF919" i="2"/>
  <c r="AC920" i="2"/>
  <c r="AD920" i="2"/>
  <c r="AE920" i="2"/>
  <c r="AF920" i="2"/>
  <c r="AC921" i="2"/>
  <c r="AD921" i="2"/>
  <c r="AE921" i="2"/>
  <c r="AF921" i="2"/>
  <c r="AC922" i="2"/>
  <c r="AD922" i="2"/>
  <c r="AE922" i="2"/>
  <c r="AF922" i="2"/>
  <c r="AC923" i="2"/>
  <c r="AD923" i="2"/>
  <c r="AE923" i="2"/>
  <c r="AF923" i="2"/>
  <c r="AC924" i="2"/>
  <c r="AD924" i="2"/>
  <c r="AE924" i="2"/>
  <c r="AF924" i="2"/>
  <c r="AC925" i="2"/>
  <c r="AD925" i="2"/>
  <c r="AE925" i="2"/>
  <c r="AF925" i="2"/>
  <c r="AC926" i="2"/>
  <c r="AD926" i="2"/>
  <c r="AE926" i="2"/>
  <c r="AF926" i="2"/>
  <c r="AC927" i="2"/>
  <c r="AD927" i="2"/>
  <c r="AE927" i="2"/>
  <c r="AF927" i="2"/>
  <c r="AC928" i="2"/>
  <c r="AD928" i="2"/>
  <c r="AE928" i="2"/>
  <c r="AF928" i="2"/>
  <c r="AC929" i="2"/>
  <c r="AD929" i="2"/>
  <c r="AE929" i="2"/>
  <c r="AF929" i="2"/>
  <c r="AC930" i="2"/>
  <c r="AD930" i="2"/>
  <c r="AE930" i="2"/>
  <c r="AF930" i="2"/>
  <c r="AC931" i="2"/>
  <c r="AD931" i="2"/>
  <c r="AE931" i="2"/>
  <c r="AF931" i="2"/>
  <c r="AC932" i="2"/>
  <c r="AD932" i="2"/>
  <c r="AE932" i="2"/>
  <c r="AF932" i="2"/>
  <c r="AC933" i="2"/>
  <c r="AD933" i="2"/>
  <c r="AE933" i="2"/>
  <c r="AF933" i="2"/>
  <c r="AC934" i="2"/>
  <c r="AD934" i="2"/>
  <c r="AE934" i="2"/>
  <c r="AF934" i="2"/>
  <c r="AC935" i="2"/>
  <c r="AD935" i="2"/>
  <c r="AE935" i="2"/>
  <c r="AF935" i="2"/>
  <c r="AC936" i="2"/>
  <c r="AD936" i="2"/>
  <c r="AE936" i="2"/>
  <c r="AF936" i="2"/>
  <c r="AC937" i="2"/>
  <c r="AD937" i="2"/>
  <c r="AE937" i="2"/>
  <c r="AF937" i="2"/>
  <c r="AC938" i="2"/>
  <c r="AD938" i="2"/>
  <c r="AE938" i="2"/>
  <c r="AF938" i="2"/>
  <c r="AC939" i="2"/>
  <c r="AD939" i="2"/>
  <c r="AE939" i="2"/>
  <c r="AF939" i="2"/>
  <c r="AC940" i="2"/>
  <c r="AD940" i="2"/>
  <c r="AE940" i="2"/>
  <c r="AF940" i="2"/>
  <c r="AC941" i="2"/>
  <c r="AD941" i="2"/>
  <c r="AE941" i="2"/>
  <c r="AF941" i="2"/>
  <c r="AC942" i="2"/>
  <c r="AD942" i="2"/>
  <c r="AE942" i="2"/>
  <c r="AF942" i="2"/>
  <c r="AC943" i="2"/>
  <c r="AD943" i="2"/>
  <c r="AE943" i="2"/>
  <c r="AF943" i="2"/>
  <c r="AC944" i="2"/>
  <c r="AD944" i="2"/>
  <c r="AE944" i="2"/>
  <c r="AF944" i="2"/>
  <c r="AC945" i="2"/>
  <c r="AD945" i="2"/>
  <c r="AE945" i="2"/>
  <c r="AF945" i="2"/>
  <c r="AC946" i="2"/>
  <c r="AD946" i="2"/>
  <c r="AE946" i="2"/>
  <c r="AF946" i="2"/>
  <c r="AC947" i="2"/>
  <c r="AD947" i="2"/>
  <c r="AE947" i="2"/>
  <c r="AF947" i="2"/>
  <c r="AC948" i="2"/>
  <c r="AD948" i="2"/>
  <c r="AE948" i="2"/>
  <c r="AF948" i="2"/>
  <c r="AC949" i="2"/>
  <c r="AD949" i="2"/>
  <c r="AE949" i="2"/>
  <c r="AF949" i="2"/>
  <c r="AC950" i="2"/>
  <c r="AD950" i="2"/>
  <c r="AE950" i="2"/>
  <c r="AF950" i="2"/>
  <c r="AC951" i="2"/>
  <c r="AD951" i="2"/>
  <c r="AE951" i="2"/>
  <c r="AF951" i="2"/>
  <c r="AC952" i="2"/>
  <c r="AD952" i="2"/>
  <c r="AE952" i="2"/>
  <c r="AF952" i="2"/>
  <c r="AC953" i="2"/>
  <c r="AD953" i="2"/>
  <c r="AE953" i="2"/>
  <c r="AF953" i="2"/>
  <c r="AC954" i="2"/>
  <c r="AD954" i="2"/>
  <c r="AE954" i="2"/>
  <c r="AF954" i="2"/>
  <c r="AC955" i="2"/>
  <c r="AD955" i="2"/>
  <c r="AE955" i="2"/>
  <c r="AF955" i="2"/>
  <c r="AC956" i="2"/>
  <c r="AD956" i="2"/>
  <c r="AE956" i="2"/>
  <c r="AF956" i="2"/>
  <c r="AC957" i="2"/>
  <c r="AD957" i="2"/>
  <c r="AE957" i="2"/>
  <c r="AF957" i="2"/>
  <c r="AC958" i="2"/>
  <c r="AD958" i="2"/>
  <c r="AE958" i="2"/>
  <c r="AF958" i="2"/>
  <c r="AC959" i="2"/>
  <c r="AD959" i="2"/>
  <c r="AE959" i="2"/>
  <c r="AF959" i="2"/>
  <c r="AC960" i="2"/>
  <c r="AD960" i="2"/>
  <c r="AE960" i="2"/>
  <c r="AF960" i="2"/>
  <c r="AC961" i="2"/>
  <c r="AD961" i="2"/>
  <c r="AE961" i="2"/>
  <c r="AF961" i="2"/>
  <c r="AC962" i="2"/>
  <c r="AD962" i="2"/>
  <c r="AE962" i="2"/>
  <c r="AF962" i="2"/>
  <c r="AC963" i="2"/>
  <c r="AD963" i="2"/>
  <c r="AE963" i="2"/>
  <c r="AF963" i="2"/>
  <c r="AC964" i="2"/>
  <c r="AD964" i="2"/>
  <c r="AE964" i="2"/>
  <c r="AF964" i="2"/>
  <c r="AC965" i="2"/>
  <c r="AD965" i="2"/>
  <c r="AE965" i="2"/>
  <c r="AF965" i="2"/>
  <c r="AC966" i="2"/>
  <c r="AD966" i="2"/>
  <c r="AE966" i="2"/>
  <c r="AF966" i="2"/>
  <c r="AC967" i="2"/>
  <c r="AD967" i="2"/>
  <c r="AE967" i="2"/>
  <c r="AF967" i="2"/>
  <c r="AC968" i="2"/>
  <c r="AD968" i="2"/>
  <c r="AE968" i="2"/>
  <c r="AF968" i="2"/>
  <c r="AC969" i="2"/>
  <c r="AD969" i="2"/>
  <c r="AE969" i="2"/>
  <c r="AF969" i="2"/>
  <c r="AC970" i="2"/>
  <c r="AD970" i="2"/>
  <c r="AE970" i="2"/>
  <c r="AF970" i="2"/>
  <c r="AC971" i="2"/>
  <c r="AD971" i="2"/>
  <c r="AE971" i="2"/>
  <c r="AF971" i="2"/>
  <c r="AC972" i="2"/>
  <c r="AD972" i="2"/>
  <c r="AE972" i="2"/>
  <c r="AF972" i="2"/>
  <c r="AC973" i="2"/>
  <c r="AD973" i="2"/>
  <c r="AE973" i="2"/>
  <c r="AF973" i="2"/>
  <c r="AC974" i="2"/>
  <c r="AD974" i="2"/>
  <c r="AE974" i="2"/>
  <c r="AF974" i="2"/>
  <c r="AC975" i="2"/>
  <c r="AD975" i="2"/>
  <c r="AE975" i="2"/>
  <c r="AF975" i="2"/>
  <c r="AC976" i="2"/>
  <c r="AD976" i="2"/>
  <c r="AE976" i="2"/>
  <c r="AF976" i="2"/>
  <c r="AC977" i="2"/>
  <c r="AD977" i="2"/>
  <c r="AE977" i="2"/>
  <c r="AF977" i="2"/>
  <c r="AC978" i="2"/>
  <c r="AD978" i="2"/>
  <c r="AE978" i="2"/>
  <c r="AF978" i="2"/>
  <c r="AC979" i="2"/>
  <c r="AD979" i="2"/>
  <c r="AE979" i="2"/>
  <c r="AF979" i="2"/>
  <c r="AC980" i="2"/>
  <c r="AD980" i="2"/>
  <c r="AE980" i="2"/>
  <c r="AF980" i="2"/>
  <c r="AC981" i="2"/>
  <c r="AD981" i="2"/>
  <c r="AE981" i="2"/>
  <c r="AF981" i="2"/>
  <c r="AC982" i="2"/>
  <c r="AD982" i="2"/>
  <c r="AE982" i="2"/>
  <c r="AF982" i="2"/>
  <c r="AC983" i="2"/>
  <c r="AD983" i="2"/>
  <c r="AE983" i="2"/>
  <c r="AF983" i="2"/>
  <c r="AC984" i="2"/>
  <c r="AD984" i="2"/>
  <c r="AE984" i="2"/>
  <c r="AF984" i="2"/>
  <c r="AC985" i="2"/>
  <c r="AD985" i="2"/>
  <c r="AE985" i="2"/>
  <c r="AF985" i="2"/>
  <c r="AC986" i="2"/>
  <c r="AD986" i="2"/>
  <c r="AE986" i="2"/>
  <c r="AF986" i="2"/>
  <c r="AC987" i="2"/>
  <c r="AD987" i="2"/>
  <c r="AE987" i="2"/>
  <c r="AF987" i="2"/>
  <c r="AC988" i="2"/>
  <c r="AD988" i="2"/>
  <c r="AE988" i="2"/>
  <c r="AF988" i="2"/>
  <c r="AC989" i="2"/>
  <c r="AD989" i="2"/>
  <c r="AE989" i="2"/>
  <c r="AF989" i="2"/>
  <c r="AC990" i="2"/>
  <c r="AD990" i="2"/>
  <c r="AE990" i="2"/>
  <c r="AF990" i="2"/>
  <c r="AC991" i="2"/>
  <c r="AD991" i="2"/>
  <c r="AE991" i="2"/>
  <c r="AF991" i="2"/>
  <c r="AC992" i="2"/>
  <c r="AD992" i="2"/>
  <c r="AE992" i="2"/>
  <c r="AF992" i="2"/>
  <c r="AC993" i="2"/>
  <c r="AD993" i="2"/>
  <c r="AE993" i="2"/>
  <c r="AF993" i="2"/>
  <c r="AC994" i="2"/>
  <c r="AD994" i="2"/>
  <c r="AE994" i="2"/>
  <c r="AF994" i="2"/>
  <c r="AC995" i="2"/>
  <c r="AD995" i="2"/>
  <c r="AE995" i="2"/>
  <c r="AF995" i="2"/>
  <c r="AC996" i="2"/>
  <c r="AD996" i="2"/>
  <c r="AE996" i="2"/>
  <c r="AF996" i="2"/>
  <c r="AC997" i="2"/>
  <c r="AD997" i="2"/>
  <c r="AE997" i="2"/>
  <c r="AF997" i="2"/>
  <c r="AC998" i="2"/>
  <c r="AD998" i="2"/>
  <c r="AE998" i="2"/>
  <c r="AF998" i="2"/>
  <c r="AC999" i="2"/>
  <c r="AD999" i="2"/>
  <c r="AE999" i="2"/>
  <c r="AF999" i="2"/>
  <c r="AC1000" i="2"/>
  <c r="AD1000" i="2"/>
  <c r="AE1000" i="2"/>
  <c r="AF1000" i="2"/>
  <c r="AC1001" i="2"/>
  <c r="AD1001" i="2"/>
  <c r="AE1001" i="2"/>
  <c r="AF1001" i="2"/>
  <c r="AC1002" i="2"/>
  <c r="AD1002" i="2"/>
  <c r="AE1002" i="2"/>
  <c r="AF1002" i="2"/>
  <c r="AC1003" i="2"/>
  <c r="AD1003" i="2"/>
  <c r="AE1003" i="2"/>
  <c r="AF1003" i="2"/>
  <c r="AC1004" i="2"/>
  <c r="AD1004" i="2"/>
  <c r="AE1004" i="2"/>
  <c r="AF1004" i="2"/>
  <c r="AC1005" i="2"/>
  <c r="AD1005" i="2"/>
  <c r="AE1005" i="2"/>
  <c r="AF1005" i="2"/>
  <c r="AC1006" i="2"/>
  <c r="AD1006" i="2"/>
  <c r="AE1006" i="2"/>
  <c r="AF1006" i="2"/>
  <c r="AC1007" i="2"/>
  <c r="AD1007" i="2"/>
  <c r="AE1007" i="2"/>
  <c r="AF1007" i="2"/>
  <c r="AC1008" i="2"/>
  <c r="AD1008" i="2"/>
  <c r="AE1008" i="2"/>
  <c r="AF1008" i="2"/>
  <c r="AC1009" i="2"/>
  <c r="AD1009" i="2"/>
  <c r="AE1009" i="2"/>
  <c r="AF1009" i="2"/>
  <c r="AC1010" i="2"/>
  <c r="AD1010" i="2"/>
  <c r="AE1010" i="2"/>
  <c r="AF1010" i="2"/>
  <c r="AC1011" i="2"/>
  <c r="AD1011" i="2"/>
  <c r="AE1011" i="2"/>
  <c r="AF1011" i="2"/>
  <c r="AC1012" i="2"/>
  <c r="AD1012" i="2"/>
  <c r="AE1012" i="2"/>
  <c r="AF1012" i="2"/>
  <c r="AC1013" i="2"/>
  <c r="AD1013" i="2"/>
  <c r="AE1013" i="2"/>
  <c r="AF1013" i="2"/>
  <c r="AC1014" i="2"/>
  <c r="AD1014" i="2"/>
  <c r="AE1014" i="2"/>
  <c r="AF1014" i="2"/>
  <c r="AC1015" i="2"/>
  <c r="AD1015" i="2"/>
  <c r="AE1015" i="2"/>
  <c r="AF1015" i="2"/>
  <c r="AC1016" i="2"/>
  <c r="AD1016" i="2"/>
  <c r="AE1016" i="2"/>
  <c r="AF1016" i="2"/>
  <c r="AC1017" i="2"/>
  <c r="AD1017" i="2"/>
  <c r="AE1017" i="2"/>
  <c r="AF1017" i="2"/>
  <c r="AC1018" i="2"/>
  <c r="AD1018" i="2"/>
  <c r="AE1018" i="2"/>
  <c r="AF1018" i="2"/>
  <c r="AC1019" i="2"/>
  <c r="AD1019" i="2"/>
  <c r="AE1019" i="2"/>
  <c r="AF1019" i="2"/>
  <c r="AC1020" i="2"/>
  <c r="AD1020" i="2"/>
  <c r="AE1020" i="2"/>
  <c r="AF1020" i="2"/>
  <c r="AC1021" i="2"/>
  <c r="AD1021" i="2"/>
  <c r="AE1021" i="2"/>
  <c r="AF1021" i="2"/>
  <c r="AC1022" i="2"/>
  <c r="AD1022" i="2"/>
  <c r="AE1022" i="2"/>
  <c r="AF1022" i="2"/>
  <c r="AC1023" i="2"/>
  <c r="AD1023" i="2"/>
  <c r="AE1023" i="2"/>
  <c r="AF1023" i="2"/>
  <c r="AC1024" i="2"/>
  <c r="AD1024" i="2"/>
  <c r="AE1024" i="2"/>
  <c r="AF1024" i="2"/>
  <c r="AC1025" i="2"/>
  <c r="AD1025" i="2"/>
  <c r="AE1025" i="2"/>
  <c r="AF1025" i="2"/>
  <c r="AC1026" i="2"/>
  <c r="AD1026" i="2"/>
  <c r="AE1026" i="2"/>
  <c r="AF1026" i="2"/>
  <c r="AC1027" i="2"/>
  <c r="AD1027" i="2"/>
  <c r="AE1027" i="2"/>
  <c r="AF1027" i="2"/>
  <c r="AC1028" i="2"/>
  <c r="AD1028" i="2"/>
  <c r="AE1028" i="2"/>
  <c r="AF1028" i="2"/>
  <c r="AC1029" i="2"/>
  <c r="AD1029" i="2"/>
  <c r="AE1029" i="2"/>
  <c r="AF1029" i="2"/>
  <c r="AC1030" i="2"/>
  <c r="AD1030" i="2"/>
  <c r="AE1030" i="2"/>
  <c r="AF1030" i="2"/>
  <c r="AC1031" i="2"/>
  <c r="AD1031" i="2"/>
  <c r="AE1031" i="2"/>
  <c r="AF1031" i="2"/>
  <c r="AC1032" i="2"/>
  <c r="AD1032" i="2"/>
  <c r="AE1032" i="2"/>
  <c r="AF1032" i="2"/>
  <c r="AC1033" i="2"/>
  <c r="AD1033" i="2"/>
  <c r="AE1033" i="2"/>
  <c r="AF1033" i="2"/>
  <c r="AC1034" i="2"/>
  <c r="AD1034" i="2"/>
  <c r="AE1034" i="2"/>
  <c r="AF1034" i="2"/>
  <c r="AC1035" i="2"/>
  <c r="AD1035" i="2"/>
  <c r="AE1035" i="2"/>
  <c r="AF1035" i="2"/>
  <c r="AC1036" i="2"/>
  <c r="AD1036" i="2"/>
  <c r="AE1036" i="2"/>
  <c r="AF1036" i="2"/>
  <c r="AC1037" i="2"/>
  <c r="AD1037" i="2"/>
  <c r="AE1037" i="2"/>
  <c r="AF1037" i="2"/>
  <c r="AC1038" i="2"/>
  <c r="AD1038" i="2"/>
  <c r="AE1038" i="2"/>
  <c r="AF1038" i="2"/>
  <c r="AC1039" i="2"/>
  <c r="AD1039" i="2"/>
  <c r="AE1039" i="2"/>
  <c r="AF1039" i="2"/>
  <c r="AC1040" i="2"/>
  <c r="AD1040" i="2"/>
  <c r="AE1040" i="2"/>
  <c r="AF1040" i="2"/>
  <c r="AC1041" i="2"/>
  <c r="AD1041" i="2"/>
  <c r="AE1041" i="2"/>
  <c r="AF1041" i="2"/>
  <c r="AC1042" i="2"/>
  <c r="AD1042" i="2"/>
  <c r="AE1042" i="2"/>
  <c r="AF1042" i="2"/>
  <c r="AC1043" i="2"/>
  <c r="AD1043" i="2"/>
  <c r="AE1043" i="2"/>
  <c r="AF1043" i="2"/>
  <c r="AC1044" i="2"/>
  <c r="AD1044" i="2"/>
  <c r="AE1044" i="2"/>
  <c r="AF1044" i="2"/>
  <c r="AC1045" i="2"/>
  <c r="AD1045" i="2"/>
  <c r="AE1045" i="2"/>
  <c r="AF1045" i="2"/>
  <c r="AC1046" i="2"/>
  <c r="AD1046" i="2"/>
  <c r="AE1046" i="2"/>
  <c r="AF1046" i="2"/>
  <c r="AC1047" i="2"/>
  <c r="AD1047" i="2"/>
  <c r="AE1047" i="2"/>
  <c r="AF1047" i="2"/>
  <c r="AC1048" i="2"/>
  <c r="AD1048" i="2"/>
  <c r="AE1048" i="2"/>
  <c r="AF1048" i="2"/>
  <c r="AC1049" i="2"/>
  <c r="AD1049" i="2"/>
  <c r="AE1049" i="2"/>
  <c r="AF1049" i="2"/>
  <c r="AC1050" i="2"/>
  <c r="AD1050" i="2"/>
  <c r="AE1050" i="2"/>
  <c r="AF1050" i="2"/>
  <c r="AC1051" i="2"/>
  <c r="AD1051" i="2"/>
  <c r="AE1051" i="2"/>
  <c r="AF1051" i="2"/>
  <c r="AC1052" i="2"/>
  <c r="AD1052" i="2"/>
  <c r="AE1052" i="2"/>
  <c r="AF1052" i="2"/>
  <c r="AC1053" i="2"/>
  <c r="AD1053" i="2"/>
  <c r="AE1053" i="2"/>
  <c r="AF1053" i="2"/>
  <c r="AC1054" i="2"/>
  <c r="AD1054" i="2"/>
  <c r="AE1054" i="2"/>
  <c r="AF1054" i="2"/>
  <c r="AC1055" i="2"/>
  <c r="AD1055" i="2"/>
  <c r="AE1055" i="2"/>
  <c r="AF1055" i="2"/>
  <c r="AC1056" i="2"/>
  <c r="AD1056" i="2"/>
  <c r="AE1056" i="2"/>
  <c r="AF1056" i="2"/>
  <c r="AC1057" i="2"/>
  <c r="AD1057" i="2"/>
  <c r="AE1057" i="2"/>
  <c r="AF1057" i="2"/>
  <c r="AC1058" i="2"/>
  <c r="AD1058" i="2"/>
  <c r="AE1058" i="2"/>
  <c r="AF1058" i="2"/>
  <c r="AC1059" i="2"/>
  <c r="AD1059" i="2"/>
  <c r="AE1059" i="2"/>
  <c r="AF1059" i="2"/>
  <c r="AC1060" i="2"/>
  <c r="AD1060" i="2"/>
  <c r="AE1060" i="2"/>
  <c r="AF1060" i="2"/>
  <c r="AC1061" i="2"/>
  <c r="AD1061" i="2"/>
  <c r="AE1061" i="2"/>
  <c r="AF1061" i="2"/>
  <c r="AC1062" i="2"/>
  <c r="AD1062" i="2"/>
  <c r="AE1062" i="2"/>
  <c r="AF1062" i="2"/>
  <c r="AC1063" i="2"/>
  <c r="AD1063" i="2"/>
  <c r="AE1063" i="2"/>
  <c r="AF1063" i="2"/>
  <c r="AC1064" i="2"/>
  <c r="AD1064" i="2"/>
  <c r="AE1064" i="2"/>
  <c r="AF1064" i="2"/>
  <c r="AC1065" i="2"/>
  <c r="AD1065" i="2"/>
  <c r="AE1065" i="2"/>
  <c r="AF1065" i="2"/>
  <c r="AC1066" i="2"/>
  <c r="AD1066" i="2"/>
  <c r="AE1066" i="2"/>
  <c r="AF1066" i="2"/>
  <c r="AC1067" i="2"/>
  <c r="AD1067" i="2"/>
  <c r="AE1067" i="2"/>
  <c r="AF1067" i="2"/>
  <c r="AC1068" i="2"/>
  <c r="AD1068" i="2"/>
  <c r="AE1068" i="2"/>
  <c r="AF1068" i="2"/>
  <c r="AC1069" i="2"/>
  <c r="AD1069" i="2"/>
  <c r="AE1069" i="2"/>
  <c r="AF1069" i="2"/>
  <c r="AC1070" i="2"/>
  <c r="AD1070" i="2"/>
  <c r="AE1070" i="2"/>
  <c r="AF1070" i="2"/>
  <c r="AC1071" i="2"/>
  <c r="AD1071" i="2"/>
  <c r="AE1071" i="2"/>
  <c r="AF1071" i="2"/>
  <c r="AC1072" i="2"/>
  <c r="AD1072" i="2"/>
  <c r="AE1072" i="2"/>
  <c r="AF1072" i="2"/>
  <c r="AC1073" i="2"/>
  <c r="AD1073" i="2"/>
  <c r="AE1073" i="2"/>
  <c r="AF1073" i="2"/>
  <c r="AD549" i="2"/>
  <c r="AF549" i="2"/>
  <c r="AE549" i="2"/>
  <c r="AC549" i="2"/>
  <c r="AB549" i="2"/>
  <c r="AA549" i="2"/>
  <c r="O1639" i="2" l="1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A1639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A1638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A1630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A162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A1659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A1658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A1650" i="2"/>
  <c r="A1649" i="2"/>
  <c r="AA1073" i="2"/>
  <c r="Y1074" i="2"/>
  <c r="U1654" i="2"/>
  <c r="V1654" i="2"/>
  <c r="W1654" i="2"/>
  <c r="X1654" i="2"/>
  <c r="Y1654" i="2"/>
  <c r="Z1654" i="2"/>
  <c r="AA1654" i="2"/>
  <c r="AB1654" i="2"/>
  <c r="AC1654" i="2"/>
  <c r="AD1654" i="2"/>
  <c r="AE1654" i="2"/>
  <c r="AF1654" i="2"/>
  <c r="U1653" i="2"/>
  <c r="V1653" i="2"/>
  <c r="W1653" i="2"/>
  <c r="X1653" i="2"/>
  <c r="Y1653" i="2"/>
  <c r="Z1653" i="2"/>
  <c r="AA1653" i="2"/>
  <c r="AB1653" i="2"/>
  <c r="AC1653" i="2"/>
  <c r="AD1653" i="2"/>
  <c r="AE1653" i="2"/>
  <c r="AF1653" i="2"/>
  <c r="U1650" i="2"/>
  <c r="V1650" i="2"/>
  <c r="W1650" i="2"/>
  <c r="X1650" i="2"/>
  <c r="Y1650" i="2"/>
  <c r="Z1650" i="2"/>
  <c r="AA1650" i="2"/>
  <c r="AB1650" i="2"/>
  <c r="AC1650" i="2"/>
  <c r="AD1650" i="2"/>
  <c r="AE1650" i="2"/>
  <c r="AF1650" i="2"/>
  <c r="U1649" i="2"/>
  <c r="V1649" i="2"/>
  <c r="W1649" i="2"/>
  <c r="X1649" i="2"/>
  <c r="Y1649" i="2"/>
  <c r="Z1649" i="2"/>
  <c r="AA1649" i="2"/>
  <c r="AB1649" i="2"/>
  <c r="AC1649" i="2"/>
  <c r="AD1649" i="2"/>
  <c r="AE1649" i="2"/>
  <c r="AF1649" i="2"/>
  <c r="R1653" i="2"/>
  <c r="R1654" i="2"/>
  <c r="T1654" i="2"/>
  <c r="T1653" i="2"/>
  <c r="R1649" i="2"/>
  <c r="R1650" i="2"/>
  <c r="T1650" i="2"/>
  <c r="T1649" i="2"/>
  <c r="U1663" i="2"/>
  <c r="V1663" i="2"/>
  <c r="W1663" i="2"/>
  <c r="X1663" i="2"/>
  <c r="Y1663" i="2"/>
  <c r="Z1663" i="2"/>
  <c r="AA1663" i="2"/>
  <c r="AB1663" i="2"/>
  <c r="AC1663" i="2"/>
  <c r="AD1663" i="2"/>
  <c r="AE1663" i="2"/>
  <c r="AF1663" i="2"/>
  <c r="U1662" i="2"/>
  <c r="V1662" i="2"/>
  <c r="W1662" i="2"/>
  <c r="X1662" i="2"/>
  <c r="Y1662" i="2"/>
  <c r="Z1662" i="2"/>
  <c r="AA1662" i="2"/>
  <c r="AB1662" i="2"/>
  <c r="AC1662" i="2"/>
  <c r="AD1662" i="2"/>
  <c r="AE1662" i="2"/>
  <c r="AF1662" i="2"/>
  <c r="U1659" i="2"/>
  <c r="V1659" i="2"/>
  <c r="W1659" i="2"/>
  <c r="X1659" i="2"/>
  <c r="Y1659" i="2"/>
  <c r="Z1659" i="2"/>
  <c r="AA1659" i="2"/>
  <c r="AB1659" i="2"/>
  <c r="AC1659" i="2"/>
  <c r="AD1659" i="2"/>
  <c r="AE1659" i="2"/>
  <c r="AF1659" i="2"/>
  <c r="U1658" i="2"/>
  <c r="V1658" i="2"/>
  <c r="W1658" i="2"/>
  <c r="X1658" i="2"/>
  <c r="Y1658" i="2"/>
  <c r="Z1658" i="2"/>
  <c r="AA1658" i="2"/>
  <c r="AB1658" i="2"/>
  <c r="AC1658" i="2"/>
  <c r="AD1658" i="2"/>
  <c r="AE1658" i="2"/>
  <c r="AF1658" i="2"/>
  <c r="R1659" i="2"/>
  <c r="R1658" i="2"/>
  <c r="R1662" i="2"/>
  <c r="R1663" i="2"/>
  <c r="T1663" i="2"/>
  <c r="T1662" i="2"/>
  <c r="T1659" i="2"/>
  <c r="T1658" i="2"/>
  <c r="R1643" i="2"/>
  <c r="R1642" i="2"/>
  <c r="U1643" i="2"/>
  <c r="V1643" i="2"/>
  <c r="W1643" i="2"/>
  <c r="X1643" i="2"/>
  <c r="Y1643" i="2"/>
  <c r="Z1643" i="2"/>
  <c r="AA1643" i="2"/>
  <c r="AB1643" i="2"/>
  <c r="AC1643" i="2"/>
  <c r="AD1643" i="2"/>
  <c r="AE1643" i="2"/>
  <c r="AF1643" i="2"/>
  <c r="U1642" i="2"/>
  <c r="V1642" i="2"/>
  <c r="W1642" i="2"/>
  <c r="X1642" i="2"/>
  <c r="Y1642" i="2"/>
  <c r="Z1642" i="2"/>
  <c r="AA1642" i="2"/>
  <c r="AB1642" i="2"/>
  <c r="AC1642" i="2"/>
  <c r="AD1642" i="2"/>
  <c r="AE1642" i="2"/>
  <c r="AF1642" i="2"/>
  <c r="T1642" i="2"/>
  <c r="T1643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Z549" i="2"/>
  <c r="Y549" i="2"/>
  <c r="R1639" i="2"/>
  <c r="R1638" i="2"/>
  <c r="U1639" i="2"/>
  <c r="V1639" i="2"/>
  <c r="W1639" i="2"/>
  <c r="X1639" i="2"/>
  <c r="Y1639" i="2"/>
  <c r="Z1639" i="2"/>
  <c r="AA1639" i="2"/>
  <c r="AB1639" i="2"/>
  <c r="AC1639" i="2"/>
  <c r="AD1639" i="2"/>
  <c r="AE1639" i="2"/>
  <c r="AF1639" i="2"/>
  <c r="U1638" i="2"/>
  <c r="V1638" i="2"/>
  <c r="W1638" i="2"/>
  <c r="X1638" i="2"/>
  <c r="Y1638" i="2"/>
  <c r="Z1638" i="2"/>
  <c r="AA1638" i="2"/>
  <c r="AB1638" i="2"/>
  <c r="AC1638" i="2"/>
  <c r="AD1638" i="2"/>
  <c r="AE1638" i="2"/>
  <c r="AF1638" i="2"/>
  <c r="T1639" i="2"/>
  <c r="T1638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U1634" i="2"/>
  <c r="V1634" i="2"/>
  <c r="W1634" i="2"/>
  <c r="X1634" i="2"/>
  <c r="Y1634" i="2"/>
  <c r="Z1634" i="2"/>
  <c r="AA1634" i="2"/>
  <c r="AB1634" i="2"/>
  <c r="AC1634" i="2"/>
  <c r="AD1634" i="2"/>
  <c r="AE1634" i="2"/>
  <c r="AF1634" i="2"/>
  <c r="U1633" i="2"/>
  <c r="V1633" i="2"/>
  <c r="W1633" i="2"/>
  <c r="X1633" i="2"/>
  <c r="Y1633" i="2"/>
  <c r="Z1633" i="2"/>
  <c r="AA1633" i="2"/>
  <c r="AB1633" i="2"/>
  <c r="AC1633" i="2"/>
  <c r="AD1633" i="2"/>
  <c r="AE1633" i="2"/>
  <c r="AF1633" i="2"/>
  <c r="U1630" i="2"/>
  <c r="V1630" i="2"/>
  <c r="W1630" i="2"/>
  <c r="X1630" i="2"/>
  <c r="Y1630" i="2"/>
  <c r="Z1630" i="2"/>
  <c r="AA1630" i="2"/>
  <c r="AB1630" i="2"/>
  <c r="AC1630" i="2"/>
  <c r="AD1630" i="2"/>
  <c r="AE1630" i="2"/>
  <c r="AF1630" i="2"/>
  <c r="U1629" i="2"/>
  <c r="V1629" i="2"/>
  <c r="W1629" i="2"/>
  <c r="X1629" i="2"/>
  <c r="Y1629" i="2"/>
  <c r="Z1629" i="2"/>
  <c r="AA1629" i="2"/>
  <c r="AB1629" i="2"/>
  <c r="AC1629" i="2"/>
  <c r="AD1629" i="2"/>
  <c r="AE1629" i="2"/>
  <c r="AF1629" i="2"/>
  <c r="T1633" i="2"/>
  <c r="T1634" i="2"/>
  <c r="R1634" i="2"/>
  <c r="R1633" i="2"/>
  <c r="R1629" i="2"/>
  <c r="R1630" i="2"/>
  <c r="T1630" i="2"/>
  <c r="T1629" i="2"/>
  <c r="Q548" i="2" l="1"/>
  <c r="Q1725" i="2" l="1"/>
  <c r="R1725" i="2"/>
  <c r="S1725" i="2"/>
  <c r="Q1724" i="2"/>
  <c r="R1724" i="2"/>
  <c r="S1724" i="2"/>
  <c r="Q1723" i="2"/>
  <c r="R1723" i="2"/>
  <c r="S1723" i="2"/>
  <c r="Q1722" i="2"/>
  <c r="R1722" i="2"/>
  <c r="S1722" i="2"/>
  <c r="Q1721" i="2"/>
  <c r="R1721" i="2"/>
  <c r="S1721" i="2"/>
  <c r="Q1720" i="2"/>
  <c r="R1720" i="2"/>
  <c r="S1720" i="2"/>
  <c r="Q1719" i="2"/>
  <c r="R1719" i="2"/>
  <c r="S1719" i="2"/>
  <c r="Q1718" i="2"/>
  <c r="R1718" i="2"/>
  <c r="S1718" i="2"/>
  <c r="Q1717" i="2"/>
  <c r="R1717" i="2"/>
  <c r="S1717" i="2"/>
  <c r="Q1716" i="2"/>
  <c r="R1716" i="2"/>
  <c r="S1716" i="2"/>
  <c r="Q1715" i="2"/>
  <c r="R1715" i="2"/>
  <c r="S1715" i="2"/>
  <c r="Q1714" i="2"/>
  <c r="R1714" i="2"/>
  <c r="S1714" i="2"/>
  <c r="Q1713" i="2"/>
  <c r="R1713" i="2"/>
  <c r="S1713" i="2"/>
  <c r="Q1712" i="2"/>
  <c r="R1712" i="2"/>
  <c r="S1712" i="2"/>
  <c r="Q1711" i="2"/>
  <c r="R1711" i="2"/>
  <c r="S1711" i="2"/>
  <c r="Q1710" i="2"/>
  <c r="R1710" i="2"/>
  <c r="S1710" i="2"/>
  <c r="Q1709" i="2"/>
  <c r="R1709" i="2"/>
  <c r="S1709" i="2"/>
  <c r="Q1708" i="2"/>
  <c r="R1708" i="2"/>
  <c r="S1708" i="2"/>
  <c r="Q1707" i="2"/>
  <c r="R1707" i="2"/>
  <c r="S1707" i="2"/>
  <c r="Q1706" i="2"/>
  <c r="R1706" i="2"/>
  <c r="S1706" i="2"/>
  <c r="Q1705" i="2"/>
  <c r="R1705" i="2"/>
  <c r="S1705" i="2"/>
  <c r="Q1704" i="2"/>
  <c r="R1704" i="2"/>
  <c r="S1704" i="2"/>
  <c r="Q1703" i="2"/>
  <c r="R1703" i="2"/>
  <c r="S1703" i="2"/>
  <c r="Q1702" i="2"/>
  <c r="R1702" i="2"/>
  <c r="S1702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549" i="2"/>
  <c r="D1654" i="2" l="1"/>
  <c r="E1654" i="2"/>
  <c r="F1654" i="2"/>
  <c r="G1654" i="2"/>
  <c r="H1654" i="2"/>
  <c r="I1654" i="2"/>
  <c r="J1654" i="2"/>
  <c r="K1654" i="2"/>
  <c r="L1654" i="2"/>
  <c r="M1654" i="2"/>
  <c r="N1654" i="2"/>
  <c r="O1654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A1654" i="2"/>
  <c r="A1653" i="2"/>
  <c r="C1654" i="2"/>
  <c r="C1653" i="2"/>
  <c r="O1669" i="2" l="1"/>
  <c r="O1670" i="2"/>
  <c r="O1671" i="2"/>
  <c r="O1674" i="2"/>
  <c r="O1675" i="2"/>
  <c r="O1676" i="2"/>
  <c r="O1679" i="2"/>
  <c r="O1680" i="2"/>
  <c r="O1681" i="2"/>
  <c r="O1684" i="2"/>
  <c r="O1685" i="2"/>
  <c r="O1686" i="2"/>
  <c r="O1689" i="2"/>
  <c r="O1690" i="2"/>
  <c r="O1691" i="2"/>
  <c r="O1694" i="2"/>
  <c r="O1695" i="2"/>
  <c r="O1696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07" i="2"/>
  <c r="O1706" i="2"/>
  <c r="O1705" i="2"/>
  <c r="O1704" i="2"/>
  <c r="O1703" i="2"/>
  <c r="O1702" i="2"/>
  <c r="C1601" i="2" l="1"/>
  <c r="D1601" i="2"/>
  <c r="E1601" i="2"/>
  <c r="F1601" i="2"/>
  <c r="G1601" i="2"/>
  <c r="H1601" i="2"/>
  <c r="I1601" i="2"/>
  <c r="J1601" i="2"/>
  <c r="K1601" i="2"/>
  <c r="L1601" i="2"/>
  <c r="M1601" i="2"/>
  <c r="N1601" i="2"/>
  <c r="B1604" i="2"/>
  <c r="B1605" i="2" s="1"/>
  <c r="B1603" i="2"/>
  <c r="B1602" i="2"/>
  <c r="B1601" i="2"/>
  <c r="B1600" i="2" s="1"/>
  <c r="N1602" i="2" l="1"/>
  <c r="N1603" i="2"/>
  <c r="N1600" i="2" s="1"/>
  <c r="N1604" i="2"/>
  <c r="M1602" i="2"/>
  <c r="M1603" i="2"/>
  <c r="M1600" i="2" s="1"/>
  <c r="M1604" i="2"/>
  <c r="L1602" i="2"/>
  <c r="L1603" i="2"/>
  <c r="L1600" i="2" s="1"/>
  <c r="L1604" i="2"/>
  <c r="K1602" i="2"/>
  <c r="K1603" i="2"/>
  <c r="K1600" i="2" s="1"/>
  <c r="K1604" i="2"/>
  <c r="J1602" i="2"/>
  <c r="J1603" i="2"/>
  <c r="J1600" i="2" s="1"/>
  <c r="J1604" i="2"/>
  <c r="I1602" i="2"/>
  <c r="I1603" i="2"/>
  <c r="I1600" i="2" s="1"/>
  <c r="I1604" i="2"/>
  <c r="H1602" i="2"/>
  <c r="H1603" i="2"/>
  <c r="H1600" i="2" s="1"/>
  <c r="H1604" i="2"/>
  <c r="G1602" i="2"/>
  <c r="G1603" i="2"/>
  <c r="G1600" i="2" s="1"/>
  <c r="G1604" i="2"/>
  <c r="F1602" i="2"/>
  <c r="F1603" i="2"/>
  <c r="F1600" i="2" s="1"/>
  <c r="F1604" i="2"/>
  <c r="E1602" i="2"/>
  <c r="E1603" i="2"/>
  <c r="E1600" i="2" s="1"/>
  <c r="E1604" i="2"/>
  <c r="D1602" i="2"/>
  <c r="D1603" i="2"/>
  <c r="D1600" i="2" s="1"/>
  <c r="D1604" i="2"/>
  <c r="C1602" i="2"/>
  <c r="C1603" i="2"/>
  <c r="C1600" i="2" s="1"/>
  <c r="C1604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T1712" i="2"/>
  <c r="T1722" i="2"/>
  <c r="T1724" i="2"/>
  <c r="T1707" i="2"/>
  <c r="T1711" i="2"/>
  <c r="T1717" i="2"/>
  <c r="T1721" i="2"/>
  <c r="T1723" i="2"/>
  <c r="T1725" i="2"/>
  <c r="Q24" i="2"/>
  <c r="T1702" i="2" l="1"/>
  <c r="T1709" i="2"/>
  <c r="T1715" i="2"/>
  <c r="T1720" i="2"/>
  <c r="T1703" i="2"/>
  <c r="T1713" i="2"/>
  <c r="T1704" i="2"/>
  <c r="T1718" i="2"/>
  <c r="T1708" i="2"/>
  <c r="T1710" i="2"/>
  <c r="T1705" i="2"/>
  <c r="T1719" i="2"/>
  <c r="T1714" i="2"/>
  <c r="T1716" i="2"/>
  <c r="T1706" i="2"/>
  <c r="F1662" i="2"/>
  <c r="J1662" i="2"/>
  <c r="A1663" i="2"/>
  <c r="D1662" i="2"/>
  <c r="D1663" i="2"/>
  <c r="J1663" i="2"/>
  <c r="H1662" i="2"/>
  <c r="F1663" i="2"/>
  <c r="H1663" i="2"/>
  <c r="O1662" i="2"/>
  <c r="M1663" i="2"/>
  <c r="M1662" i="2"/>
  <c r="O1663" i="2"/>
  <c r="L1662" i="2"/>
  <c r="C1662" i="2"/>
  <c r="A1662" i="2"/>
  <c r="L1663" i="2"/>
  <c r="E1662" i="2"/>
  <c r="E1663" i="2"/>
  <c r="I1662" i="2"/>
  <c r="G1662" i="2"/>
  <c r="N1662" i="2"/>
  <c r="K1662" i="2"/>
  <c r="I1663" i="2"/>
  <c r="G1663" i="2"/>
  <c r="N1663" i="2"/>
  <c r="K1663" i="2"/>
  <c r="C1663" i="2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O1746" i="2" l="1"/>
  <c r="O1744" i="2"/>
  <c r="O1745" i="2"/>
  <c r="O1747" i="2"/>
  <c r="D1747" i="2"/>
  <c r="D1746" i="2"/>
  <c r="C1747" i="2"/>
  <c r="E1746" i="2"/>
  <c r="C1746" i="2"/>
  <c r="F1746" i="2"/>
  <c r="A1746" i="2"/>
  <c r="G1746" i="2"/>
  <c r="A1747" i="2"/>
  <c r="H1746" i="2"/>
  <c r="E1747" i="2"/>
  <c r="F1747" i="2"/>
  <c r="G1747" i="2"/>
  <c r="H1747" i="2"/>
  <c r="I1747" i="2"/>
  <c r="J1747" i="2"/>
  <c r="J1746" i="2"/>
  <c r="K1746" i="2"/>
  <c r="L1746" i="2"/>
  <c r="M1746" i="2"/>
  <c r="N1746" i="2"/>
  <c r="I1746" i="2"/>
  <c r="K1747" i="2"/>
  <c r="L1747" i="2"/>
  <c r="M1747" i="2"/>
  <c r="N1747" i="2"/>
  <c r="A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A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A1696" i="2"/>
  <c r="A1694" i="2"/>
  <c r="A1691" i="2"/>
  <c r="A1689" i="2"/>
  <c r="A1686" i="2"/>
  <c r="A1684" i="2"/>
  <c r="A1681" i="2"/>
  <c r="A1679" i="2"/>
  <c r="A1676" i="2"/>
  <c r="A1674" i="2"/>
  <c r="A1671" i="2"/>
  <c r="A1669" i="2"/>
  <c r="A1695" i="2"/>
  <c r="A1690" i="2"/>
  <c r="A1685" i="2"/>
  <c r="A1680" i="2"/>
  <c r="A1675" i="2"/>
  <c r="A1670" i="2"/>
  <c r="D1725" i="2" l="1"/>
  <c r="E1725" i="2"/>
  <c r="F1725" i="2"/>
  <c r="G1725" i="2"/>
  <c r="H1725" i="2"/>
  <c r="I1725" i="2"/>
  <c r="J1725" i="2"/>
  <c r="K1725" i="2"/>
  <c r="L1725" i="2"/>
  <c r="M1725" i="2"/>
  <c r="N1725" i="2"/>
  <c r="D1724" i="2"/>
  <c r="E1724" i="2"/>
  <c r="F1724" i="2"/>
  <c r="G1724" i="2"/>
  <c r="H1724" i="2"/>
  <c r="I1724" i="2"/>
  <c r="J1724" i="2"/>
  <c r="K1724" i="2"/>
  <c r="L1724" i="2"/>
  <c r="M1724" i="2"/>
  <c r="N1724" i="2"/>
  <c r="D1723" i="2"/>
  <c r="E1723" i="2"/>
  <c r="F1723" i="2"/>
  <c r="G1723" i="2"/>
  <c r="H1723" i="2"/>
  <c r="I1723" i="2"/>
  <c r="J1723" i="2"/>
  <c r="K1723" i="2"/>
  <c r="L1723" i="2"/>
  <c r="M1723" i="2"/>
  <c r="N1723" i="2"/>
  <c r="D1722" i="2"/>
  <c r="E1722" i="2"/>
  <c r="F1722" i="2"/>
  <c r="G1722" i="2"/>
  <c r="H1722" i="2"/>
  <c r="I1722" i="2"/>
  <c r="J1722" i="2"/>
  <c r="K1722" i="2"/>
  <c r="L1722" i="2"/>
  <c r="M1722" i="2"/>
  <c r="N1722" i="2"/>
  <c r="D1721" i="2"/>
  <c r="E1721" i="2"/>
  <c r="F1721" i="2"/>
  <c r="G1721" i="2"/>
  <c r="H1721" i="2"/>
  <c r="I1721" i="2"/>
  <c r="J1721" i="2"/>
  <c r="K1721" i="2"/>
  <c r="L1721" i="2"/>
  <c r="M1721" i="2"/>
  <c r="N1721" i="2"/>
  <c r="D1720" i="2"/>
  <c r="E1720" i="2"/>
  <c r="F1720" i="2"/>
  <c r="G1720" i="2"/>
  <c r="H1720" i="2"/>
  <c r="I1720" i="2"/>
  <c r="J1720" i="2"/>
  <c r="K1720" i="2"/>
  <c r="L1720" i="2"/>
  <c r="M1720" i="2"/>
  <c r="N1720" i="2"/>
  <c r="D1719" i="2"/>
  <c r="E1719" i="2"/>
  <c r="F1719" i="2"/>
  <c r="G1719" i="2"/>
  <c r="H1719" i="2"/>
  <c r="I1719" i="2"/>
  <c r="J1719" i="2"/>
  <c r="K1719" i="2"/>
  <c r="L1719" i="2"/>
  <c r="M1719" i="2"/>
  <c r="N1719" i="2"/>
  <c r="D1718" i="2"/>
  <c r="E1718" i="2"/>
  <c r="F1718" i="2"/>
  <c r="G1718" i="2"/>
  <c r="H1718" i="2"/>
  <c r="I1718" i="2"/>
  <c r="J1718" i="2"/>
  <c r="K1718" i="2"/>
  <c r="L1718" i="2"/>
  <c r="M1718" i="2"/>
  <c r="N1718" i="2"/>
  <c r="D1717" i="2"/>
  <c r="E1717" i="2"/>
  <c r="F1717" i="2"/>
  <c r="G1717" i="2"/>
  <c r="H1717" i="2"/>
  <c r="I1717" i="2"/>
  <c r="J1717" i="2"/>
  <c r="K1717" i="2"/>
  <c r="L1717" i="2"/>
  <c r="M1717" i="2"/>
  <c r="N1717" i="2"/>
  <c r="D1716" i="2"/>
  <c r="E1716" i="2"/>
  <c r="F1716" i="2"/>
  <c r="G1716" i="2"/>
  <c r="H1716" i="2"/>
  <c r="I1716" i="2"/>
  <c r="J1716" i="2"/>
  <c r="K1716" i="2"/>
  <c r="L1716" i="2"/>
  <c r="M1716" i="2"/>
  <c r="N1716" i="2"/>
  <c r="D1715" i="2"/>
  <c r="E1715" i="2"/>
  <c r="F1715" i="2"/>
  <c r="G1715" i="2"/>
  <c r="H1715" i="2"/>
  <c r="I1715" i="2"/>
  <c r="J1715" i="2"/>
  <c r="K1715" i="2"/>
  <c r="L1715" i="2"/>
  <c r="M1715" i="2"/>
  <c r="N1715" i="2"/>
  <c r="D1714" i="2"/>
  <c r="E1714" i="2"/>
  <c r="F1714" i="2"/>
  <c r="G1714" i="2"/>
  <c r="H1714" i="2"/>
  <c r="I1714" i="2"/>
  <c r="J1714" i="2"/>
  <c r="K1714" i="2"/>
  <c r="L1714" i="2"/>
  <c r="M1714" i="2"/>
  <c r="N1714" i="2"/>
  <c r="D1713" i="2"/>
  <c r="E1713" i="2"/>
  <c r="F1713" i="2"/>
  <c r="G1713" i="2"/>
  <c r="H1713" i="2"/>
  <c r="I1713" i="2"/>
  <c r="J1713" i="2"/>
  <c r="K1713" i="2"/>
  <c r="L1713" i="2"/>
  <c r="M1713" i="2"/>
  <c r="N1713" i="2"/>
  <c r="D1712" i="2"/>
  <c r="E1712" i="2"/>
  <c r="F1712" i="2"/>
  <c r="G1712" i="2"/>
  <c r="H1712" i="2"/>
  <c r="I1712" i="2"/>
  <c r="J1712" i="2"/>
  <c r="K1712" i="2"/>
  <c r="L1712" i="2"/>
  <c r="M1712" i="2"/>
  <c r="N1712" i="2"/>
  <c r="D1711" i="2"/>
  <c r="E1711" i="2"/>
  <c r="F1711" i="2"/>
  <c r="G1711" i="2"/>
  <c r="H1711" i="2"/>
  <c r="I1711" i="2"/>
  <c r="J1711" i="2"/>
  <c r="K1711" i="2"/>
  <c r="L1711" i="2"/>
  <c r="M1711" i="2"/>
  <c r="N1711" i="2"/>
  <c r="D1710" i="2"/>
  <c r="E1710" i="2"/>
  <c r="F1710" i="2"/>
  <c r="G1710" i="2"/>
  <c r="H1710" i="2"/>
  <c r="I1710" i="2"/>
  <c r="J1710" i="2"/>
  <c r="K1710" i="2"/>
  <c r="L1710" i="2"/>
  <c r="M1710" i="2"/>
  <c r="N1710" i="2"/>
  <c r="D1709" i="2"/>
  <c r="E1709" i="2"/>
  <c r="F1709" i="2"/>
  <c r="G1709" i="2"/>
  <c r="H1709" i="2"/>
  <c r="I1709" i="2"/>
  <c r="J1709" i="2"/>
  <c r="K1709" i="2"/>
  <c r="L1709" i="2"/>
  <c r="M1709" i="2"/>
  <c r="N1709" i="2"/>
  <c r="D1708" i="2"/>
  <c r="E1708" i="2"/>
  <c r="F1708" i="2"/>
  <c r="G1708" i="2"/>
  <c r="H1708" i="2"/>
  <c r="I1708" i="2"/>
  <c r="J1708" i="2"/>
  <c r="K1708" i="2"/>
  <c r="L1708" i="2"/>
  <c r="M1708" i="2"/>
  <c r="N1708" i="2"/>
  <c r="D1707" i="2"/>
  <c r="E1707" i="2"/>
  <c r="F1707" i="2"/>
  <c r="G1707" i="2"/>
  <c r="H1707" i="2"/>
  <c r="I1707" i="2"/>
  <c r="J1707" i="2"/>
  <c r="K1707" i="2"/>
  <c r="L1707" i="2"/>
  <c r="M1707" i="2"/>
  <c r="N1707" i="2"/>
  <c r="D1706" i="2"/>
  <c r="E1706" i="2"/>
  <c r="F1706" i="2"/>
  <c r="G1706" i="2"/>
  <c r="H1706" i="2"/>
  <c r="I1706" i="2"/>
  <c r="J1706" i="2"/>
  <c r="K1706" i="2"/>
  <c r="L1706" i="2"/>
  <c r="M1706" i="2"/>
  <c r="N1706" i="2"/>
  <c r="D1705" i="2"/>
  <c r="E1705" i="2"/>
  <c r="F1705" i="2"/>
  <c r="G1705" i="2"/>
  <c r="H1705" i="2"/>
  <c r="I1705" i="2"/>
  <c r="J1705" i="2"/>
  <c r="K1705" i="2"/>
  <c r="L1705" i="2"/>
  <c r="M1705" i="2"/>
  <c r="N1705" i="2"/>
  <c r="D1704" i="2"/>
  <c r="E1704" i="2"/>
  <c r="F1704" i="2"/>
  <c r="G1704" i="2"/>
  <c r="H1704" i="2"/>
  <c r="I1704" i="2"/>
  <c r="J1704" i="2"/>
  <c r="K1704" i="2"/>
  <c r="L1704" i="2"/>
  <c r="M1704" i="2"/>
  <c r="N1704" i="2"/>
  <c r="D1703" i="2"/>
  <c r="E1703" i="2"/>
  <c r="F1703" i="2"/>
  <c r="G1703" i="2"/>
  <c r="H1703" i="2"/>
  <c r="I1703" i="2"/>
  <c r="J1703" i="2"/>
  <c r="K1703" i="2"/>
  <c r="L1703" i="2"/>
  <c r="M1703" i="2"/>
  <c r="N1703" i="2"/>
  <c r="D1702" i="2"/>
  <c r="E1702" i="2"/>
  <c r="F1702" i="2"/>
  <c r="G1702" i="2"/>
  <c r="H1702" i="2"/>
  <c r="I1702" i="2"/>
  <c r="J1702" i="2"/>
  <c r="K1702" i="2"/>
  <c r="L1702" i="2"/>
  <c r="M1702" i="2"/>
  <c r="N1702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A1709" i="2"/>
  <c r="A1708" i="2"/>
  <c r="C1709" i="2"/>
  <c r="C1708" i="2"/>
  <c r="A1707" i="2"/>
  <c r="A1706" i="2"/>
  <c r="A1705" i="2"/>
  <c r="A1704" i="2"/>
  <c r="A1703" i="2"/>
  <c r="A1702" i="2"/>
  <c r="C1707" i="2"/>
  <c r="C1706" i="2"/>
  <c r="C1705" i="2"/>
  <c r="C1704" i="2"/>
  <c r="C1703" i="2"/>
  <c r="C1702" i="2"/>
  <c r="D1696" i="2" l="1"/>
  <c r="E1696" i="2"/>
  <c r="F1696" i="2"/>
  <c r="G1696" i="2"/>
  <c r="H1696" i="2"/>
  <c r="I1696" i="2"/>
  <c r="J1696" i="2"/>
  <c r="K1696" i="2"/>
  <c r="L1696" i="2"/>
  <c r="M1696" i="2"/>
  <c r="N1696" i="2"/>
  <c r="D1695" i="2"/>
  <c r="E1695" i="2"/>
  <c r="F1695" i="2"/>
  <c r="G1695" i="2"/>
  <c r="H1695" i="2"/>
  <c r="I1695" i="2"/>
  <c r="J1695" i="2"/>
  <c r="K1695" i="2"/>
  <c r="L1695" i="2"/>
  <c r="M1695" i="2"/>
  <c r="N1695" i="2"/>
  <c r="D1694" i="2"/>
  <c r="E1694" i="2"/>
  <c r="F1694" i="2"/>
  <c r="G1694" i="2"/>
  <c r="H1694" i="2"/>
  <c r="I1694" i="2"/>
  <c r="J1694" i="2"/>
  <c r="K1694" i="2"/>
  <c r="L1694" i="2"/>
  <c r="M1694" i="2"/>
  <c r="N1694" i="2"/>
  <c r="D1691" i="2"/>
  <c r="E1691" i="2"/>
  <c r="F1691" i="2"/>
  <c r="G1691" i="2"/>
  <c r="H1691" i="2"/>
  <c r="I1691" i="2"/>
  <c r="J1691" i="2"/>
  <c r="K1691" i="2"/>
  <c r="L1691" i="2"/>
  <c r="M1691" i="2"/>
  <c r="N1691" i="2"/>
  <c r="D1690" i="2"/>
  <c r="E1690" i="2"/>
  <c r="F1690" i="2"/>
  <c r="G1690" i="2"/>
  <c r="H1690" i="2"/>
  <c r="I1690" i="2"/>
  <c r="J1690" i="2"/>
  <c r="K1690" i="2"/>
  <c r="L1690" i="2"/>
  <c r="M1690" i="2"/>
  <c r="N1690" i="2"/>
  <c r="D1689" i="2"/>
  <c r="E1689" i="2"/>
  <c r="F1689" i="2"/>
  <c r="G1689" i="2"/>
  <c r="H1689" i="2"/>
  <c r="I1689" i="2"/>
  <c r="J1689" i="2"/>
  <c r="K1689" i="2"/>
  <c r="L1689" i="2"/>
  <c r="M1689" i="2"/>
  <c r="N1689" i="2"/>
  <c r="D1686" i="2"/>
  <c r="E1686" i="2"/>
  <c r="F1686" i="2"/>
  <c r="G1686" i="2"/>
  <c r="H1686" i="2"/>
  <c r="I1686" i="2"/>
  <c r="J1686" i="2"/>
  <c r="K1686" i="2"/>
  <c r="L1686" i="2"/>
  <c r="M1686" i="2"/>
  <c r="N1686" i="2"/>
  <c r="D1685" i="2"/>
  <c r="E1685" i="2"/>
  <c r="F1685" i="2"/>
  <c r="G1685" i="2"/>
  <c r="H1685" i="2"/>
  <c r="I1685" i="2"/>
  <c r="J1685" i="2"/>
  <c r="K1685" i="2"/>
  <c r="L1685" i="2"/>
  <c r="M1685" i="2"/>
  <c r="N1685" i="2"/>
  <c r="D1684" i="2"/>
  <c r="E1684" i="2"/>
  <c r="F1684" i="2"/>
  <c r="G1684" i="2"/>
  <c r="H1684" i="2"/>
  <c r="I1684" i="2"/>
  <c r="J1684" i="2"/>
  <c r="K1684" i="2"/>
  <c r="L1684" i="2"/>
  <c r="M1684" i="2"/>
  <c r="N1684" i="2"/>
  <c r="D1681" i="2"/>
  <c r="E1681" i="2"/>
  <c r="F1681" i="2"/>
  <c r="G1681" i="2"/>
  <c r="H1681" i="2"/>
  <c r="I1681" i="2"/>
  <c r="J1681" i="2"/>
  <c r="K1681" i="2"/>
  <c r="L1681" i="2"/>
  <c r="M1681" i="2"/>
  <c r="N1681" i="2"/>
  <c r="D1680" i="2"/>
  <c r="E1680" i="2"/>
  <c r="F1680" i="2"/>
  <c r="G1680" i="2"/>
  <c r="H1680" i="2"/>
  <c r="I1680" i="2"/>
  <c r="J1680" i="2"/>
  <c r="K1680" i="2"/>
  <c r="L1680" i="2"/>
  <c r="M1680" i="2"/>
  <c r="N1680" i="2"/>
  <c r="D1679" i="2"/>
  <c r="E1679" i="2"/>
  <c r="F1679" i="2"/>
  <c r="G1679" i="2"/>
  <c r="H1679" i="2"/>
  <c r="I1679" i="2"/>
  <c r="J1679" i="2"/>
  <c r="K1679" i="2"/>
  <c r="L1679" i="2"/>
  <c r="M1679" i="2"/>
  <c r="N1679" i="2"/>
  <c r="D1676" i="2"/>
  <c r="E1676" i="2"/>
  <c r="F1676" i="2"/>
  <c r="G1676" i="2"/>
  <c r="H1676" i="2"/>
  <c r="I1676" i="2"/>
  <c r="J1676" i="2"/>
  <c r="K1676" i="2"/>
  <c r="L1676" i="2"/>
  <c r="M1676" i="2"/>
  <c r="N1676" i="2"/>
  <c r="D1675" i="2"/>
  <c r="E1675" i="2"/>
  <c r="F1675" i="2"/>
  <c r="G1675" i="2"/>
  <c r="H1675" i="2"/>
  <c r="I1675" i="2"/>
  <c r="J1675" i="2"/>
  <c r="K1675" i="2"/>
  <c r="L1675" i="2"/>
  <c r="M1675" i="2"/>
  <c r="N1675" i="2"/>
  <c r="D1674" i="2"/>
  <c r="E1674" i="2"/>
  <c r="F1674" i="2"/>
  <c r="G1674" i="2"/>
  <c r="H1674" i="2"/>
  <c r="I1674" i="2"/>
  <c r="J1674" i="2"/>
  <c r="K1674" i="2"/>
  <c r="L1674" i="2"/>
  <c r="M1674" i="2"/>
  <c r="N1674" i="2"/>
  <c r="D1671" i="2"/>
  <c r="E1671" i="2"/>
  <c r="F1671" i="2"/>
  <c r="G1671" i="2"/>
  <c r="H1671" i="2"/>
  <c r="I1671" i="2"/>
  <c r="J1671" i="2"/>
  <c r="K1671" i="2"/>
  <c r="L1671" i="2"/>
  <c r="M1671" i="2"/>
  <c r="N1671" i="2"/>
  <c r="D1670" i="2"/>
  <c r="E1670" i="2"/>
  <c r="F1670" i="2"/>
  <c r="G1670" i="2"/>
  <c r="H1670" i="2"/>
  <c r="I1670" i="2"/>
  <c r="J1670" i="2"/>
  <c r="K1670" i="2"/>
  <c r="L1670" i="2"/>
  <c r="M1670" i="2"/>
  <c r="N1670" i="2"/>
  <c r="D1669" i="2"/>
  <c r="E1669" i="2"/>
  <c r="F1669" i="2"/>
  <c r="G1669" i="2"/>
  <c r="H1669" i="2"/>
  <c r="I1669" i="2"/>
  <c r="J1669" i="2"/>
  <c r="K1669" i="2"/>
  <c r="L1669" i="2"/>
  <c r="M1669" i="2"/>
  <c r="N1669" i="2"/>
  <c r="C1696" i="2"/>
  <c r="C1695" i="2"/>
  <c r="C1694" i="2"/>
  <c r="C1691" i="2"/>
  <c r="C1690" i="2"/>
  <c r="C1689" i="2"/>
  <c r="C1686" i="2"/>
  <c r="C1685" i="2"/>
  <c r="C1684" i="2"/>
  <c r="C1681" i="2"/>
  <c r="C1680" i="2"/>
  <c r="C1679" i="2"/>
  <c r="C1676" i="2"/>
  <c r="C1675" i="2"/>
  <c r="C1674" i="2"/>
  <c r="C1671" i="2"/>
  <c r="C1670" i="2"/>
  <c r="C1669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Q646" i="2" l="1"/>
  <c r="Q607" i="2"/>
  <c r="Q162" i="2"/>
  <c r="Q1343" i="2"/>
  <c r="Q381" i="2"/>
  <c r="Q502" i="2"/>
  <c r="Q1336" i="2"/>
  <c r="Q908" i="2"/>
  <c r="Q367" i="2"/>
  <c r="Q672" i="2"/>
  <c r="Q1503" i="2"/>
  <c r="Q1220" i="2"/>
  <c r="Q1357" i="2"/>
  <c r="Q159" i="2"/>
  <c r="Q1495" i="2"/>
  <c r="Q285" i="2"/>
  <c r="Q1231" i="2"/>
  <c r="Q1244" i="2"/>
  <c r="Q946" i="2"/>
  <c r="Q496" i="2"/>
  <c r="Q642" i="2"/>
  <c r="Q1385" i="2"/>
  <c r="Q1215" i="2"/>
  <c r="Q490" i="2"/>
  <c r="Q383" i="2"/>
  <c r="Q923" i="2"/>
  <c r="Q1056" i="2"/>
  <c r="Q149" i="2"/>
  <c r="Q1308" i="2"/>
  <c r="Q305" i="2"/>
  <c r="Q890" i="2"/>
  <c r="Q1288" i="2"/>
  <c r="Q767" i="2"/>
  <c r="Q1365" i="2"/>
  <c r="Q995" i="2"/>
  <c r="Q1098" i="2"/>
  <c r="Q562" i="2"/>
  <c r="Q992" i="2"/>
  <c r="Q986" i="2"/>
  <c r="Q1035" i="2"/>
  <c r="Q196" i="2"/>
  <c r="Q1202" i="2"/>
  <c r="Q423" i="2"/>
  <c r="Q321" i="2"/>
  <c r="Q1236" i="2"/>
  <c r="Q450" i="2"/>
  <c r="Q732" i="2"/>
  <c r="Q1576" i="2"/>
  <c r="Q1530" i="2"/>
  <c r="Q1187" i="2"/>
  <c r="Q983" i="2"/>
  <c r="Q348" i="2"/>
  <c r="Q1054" i="2"/>
  <c r="Q1419" i="2"/>
  <c r="Q858" i="2"/>
  <c r="Q1018" i="2"/>
  <c r="Q1144" i="2"/>
  <c r="Q1031" i="2"/>
  <c r="Q1086" i="2"/>
  <c r="Q389" i="2"/>
  <c r="Q564" i="2"/>
  <c r="Q944" i="2"/>
  <c r="Q1470" i="2"/>
  <c r="Q461" i="2"/>
  <c r="Q455" i="2"/>
  <c r="Q111" i="2"/>
  <c r="Q429" i="2"/>
  <c r="Q892" i="2"/>
  <c r="Q879" i="2"/>
  <c r="Q399" i="2"/>
  <c r="Q66" i="2"/>
  <c r="Q710" i="2"/>
  <c r="Q526" i="2"/>
  <c r="Q132" i="2"/>
  <c r="Q703" i="2"/>
  <c r="Q1355" i="2"/>
  <c r="Q1396" i="2"/>
  <c r="Q930" i="2"/>
  <c r="Q1596" i="2"/>
  <c r="Q1260" i="2"/>
  <c r="Q328" i="2"/>
  <c r="Q398" i="2"/>
  <c r="Q1449" i="2"/>
  <c r="Q800" i="2"/>
  <c r="Q1255" i="2"/>
  <c r="Q817" i="2"/>
  <c r="Q939" i="2"/>
  <c r="Q1050" i="2"/>
  <c r="Q93" i="2"/>
  <c r="Q415" i="2"/>
  <c r="Q587" i="2"/>
  <c r="Q653" i="2"/>
  <c r="Q777" i="2"/>
  <c r="Q368" i="2"/>
  <c r="Q659" i="2"/>
  <c r="Q1367" i="2"/>
  <c r="Q1000" i="2"/>
  <c r="Q679" i="2"/>
  <c r="Q833" i="2"/>
  <c r="Q441" i="2"/>
  <c r="Q850" i="2"/>
  <c r="Q1337" i="2"/>
  <c r="Q1436" i="2"/>
  <c r="Q1183" i="2"/>
  <c r="Q524" i="2"/>
  <c r="Q910" i="2"/>
  <c r="Q842" i="2"/>
  <c r="Q86" i="2"/>
  <c r="Q973" i="2"/>
  <c r="Q1427" i="2"/>
  <c r="Q1543" i="2"/>
  <c r="Q333" i="2"/>
  <c r="Q1489" i="2"/>
  <c r="Q806" i="2"/>
  <c r="Q720" i="2"/>
  <c r="Q1184" i="2"/>
  <c r="Q263" i="2"/>
  <c r="Q447" i="2"/>
  <c r="Q742" i="2"/>
  <c r="Q1099" i="2"/>
  <c r="Q505" i="2"/>
  <c r="Q204" i="2"/>
  <c r="Q1592" i="2"/>
  <c r="Q1497" i="2"/>
  <c r="Q1512" i="2"/>
  <c r="Q449" i="2"/>
  <c r="Q869" i="2"/>
  <c r="Q1135" i="2"/>
  <c r="Q55" i="2"/>
  <c r="Q71" i="2"/>
  <c r="Q1089" i="2"/>
  <c r="Q1378" i="2"/>
  <c r="Q664" i="2"/>
  <c r="Q724" i="2"/>
  <c r="Q254" i="2"/>
  <c r="Q1014" i="2"/>
  <c r="Q609" i="2"/>
  <c r="Q1519" i="2"/>
  <c r="Q895" i="2"/>
  <c r="Q339" i="2"/>
  <c r="Q492" i="2"/>
  <c r="Q411" i="2"/>
  <c r="Q1091" i="2"/>
  <c r="Q1516" i="2"/>
  <c r="Q81" i="2"/>
  <c r="Q585" i="2"/>
  <c r="Q1254" i="2"/>
  <c r="Q699" i="2"/>
  <c r="Q270" i="2"/>
  <c r="Q1409" i="2"/>
  <c r="Q639" i="2"/>
  <c r="Q1437" i="2"/>
  <c r="Q853" i="2"/>
  <c r="Q308" i="2"/>
  <c r="Q812" i="2"/>
  <c r="Q1485" i="2"/>
  <c r="Q719" i="2"/>
  <c r="Q315" i="2"/>
  <c r="Q69" i="2"/>
  <c r="Q989" i="2"/>
  <c r="Q614" i="2"/>
  <c r="Q165" i="2"/>
  <c r="Q256" i="2"/>
  <c r="Q1138" i="2"/>
  <c r="Q579" i="2"/>
  <c r="Q226" i="2"/>
  <c r="Q959" i="2"/>
  <c r="Q1034" i="2"/>
  <c r="Q658" i="2"/>
  <c r="Q785" i="2"/>
  <c r="Q240" i="2"/>
  <c r="Q1233" i="2"/>
  <c r="Q407" i="2"/>
  <c r="Q1381" i="2"/>
  <c r="Q873" i="2"/>
  <c r="Q44" i="2"/>
  <c r="Q849" i="2"/>
  <c r="Q1048" i="2"/>
  <c r="Q287" i="2"/>
  <c r="Q35" i="2"/>
  <c r="Q1488" i="2"/>
  <c r="Q284" i="2"/>
  <c r="Q1284" i="2"/>
  <c r="Q280" i="2"/>
  <c r="Q299" i="2"/>
  <c r="Q942" i="2"/>
  <c r="Q826" i="2"/>
  <c r="Q306" i="2"/>
  <c r="Q1065" i="2"/>
  <c r="Q1384" i="2"/>
  <c r="Q279" i="2"/>
  <c r="Q866" i="2"/>
  <c r="Q704" i="2"/>
  <c r="Q1464" i="2"/>
  <c r="Q636" i="2"/>
  <c r="Q434" i="2"/>
  <c r="Q1481" i="2"/>
  <c r="Q546" i="2"/>
  <c r="Q281" i="2"/>
  <c r="Q931" i="2"/>
  <c r="Q1028" i="2"/>
  <c r="Q1542" i="2"/>
  <c r="Q924" i="2"/>
  <c r="Q1210" i="2"/>
  <c r="Q1067" i="2"/>
  <c r="Q144" i="2"/>
  <c r="Q187" i="2"/>
  <c r="Q1109" i="2"/>
  <c r="Q797" i="2"/>
  <c r="Q905" i="2"/>
  <c r="Q804" i="2"/>
  <c r="Q255" i="2"/>
  <c r="Q999" i="2"/>
  <c r="Q1570" i="2"/>
  <c r="Q1392" i="2"/>
  <c r="Q1162" i="2"/>
  <c r="Q761" i="2"/>
  <c r="Q1217" i="2"/>
  <c r="Q543" i="2"/>
  <c r="Q1292" i="2"/>
  <c r="Q1444" i="2"/>
  <c r="Q209" i="2"/>
  <c r="Q453" i="2"/>
  <c r="Q466" i="2"/>
  <c r="Q1594" i="2"/>
  <c r="Q822" i="2"/>
  <c r="Q88" i="2"/>
  <c r="Q1382" i="2"/>
  <c r="Q771" i="2"/>
  <c r="Q99" i="2"/>
  <c r="Q1521" i="2"/>
  <c r="Q1095" i="2"/>
  <c r="Q1025" i="2"/>
  <c r="Q641" i="2"/>
  <c r="Q1116" i="2"/>
  <c r="Q1256" i="2"/>
  <c r="Q1300" i="2"/>
  <c r="Q881" i="2"/>
  <c r="Q861" i="2"/>
  <c r="Q288" i="2"/>
  <c r="Q1342" i="2"/>
  <c r="Q1230" i="2"/>
  <c r="Q829" i="2"/>
  <c r="Q217" i="2"/>
  <c r="Q920" i="2"/>
  <c r="Q626" i="2"/>
  <c r="Q1258" i="2"/>
  <c r="Q813" i="2"/>
  <c r="Q459" i="2"/>
  <c r="Q841" i="2"/>
  <c r="Q854" i="2"/>
  <c r="Q332" i="2"/>
  <c r="Q252" i="2"/>
  <c r="Q1541" i="2"/>
  <c r="Q1446" i="2"/>
  <c r="Q1501" i="2"/>
  <c r="Q382" i="2"/>
  <c r="Q601" i="2"/>
  <c r="Q418" i="2"/>
  <c r="Q1164" i="2"/>
  <c r="Q541" i="2"/>
  <c r="Q1434" i="2"/>
  <c r="Q68" i="2"/>
  <c r="Q1249" i="2"/>
  <c r="Q1353" i="2"/>
  <c r="Q909" i="2"/>
  <c r="Q100" i="2"/>
  <c r="Q927" i="2"/>
  <c r="Q245" i="2"/>
  <c r="Q98" i="2"/>
  <c r="Q695" i="2"/>
  <c r="Q231" i="2"/>
  <c r="Q1598" i="2"/>
  <c r="Q314" i="2"/>
  <c r="Q690" i="2"/>
  <c r="Q295" i="2"/>
  <c r="Q1012" i="2"/>
  <c r="Q880" i="2"/>
  <c r="Q1368" i="2"/>
  <c r="Q1191" i="2"/>
  <c r="Q811" i="2"/>
  <c r="Q836" i="2"/>
  <c r="Q1351" i="2"/>
  <c r="Q102" i="2"/>
  <c r="Q1588" i="2"/>
  <c r="Q1400" i="2"/>
  <c r="Q360" i="2"/>
  <c r="Q592" i="2"/>
  <c r="Q540" i="2"/>
  <c r="Q820" i="2"/>
  <c r="Q467" i="2"/>
  <c r="Q163" i="2"/>
  <c r="Q530" i="2"/>
  <c r="Q860" i="2"/>
  <c r="Q1060" i="2"/>
  <c r="Q589" i="2"/>
  <c r="Q1573" i="2"/>
  <c r="Q1405" i="2"/>
  <c r="Q273" i="2"/>
  <c r="Q1192" i="2"/>
  <c r="Q1520" i="2"/>
  <c r="Q1564" i="2"/>
  <c r="Q364" i="2"/>
  <c r="Q1266" i="2"/>
  <c r="Q1567" i="2"/>
  <c r="Q417" i="2"/>
  <c r="Q56" i="2"/>
  <c r="Q630" i="2"/>
  <c r="Q904" i="2"/>
  <c r="Q749" i="2"/>
  <c r="Q1072" i="2"/>
  <c r="Q480" i="2"/>
  <c r="Q754" i="2"/>
  <c r="Q886" i="2"/>
  <c r="Q1350" i="2"/>
  <c r="Q291" i="2"/>
  <c r="Q1117" i="2"/>
  <c r="Q906" i="2"/>
  <c r="Q1132" i="2"/>
  <c r="Q1074" i="2"/>
  <c r="Q1341" i="2"/>
  <c r="Q1123" i="2"/>
  <c r="Q51" i="2"/>
  <c r="Q864" i="2"/>
  <c r="Q110" i="2"/>
  <c r="Q828" i="2"/>
  <c r="Q212" i="2"/>
  <c r="Q668" i="2"/>
  <c r="Q432" i="2"/>
  <c r="Q1285" i="2"/>
  <c r="Q219" i="2"/>
  <c r="Q1303" i="2"/>
  <c r="Q919" i="2"/>
  <c r="Q1373" i="2"/>
  <c r="Q500" i="2"/>
  <c r="Q1267" i="2"/>
  <c r="Q599" i="2"/>
  <c r="Q1073" i="2"/>
  <c r="Q1264" i="2"/>
  <c r="Q555" i="2"/>
  <c r="Q33" i="2"/>
  <c r="Q1317" i="2"/>
  <c r="Q898" i="2"/>
  <c r="Q499" i="2"/>
  <c r="Q1042" i="2"/>
  <c r="Q1133" i="2"/>
  <c r="Q1186" i="2"/>
  <c r="Q768" i="2"/>
  <c r="Q202" i="2"/>
  <c r="Q294" i="2"/>
  <c r="Q128" i="2"/>
  <c r="Q338" i="2"/>
  <c r="Q108" i="2"/>
  <c r="Q1311" i="2"/>
  <c r="Q188" i="2"/>
  <c r="Q831" i="2"/>
  <c r="Q769" i="2"/>
  <c r="Q1156" i="2"/>
  <c r="Q961" i="2"/>
  <c r="Q1502" i="2"/>
  <c r="Q560" i="2"/>
  <c r="Q988" i="2"/>
  <c r="Q545" i="2"/>
  <c r="Q715" i="2"/>
  <c r="Q1511" i="2"/>
  <c r="Q722" i="2"/>
  <c r="Q85" i="2"/>
  <c r="Q448" i="2"/>
  <c r="Q262" i="2"/>
  <c r="Q689" i="2"/>
  <c r="Q298" i="2"/>
  <c r="Q997" i="2"/>
  <c r="Q1150" i="2"/>
  <c r="Q438" i="2"/>
  <c r="Q1322" i="2"/>
  <c r="Q1252" i="2"/>
  <c r="Q76" i="2"/>
  <c r="Q1160" i="2"/>
  <c r="Q195" i="2"/>
  <c r="Q738" i="2"/>
  <c r="Q78" i="2"/>
  <c r="Q1153" i="2"/>
  <c r="Q207" i="2"/>
  <c r="Q566" i="2"/>
  <c r="Q1387" i="2"/>
  <c r="Q634" i="2"/>
  <c r="Q814" i="2"/>
  <c r="Q975" i="2"/>
  <c r="Q1198" i="2"/>
  <c r="Q1474" i="2"/>
  <c r="Q816" i="2"/>
  <c r="Q552" i="2"/>
  <c r="Q937" i="2"/>
  <c r="Q1366" i="2"/>
  <c r="Q310" i="2"/>
  <c r="Q1517" i="2"/>
  <c r="Q151" i="2"/>
  <c r="Q957" i="2"/>
  <c r="Q840" i="2"/>
  <c r="Q709" i="2"/>
  <c r="Q1295" i="2"/>
  <c r="Q994" i="2"/>
  <c r="Q1212" i="2"/>
  <c r="Q247" i="2"/>
  <c r="Q124" i="2"/>
  <c r="Q1352" i="2"/>
  <c r="Q857" i="2"/>
  <c r="Q166" i="2"/>
  <c r="Q643" i="2"/>
  <c r="Q1587" i="2"/>
  <c r="Q510" i="2"/>
  <c r="Q36" i="2"/>
  <c r="Q1015" i="2"/>
  <c r="Q249" i="2"/>
  <c r="Q1404" i="2"/>
  <c r="Q561" i="2"/>
  <c r="Q851" i="2"/>
  <c r="Q400" i="2"/>
  <c r="Q1475" i="2"/>
  <c r="Q1344" i="2"/>
  <c r="Q1551" i="2"/>
  <c r="Q573" i="2"/>
  <c r="Q740" i="2"/>
  <c r="Q1458" i="2"/>
  <c r="Q271" i="2"/>
  <c r="Q1591" i="2"/>
  <c r="Q978" i="2"/>
  <c r="Q1037" i="2"/>
  <c r="Q848" i="2"/>
  <c r="Q197" i="2"/>
  <c r="Q1394" i="2"/>
  <c r="Q823" i="2"/>
  <c r="Q1538" i="2"/>
  <c r="Q234" i="2"/>
  <c r="Q1583" i="2"/>
  <c r="Q1431" i="2"/>
  <c r="Q223" i="2"/>
  <c r="Q1406" i="2"/>
  <c r="Q1360" i="2"/>
  <c r="Q1148" i="2"/>
  <c r="Q542" i="2"/>
  <c r="Q538" i="2"/>
  <c r="Q355" i="2"/>
  <c r="Q1291" i="2"/>
  <c r="Q171" i="2"/>
  <c r="Q1112" i="2"/>
  <c r="Q160" i="2"/>
  <c r="Q214" i="2"/>
  <c r="Q1119" i="2"/>
  <c r="Q376" i="2"/>
  <c r="Q1326" i="2"/>
  <c r="Q428" i="2"/>
  <c r="Q1083" i="2"/>
  <c r="Q1262" i="2"/>
  <c r="Q1232" i="2"/>
  <c r="Q1593" i="2"/>
  <c r="Q1375" i="2"/>
  <c r="Q611" i="2"/>
  <c r="Q179" i="2"/>
  <c r="Q1196" i="2"/>
  <c r="Q372" i="2"/>
  <c r="Q94" i="2"/>
  <c r="Q1482" i="2"/>
  <c r="Q92" i="2"/>
  <c r="Q90" i="2"/>
  <c r="Q1597" i="2"/>
  <c r="Q825" i="2"/>
  <c r="Q1001" i="2"/>
  <c r="Q955" i="2"/>
  <c r="Q307" i="2"/>
  <c r="Q358" i="2"/>
  <c r="Q1298" i="2"/>
  <c r="Q452" i="2"/>
  <c r="Q1566" i="2"/>
  <c r="Q651" i="2"/>
  <c r="Q1286" i="2"/>
  <c r="Q889" i="2"/>
  <c r="Q1301" i="2"/>
  <c r="Q317" i="2"/>
  <c r="Q50" i="2"/>
  <c r="Q606" i="2"/>
  <c r="Q827" i="2"/>
  <c r="Q863" i="2"/>
  <c r="Q1019" i="2"/>
  <c r="Q1121" i="2"/>
  <c r="Q1216" i="2"/>
  <c r="Q882" i="2"/>
  <c r="Q388" i="2"/>
  <c r="Q1053" i="2"/>
  <c r="Q697" i="2"/>
  <c r="Q1492" i="2"/>
  <c r="Q1539" i="2"/>
  <c r="Q189" i="2"/>
  <c r="Q431" i="2"/>
  <c r="Q600" i="2"/>
  <c r="Q981" i="2"/>
  <c r="Q194" i="2"/>
  <c r="Q891" i="2"/>
  <c r="Q335" i="2"/>
  <c r="Q1329" i="2"/>
  <c r="Q693" i="2"/>
  <c r="Q101" i="2"/>
  <c r="Q185" i="2"/>
  <c r="Q591" i="2"/>
  <c r="Q1046" i="2"/>
  <c r="Q77" i="2"/>
  <c r="Q326" i="2"/>
  <c r="Q1279" i="2"/>
  <c r="Q1020" i="2"/>
  <c r="Q1182" i="2"/>
  <c r="Q809" i="2"/>
  <c r="Q244" i="2"/>
  <c r="Q595" i="2"/>
  <c r="Q1078" i="2"/>
  <c r="Q884" i="2"/>
  <c r="Q549" i="2"/>
  <c r="Q1536" i="2"/>
  <c r="Q1535" i="2"/>
  <c r="Q1059" i="2"/>
  <c r="Q763" i="2"/>
  <c r="Q1441" i="2"/>
  <c r="Q1136" i="2"/>
  <c r="Q329" i="2"/>
  <c r="Q613" i="2"/>
  <c r="Q796" i="2"/>
  <c r="Q1487" i="2"/>
  <c r="Q192" i="2"/>
  <c r="Q27" i="2"/>
  <c r="Q727" i="2"/>
  <c r="Q1438" i="2"/>
  <c r="Q191" i="2"/>
  <c r="Q1134" i="2"/>
  <c r="Q1527" i="2"/>
  <c r="Q1335" i="2"/>
  <c r="Q79" i="2"/>
  <c r="Q1090" i="2"/>
  <c r="Q313" i="2"/>
  <c r="Q998" i="2"/>
  <c r="Q1549" i="2"/>
  <c r="Q926" i="2"/>
  <c r="Q1161" i="2"/>
  <c r="Q903" i="2"/>
  <c r="Q1407" i="2"/>
  <c r="Q380" i="2"/>
  <c r="Q1125" i="2"/>
  <c r="Q784" i="2"/>
  <c r="Q153" i="2"/>
  <c r="Q976" i="2"/>
  <c r="Q1120" i="2"/>
  <c r="Q143" i="2"/>
  <c r="Q238" i="2"/>
  <c r="Q1064" i="2"/>
  <c r="Q356" i="2"/>
  <c r="Q1569" i="2"/>
  <c r="Q557" i="2"/>
  <c r="Q1471" i="2"/>
  <c r="Q1331" i="2"/>
  <c r="Q1124" i="2"/>
  <c r="Q1242" i="2"/>
  <c r="Q960" i="2"/>
  <c r="Q1328" i="2"/>
  <c r="Q1281" i="2"/>
  <c r="Q343" i="2"/>
  <c r="Q725" i="2"/>
  <c r="Q747" i="2"/>
  <c r="Q1007" i="2"/>
  <c r="Q1274" i="2"/>
  <c r="Q1574" i="2"/>
  <c r="Q1209" i="2"/>
  <c r="Q1290" i="2"/>
  <c r="Q1010" i="2"/>
  <c r="Q1391" i="2"/>
  <c r="Q1208" i="2"/>
  <c r="Q1480" i="2"/>
  <c r="Q1401" i="2"/>
  <c r="Q210" i="2"/>
  <c r="Q1051" i="2"/>
  <c r="Q134" i="2"/>
  <c r="Q698" i="2"/>
  <c r="Q899" i="2"/>
  <c r="Q116" i="2"/>
  <c r="Q1433" i="2"/>
  <c r="Q152" i="2"/>
  <c r="Q915" i="2"/>
  <c r="Q140" i="2"/>
  <c r="Q1440" i="2"/>
  <c r="Q462" i="2"/>
  <c r="Q1026" i="2"/>
  <c r="Q588" i="2"/>
  <c r="Q30" i="2"/>
  <c r="Q1424" i="2"/>
  <c r="Q532" i="2"/>
  <c r="Q1457" i="2"/>
  <c r="Q633" i="2"/>
  <c r="Q521" i="2"/>
  <c r="Q1411" i="2"/>
  <c r="Q472" i="2"/>
  <c r="Q1452" i="2"/>
  <c r="Q1093" i="2"/>
  <c r="Q49" i="2"/>
  <c r="Q106" i="2"/>
  <c r="Q1193" i="2"/>
  <c r="Q1372" i="2"/>
  <c r="Q1403" i="2"/>
  <c r="Q38" i="2"/>
  <c r="Q1238" i="2"/>
  <c r="Q1493" i="2"/>
  <c r="Q996" i="2"/>
  <c r="Q1076" i="2"/>
  <c r="Q1299" i="2"/>
  <c r="Q1218" i="2"/>
  <c r="Q150" i="2"/>
  <c r="Q59" i="2"/>
  <c r="Q1066" i="2"/>
  <c r="Q1518" i="2"/>
  <c r="Q729" i="2"/>
  <c r="Q471" i="2"/>
  <c r="Q1008" i="2"/>
  <c r="Q1257" i="2"/>
  <c r="Q901" i="2"/>
  <c r="Q45" i="2"/>
  <c r="Q662" i="2"/>
  <c r="Q84" i="2"/>
  <c r="Q282" i="2"/>
  <c r="Q972" i="2"/>
  <c r="Q1422" i="2"/>
  <c r="Q683" i="2"/>
  <c r="Q735" i="2"/>
  <c r="Q97" i="2"/>
  <c r="Q369" i="2"/>
  <c r="Q665" i="2"/>
  <c r="Q1379" i="2"/>
  <c r="Q686" i="2"/>
  <c r="Q773" i="2"/>
  <c r="Q1251" i="2"/>
  <c r="Q779" i="2"/>
  <c r="Q706" i="2"/>
  <c r="Q615" i="2"/>
  <c r="Q1421" i="2"/>
  <c r="Q342" i="2"/>
  <c r="Q1472" i="2"/>
  <c r="Q531" i="2"/>
  <c r="Q951" i="2"/>
  <c r="Q1572" i="2"/>
  <c r="Q440" i="2"/>
  <c r="Q225" i="2"/>
  <c r="Q991" i="2"/>
  <c r="Q470" i="2"/>
  <c r="Q61" i="2"/>
  <c r="Q963" i="2"/>
  <c r="Q1110" i="2"/>
  <c r="Q846" i="2"/>
  <c r="Q73" i="2"/>
  <c r="Q835" i="2"/>
  <c r="Q647" i="2"/>
  <c r="Q109" i="2"/>
  <c r="Q465" i="2"/>
  <c r="Q168" i="2"/>
  <c r="Q1302" i="2"/>
  <c r="Q303" i="2"/>
  <c r="Q104" i="2"/>
  <c r="Q1388" i="2"/>
  <c r="Q1477" i="2"/>
  <c r="Q1363" i="2"/>
  <c r="Q1297" i="2"/>
  <c r="Q1453" i="2"/>
  <c r="Q1526" i="2"/>
  <c r="Q1128" i="2"/>
  <c r="Q123" i="2"/>
  <c r="Q743" i="2"/>
  <c r="Q701" i="2"/>
  <c r="Q1568" i="2"/>
  <c r="Q264" i="2"/>
  <c r="Q422" i="2"/>
  <c r="Q1533" i="2"/>
  <c r="Q1085" i="2"/>
  <c r="Q65" i="2"/>
  <c r="Q1283" i="2"/>
  <c r="Q277" i="2"/>
  <c r="Q1126" i="2"/>
  <c r="Q227" i="2"/>
  <c r="Q1473" i="2"/>
  <c r="Q1225" i="2"/>
  <c r="Q1047" i="2"/>
  <c r="Q301" i="2"/>
  <c r="Q1455" i="2"/>
  <c r="Q312" i="2"/>
  <c r="Q744" i="2"/>
  <c r="Q1145" i="2"/>
  <c r="Q1276" i="2"/>
  <c r="Q1340" i="2"/>
  <c r="Q1181" i="2"/>
  <c r="Q799" i="2"/>
  <c r="Q1149" i="2"/>
  <c r="Q1033" i="2"/>
  <c r="Q1052" i="2"/>
  <c r="Q1259" i="2"/>
  <c r="Q103" i="2"/>
  <c r="Q1451" i="2"/>
  <c r="Q1580" i="2"/>
  <c r="Q677" i="2"/>
  <c r="Q107" i="2"/>
  <c r="Q602" i="2"/>
  <c r="Q795" i="2"/>
  <c r="Q1327" i="2"/>
  <c r="Q232" i="2"/>
  <c r="Q793" i="2"/>
  <c r="Q1234" i="2"/>
  <c r="Q1075" i="2"/>
  <c r="Q1293" i="2"/>
  <c r="Q43" i="2"/>
  <c r="Q443" i="2"/>
  <c r="Q583" i="2"/>
  <c r="Q1039" i="2"/>
  <c r="Q1088" i="2"/>
  <c r="Q420" i="2"/>
  <c r="Q751" i="2"/>
  <c r="Q517" i="2"/>
  <c r="Q652" i="2"/>
  <c r="Q216" i="2"/>
  <c r="Q644" i="2"/>
  <c r="Q331" i="2"/>
  <c r="Q1377" i="2"/>
  <c r="Q577" i="2"/>
  <c r="Q803" i="2"/>
  <c r="Q801" i="2"/>
  <c r="Q261" i="2"/>
  <c r="Q964" i="2"/>
  <c r="Q596" i="2"/>
  <c r="Q534" i="2"/>
  <c r="Q1038" i="2"/>
  <c r="Q741" i="2"/>
  <c r="Q985" i="2"/>
  <c r="Q114" i="2"/>
  <c r="Q617" i="2"/>
  <c r="Q57" i="2"/>
  <c r="Q62" i="2"/>
  <c r="Q75" i="2"/>
  <c r="Q133" i="2"/>
  <c r="Q967" i="2"/>
  <c r="Q1318" i="2"/>
  <c r="Q565" i="2"/>
  <c r="Q902" i="2"/>
  <c r="Q1496" i="2"/>
  <c r="Q1261" i="2"/>
  <c r="Q711" i="2"/>
  <c r="Q353" i="2"/>
  <c r="Q1017" i="2"/>
  <c r="Q53" i="2"/>
  <c r="Q177" i="2"/>
  <c r="Q736" i="2"/>
  <c r="Q1173" i="2"/>
  <c r="Q933" i="2"/>
  <c r="Q1077" i="2"/>
  <c r="Q971" i="2"/>
  <c r="Q1415" i="2"/>
  <c r="Q82" i="2"/>
  <c r="Q598" i="2"/>
  <c r="Q547" i="2"/>
  <c r="Q1029" i="2"/>
  <c r="Q1188" i="2"/>
  <c r="Q862" i="2"/>
  <c r="Q118" i="2"/>
  <c r="Q1383" i="2"/>
  <c r="Q1107" i="2"/>
  <c r="Q1507" i="2"/>
  <c r="Q52" i="2"/>
  <c r="Q654" i="2"/>
  <c r="Q1172" i="2"/>
  <c r="Q766" i="2"/>
  <c r="Q371" i="2"/>
  <c r="Q42" i="2"/>
  <c r="Q830" i="2"/>
  <c r="Q230" i="2"/>
  <c r="Q1562" i="2"/>
  <c r="Q1395" i="2"/>
  <c r="Q242" i="2"/>
  <c r="Q91" i="2"/>
  <c r="Q832" i="2"/>
  <c r="Q1550" i="2"/>
  <c r="Q712" i="2"/>
  <c r="Q311" i="2"/>
  <c r="Q627" i="2"/>
  <c r="Q917" i="2"/>
  <c r="Q544" i="2"/>
  <c r="Q515" i="2"/>
  <c r="Q1515" i="2"/>
  <c r="Q982" i="2"/>
  <c r="Q1320" i="2"/>
  <c r="Q458" i="2"/>
  <c r="Q1152" i="2"/>
  <c r="Q1063" i="2"/>
  <c r="Q1169" i="2"/>
  <c r="Q649" i="2"/>
  <c r="Q1205" i="2"/>
  <c r="Q708" i="2"/>
  <c r="Q1364" i="2"/>
  <c r="Q1200" i="2"/>
  <c r="Q228" i="2"/>
  <c r="Q156" i="2"/>
  <c r="Q1022" i="2"/>
  <c r="Q260" i="2"/>
  <c r="Q696" i="2"/>
  <c r="Q246" i="2"/>
  <c r="Q527" i="2"/>
  <c r="Q119" i="2"/>
  <c r="Q631" i="2"/>
  <c r="Q391" i="2"/>
  <c r="Q213" i="2"/>
  <c r="Q80" i="2"/>
  <c r="Q979" i="2"/>
  <c r="Q378" i="2"/>
  <c r="Q83" i="2"/>
  <c r="Q610" i="2"/>
  <c r="Q1270" i="2"/>
  <c r="Q635" i="2"/>
  <c r="Q1094" i="2"/>
  <c r="Q731" i="2"/>
  <c r="Q1563" i="2"/>
  <c r="Q359" i="2"/>
  <c r="Q478" i="2"/>
  <c r="Q805" i="2"/>
  <c r="Q1070" i="2"/>
  <c r="Q222" i="2"/>
  <c r="Q676" i="2"/>
  <c r="Q272" i="2"/>
  <c r="Q1389" i="2"/>
  <c r="Q1108" i="2"/>
  <c r="Q1213" i="2"/>
  <c r="Q1013" i="2"/>
  <c r="Q1509" i="2"/>
  <c r="Q1309" i="2"/>
  <c r="Q533" i="2"/>
  <c r="Q1282" i="2"/>
  <c r="Q867" i="2"/>
  <c r="Q1324" i="2"/>
  <c r="Q529" i="2"/>
  <c r="Q916" i="2"/>
  <c r="Q473" i="2"/>
  <c r="Q870" i="2"/>
  <c r="Q236" i="2"/>
  <c r="Q616" i="2"/>
  <c r="Q1307" i="2"/>
  <c r="Q357" i="2"/>
  <c r="Q885" i="2"/>
  <c r="Q283" i="2"/>
  <c r="Q551" i="2"/>
  <c r="Q237" i="2"/>
  <c r="Q788" i="2"/>
  <c r="Q508" i="2"/>
  <c r="Q251" i="2"/>
  <c r="Q392" i="2"/>
  <c r="Q934" i="2"/>
  <c r="Q286" i="2"/>
  <c r="Q620" i="2"/>
  <c r="Q678" i="2"/>
  <c r="Q190" i="2"/>
  <c r="Q918" i="2"/>
  <c r="Q687" i="2"/>
  <c r="Q645" i="2"/>
  <c r="Q341" i="2"/>
  <c r="Q1141" i="2"/>
  <c r="Q1167" i="2"/>
  <c r="Q572" i="2"/>
  <c r="Q554" i="2"/>
  <c r="Q786" i="2"/>
  <c r="Q1435" i="2"/>
  <c r="Q174" i="2"/>
  <c r="Q576" i="2"/>
  <c r="Q1240" i="2"/>
  <c r="Q1465" i="2"/>
  <c r="Q984" i="2"/>
  <c r="Q965" i="2"/>
  <c r="Q556" i="2"/>
  <c r="Q1398" i="2"/>
  <c r="Q130" i="2"/>
  <c r="Q29" i="2"/>
  <c r="Q692" i="2"/>
  <c r="Q578" i="2"/>
  <c r="Q1263" i="2"/>
  <c r="Q580" i="2"/>
  <c r="Q597" i="2"/>
  <c r="Q648" i="2"/>
  <c r="Q746" i="2"/>
  <c r="Q1247" i="2"/>
  <c r="Q868" i="2"/>
  <c r="Q402" i="2"/>
  <c r="Q87" i="2"/>
  <c r="Q1484" i="2"/>
  <c r="Q1552" i="2"/>
  <c r="Q764" i="2"/>
  <c r="Q1553" i="2"/>
  <c r="Q821" i="2"/>
  <c r="Q1027" i="2"/>
  <c r="Q511" i="2"/>
  <c r="Q1024" i="2"/>
  <c r="Q661" i="2"/>
  <c r="Q1155" i="2"/>
  <c r="Q778" i="2"/>
  <c r="Q523" i="2"/>
  <c r="Q569" i="2"/>
  <c r="Q25" i="2"/>
  <c r="Q186" i="2"/>
  <c r="Q1524" i="2"/>
  <c r="Q395" i="2"/>
  <c r="Q574" i="2"/>
  <c r="Q1399" i="2"/>
  <c r="Q1321" i="2"/>
  <c r="Q1347" i="2"/>
  <c r="Q96" i="2"/>
  <c r="Q193" i="2"/>
  <c r="Q896" i="2"/>
  <c r="Q619" i="2"/>
  <c r="Q390" i="2"/>
  <c r="Q723" i="2"/>
  <c r="Q1345" i="2"/>
  <c r="Q1105" i="2"/>
  <c r="Q1510" i="2"/>
  <c r="Q1084" i="2"/>
  <c r="Q688" i="2"/>
  <c r="Q922" i="2"/>
  <c r="Q127" i="2"/>
  <c r="Q1314" i="2"/>
  <c r="Q872" i="2"/>
  <c r="Q477" i="2"/>
  <c r="Q325" i="2"/>
  <c r="Q494" i="2"/>
  <c r="Q1491" i="2"/>
  <c r="Q913" i="2"/>
  <c r="Q1589" i="2"/>
  <c r="Q1443" i="2"/>
  <c r="Q818" i="2"/>
  <c r="Q1459" i="2"/>
  <c r="Q67" i="2"/>
  <c r="Q112" i="2"/>
  <c r="Q586" i="2"/>
  <c r="Q1577" i="2"/>
  <c r="Q229" i="2"/>
  <c r="Q1371" i="2"/>
  <c r="Q184" i="2"/>
  <c r="Q269" i="2"/>
  <c r="Q928" i="2"/>
  <c r="Q408" i="2"/>
  <c r="Q257" i="2"/>
  <c r="Q182" i="2"/>
  <c r="Q421" i="2"/>
  <c r="Q1030" i="2"/>
  <c r="Q550" i="2"/>
  <c r="Q60" i="2"/>
  <c r="Q1545" i="2"/>
  <c r="Q409" i="2"/>
  <c r="Q528" i="2"/>
  <c r="Q713" i="2"/>
  <c r="Q318" i="2"/>
  <c r="Q780" i="2"/>
  <c r="Q442" i="2"/>
  <c r="Q1032" i="2"/>
  <c r="Q463" i="2"/>
  <c r="Q1584" i="2"/>
  <c r="Q95" i="2"/>
  <c r="Q148" i="2"/>
  <c r="Q969" i="2"/>
  <c r="Q568" i="2"/>
  <c r="Q728" i="2"/>
  <c r="Q1179" i="2"/>
  <c r="Q871" i="2"/>
  <c r="Q1194" i="2"/>
  <c r="Q304" i="2"/>
  <c r="Q506" i="2"/>
  <c r="Q183" i="2"/>
  <c r="Q792" i="2"/>
  <c r="Q1211" i="2"/>
  <c r="Q1272" i="2"/>
  <c r="Q1045" i="2"/>
  <c r="Q387" i="2"/>
  <c r="Q1445" i="2"/>
  <c r="Q1092" i="2"/>
  <c r="Q289" i="2"/>
  <c r="Q164" i="2"/>
  <c r="Q1333" i="2"/>
  <c r="Q782" i="2"/>
  <c r="Q297" i="2"/>
  <c r="Q1265" i="2"/>
  <c r="Q748" i="2"/>
  <c r="Q1166" i="2"/>
  <c r="Q875" i="2"/>
  <c r="Q1325" i="2"/>
  <c r="Q1190" i="2"/>
  <c r="Q375" i="2"/>
  <c r="Q1100" i="2"/>
  <c r="Q489" i="2"/>
  <c r="Q808" i="2"/>
  <c r="Q519" i="2"/>
  <c r="Q323" i="2"/>
  <c r="Q1044" i="2"/>
  <c r="Q1494" i="2"/>
  <c r="Q947" i="2"/>
  <c r="Q427" i="2"/>
  <c r="Q752" i="2"/>
  <c r="Q1523" i="2"/>
  <c r="Q48" i="2"/>
  <c r="Q198" i="2"/>
  <c r="Q63" i="2"/>
  <c r="Q1456" i="2"/>
  <c r="Q791" i="2"/>
  <c r="Q424" i="2"/>
  <c r="Q1439" i="2"/>
  <c r="Q674" i="2"/>
  <c r="Q47" i="2"/>
  <c r="Q504" i="2"/>
  <c r="Q1221" i="2"/>
  <c r="Q175" i="2"/>
  <c r="Q525" i="2"/>
  <c r="Q1139" i="2"/>
  <c r="Q220" i="2"/>
  <c r="Q41" i="2"/>
  <c r="Q1147" i="2"/>
  <c r="Q89" i="2"/>
  <c r="Q1175" i="2"/>
  <c r="Q117" i="2"/>
  <c r="Q571" i="2"/>
  <c r="Q377" i="2"/>
  <c r="Q1229" i="2"/>
  <c r="Q604" i="2"/>
  <c r="Q1408" i="2"/>
  <c r="Q105" i="2"/>
  <c r="Q276" i="2"/>
  <c r="Q765" i="2"/>
  <c r="Q1498" i="2"/>
  <c r="Q912" i="2"/>
  <c r="Q366" i="2"/>
  <c r="Q1369" i="2"/>
  <c r="Q349" i="2"/>
  <c r="Q1316" i="2"/>
  <c r="Q1548" i="2"/>
  <c r="Q1348" i="2"/>
  <c r="Q241" i="2"/>
  <c r="Q1339" i="2"/>
  <c r="Q64" i="2"/>
  <c r="Q1490" i="2"/>
  <c r="Q1168" i="2"/>
  <c r="Q1239" i="2"/>
  <c r="Q1114" i="2"/>
  <c r="Q155" i="2"/>
  <c r="Q406" i="2"/>
  <c r="Q977" i="2"/>
  <c r="Q535" i="2"/>
  <c r="Q1578" i="2"/>
  <c r="Q1224" i="2"/>
  <c r="Q1222" i="2"/>
  <c r="Q1021" i="2"/>
  <c r="Q802" i="2"/>
  <c r="Q1330" i="2"/>
  <c r="Q1280" i="2"/>
  <c r="Q1463" i="2"/>
  <c r="Q790" i="2"/>
  <c r="Q760" i="2"/>
  <c r="Q877" i="2"/>
  <c r="Q397" i="2"/>
  <c r="Q1532" i="2"/>
  <c r="Q498" i="2"/>
  <c r="Q956" i="2"/>
  <c r="Q39" i="2"/>
  <c r="Q1296" i="2"/>
  <c r="Q1269" i="2"/>
  <c r="Q845" i="2"/>
  <c r="Q756" i="2"/>
  <c r="Q1413" i="2"/>
  <c r="Q345" i="2"/>
  <c r="Q948" i="2"/>
  <c r="Q681" i="2"/>
  <c r="Q373" i="2"/>
  <c r="Q675" i="2"/>
  <c r="Q274" i="2"/>
  <c r="Q1106" i="2"/>
  <c r="Q970" i="2"/>
  <c r="Q1442" i="2"/>
  <c r="Q1131" i="2"/>
  <c r="Q1500" i="2"/>
  <c r="Q1130" i="2"/>
  <c r="Q883" i="2"/>
  <c r="Q157" i="2"/>
  <c r="Q1305" i="2"/>
  <c r="Q887" i="2"/>
  <c r="Q1185" i="2"/>
  <c r="Q772" i="2"/>
  <c r="Q1097" i="2"/>
  <c r="Q1561" i="2"/>
  <c r="Q1207" i="2"/>
  <c r="Q1235" i="2"/>
  <c r="Q1525" i="2"/>
  <c r="Q491" i="2"/>
  <c r="Q302" i="2"/>
  <c r="Q340" i="2"/>
  <c r="Q347" i="2"/>
  <c r="Q628" i="2"/>
  <c r="Q1143" i="2"/>
  <c r="Q855" i="2"/>
  <c r="Q608" i="2"/>
  <c r="Q507" i="2"/>
  <c r="Q457" i="2"/>
  <c r="Q146" i="2"/>
  <c r="Q1104" i="2"/>
  <c r="Q1359" i="2"/>
  <c r="Q309" i="2"/>
  <c r="Q1418" i="2"/>
  <c r="Q1412" i="2"/>
  <c r="Q469" i="2"/>
  <c r="Q1223" i="2"/>
  <c r="Q211" i="2"/>
  <c r="Q208" i="2"/>
  <c r="Q170" i="2"/>
  <c r="Q435" i="2"/>
  <c r="Q464" i="2"/>
  <c r="Q1009" i="2"/>
  <c r="Q1310" i="2"/>
  <c r="Q1528" i="2"/>
  <c r="Q147" i="2"/>
  <c r="Q567" i="2"/>
  <c r="Q1111" i="2"/>
  <c r="Q667" i="2"/>
  <c r="Q943" i="2"/>
  <c r="Q1414" i="2"/>
  <c r="Q612" i="2"/>
  <c r="Q258" i="2"/>
  <c r="Q173" i="2"/>
  <c r="Q1277" i="2"/>
  <c r="Q952" i="2"/>
  <c r="Q536" i="2"/>
  <c r="Q1508" i="2"/>
  <c r="Q753" i="2"/>
  <c r="Q783" i="2"/>
  <c r="Q1253" i="2"/>
  <c r="Q940" i="2"/>
  <c r="Q1273" i="2"/>
  <c r="Q145" i="2"/>
  <c r="Q1585" i="2"/>
  <c r="Q278" i="2"/>
  <c r="Q1416" i="2"/>
  <c r="Q819" i="2"/>
  <c r="Q1016" i="2"/>
  <c r="Q762" i="2"/>
  <c r="Q1142" i="2"/>
  <c r="Q416" i="2"/>
  <c r="Q625" i="2"/>
  <c r="Q1565" i="2"/>
  <c r="Q789" i="2"/>
  <c r="Q266" i="2"/>
  <c r="Q640" i="2"/>
  <c r="Q624" i="2"/>
  <c r="Q403" i="2"/>
  <c r="Q1358" i="2"/>
  <c r="Q1115" i="2"/>
  <c r="Q1023" i="2"/>
  <c r="Q1278" i="2"/>
  <c r="Q1476" i="2"/>
  <c r="Q1579" i="2"/>
  <c r="Q1275" i="2"/>
  <c r="Q1469" i="2"/>
  <c r="Q365" i="2"/>
  <c r="Q1062" i="2"/>
  <c r="Q1410" i="2"/>
  <c r="Q58" i="2"/>
  <c r="Q893" i="2"/>
  <c r="Q594" i="2"/>
  <c r="Q563" i="2"/>
  <c r="Q954" i="2"/>
  <c r="Q856" i="2"/>
  <c r="Q1199" i="2"/>
  <c r="Q138" i="2"/>
  <c r="Q938" i="2"/>
  <c r="Q1049" i="2"/>
  <c r="Q374" i="2"/>
  <c r="Q1417" i="2"/>
  <c r="Q663" i="2"/>
  <c r="Q70" i="2"/>
  <c r="Q1590" i="2"/>
  <c r="Q248" i="2"/>
  <c r="Q445" i="2"/>
  <c r="Q363" i="2"/>
  <c r="Q113" i="2"/>
  <c r="Q1575" i="2"/>
  <c r="Q468" i="2"/>
  <c r="Q1334" i="2"/>
  <c r="Q426" i="2"/>
  <c r="Q1454" i="2"/>
  <c r="Q1245" i="2"/>
  <c r="Q717" i="2"/>
  <c r="Q265" i="2"/>
  <c r="Q1146" i="2"/>
  <c r="Q433" i="2"/>
  <c r="Q1513" i="2"/>
  <c r="Q1174" i="2"/>
  <c r="Q26" i="2"/>
  <c r="Q1036" i="2"/>
  <c r="Q158" i="2"/>
  <c r="Q253" i="2"/>
  <c r="Q486" i="2"/>
  <c r="Q726" i="2"/>
  <c r="Q1178" i="2"/>
  <c r="Q691" i="2"/>
  <c r="Q655" i="2"/>
  <c r="Q657" i="2"/>
  <c r="Q950" i="2"/>
  <c r="Q1420" i="2"/>
  <c r="Q966" i="2"/>
  <c r="Q936" i="2"/>
  <c r="Q1428" i="2"/>
  <c r="Q759" i="2"/>
  <c r="Q878" i="2"/>
  <c r="Q897" i="2"/>
  <c r="Q135" i="2"/>
  <c r="Q460" i="2"/>
  <c r="Q1170" i="2"/>
  <c r="Q1346" i="2"/>
  <c r="Q1315" i="2"/>
  <c r="Q1041" i="2"/>
  <c r="Q757" i="2"/>
  <c r="Q730" i="2"/>
  <c r="Q115" i="2"/>
  <c r="Q1425" i="2"/>
  <c r="Q673" i="2"/>
  <c r="Q1319" i="2"/>
  <c r="Q1163" i="2"/>
  <c r="Q1362" i="2"/>
  <c r="Q290" i="2"/>
  <c r="Q481" i="2"/>
  <c r="Q396" i="2"/>
  <c r="Q1376" i="2"/>
  <c r="Q1219" i="2"/>
  <c r="Q932" i="2"/>
  <c r="Q451" i="2"/>
  <c r="Q1157" i="2"/>
  <c r="Q437" i="2"/>
  <c r="Q327" i="2"/>
  <c r="Q203" i="2"/>
  <c r="Q798" i="2"/>
  <c r="Q1201" i="2"/>
  <c r="Q1061" i="2"/>
  <c r="Q1571" i="2"/>
  <c r="Q178" i="2"/>
  <c r="Q1068" i="2"/>
  <c r="Q888" i="2"/>
  <c r="Q682" i="2"/>
  <c r="Q1313" i="2"/>
  <c r="Q218" i="2"/>
  <c r="Q503" i="2"/>
  <c r="Q1554" i="2"/>
  <c r="Q322" i="2"/>
  <c r="Q522" i="2"/>
  <c r="Q1055" i="2"/>
  <c r="Q346" i="2"/>
  <c r="Q176" i="2"/>
  <c r="Q794" i="2"/>
  <c r="Q482" i="2"/>
  <c r="Q702" i="2"/>
  <c r="Q352" i="2"/>
  <c r="Q74" i="2"/>
  <c r="Q1450" i="2"/>
  <c r="Q351" i="2"/>
  <c r="Q968" i="2"/>
  <c r="Q758" i="2"/>
  <c r="Q537" i="2"/>
  <c r="Q205" i="2"/>
  <c r="Q1197" i="2"/>
  <c r="Q1122" i="2"/>
  <c r="Q852" i="2"/>
  <c r="Q1586" i="2"/>
  <c r="Q739" i="2"/>
  <c r="Q650" i="2"/>
  <c r="Q539" i="2"/>
  <c r="Q590" i="2"/>
  <c r="Q990" i="2"/>
  <c r="Q787" i="2"/>
  <c r="Q1447" i="2"/>
  <c r="Q350" i="2"/>
  <c r="Q412" i="2"/>
  <c r="Q1101" i="2"/>
  <c r="Q1102" i="2"/>
  <c r="Q734" i="2"/>
  <c r="Q716" i="2"/>
  <c r="Q28" i="2"/>
  <c r="Q1426" i="2"/>
  <c r="Q474" i="2"/>
  <c r="Q1323" i="2"/>
  <c r="Q139" i="2"/>
  <c r="Q394" i="2"/>
  <c r="Q1154" i="2"/>
  <c r="Q1246" i="2"/>
  <c r="Q32" i="2"/>
  <c r="Q603" i="2"/>
  <c r="Q559" i="2"/>
  <c r="Q1248" i="2"/>
  <c r="Q685" i="2"/>
  <c r="Q1595" i="2"/>
  <c r="Q1058" i="2"/>
  <c r="Q414" i="2"/>
  <c r="Q1004" i="2"/>
  <c r="Q1402" i="2"/>
  <c r="Q1478" i="2"/>
  <c r="Q618" i="2"/>
  <c r="Q224" i="2"/>
  <c r="Q137" i="2"/>
  <c r="Q167" i="2"/>
  <c r="Q370" i="2"/>
  <c r="Q501" i="2"/>
  <c r="Q221" i="2"/>
  <c r="Q509" i="2"/>
  <c r="Q488" i="2"/>
  <c r="Q518" i="2"/>
  <c r="Q1043" i="2"/>
  <c r="Q1374" i="2"/>
  <c r="Q487" i="2"/>
  <c r="Q1461" i="2"/>
  <c r="Q733" i="2"/>
  <c r="Q1204" i="2"/>
  <c r="Q1241" i="2"/>
  <c r="Q843" i="2"/>
  <c r="Q582" i="2"/>
  <c r="Q705" i="2"/>
  <c r="Q921" i="2"/>
  <c r="Q384" i="2"/>
  <c r="Q405" i="2"/>
  <c r="Q781" i="2"/>
  <c r="Q670" i="2"/>
  <c r="Q154" i="2"/>
  <c r="Q404" i="2"/>
  <c r="Q974" i="2"/>
  <c r="Q949" i="2"/>
  <c r="Q1226" i="2"/>
  <c r="Q1466" i="2"/>
  <c r="Q622" i="2"/>
  <c r="Q37" i="2"/>
  <c r="Q334" i="2"/>
  <c r="Q1227" i="2"/>
  <c r="Q737" i="2"/>
  <c r="Q1006" i="2"/>
  <c r="Q141" i="2"/>
  <c r="Q181" i="2"/>
  <c r="Q419" i="2"/>
  <c r="Q126" i="2"/>
  <c r="Q1140" i="2"/>
  <c r="Q745" i="2"/>
  <c r="Q1467" i="2"/>
  <c r="Q1189" i="2"/>
  <c r="Q684" i="2"/>
  <c r="Q570" i="2"/>
  <c r="Q1361" i="2"/>
  <c r="Q1460" i="2"/>
  <c r="Q558" i="2"/>
  <c r="Q1356" i="2"/>
  <c r="Q1306" i="2"/>
  <c r="Q900" i="2"/>
  <c r="Q385" i="2"/>
  <c r="Q337" i="2"/>
  <c r="Q362" i="2"/>
  <c r="Q1071" i="2"/>
  <c r="Q72" i="2"/>
  <c r="Q575" i="2"/>
  <c r="Q834" i="2"/>
  <c r="Q1159" i="2"/>
  <c r="Q1005" i="2"/>
  <c r="Q121" i="2"/>
  <c r="Q1040" i="2"/>
  <c r="Q1537" i="2"/>
  <c r="Q1082" i="2"/>
  <c r="Q669" i="2"/>
  <c r="Q1370" i="2"/>
  <c r="Q838" i="2"/>
  <c r="Q439" i="2"/>
  <c r="Q1534" i="2"/>
  <c r="Q1057" i="2"/>
  <c r="Q584" i="2"/>
  <c r="Q945" i="2"/>
  <c r="Q1096" i="2"/>
  <c r="Q815" i="2"/>
  <c r="Q243" i="2"/>
  <c r="Q1103" i="2"/>
  <c r="Q824" i="2"/>
  <c r="Q914" i="2"/>
  <c r="Q1559" i="2"/>
  <c r="Q201" i="2"/>
  <c r="Q1514" i="2"/>
  <c r="Q1171" i="2"/>
  <c r="Q1349" i="2"/>
  <c r="Q621" i="2"/>
  <c r="Q1386" i="2"/>
  <c r="Q1354" i="2"/>
  <c r="Q267" i="2"/>
  <c r="Q475" i="2"/>
  <c r="Q660" i="2"/>
  <c r="Q330" i="2"/>
  <c r="Q514" i="2"/>
  <c r="Q632" i="2"/>
  <c r="Q1113" i="2"/>
  <c r="Q361" i="2"/>
  <c r="Q638" i="2"/>
  <c r="Q1237" i="2"/>
  <c r="Q425" i="2"/>
  <c r="Q1332" i="2"/>
  <c r="Q1556" i="2"/>
  <c r="Q1243" i="2"/>
  <c r="Q120" i="2"/>
  <c r="Q250" i="2"/>
  <c r="Q553" i="2"/>
  <c r="Q929" i="2"/>
  <c r="Q413" i="2"/>
  <c r="Q393" i="2"/>
  <c r="Q1483" i="2"/>
  <c r="Q386" i="2"/>
  <c r="Q987" i="2"/>
  <c r="Q666" i="2"/>
  <c r="Q1448" i="2"/>
  <c r="Q1499" i="2"/>
  <c r="Q810" i="2"/>
  <c r="Q707" i="2"/>
  <c r="Q911" i="2"/>
  <c r="Q239" i="2"/>
  <c r="Q1390" i="2"/>
  <c r="Q275" i="2"/>
  <c r="Q161" i="2"/>
  <c r="Q436" i="2"/>
  <c r="Q1206" i="2"/>
  <c r="Q700" i="2"/>
  <c r="Q180" i="2"/>
  <c r="Q319" i="2"/>
  <c r="Q1582" i="2"/>
  <c r="Q292" i="2"/>
  <c r="Q344" i="2"/>
  <c r="Q1011" i="2"/>
  <c r="Q1544" i="2"/>
  <c r="Q1003" i="2"/>
  <c r="Q129" i="2"/>
  <c r="Q125" i="2"/>
  <c r="Q605" i="2"/>
  <c r="Q694" i="2"/>
  <c r="Q1393" i="2"/>
  <c r="Q1287" i="2"/>
  <c r="Q1250" i="2"/>
  <c r="Q581" i="2"/>
  <c r="Q456" i="2"/>
  <c r="Q894" i="2"/>
  <c r="Q31" i="2"/>
  <c r="Q1558" i="2"/>
  <c r="Q316" i="2"/>
  <c r="Q1195" i="2"/>
  <c r="Q1127" i="2"/>
  <c r="Q714" i="2"/>
  <c r="Q1462" i="2"/>
  <c r="Q980" i="2"/>
  <c r="Q775" i="2"/>
  <c r="Q1268" i="2"/>
  <c r="Q476" i="2"/>
  <c r="Q1176" i="2"/>
  <c r="Q454" i="2"/>
  <c r="Q1002" i="2"/>
  <c r="Q215" i="2"/>
  <c r="Q235" i="2"/>
  <c r="Q935" i="2"/>
  <c r="Q1522" i="2"/>
  <c r="Q1080" i="2"/>
  <c r="Q513" i="2"/>
  <c r="Q1540" i="2"/>
  <c r="Q1289" i="2"/>
  <c r="Q1304" i="2"/>
  <c r="Q516" i="2"/>
  <c r="Q865" i="2"/>
  <c r="Q293" i="2"/>
  <c r="Q1557" i="2"/>
  <c r="Q1203" i="2"/>
  <c r="Q172" i="2"/>
  <c r="Q770" i="2"/>
  <c r="Q1504" i="2"/>
  <c r="Q484" i="2"/>
  <c r="Q1081" i="2"/>
  <c r="Q493" i="2"/>
  <c r="Q268" i="2"/>
  <c r="Q1505" i="2"/>
  <c r="Q54" i="2"/>
  <c r="Q131" i="2"/>
  <c r="Q379" i="2"/>
  <c r="Q199" i="2"/>
  <c r="Q520" i="2"/>
  <c r="Q1177" i="2"/>
  <c r="Q296" i="2"/>
  <c r="Q1529" i="2"/>
  <c r="Q483" i="2"/>
  <c r="Q1294" i="2"/>
  <c r="Q259" i="2"/>
  <c r="Q629" i="2"/>
  <c r="Q1423" i="2"/>
  <c r="Q320" i="2"/>
  <c r="Q1546" i="2"/>
  <c r="Q300" i="2"/>
  <c r="Q1531" i="2"/>
  <c r="Q637" i="2"/>
  <c r="Q1506" i="2"/>
  <c r="Q844" i="2"/>
  <c r="Q750" i="2"/>
  <c r="Q1338" i="2"/>
  <c r="Q874" i="2"/>
  <c r="Q1158" i="2"/>
  <c r="Q718" i="2"/>
  <c r="Q169" i="2"/>
  <c r="Q876" i="2"/>
  <c r="Q776" i="2"/>
  <c r="Q1079" i="2"/>
  <c r="Q206" i="2"/>
  <c r="Q497" i="2"/>
  <c r="Q859" i="2"/>
  <c r="Q837" i="2"/>
  <c r="Q993" i="2"/>
  <c r="Q34" i="2"/>
  <c r="Q1165" i="2"/>
  <c r="Q46" i="2"/>
  <c r="Q958" i="2"/>
  <c r="Q907" i="2"/>
  <c r="Q1468" i="2"/>
  <c r="Q941" i="2"/>
  <c r="Q1271" i="2"/>
  <c r="Q953" i="2"/>
  <c r="Q1151" i="2"/>
  <c r="Q40" i="2"/>
  <c r="Q680" i="2"/>
  <c r="Q122" i="2"/>
  <c r="Q324" i="2"/>
  <c r="Q479" i="2"/>
  <c r="Q1087" i="2"/>
  <c r="Q839" i="2"/>
  <c r="Q142" i="2"/>
  <c r="Q1397" i="2"/>
  <c r="Q1380" i="2"/>
  <c r="Q962" i="2"/>
  <c r="Q444" i="2"/>
  <c r="Q1180" i="2"/>
  <c r="Q512" i="2"/>
  <c r="Q593" i="2"/>
  <c r="Q1555" i="2"/>
  <c r="Q1479" i="2"/>
  <c r="Q1214" i="2"/>
  <c r="Q925" i="2"/>
  <c r="Q1069" i="2"/>
  <c r="Q136" i="2"/>
  <c r="Q1547" i="2"/>
  <c r="Q446" i="2"/>
  <c r="Q1430" i="2"/>
  <c r="Q656" i="2"/>
  <c r="Q1429" i="2"/>
  <c r="Q847" i="2"/>
  <c r="Q1432" i="2"/>
  <c r="Q485" i="2"/>
  <c r="Q755" i="2"/>
  <c r="Q807" i="2"/>
  <c r="Q1581" i="2"/>
  <c r="Q1228" i="2"/>
  <c r="Q721" i="2"/>
  <c r="Q410" i="2"/>
  <c r="Q430" i="2"/>
  <c r="Q1486" i="2"/>
  <c r="Q1137" i="2"/>
  <c r="Q354" i="2"/>
  <c r="Q401" i="2"/>
  <c r="Q1118" i="2"/>
  <c r="Q233" i="2"/>
  <c r="Q671" i="2"/>
  <c r="Q623" i="2"/>
  <c r="Q1560" i="2"/>
  <c r="Q200" i="2"/>
  <c r="Q336" i="2"/>
  <c r="Q774" i="2"/>
  <c r="Q1129" i="2"/>
  <c r="Q495" i="2"/>
  <c r="Q1312" i="2"/>
  <c r="S1730" i="2" l="1"/>
  <c r="Q1729" i="2"/>
  <c r="T1729" i="2"/>
  <c r="T1730" i="2"/>
  <c r="Q1730" i="2"/>
  <c r="R1729" i="2"/>
  <c r="R1730" i="2"/>
  <c r="S1729" i="2"/>
  <c r="T1741" i="2"/>
  <c r="T1742" i="2"/>
  <c r="Q1741" i="2"/>
  <c r="Q1742" i="2"/>
  <c r="R1741" i="2"/>
  <c r="R1742" i="2"/>
  <c r="S1741" i="2"/>
  <c r="S1742" i="2"/>
  <c r="Q1735" i="2"/>
  <c r="T1735" i="2"/>
  <c r="T1736" i="2"/>
  <c r="R1735" i="2"/>
  <c r="Q1736" i="2"/>
  <c r="R1736" i="2"/>
  <c r="S1735" i="2"/>
  <c r="S1736" i="2"/>
  <c r="Q1739" i="2"/>
  <c r="T1739" i="2"/>
  <c r="T1738" i="2"/>
  <c r="Q1738" i="2"/>
  <c r="R1739" i="2"/>
  <c r="R1738" i="2"/>
  <c r="S1739" i="2"/>
  <c r="S1738" i="2"/>
  <c r="S1732" i="2"/>
  <c r="Q1733" i="2"/>
  <c r="T1733" i="2"/>
  <c r="T1732" i="2"/>
  <c r="R1733" i="2"/>
  <c r="Q1732" i="2"/>
  <c r="R1732" i="2"/>
  <c r="S1733" i="2"/>
  <c r="O1735" i="2"/>
  <c r="O1736" i="2"/>
  <c r="O1739" i="2"/>
  <c r="O1738" i="2"/>
  <c r="O1742" i="2"/>
  <c r="O1741" i="2"/>
  <c r="H1624" i="2"/>
  <c r="J1619" i="2"/>
  <c r="G1619" i="2"/>
  <c r="M1623" i="2"/>
  <c r="C1619" i="2"/>
  <c r="H1623" i="2"/>
  <c r="N1619" i="2"/>
  <c r="A1623" i="2"/>
  <c r="E1623" i="2"/>
  <c r="O1624" i="2"/>
  <c r="I1620" i="2"/>
  <c r="C1620" i="2"/>
  <c r="L1624" i="2"/>
  <c r="A1619" i="2"/>
  <c r="D1623" i="2"/>
  <c r="I1619" i="2"/>
  <c r="J1624" i="2"/>
  <c r="L1623" i="2"/>
  <c r="N1624" i="2"/>
  <c r="E1620" i="2"/>
  <c r="K1620" i="2"/>
  <c r="J1623" i="2"/>
  <c r="M1620" i="2"/>
  <c r="N1623" i="2"/>
  <c r="G1620" i="2"/>
  <c r="L1619" i="2"/>
  <c r="K1619" i="2"/>
  <c r="M1619" i="2"/>
  <c r="O1620" i="2"/>
  <c r="E1624" i="2"/>
  <c r="C1624" i="2"/>
  <c r="C1623" i="2"/>
  <c r="M1624" i="2"/>
  <c r="F1623" i="2"/>
  <c r="G1623" i="2"/>
  <c r="F1620" i="2"/>
  <c r="A1624" i="2"/>
  <c r="N1620" i="2"/>
  <c r="H1619" i="2"/>
  <c r="F1624" i="2"/>
  <c r="H1620" i="2"/>
  <c r="K1624" i="2"/>
  <c r="D1619" i="2"/>
  <c r="D1624" i="2"/>
  <c r="I1624" i="2"/>
  <c r="K1623" i="2"/>
  <c r="F1619" i="2"/>
  <c r="O1623" i="2"/>
  <c r="I1623" i="2"/>
  <c r="L1620" i="2"/>
  <c r="G1624" i="2"/>
  <c r="D1620" i="2"/>
  <c r="J1620" i="2"/>
  <c r="O1619" i="2"/>
  <c r="A1620" i="2"/>
  <c r="E1619" i="2"/>
  <c r="O1729" i="2"/>
  <c r="O1730" i="2"/>
  <c r="O1733" i="2"/>
  <c r="O1732" i="2"/>
  <c r="A1643" i="2"/>
  <c r="A1634" i="2"/>
  <c r="A1642" i="2"/>
  <c r="A1633" i="2"/>
  <c r="D1739" i="2"/>
  <c r="I1738" i="2"/>
  <c r="C1739" i="2"/>
  <c r="C1738" i="2"/>
  <c r="N1739" i="2"/>
  <c r="H1738" i="2"/>
  <c r="F1738" i="2"/>
  <c r="M1739" i="2"/>
  <c r="L1739" i="2"/>
  <c r="G1738" i="2"/>
  <c r="E1738" i="2"/>
  <c r="K1739" i="2"/>
  <c r="J1739" i="2"/>
  <c r="A1738" i="2"/>
  <c r="I1739" i="2"/>
  <c r="H1739" i="2"/>
  <c r="M1738" i="2"/>
  <c r="A1739" i="2"/>
  <c r="G1739" i="2"/>
  <c r="L1738" i="2"/>
  <c r="F1739" i="2"/>
  <c r="K1738" i="2"/>
  <c r="D1738" i="2"/>
  <c r="E1739" i="2"/>
  <c r="J1738" i="2"/>
  <c r="L1742" i="2"/>
  <c r="K1741" i="2"/>
  <c r="H1742" i="2"/>
  <c r="K1742" i="2"/>
  <c r="J1741" i="2"/>
  <c r="C1742" i="2"/>
  <c r="J1742" i="2"/>
  <c r="I1741" i="2"/>
  <c r="A1742" i="2"/>
  <c r="I1742" i="2"/>
  <c r="H1741" i="2"/>
  <c r="E1742" i="2"/>
  <c r="D1742" i="2"/>
  <c r="G1741" i="2"/>
  <c r="F1741" i="2"/>
  <c r="F1742" i="2"/>
  <c r="E1741" i="2"/>
  <c r="D1741" i="2"/>
  <c r="C1741" i="2"/>
  <c r="G1742" i="2"/>
  <c r="N1741" i="2"/>
  <c r="A1741" i="2"/>
  <c r="N1742" i="2"/>
  <c r="M1741" i="2"/>
  <c r="M1742" i="2"/>
  <c r="L1741" i="2"/>
  <c r="H1730" i="2"/>
  <c r="G1730" i="2"/>
  <c r="N1729" i="2"/>
  <c r="F1730" i="2"/>
  <c r="M1729" i="2"/>
  <c r="E1730" i="2"/>
  <c r="L1729" i="2"/>
  <c r="A1730" i="2"/>
  <c r="A1729" i="2"/>
  <c r="D1730" i="2"/>
  <c r="K1729" i="2"/>
  <c r="C1730" i="2"/>
  <c r="J1729" i="2"/>
  <c r="N1730" i="2"/>
  <c r="I1729" i="2"/>
  <c r="M1730" i="2"/>
  <c r="H1729" i="2"/>
  <c r="L1730" i="2"/>
  <c r="G1729" i="2"/>
  <c r="K1730" i="2"/>
  <c r="F1729" i="2"/>
  <c r="J1730" i="2"/>
  <c r="E1729" i="2"/>
  <c r="I1730" i="2"/>
  <c r="C1729" i="2"/>
  <c r="D1729" i="2"/>
  <c r="G1736" i="2"/>
  <c r="H1735" i="2"/>
  <c r="F1736" i="2"/>
  <c r="G1735" i="2"/>
  <c r="E1736" i="2"/>
  <c r="E1735" i="2"/>
  <c r="F1735" i="2"/>
  <c r="C1735" i="2"/>
  <c r="A1735" i="2"/>
  <c r="N1736" i="2"/>
  <c r="C1736" i="2"/>
  <c r="D1735" i="2"/>
  <c r="M1736" i="2"/>
  <c r="N1735" i="2"/>
  <c r="L1736" i="2"/>
  <c r="M1735" i="2"/>
  <c r="A1736" i="2"/>
  <c r="K1736" i="2"/>
  <c r="L1735" i="2"/>
  <c r="J1736" i="2"/>
  <c r="K1735" i="2"/>
  <c r="D1736" i="2"/>
  <c r="I1736" i="2"/>
  <c r="J1735" i="2"/>
  <c r="H1736" i="2"/>
  <c r="I1735" i="2"/>
  <c r="A1733" i="2"/>
  <c r="F1732" i="2"/>
  <c r="H1733" i="2"/>
  <c r="I1732" i="2"/>
  <c r="G1733" i="2"/>
  <c r="D1733" i="2"/>
  <c r="M1732" i="2"/>
  <c r="G1732" i="2"/>
  <c r="N1732" i="2"/>
  <c r="K1732" i="2"/>
  <c r="C1732" i="2"/>
  <c r="A1732" i="2"/>
  <c r="D1732" i="2"/>
  <c r="E1732" i="2"/>
  <c r="N1733" i="2"/>
  <c r="E1733" i="2"/>
  <c r="H1732" i="2"/>
  <c r="M1733" i="2"/>
  <c r="L1732" i="2"/>
  <c r="L1733" i="2"/>
  <c r="F1733" i="2"/>
  <c r="K1733" i="2"/>
  <c r="J1732" i="2"/>
  <c r="J1733" i="2"/>
  <c r="C1733" i="2"/>
  <c r="I1733" i="2"/>
  <c r="I1643" i="2"/>
  <c r="J1642" i="2"/>
  <c r="O1634" i="2"/>
  <c r="C1634" i="2"/>
  <c r="D1633" i="2"/>
  <c r="H1643" i="2"/>
  <c r="I1642" i="2"/>
  <c r="N1634" i="2"/>
  <c r="O1633" i="2"/>
  <c r="C1633" i="2"/>
  <c r="G1643" i="2"/>
  <c r="H1642" i="2"/>
  <c r="M1634" i="2"/>
  <c r="N1633" i="2"/>
  <c r="F1643" i="2"/>
  <c r="G1642" i="2"/>
  <c r="L1634" i="2"/>
  <c r="M1633" i="2"/>
  <c r="E1643" i="2"/>
  <c r="F1642" i="2"/>
  <c r="K1634" i="2"/>
  <c r="L1633" i="2"/>
  <c r="D1643" i="2"/>
  <c r="E1642" i="2"/>
  <c r="J1634" i="2"/>
  <c r="K1633" i="2"/>
  <c r="O1643" i="2"/>
  <c r="C1643" i="2"/>
  <c r="D1642" i="2"/>
  <c r="I1634" i="2"/>
  <c r="J1633" i="2"/>
  <c r="N1643" i="2"/>
  <c r="O1642" i="2"/>
  <c r="C1642" i="2"/>
  <c r="H1634" i="2"/>
  <c r="I1633" i="2"/>
  <c r="M1643" i="2"/>
  <c r="N1642" i="2"/>
  <c r="G1634" i="2"/>
  <c r="H1633" i="2"/>
  <c r="L1643" i="2"/>
  <c r="M1642" i="2"/>
  <c r="F1634" i="2"/>
  <c r="G1633" i="2"/>
  <c r="K1643" i="2"/>
  <c r="L1642" i="2"/>
  <c r="E1634" i="2"/>
  <c r="F1633" i="2"/>
  <c r="J1643" i="2"/>
  <c r="K1642" i="2"/>
  <c r="D1634" i="2"/>
  <c r="E1633" i="2"/>
</calcChain>
</file>

<file path=xl/sharedStrings.xml><?xml version="1.0" encoding="utf-8"?>
<sst xmlns="http://schemas.openxmlformats.org/spreadsheetml/2006/main" count="6504" uniqueCount="1747">
  <si>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</si>
  <si>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</si>
  <si>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</si>
  <si>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</si>
  <si>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</si>
  <si>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</si>
  <si>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</si>
  <si>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</si>
  <si>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</si>
  <si>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</si>
  <si>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</si>
  <si>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</si>
  <si>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</si>
  <si>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</si>
  <si>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</si>
  <si>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</si>
  <si>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</si>
  <si>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</si>
  <si>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</si>
  <si>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</si>
  <si>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</si>
  <si>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</si>
  <si>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</si>
  <si>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AVATAR_Chart-19_Fixed</t>
  </si>
  <si>
    <t>AVATAR_Math-28_Fixed</t>
  </si>
  <si>
    <t>ARJA_Math-84_Fixed</t>
  </si>
  <si>
    <t>FixMiner_Chart-1_Buggy</t>
  </si>
  <si>
    <t>kPAR_Closure-22_Repaired</t>
  </si>
  <si>
    <t>TBar_Lang-20_Buggy</t>
  </si>
  <si>
    <t>kPAR_Chart-8_Repaired</t>
  </si>
  <si>
    <t>Nopol_Math-87_Buggy</t>
  </si>
  <si>
    <t>DynaMoth_Math-105_Fixed</t>
  </si>
  <si>
    <t>SimFix_Math-71_Repaired</t>
  </si>
  <si>
    <t>FixMiner_Chart-4_Repaired</t>
  </si>
  <si>
    <t>kPAR_Lang-22_Repaired</t>
  </si>
  <si>
    <t>DynaMoth_Math-85_Buggy</t>
  </si>
  <si>
    <t>SimFix_Math-5_Repaired</t>
  </si>
  <si>
    <t>kPAR_Chart-5_Buggy</t>
  </si>
  <si>
    <t>FixMiner_Lang-10_Repaired</t>
  </si>
  <si>
    <t>FixMiner_Math-34_Repaired</t>
  </si>
  <si>
    <t>SimFix_Closure-38_Fixed</t>
  </si>
  <si>
    <t>TBar_Closure-66_Buggy</t>
  </si>
  <si>
    <t>AVATAR_Lang-6_Fixed</t>
  </si>
  <si>
    <t>kPAR_Math-80_Repaired</t>
  </si>
  <si>
    <t>FixMiner_Chart-17_Repaired</t>
  </si>
  <si>
    <t>TBar_Closure-35_Buggy</t>
  </si>
  <si>
    <t>TBar_Math-63_Fixed</t>
  </si>
  <si>
    <t>DynaMoth_Math-20_Buggy</t>
  </si>
  <si>
    <t>kPAR_Lang-18_Buggy</t>
  </si>
  <si>
    <t>Nopol_Math-85_Fixed</t>
  </si>
  <si>
    <t>kPAR_Lang-53_Repaired</t>
  </si>
  <si>
    <t>TBar_Chart-24_Fixed</t>
  </si>
  <si>
    <t>ARJA_Chart-7_Repaired</t>
  </si>
  <si>
    <t>ACS_Math-85_Fixed</t>
  </si>
  <si>
    <t>TBar_Chart-13_Fixed</t>
  </si>
  <si>
    <t>SimFix_Math-82_Fixed</t>
  </si>
  <si>
    <t>TBar_Lang-44_Fixed</t>
  </si>
  <si>
    <t>FixMiner_Math-35_Buggy</t>
  </si>
  <si>
    <t>DynaMoth_Math-49_Repaired</t>
  </si>
  <si>
    <t>SimFix_Closure-46_Buggy</t>
  </si>
  <si>
    <t>kPAR_Lang-63_Buggy</t>
  </si>
  <si>
    <t>FixMiner_Lang-58_Repaired</t>
  </si>
  <si>
    <t>SimFix_Math-59_Buggy</t>
  </si>
  <si>
    <t>FixMiner_Math-84_Fixed</t>
  </si>
  <si>
    <t>TBar_Math-50_Repaired</t>
  </si>
  <si>
    <t>TBar_Closure-102_Repaired</t>
  </si>
  <si>
    <t>DynaMoth_Chart-1_Repaired</t>
  </si>
  <si>
    <t>SimFix_Math-8_Fixed</t>
  </si>
  <si>
    <t>Nopol_Lang-44_Buggy</t>
  </si>
  <si>
    <t>TBar_Math-58_Fixed</t>
  </si>
  <si>
    <t>kPAR_Math-75_Fixed</t>
  </si>
  <si>
    <t>TBar_Closure-46_Fixed</t>
  </si>
  <si>
    <t>AVATAR_Closure-108_Repaired</t>
  </si>
  <si>
    <t>TBar_Lang-33_Fixed</t>
  </si>
  <si>
    <t>ACS_Math-85_Repaired</t>
  </si>
  <si>
    <t>ACS_Math-90_Fixed</t>
  </si>
  <si>
    <t>SimFix_Closure-21_Fixed</t>
  </si>
  <si>
    <t>SimFix_Closure-22_Repaired</t>
  </si>
  <si>
    <t>SimFix_Math-81_Buggy</t>
  </si>
  <si>
    <t>SimFix_Math-72_Buggy</t>
  </si>
  <si>
    <t>AVATAR_Lang-22_Buggy</t>
  </si>
  <si>
    <t>SimFix_Lang-12_Buggy</t>
  </si>
  <si>
    <t>Nopol_Math-88_Fixed</t>
  </si>
  <si>
    <t>Nopol_Math-18_Fixed</t>
  </si>
  <si>
    <t>ARJA_Lang-43_Buggy</t>
  </si>
  <si>
    <t>FixMiner_Lang-57_Fixed</t>
  </si>
  <si>
    <t>TBar_Math-5_Buggy</t>
  </si>
  <si>
    <t>AVATAR_Math-88_Buggy</t>
  </si>
  <si>
    <t>FixMiner_Closure-46_Fixed</t>
  </si>
  <si>
    <t>kPAR_Lang-20_Repaired</t>
  </si>
  <si>
    <t>Nopol_Chart-9_Repaired</t>
  </si>
  <si>
    <t>TBar_Mockito-26_Repaired</t>
  </si>
  <si>
    <t>FixMiner_Math-95_Repaired</t>
  </si>
  <si>
    <t>kPAR_Math-50_Buggy</t>
  </si>
  <si>
    <t>FixMiner_Math-81_Repaired</t>
  </si>
  <si>
    <t>kPAR_Closure-21_Fixed</t>
  </si>
  <si>
    <t>SimFix_Closure-11_Fixed</t>
  </si>
  <si>
    <t>TBar_Math-5_Fixed</t>
  </si>
  <si>
    <t>AVATAR_Chart-5_Buggy</t>
  </si>
  <si>
    <t>SimFix_Closure-11_Buggy</t>
  </si>
  <si>
    <t>ARJA_Closure-86_Fixed</t>
  </si>
  <si>
    <t>AVATAR_Math-82_Fixed</t>
  </si>
  <si>
    <t>Nopol_Math-88_Buggy</t>
  </si>
  <si>
    <t>AVATAR_Mockito-29_Fixed</t>
  </si>
  <si>
    <t>kPAR_Lang-58_Repaired</t>
  </si>
  <si>
    <t>TBar_Chart-5_Fixed</t>
  </si>
  <si>
    <t>DynaMoth_Math-8_Fixed</t>
  </si>
  <si>
    <t>kPAR_Lang-24_Fixed</t>
  </si>
  <si>
    <t>SimFix_Lang-63_Buggy</t>
  </si>
  <si>
    <t>kPAR_Math-42_Fixed</t>
  </si>
  <si>
    <t>kPAR_Closure-10_Repaired</t>
  </si>
  <si>
    <t>AVATAR_Math-95_Repaired</t>
  </si>
  <si>
    <t>TBar_Math-15_Buggy</t>
  </si>
  <si>
    <t>kPAR_Lang-58_Fixed</t>
  </si>
  <si>
    <t>AVATAR_Chart-1_Buggy</t>
  </si>
  <si>
    <t>SimFix_Math-57_Fixed</t>
  </si>
  <si>
    <t>TBar_Closure-46_Repaired</t>
  </si>
  <si>
    <t>kPAR_Math-70_Buggy</t>
  </si>
  <si>
    <t>SimFix_Lang-61_Repaired</t>
  </si>
  <si>
    <t>kPAR_Chart-26_Fixed</t>
  </si>
  <si>
    <t>FixMiner_Math-35_Fixed</t>
  </si>
  <si>
    <t>AVATAR_Mockito-29_Repaired</t>
  </si>
  <si>
    <t>SimFix_Math-50_Buggy</t>
  </si>
  <si>
    <t>ARJA_Closure-112_Repaired</t>
  </si>
  <si>
    <t>TBar_Lang-26_Buggy</t>
  </si>
  <si>
    <t>FixMiner_Math-79_Buggy</t>
  </si>
  <si>
    <t>TBar_Math-88_Repaired</t>
  </si>
  <si>
    <t>SimFix_Math-53_Repaired</t>
  </si>
  <si>
    <t>SimFix_Math-84_Repaired</t>
  </si>
  <si>
    <t>SimFix_Math-57_Buggy</t>
  </si>
  <si>
    <t>Nopol_Chart-25_Fixed</t>
  </si>
  <si>
    <t>AVATAR_Chart-1_Repaired</t>
  </si>
  <si>
    <t>ARJA_Closure-125_Buggy</t>
  </si>
  <si>
    <t>ARJA_Math-28_Buggy</t>
  </si>
  <si>
    <t>ACS_Math-93_Repaired</t>
  </si>
  <si>
    <t>kPAR_Math-58_Repaired</t>
  </si>
  <si>
    <t>DynaMoth_Chart-25_Fixed</t>
  </si>
  <si>
    <t>FixMiner_Math-64_Fixed</t>
  </si>
  <si>
    <t>TBar_Closure-35_Fixed</t>
  </si>
  <si>
    <t>ARJA_Math-88_Fixed</t>
  </si>
  <si>
    <t>TBar_Chart-20_Repaired</t>
  </si>
  <si>
    <t>kPAR_Math-84_Buggy</t>
  </si>
  <si>
    <t>TBar_Closure-4_Buggy</t>
  </si>
  <si>
    <t>SimFix_Chart-1_Buggy</t>
  </si>
  <si>
    <t>ACS_Math-99_Repaired</t>
  </si>
  <si>
    <t>TBar_Chart-12_Repaired</t>
  </si>
  <si>
    <t>ARJA_Math-81_Buggy</t>
  </si>
  <si>
    <t>ARJA_Closure-55_Fixed</t>
  </si>
  <si>
    <t>FixMiner_Math-80_Repaired</t>
  </si>
  <si>
    <t>FixMiner_Closure-13_Fixed</t>
  </si>
  <si>
    <t>Nopol_Math-50_Repaired</t>
  </si>
  <si>
    <t>AVATAR_Lang-57_Fixed</t>
  </si>
  <si>
    <t>kPAR_Math-58_Fixed</t>
  </si>
  <si>
    <t>kPAR_Lang-22_Buggy</t>
  </si>
  <si>
    <t>kPAR_Closure-10_Fixed</t>
  </si>
  <si>
    <t>SimFix_Lang-45_Repaired</t>
  </si>
  <si>
    <t>FixMiner_Math-34_Fixed</t>
  </si>
  <si>
    <t>kPAR_Lang-51_Buggy</t>
  </si>
  <si>
    <t>ARJA_Lang-59_Buggy</t>
  </si>
  <si>
    <t>TBar_Chart-1_Fixed</t>
  </si>
  <si>
    <t>AVATAR_Chart-25_Fixed</t>
  </si>
  <si>
    <t>FixMiner_Chart-13_Buggy</t>
  </si>
  <si>
    <t>AVATAR_Chart-24_Repaired</t>
  </si>
  <si>
    <t>ARJA_Closure-124_Fixed</t>
  </si>
  <si>
    <t>SimFix_Lang-43_Fixed</t>
  </si>
  <si>
    <t>TBar_Lang-43_Fixed</t>
  </si>
  <si>
    <t>AVATAR_Math-95_Fixed</t>
  </si>
  <si>
    <t>FixMiner_Lang-22_Repaired</t>
  </si>
  <si>
    <t>kPAR_Math-7_Repaired</t>
  </si>
  <si>
    <t>Nopol_Lang-46_Fixed</t>
  </si>
  <si>
    <t>ARJA_Chart-1_Buggy</t>
  </si>
  <si>
    <t>kPAR_Math-40_Fixed</t>
  </si>
  <si>
    <t>TBar_Math-15_Fixed</t>
  </si>
  <si>
    <t>kPAR_Chart-8_Buggy</t>
  </si>
  <si>
    <t>ACS_Math-81_Buggy</t>
  </si>
  <si>
    <t>SimFix_Lang-60_Repaired</t>
  </si>
  <si>
    <t>kPAR_Chart-4_Buggy</t>
  </si>
  <si>
    <t>kPAR_Chart-17_Buggy</t>
  </si>
  <si>
    <t>kPAR_Closure-46_Buggy</t>
  </si>
  <si>
    <t>SimFix_Closure-14_Fixed</t>
  </si>
  <si>
    <t>kPAR_Closure-73_Fixed</t>
  </si>
  <si>
    <t>kPAR_Lang-20_Buggy</t>
  </si>
  <si>
    <t>TBar_Math-84_Fixed</t>
  </si>
  <si>
    <t>kPAR_Math-8_Repaired</t>
  </si>
  <si>
    <t>kPAR_Chart-13_Buggy</t>
  </si>
  <si>
    <t>kPAR_Math-89_Fixed</t>
  </si>
  <si>
    <t>FixMiner_Closure-62_Fixed</t>
  </si>
  <si>
    <t>SimFix_Closure-11_Repaired</t>
  </si>
  <si>
    <t>AVATAR_Lang-27_Fixed</t>
  </si>
  <si>
    <t>SimFix_Lang-41_Buggy</t>
  </si>
  <si>
    <t>SimFix_Lang-33_Repaired</t>
  </si>
  <si>
    <t>TBar_Math-96_Buggy</t>
  </si>
  <si>
    <t>kPAR_Chart-19_Buggy</t>
  </si>
  <si>
    <t>TBar_Lang-24_Fixed</t>
  </si>
  <si>
    <t>TBar_Closure-40_Repaired</t>
  </si>
  <si>
    <t>DynaMoth_Math-97_Repaired</t>
  </si>
  <si>
    <t>TBar_Math-88_Fixed</t>
  </si>
  <si>
    <t>DynaMoth_Lang-55_Buggy</t>
  </si>
  <si>
    <t>FixMiner_Lang-58_Buggy</t>
  </si>
  <si>
    <t>ARJA_Closure-55_Repaired</t>
  </si>
  <si>
    <t>kPAR_Chart-17_Fixed</t>
  </si>
  <si>
    <t>TBar_Chart-4_Fixed</t>
  </si>
  <si>
    <t>TBar_Lang-63_Repaired</t>
  </si>
  <si>
    <t>Nopol_Chart-13_Repaired</t>
  </si>
  <si>
    <t>AVATAR_Lang-39_Repaired</t>
  </si>
  <si>
    <t>FixMiner_Chart-24_Repaired</t>
  </si>
  <si>
    <t>TBar_Math-88_Buggy</t>
  </si>
  <si>
    <t>FixMiner_Math-85_Buggy</t>
  </si>
  <si>
    <t>SimFix_Math-70_Buggy</t>
  </si>
  <si>
    <t>TBar_Chart-11_Buggy</t>
  </si>
  <si>
    <t>TBar_Math-95_Repaired</t>
  </si>
  <si>
    <t>kPAR_Closure-40_Fixed</t>
  </si>
  <si>
    <t>AVATAR_Chart-19_Buggy</t>
  </si>
  <si>
    <t>kPAR_Math-70_Repaired</t>
  </si>
  <si>
    <t>AVATAR_Closure-21_Buggy</t>
  </si>
  <si>
    <t>TBar_Chart-25_Repaired</t>
  </si>
  <si>
    <t>ARJA_Chart-13_Repaired</t>
  </si>
  <si>
    <t>TBar_Lang-18_Fixed</t>
  </si>
  <si>
    <t>AVATAR_Lang-59_Fixed</t>
  </si>
  <si>
    <t>ARJA_Lang-46_Repaired</t>
  </si>
  <si>
    <t>FixMiner_Math-82_Repaired</t>
  </si>
  <si>
    <t>Nopol_Math-33_Fixed</t>
  </si>
  <si>
    <t>kPAR_Math-81_Fixed</t>
  </si>
  <si>
    <t>kPAR_Closure-10_Buggy</t>
  </si>
  <si>
    <t>kPAR_Closure-21_Repaired</t>
  </si>
  <si>
    <t>FixMiner_Closure-73_Repaired</t>
  </si>
  <si>
    <t>kPAR_Lang-18_Fixed</t>
  </si>
  <si>
    <t>AVATAR_Closure-45_Fixed</t>
  </si>
  <si>
    <t>FixMiner_Math-85_Repaired</t>
  </si>
  <si>
    <t>kPAR_Closure-11_Fixed</t>
  </si>
  <si>
    <t>SimFix_Math-8_Buggy</t>
  </si>
  <si>
    <t>kPAR_Lang-57_Fixed</t>
  </si>
  <si>
    <t>kPAR_Math-62_Fixed</t>
  </si>
  <si>
    <t>kPAR_Math-7_Buggy</t>
  </si>
  <si>
    <t>TBar_Closure-4_Repaired</t>
  </si>
  <si>
    <t>SimFix_Math-69_Repaired</t>
  </si>
  <si>
    <t>ARJA_Math-53_Fixed</t>
  </si>
  <si>
    <t>SimFix_Closure-14_Buggy</t>
  </si>
  <si>
    <t>AVATAR_Lang-57_Repaired</t>
  </si>
  <si>
    <t>TBar_Math-84_Buggy</t>
  </si>
  <si>
    <t>ARJA_Lang-50_Buggy</t>
  </si>
  <si>
    <t>FixMiner_Math-64_Repaired</t>
  </si>
  <si>
    <t>kPAR_Lang-16_Repaired</t>
  </si>
  <si>
    <t>AVATAR_Closure-22_Buggy</t>
  </si>
  <si>
    <t>AVATAR_Closure-2_Buggy</t>
  </si>
  <si>
    <t>FixMiner_Chart-4_Fixed</t>
  </si>
  <si>
    <t>TBar_Mockito-38_Repaired</t>
  </si>
  <si>
    <t>kPAR_Lang-45_Buggy</t>
  </si>
  <si>
    <t>FixMiner_Chart-17_Fixed</t>
  </si>
  <si>
    <t>kPAR_Closure-35_Buggy</t>
  </si>
  <si>
    <t>TBar_Closure-21_Fixed</t>
  </si>
  <si>
    <t>Nopol_Math-20_Fixed</t>
  </si>
  <si>
    <t>kPAR_Lang-59_Repaired</t>
  </si>
  <si>
    <t>DynaMoth_Lang-46_Repaired</t>
  </si>
  <si>
    <t>kPAR_Chart-8_Fixed</t>
  </si>
  <si>
    <t>kPAR_Lang-43_Fixed</t>
  </si>
  <si>
    <t>kPAR_Closure-73_Repaired</t>
  </si>
  <si>
    <t>AVATAR_Closure-45_Buggy</t>
  </si>
  <si>
    <t>TBar_Math-81_Repaired</t>
  </si>
  <si>
    <t>Nopol_Lang-53_Repaired</t>
  </si>
  <si>
    <t>Nopol_Math-50_Buggy</t>
  </si>
  <si>
    <t>ARJA_Lang-46_Fixed</t>
  </si>
  <si>
    <t>TBar_Math-82_Buggy</t>
  </si>
  <si>
    <t>kPAR_Closure-38_Fixed</t>
  </si>
  <si>
    <t>TBar_Chart-12_Buggy</t>
  </si>
  <si>
    <t>FixMiner_Chart-11_Buggy</t>
  </si>
  <si>
    <t>TBar_Math-58_Buggy</t>
  </si>
  <si>
    <t>kPAR_Math-80_Fixed</t>
  </si>
  <si>
    <t>TBar_Math-79_Fixed</t>
  </si>
  <si>
    <t>ARJA_Lang-16_Fixed</t>
  </si>
  <si>
    <t>TBar_Math-15_Repaired</t>
  </si>
  <si>
    <t>Nopol_Math-20_Repaired</t>
  </si>
  <si>
    <t>DynaMoth_Lang-51_Repaired</t>
  </si>
  <si>
    <t>TBar_Chart-24_Repaired</t>
  </si>
  <si>
    <t>TBar_Lang-51_Repaired</t>
  </si>
  <si>
    <t>Nopol_Math-81_Buggy</t>
  </si>
  <si>
    <t>TBar_Lang-59_Repaired</t>
  </si>
  <si>
    <t>SimFix_Closure-125_Buggy</t>
  </si>
  <si>
    <t>ARJA_Closure-21_Buggy</t>
  </si>
  <si>
    <t>AVATAR_Closure-66_Fixed</t>
  </si>
  <si>
    <t>TBar_Mockito-29_Fixed</t>
  </si>
  <si>
    <t>TBar_Closure-10_Buggy</t>
  </si>
  <si>
    <t>Nopol_Math-7_Fixed</t>
  </si>
  <si>
    <t>kPAR_Closure-70_Repaired</t>
  </si>
  <si>
    <t>kPAR_Closure-125_Buggy</t>
  </si>
  <si>
    <t>ARJA_Lang-50_Repaired</t>
  </si>
  <si>
    <t>ARJA_Math-85_Repaired</t>
  </si>
  <si>
    <t>ACS_Chart-19_Repaired</t>
  </si>
  <si>
    <t>kPAR_Closure-2_Repaired</t>
  </si>
  <si>
    <t>ARJA_Math-49_Repaired</t>
  </si>
  <si>
    <t>ARJA_Closure-114_Buggy</t>
  </si>
  <si>
    <t>kPAR_Math-85_Fixed</t>
  </si>
  <si>
    <t>AVATAR_Lang-20_Buggy</t>
  </si>
  <si>
    <t>kPAR_Lang-16_Fixed</t>
  </si>
  <si>
    <t>FixMiner_Math-97_Buggy</t>
  </si>
  <si>
    <t>DynaMoth_Lang-55_Fixed</t>
  </si>
  <si>
    <t>SimFix_Lang-33_Buggy</t>
  </si>
  <si>
    <t>kPAR_Math-15_Repaired</t>
  </si>
  <si>
    <t>TBar_Lang-13_Buggy</t>
  </si>
  <si>
    <t>ARJA_Math-49_Fixed</t>
  </si>
  <si>
    <t>TBar_Mockito-38_Fixed</t>
  </si>
  <si>
    <t>ACS_Math-28_Fixed</t>
  </si>
  <si>
    <t>TBar_Lang-10_Buggy</t>
  </si>
  <si>
    <t>TBar_Lang-59_Fixed</t>
  </si>
  <si>
    <t>ARJA_Math-88_Repaired</t>
  </si>
  <si>
    <t>AVATAR_Time-18_Repaired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</si>
  <si>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</si>
  <si>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</si>
  <si>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</si>
  <si>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</si>
  <si>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</si>
  <si>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</si>
  <si>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kPAR_Lang-21_Fixed</t>
  </si>
  <si>
    <t>AVATAR_Closure-73_Repaired</t>
  </si>
  <si>
    <t>SimFix_Lang-50_Fixed</t>
  </si>
  <si>
    <t>SimFix_Math-70_Repaired</t>
  </si>
  <si>
    <t>ACS_Math-81_Fixed</t>
  </si>
  <si>
    <t>SimFix_Math-85_Fixed</t>
  </si>
  <si>
    <t>TBar_Math-95_Buggy</t>
  </si>
  <si>
    <t>FixMiner_Math-20_Fixed</t>
  </si>
  <si>
    <t>SimFix_Math-82_Repaired</t>
  </si>
  <si>
    <t>FixMiner_Math-57_Fixed</t>
  </si>
  <si>
    <t>ARJA_Math-95_Buggy</t>
  </si>
  <si>
    <t>SimFix_Math-53_Buggy</t>
  </si>
  <si>
    <t>FixMiner_Chart-13_Fixed</t>
  </si>
  <si>
    <t>kPAR_Closure-40_Buggy</t>
  </si>
  <si>
    <t>TBar_Chart-26_Fixed</t>
  </si>
  <si>
    <t>AVATAR_Closure-38_Repaired</t>
  </si>
  <si>
    <t>SimFix_Lang-58_Buggy</t>
  </si>
  <si>
    <t>FixMiner_Math-75_Repaired</t>
  </si>
  <si>
    <t>ARJA_Math-53_Buggy</t>
  </si>
  <si>
    <t>AVATAR_Lang-22_Repaired</t>
  </si>
  <si>
    <t>FixMiner_Math-34_Buggy</t>
  </si>
  <si>
    <t>FixMiner_Mockito-38_Fixed</t>
  </si>
  <si>
    <t>ARJA_Math-58_Buggy</t>
  </si>
  <si>
    <t>AVATAR_Closure-48_Repaired</t>
  </si>
  <si>
    <t>FixMiner_Math-82_Buggy</t>
  </si>
  <si>
    <t>ACS_Math-97_Fixed</t>
  </si>
  <si>
    <t>kPAR_Math-82_Repaired</t>
  </si>
  <si>
    <t>AVATAR_Lang-20_Fixed</t>
  </si>
  <si>
    <t>kPAR_Closure-115_Fixed</t>
  </si>
  <si>
    <t>SimFix_Math-63_Fixed</t>
  </si>
  <si>
    <t>DynaMoth_Math-20_Repaired</t>
  </si>
  <si>
    <t>SimFix_Closure-6_Repaired</t>
  </si>
  <si>
    <t>kPAR_Closure-2_Fixed</t>
  </si>
  <si>
    <t>ACS_Lang-35_Fixed</t>
  </si>
  <si>
    <t>SimFix_Chart-22_Fixed</t>
  </si>
  <si>
    <t>kPAR_Lang-57_Repaired</t>
  </si>
  <si>
    <t>kPAR_Lang-27_Buggy</t>
  </si>
  <si>
    <t>TBar_Chart-13_Repaired</t>
  </si>
  <si>
    <t>DynaMoth_Math-32_Buggy</t>
  </si>
  <si>
    <t>SimFix_Lang-39_Fixed</t>
  </si>
  <si>
    <t>kPAR_Lang-53_Fixed</t>
  </si>
  <si>
    <t>FixMiner_Lang-56_Fixed</t>
  </si>
  <si>
    <t>TBar_Chart-20_Fixed</t>
  </si>
  <si>
    <t>FixMiner_Chart-11_Repaired</t>
  </si>
  <si>
    <t>AVATAR_Math-50_Buggy</t>
  </si>
  <si>
    <t>kPAR_Lang-10_Repaired</t>
  </si>
  <si>
    <t>kPAR_Math-70_Fixed</t>
  </si>
  <si>
    <t>FixMiner_Chart-17_Buggy</t>
  </si>
  <si>
    <t>AVATAR_Lang-63_Fixed</t>
  </si>
  <si>
    <t>TBar_Math-80_Repaired</t>
  </si>
  <si>
    <t>TBar_Lang-43_Buggy</t>
  </si>
  <si>
    <t>ACS_Math-82_Buggy</t>
  </si>
  <si>
    <t>TBar_Closure-38_Fixed</t>
  </si>
  <si>
    <t>Nopol_Math-18_Repaired</t>
  </si>
  <si>
    <t>ACS_Math-82_Fixed</t>
  </si>
  <si>
    <t>kPAR_Math-43_Fixed</t>
  </si>
  <si>
    <t>SimFix_Closure-62_Repaired</t>
  </si>
  <si>
    <t>kPAR_Closure-35_Repaired</t>
  </si>
  <si>
    <t>TBar_Lang-20_Repaired</t>
  </si>
  <si>
    <t>ARJA_Chart-5_Fixed</t>
  </si>
  <si>
    <t>TBar_Math-85_Repaired</t>
  </si>
  <si>
    <t>SimFix_Math-71_Fixed</t>
  </si>
  <si>
    <t>TBar_Lang-47_Fixed</t>
  </si>
  <si>
    <t>kPAR_Math-15_Fixed</t>
  </si>
  <si>
    <t>FixMiner_Math-50_Buggy</t>
  </si>
  <si>
    <t>Nopol_Chart-25_Repaired</t>
  </si>
  <si>
    <t>kPAR_Closure-46_Fixed</t>
  </si>
  <si>
    <t>TBar_Closure-22_Repaired</t>
  </si>
  <si>
    <t>TBar_Math-70_Repaired</t>
  </si>
  <si>
    <t>Nopol_Math-33_Repaired</t>
  </si>
  <si>
    <t>kPAR_Lang-41_Repaired</t>
  </si>
  <si>
    <t>AVATAR_Closure-21_Repaired</t>
  </si>
  <si>
    <t>TBar_Math-85_Buggy</t>
  </si>
  <si>
    <t>TBar_Math-80_Buggy</t>
  </si>
  <si>
    <t>Nopol_Math-18_Buggy</t>
  </si>
  <si>
    <t>FixMiner_Chart-4_Buggy</t>
  </si>
  <si>
    <t>ARJA_Closure-88_Repaired</t>
  </si>
  <si>
    <t>DynaMoth_Math-88_Buggy</t>
  </si>
  <si>
    <t>FixMiner_Mockito-38_Buggy</t>
  </si>
  <si>
    <t>ARJA_Lang-63_Repaired</t>
  </si>
  <si>
    <t>SimFix_Lang-1_Buggy</t>
  </si>
  <si>
    <t>ACS_Math-73_Repaired</t>
  </si>
  <si>
    <t>FixMiner_Mockito-29_Repaired</t>
  </si>
  <si>
    <t>FixMiner_Lang-19_Repaired</t>
  </si>
  <si>
    <t>TBar_Math-89_Repaired</t>
  </si>
  <si>
    <t>kPAR_Math-42_Repaired</t>
  </si>
  <si>
    <t>AVATAR_Chart-1_Fixed</t>
  </si>
  <si>
    <t>FixMiner_Closure-46_Buggy</t>
  </si>
  <si>
    <t>DynaMoth_Math-101_Repaired</t>
  </si>
  <si>
    <t>AVATAR_Chart-7_Buggy</t>
  </si>
  <si>
    <t>SimFix_Lang-39_Repaired</t>
  </si>
  <si>
    <t>AVATAR_Chart-4_Buggy</t>
  </si>
  <si>
    <t>AVATAR_Chart-25_Buggy</t>
  </si>
  <si>
    <t>TBar_Mockito-29_Repaired</t>
  </si>
  <si>
    <t>kPAR_Closure-70_Fixed</t>
  </si>
  <si>
    <t>TBar_Chart-7_Fixed</t>
  </si>
  <si>
    <t>SimFix_Lang-27_Fixed</t>
  </si>
  <si>
    <t>kPAR_Lang-21_Buggy</t>
  </si>
  <si>
    <t>Nopol_Math-42_Buggy</t>
  </si>
  <si>
    <t>SimFix_Math-69_Buggy</t>
  </si>
  <si>
    <t>TBar_Lang-58_Repaired</t>
  </si>
  <si>
    <t>AVATAR_Math-80_Fixed</t>
  </si>
  <si>
    <t>Nopol_Math-82_Fixed</t>
  </si>
  <si>
    <t>kPAR_Lang-57_Buggy</t>
  </si>
  <si>
    <t>ARJA_Closure-112_Buggy</t>
  </si>
  <si>
    <t>ARJA_Math-81_Fixed</t>
  </si>
  <si>
    <t>kPAR_Lang-10_Fixed</t>
  </si>
  <si>
    <t>kPAR_Math-84_Fixed</t>
  </si>
  <si>
    <t>TBar_Closure-62_Fixed</t>
  </si>
  <si>
    <t>ARJA_Math-35_Repaired</t>
  </si>
  <si>
    <t>FixMiner_Chart-19_Repaired</t>
  </si>
  <si>
    <t>Nopol_Math-42_Fixed</t>
  </si>
  <si>
    <t>TBar_Math-57_Fixed</t>
  </si>
  <si>
    <t>FixMiner_Closure-10_Fixed</t>
  </si>
  <si>
    <t>SimFix_Math-35_Repaired</t>
  </si>
  <si>
    <t>TBar_Closure-35_Repaired</t>
  </si>
  <si>
    <t>FixMiner_Lang-63_Buggy</t>
  </si>
  <si>
    <t>SimFix_Lang-27_Buggy</t>
  </si>
  <si>
    <t>ARJA_Math-50_Fixed</t>
  </si>
  <si>
    <t>SimFix_Math-75_Fixed</t>
  </si>
  <si>
    <t>FixMiner_Math-33_Buggy</t>
  </si>
  <si>
    <t>Nopol_Math-87_Fixed</t>
  </si>
  <si>
    <t>kPAR_Math-8_Buggy</t>
  </si>
  <si>
    <t>kPAR_Chart-17_Repaired</t>
  </si>
  <si>
    <t>FixMiner_Chart-26_Fixed</t>
  </si>
  <si>
    <t>AVATAR_Closure-38_Buggy</t>
  </si>
  <si>
    <t>FixMiner_Lang-56_Buggy</t>
  </si>
  <si>
    <t>ARJA_Lang-43_Fixed</t>
  </si>
  <si>
    <t>TBar_Lang-7_Fixed</t>
  </si>
  <si>
    <t>ARJA_Math-56_Buggy</t>
  </si>
  <si>
    <t>kPAR_Math-42_Buggy</t>
  </si>
  <si>
    <t>TBar_Closure-66_Fixed</t>
  </si>
  <si>
    <t>AVATAR_Math-89_Repaired</t>
  </si>
  <si>
    <t>kPAR_Chart-5_Fixed</t>
  </si>
  <si>
    <t>ARJA_Lang-63_Fixed</t>
  </si>
  <si>
    <t>ACS_Math-25_Repaired</t>
  </si>
  <si>
    <t>Nopol_Math-50_Fixed</t>
  </si>
  <si>
    <t>TBar_Mockito-38_Buggy</t>
  </si>
  <si>
    <t>TBar_Closure-2_Repaired</t>
  </si>
  <si>
    <t>TBar_Closure-19_Repaired</t>
  </si>
  <si>
    <t>TBar_Math-75_Fixed</t>
  </si>
  <si>
    <t>AVATAR_Chart-11_Repaired</t>
  </si>
  <si>
    <t>kPAR_Math-58_Buggy</t>
  </si>
  <si>
    <t>AVATAR_Chart-24_Fixed</t>
  </si>
  <si>
    <t>SimFix_Lang-58_Repaired</t>
  </si>
  <si>
    <t>FixMiner_Math-28_Buggy</t>
  </si>
  <si>
    <t>ACS_Lang-35_Buggy</t>
  </si>
  <si>
    <t>FixMiner_Math-75_Fixed</t>
  </si>
  <si>
    <t>FixMiner_Math-20_Buggy</t>
  </si>
  <si>
    <t>ARJA_Math-95_Repaired</t>
  </si>
  <si>
    <t>TBar_Chart-8_Repaired</t>
  </si>
  <si>
    <t>kPAR_Chart-7_Repaired</t>
  </si>
  <si>
    <t>ARJA_Math-70_Buggy</t>
  </si>
  <si>
    <t>ACS_Math-97_Repaired</t>
  </si>
  <si>
    <t>kPAR_Lang-44_Buggy</t>
  </si>
  <si>
    <t>TBar_Chart-3_Fixed</t>
  </si>
  <si>
    <t>TBar_Lang-13_Repaired</t>
  </si>
  <si>
    <t>AVATAR_Lang-27_Repaired</t>
  </si>
  <si>
    <t>Nopol_Math-42_Repaired</t>
  </si>
  <si>
    <t>ARJA_Math-53_Repaired</t>
  </si>
  <si>
    <t>DynaMoth_Math-49_Buggy</t>
  </si>
  <si>
    <t>SimFix_Math-69_Fixed</t>
  </si>
  <si>
    <t>ARJA_Math-28_Repaired</t>
  </si>
  <si>
    <t>DynaMoth_Lang-51_Buggy</t>
  </si>
  <si>
    <t>TBar_Math-82_Fixed</t>
  </si>
  <si>
    <t>Nopol_Math-20_Buggy</t>
  </si>
  <si>
    <t>TBar_Lang-60_Repaired</t>
  </si>
  <si>
    <t>ACS_Math-35_Fixed</t>
  </si>
  <si>
    <t>SimFix_Closure-38_Repaired</t>
  </si>
  <si>
    <t>kPAR_Chart-26_Repaired</t>
  </si>
  <si>
    <t>ARJA_Math-50_Repaired</t>
  </si>
  <si>
    <t>FixMiner_Math-30_Repaired</t>
  </si>
  <si>
    <t>SimFix_Lang-45_Fixed</t>
  </si>
  <si>
    <t>kPAR_Chart-13_Repaired</t>
  </si>
  <si>
    <t>Nopol_Chart-13_Buggy</t>
  </si>
  <si>
    <t>FixMiner_Math-68_Fixed</t>
  </si>
  <si>
    <t>TBar_Closure-115_Fixed</t>
  </si>
  <si>
    <t>TBar_Math-2_Repaired</t>
  </si>
  <si>
    <t>DynaMoth_Math-88_Repaired</t>
  </si>
  <si>
    <t>TBar_Closure-19_Fixed</t>
  </si>
  <si>
    <t>kPAR_Math-89_Repaired</t>
  </si>
  <si>
    <t>DynaMoth_Math-85_Repaired</t>
  </si>
  <si>
    <t>SimFix_Lang-27_Repaired</t>
  </si>
  <si>
    <t>Nopol_Lang-55_Repaired</t>
  </si>
  <si>
    <t>FixMiner_Math-88_Buggy</t>
  </si>
  <si>
    <t>TBar_Math-50_Fixed</t>
  </si>
  <si>
    <t>AVATAR_Math-95_Buggy</t>
  </si>
  <si>
    <t>FixMiner_Closure-115_Fixed</t>
  </si>
  <si>
    <t>AVATAR_Lang-58_Buggy</t>
  </si>
  <si>
    <t>DynaMoth_Math-41_Buggy</t>
  </si>
  <si>
    <t>DynaMoth_Chart-25_Buggy</t>
  </si>
  <si>
    <t>SimFix_Math-82_Buggy</t>
  </si>
  <si>
    <t>TBar_Lang-20_Fixed</t>
  </si>
  <si>
    <t>ARJA_Closure-88_Fixed</t>
  </si>
  <si>
    <t>ACS_Math-28_Buggy</t>
  </si>
  <si>
    <t>TBar_Math-63_Buggy</t>
  </si>
  <si>
    <t>AVATAR_Lang-13_Fixed</t>
  </si>
  <si>
    <t>TBar_Lang-63_Buggy</t>
  </si>
  <si>
    <t>Nopol_Math-7_Repaired</t>
  </si>
  <si>
    <t>TBar_Chart-25_Buggy</t>
  </si>
  <si>
    <t>ARJA_Chart-1_Repaired</t>
  </si>
  <si>
    <t>ARJA_Chart-7_Buggy</t>
  </si>
  <si>
    <t>AVATAR_Closure-66_Buggy</t>
  </si>
  <si>
    <t>DynaMoth_Lang-55_Repaired</t>
  </si>
  <si>
    <t>kPAR_Math-104_Repaired</t>
  </si>
  <si>
    <t>Nopol_Math-105_Repaired</t>
  </si>
  <si>
    <t>ACS_Math-89_Buggy</t>
  </si>
  <si>
    <t>FixMiner_Lang-63_Repaired</t>
  </si>
  <si>
    <t>SimFix_Math-41_Repaired</t>
  </si>
  <si>
    <t>TBar_Chart-25_Fixed</t>
  </si>
  <si>
    <t>ACS_Lang-35_Repaired</t>
  </si>
  <si>
    <t>FixMiner_Chart-26_Repaired</t>
  </si>
  <si>
    <t>DynaMoth_Math-28_Buggy</t>
  </si>
  <si>
    <t>ARJA_Closure-33_Buggy</t>
  </si>
  <si>
    <t>TBar_Math-85_Fixed</t>
  </si>
  <si>
    <t>TBar_Chart-19_Repaired</t>
  </si>
  <si>
    <t>FixMiner_Math-80_Fixed</t>
  </si>
  <si>
    <t>TBar_Chart-24_Buggy</t>
  </si>
  <si>
    <t>TBar_Closure-117_Fixed</t>
  </si>
  <si>
    <t>FixMiner_Math-84_Repaired</t>
  </si>
  <si>
    <t>ARJA_Chart-12_Buggy</t>
  </si>
  <si>
    <t>DynaMoth_Chart-1_Fixed</t>
  </si>
  <si>
    <t>ARJA_Math-88_Buggy</t>
  </si>
  <si>
    <t>kPAR_Chart-26_Buggy</t>
  </si>
  <si>
    <t>SimFix_Math-53_Fixed</t>
  </si>
  <si>
    <t>DynaMoth_Math-85_Fixed</t>
  </si>
  <si>
    <t>FixMiner_Math-95_Fixed</t>
  </si>
  <si>
    <t>AVATAR_Closure-115_Buggy</t>
  </si>
  <si>
    <t>Nopol_Time-14_Buggy</t>
  </si>
  <si>
    <t>DynaMoth_Chart-5_Fixed</t>
  </si>
  <si>
    <t>kPAR_Math-62_Repaired</t>
  </si>
  <si>
    <t>FixMiner_Chart-1_Fixed</t>
  </si>
  <si>
    <t>FixMiner_Math-70_Repaired</t>
  </si>
  <si>
    <t>FixMiner_Lang-10_Fixed</t>
  </si>
  <si>
    <t>AVATAR_Chart-26_Fixed</t>
  </si>
  <si>
    <t>kPAR_Math-89_Buggy</t>
  </si>
  <si>
    <t>SimFix_Closure-46_Repaired</t>
  </si>
  <si>
    <t>TBar_Math-62_Buggy</t>
  </si>
  <si>
    <t>SimFix_Closure-73_Fixed</t>
  </si>
  <si>
    <t>TBar_Math-11_Repaired</t>
  </si>
  <si>
    <t>SimFix_Lang-61_Buggy</t>
  </si>
  <si>
    <t>TBar_Chart-12_Fixed</t>
  </si>
  <si>
    <t>TBar_Chart-20_Buggy</t>
  </si>
  <si>
    <t>ARJA_Closure-8_Buggy</t>
  </si>
  <si>
    <t>SimFix_Lang-60_Fixed</t>
  </si>
  <si>
    <t>ARJA_Closure-8_Repaired</t>
  </si>
  <si>
    <t>kPAR_Lang-7_Fixed</t>
  </si>
  <si>
    <t>ARJA_Math-40_Buggy</t>
  </si>
  <si>
    <t>kPAR_Lang-41_Fixed</t>
  </si>
  <si>
    <t>AVATAR_Math-33_Fixed</t>
  </si>
  <si>
    <t>AVATAR_Lang-13_Buggy</t>
  </si>
  <si>
    <t>TBar_Chart-1_Buggy</t>
  </si>
  <si>
    <t>FixMiner_Chart-24_Buggy</t>
  </si>
  <si>
    <t>kPAR_Lang-10_Buggy</t>
  </si>
  <si>
    <t>AVATAR_Closure-48_Buggy</t>
  </si>
  <si>
    <t>kPAR_Math-84_Repaired</t>
  </si>
  <si>
    <t>SimFix_Lang-1_Repaired</t>
  </si>
  <si>
    <t>kPAR_Lang-45_Repaired</t>
  </si>
  <si>
    <t>TBar_Chart-7_Repaired</t>
  </si>
  <si>
    <t>ARJA_Math-70_Repaired</t>
  </si>
  <si>
    <t>AVATAR_Math-33_Buggy</t>
  </si>
  <si>
    <t>FixMiner_Closure-2_Fixed</t>
  </si>
  <si>
    <t>TBar_Lang-6_Repaired</t>
  </si>
  <si>
    <t>SimFix_Closure-38_Buggy</t>
  </si>
  <si>
    <t>TBar_Closure-117_Repaired</t>
  </si>
  <si>
    <t>ACS_Math-82_Repaired</t>
  </si>
  <si>
    <t>ARJA_Lang-20_Buggy</t>
  </si>
  <si>
    <t>ARJA_Math-56_Repaired</t>
  </si>
  <si>
    <t>SimFix_Closure-57_Repaired</t>
  </si>
  <si>
    <t>FixMiner_Closure-19_Repaired</t>
  </si>
  <si>
    <t>TBar_Math-11_Fixed</t>
  </si>
  <si>
    <t>kPAR_Closure-70_Buggy</t>
  </si>
  <si>
    <t>kPAR_Lang-43_Buggy</t>
  </si>
  <si>
    <t>AVATAR_Closure-11_Repaired</t>
  </si>
  <si>
    <t>kPAR_Closure-125_Repaired</t>
  </si>
  <si>
    <t>AVATAR_Math-88_Repaired</t>
  </si>
  <si>
    <t>AVATAR_Closure-22_Repaired</t>
  </si>
  <si>
    <t>TBar_Lang-41_Fixed</t>
  </si>
  <si>
    <t>TBar_Math-52_Fixed</t>
  </si>
  <si>
    <t>FixMiner_Math-88_Repaired</t>
  </si>
  <si>
    <t>AVATAR_Closure-46_Buggy</t>
  </si>
  <si>
    <t>TBar_Math-62_Repaired</t>
  </si>
  <si>
    <t>DynaMoth_Math-49_Fixed</t>
  </si>
  <si>
    <t>AVATAR_Closure-73_Buggy</t>
  </si>
  <si>
    <t>ARJA_Math-56_Fixed</t>
  </si>
  <si>
    <t>kPAR_Chart-1_Repaired</t>
  </si>
  <si>
    <t>FixMiner_Lang-56_Repaired</t>
  </si>
  <si>
    <t>ACS_Lang-24_Repaired</t>
  </si>
  <si>
    <t>ACS_Time-15_Buggy</t>
  </si>
  <si>
    <t>SimFix_Math-35_Buggy</t>
  </si>
  <si>
    <t>ARJA_Closure-3_Fixed</t>
  </si>
  <si>
    <t>TBar_Lang-51_Fixed</t>
  </si>
  <si>
    <t>ACS_Math-90_Repaired</t>
  </si>
  <si>
    <t>SimFix_Closure-21_Buggy</t>
  </si>
  <si>
    <t>TBar_Lang-58_Buggy</t>
  </si>
  <si>
    <t>AVATAR_Math-81_Fixed</t>
  </si>
  <si>
    <t>AVATAR_Lang-7_Fixed</t>
  </si>
  <si>
    <t>kPAR_Math-63_Buggy</t>
  </si>
  <si>
    <t>kPAR_Math-50_Repaired</t>
  </si>
  <si>
    <t>ARJA_Closure-115_Fixed</t>
  </si>
  <si>
    <t>kPAR_Chart-13_Fixed</t>
  </si>
  <si>
    <t>SimFix_Lang-61_Fixed</t>
  </si>
  <si>
    <t>ARJA_Math-28_Fixed</t>
  </si>
  <si>
    <t>TBar_Math-70_Buggy</t>
  </si>
  <si>
    <t>TBar_Lang-50_Fixed</t>
  </si>
  <si>
    <t>SimFix_Math-81_Fixed</t>
  </si>
  <si>
    <t>AVATAR_Lang-51_Buggy</t>
  </si>
  <si>
    <t>AVATAR_Chart-5_Fixed</t>
  </si>
  <si>
    <t>ARJA_Closure-22_Buggy</t>
  </si>
  <si>
    <t>ARJA_Closure-86_Buggy</t>
  </si>
  <si>
    <t>ARJA_Math-50_Buggy</t>
  </si>
  <si>
    <t>AVATAR_Math-89_Buggy</t>
  </si>
  <si>
    <t>SimFix_Math-35_Fixed</t>
  </si>
  <si>
    <t>ACS_Math-93_Fixed</t>
  </si>
  <si>
    <t>SimFix_Math-50_Repaired</t>
  </si>
  <si>
    <t>FixMiner_Math-97_Repaired</t>
  </si>
  <si>
    <t>FixMiner_Lang-58_Fixed</t>
  </si>
  <si>
    <t>Nopol_Lang-58_Buggy</t>
  </si>
  <si>
    <t>TBar_Closure-40_Fixed</t>
  </si>
  <si>
    <t>ARJA_Closure-117_Buggy</t>
  </si>
  <si>
    <t>FixMiner_Closure-2_Buggy</t>
  </si>
  <si>
    <t>FixMiner_Math-97_Fixed</t>
  </si>
  <si>
    <t>AVATAR_Math-50_Repaired</t>
  </si>
  <si>
    <t>ACS_Lang-7_Repaired</t>
  </si>
  <si>
    <t>SimFix_Math-50_Fixed</t>
  </si>
  <si>
    <t>Nopol_Math-85_Repaired</t>
  </si>
  <si>
    <t>ARJA_Math-84_Buggy</t>
  </si>
  <si>
    <t>ARJA_Math-40_Fixed</t>
  </si>
  <si>
    <t>TBar_Mockito-26_Buggy</t>
  </si>
  <si>
    <t>TBar_Lang-26_Fixed</t>
  </si>
  <si>
    <t>DynaMoth_Chart-13_Repaired</t>
  </si>
  <si>
    <t>kPAR_Math-82_Fixed</t>
  </si>
  <si>
    <t>AVATAR_Lang-6_Buggy</t>
  </si>
  <si>
    <t>kPAR_Math-75_Repaired</t>
  </si>
  <si>
    <t>ARJA_Closure-3_Repaired</t>
  </si>
  <si>
    <t>SimFix_Math-79_Repaired</t>
  </si>
  <si>
    <t>ARJA_Closure-115_Buggy</t>
  </si>
  <si>
    <t>AVATAR_Math-84_Fixed</t>
  </si>
  <si>
    <t>AVATAR_Math-33_Repaired</t>
  </si>
  <si>
    <t>ACS_Math-99_Buggy</t>
  </si>
  <si>
    <t>kPAR_Lang-20_Fixed</t>
  </si>
  <si>
    <t>TBar_Lang-47_Repaired</t>
  </si>
  <si>
    <t>Nopol_Chart-5_Repaired</t>
  </si>
  <si>
    <t>AVATAR_Chart-26_Buggy</t>
  </si>
  <si>
    <t>kPAR_Lang-22_Fixed</t>
  </si>
  <si>
    <t>TBar_Lang-18_Repaired</t>
  </si>
  <si>
    <t>FixMiner_Lang-59_Fixed</t>
  </si>
  <si>
    <t>kPAR_Lang-41_Buggy</t>
  </si>
  <si>
    <t>AVATAR_Closure-46_Fixed</t>
  </si>
  <si>
    <t>ACS_Math-5_Fixed</t>
  </si>
  <si>
    <t>TBar_Math-89_Buggy</t>
  </si>
  <si>
    <t>TBar_Lang-51_Buggy</t>
  </si>
  <si>
    <t>TBar_Chart-11_Repaired</t>
  </si>
  <si>
    <t>SimFix_Math-79_Fixed</t>
  </si>
  <si>
    <t>SimFix_Math-79_Buggy</t>
  </si>
  <si>
    <t>AVATAR_Closure-46_Repaired</t>
  </si>
  <si>
    <t>TBar_Math-81_Fixed</t>
  </si>
  <si>
    <t>AVATAR_Lang-7_Repaired</t>
  </si>
  <si>
    <t>AVATAR_Math-57_Fixed</t>
  </si>
  <si>
    <t>DynaMoth_Math-80_Repaired</t>
  </si>
  <si>
    <t>FixMiner_Lang-22_Fixed</t>
  </si>
  <si>
    <t>kPAR_Lang-51_Repaired</t>
  </si>
  <si>
    <t>DynaMoth_Math-32_Repaired</t>
  </si>
  <si>
    <t>DynaMoth_Math-80_Buggy</t>
  </si>
  <si>
    <t>TBar_Closure-73_Fixed</t>
  </si>
  <si>
    <t>FixMiner_Chart-7_Fixed</t>
  </si>
  <si>
    <t>TBar_Math-50_Buggy</t>
  </si>
  <si>
    <t>AVATAR_Lang-63_Buggy</t>
  </si>
  <si>
    <t>AVATAR_Closure-73_Fixed</t>
  </si>
  <si>
    <t>FixMiner_Mockito-29_Buggy</t>
  </si>
  <si>
    <t>ARJA_Math-80_Buggy</t>
  </si>
  <si>
    <t>SimFix_Math-72_Fixed</t>
  </si>
  <si>
    <t>ARJA_Math-85_Buggy</t>
  </si>
  <si>
    <t>ARJA_Math-95_Fixed</t>
  </si>
  <si>
    <t>AVATAR_Lang-22_Fixed</t>
  </si>
  <si>
    <t>ARJA_Chart-12_Repaired</t>
  </si>
  <si>
    <t>FixMiner_Math-82_Fixed</t>
  </si>
  <si>
    <t>TBar_Lang-50_Repaired</t>
  </si>
  <si>
    <t>Nopol_Math-49_Buggy</t>
  </si>
  <si>
    <t>TBar_Chart-8_Buggy</t>
  </si>
  <si>
    <t>kPAR_Chart-19_Fixed</t>
  </si>
  <si>
    <t>TBar_Math-96_Fixed</t>
  </si>
  <si>
    <t>DynaMoth_Math-41_Fixed</t>
  </si>
  <si>
    <t>kPAR_Math-85_Repaired</t>
  </si>
  <si>
    <t>ARJA_Closure-33_Repaired</t>
  </si>
  <si>
    <t>FixMiner_Chart-12_Repaired</t>
  </si>
  <si>
    <t>TBar_Closure-22_Fixed</t>
  </si>
  <si>
    <t>SimFix_Math-80_Repaired</t>
  </si>
  <si>
    <t>TBar_Math-65_Buggy</t>
  </si>
  <si>
    <t>Nopol_Chart-13_Fixed</t>
  </si>
  <si>
    <t>TBar_Math-57_Buggy</t>
  </si>
  <si>
    <t>TBar_Chart-26_Buggy</t>
  </si>
  <si>
    <t>Nopol_Chart-5_Fixed</t>
  </si>
  <si>
    <t>ACS_Math-5_Buggy</t>
  </si>
  <si>
    <t>AVATAR_Chart-4_Fixed</t>
  </si>
  <si>
    <t>Nopol_Math-33_Buggy</t>
  </si>
  <si>
    <t>Nopol_Math-69_Fixed</t>
  </si>
  <si>
    <t>kPAR_Chart-3_Buggy</t>
  </si>
  <si>
    <t>ACS_Lang-24_Fixed</t>
  </si>
  <si>
    <t>TBar_Lang-39_Buggy</t>
  </si>
  <si>
    <t>kPAR_Chart-7_Buggy</t>
  </si>
  <si>
    <t>AVATAR_Closure-11_Fixed</t>
  </si>
  <si>
    <t>DynaMoth_Math-50_Fixed</t>
  </si>
  <si>
    <t>FixMiner_Lang-7_Buggy</t>
  </si>
  <si>
    <t>FixMiner_Chart-11_Fixed</t>
  </si>
  <si>
    <t>AVATAR_Math-104_Fixed</t>
  </si>
  <si>
    <t>kPAR_Math-88_Buggy</t>
  </si>
  <si>
    <t>AVATAR_Chart-4_Repaired</t>
  </si>
  <si>
    <t>AVATAR_Lang-6_Repaired</t>
  </si>
  <si>
    <t>ARJA_Chart-3_Fixed</t>
  </si>
  <si>
    <t>ACS_Math-25_Fixed</t>
  </si>
  <si>
    <t>FixMiner_Closure-115_Buggy</t>
  </si>
  <si>
    <t>ARJA_Closure-114_Fixed</t>
  </si>
  <si>
    <t>TBar_Mockito-29_Buggy</t>
  </si>
  <si>
    <t>FixMiner_Math-20_Repaired</t>
  </si>
  <si>
    <t>SimFix_Closure-115_Repaired</t>
  </si>
  <si>
    <t>SimFix_Math-80_Fixed</t>
  </si>
  <si>
    <t>SimFix_Lang-63_Fixed</t>
  </si>
  <si>
    <t>ACS_Math-3_Fixed</t>
  </si>
  <si>
    <t>Nopol_Lang-46_Repaired</t>
  </si>
  <si>
    <t>AVATAR_Math-84_Buggy</t>
  </si>
  <si>
    <t>ACS_Math-25_Buggy</t>
  </si>
  <si>
    <t>FixMiner_Chart-24_Fixed</t>
  </si>
  <si>
    <t>ARJA_Closure-117_Fixed</t>
  </si>
  <si>
    <t>FixMiner_Mockito-38_Repaired</t>
  </si>
  <si>
    <t>ARJA_Closure-125_Fixed</t>
  </si>
  <si>
    <t>ARJA_Math-35_Fixed</t>
  </si>
  <si>
    <t>AVATAR_Math-50_Fixed</t>
  </si>
  <si>
    <t>FixMiner_Math-57_Repaired</t>
  </si>
  <si>
    <t>Nopol_Chart-17_Fixed</t>
  </si>
  <si>
    <t>AVATAR_Chart-11_Buggy</t>
  </si>
  <si>
    <t>SimFix_Lang-43_Repaired</t>
  </si>
  <si>
    <t>TBar_Lang-22_Repaired</t>
  </si>
  <si>
    <t>TBar_Lang-24_Repaired</t>
  </si>
  <si>
    <t>kPAR_Closure-4_Fixed</t>
  </si>
  <si>
    <t>TBar_Lang-22_Fixed</t>
  </si>
  <si>
    <t>TBar_Lang-44_Buggy</t>
  </si>
  <si>
    <t>TBar_Lang-13_Fixed</t>
  </si>
  <si>
    <t>AVATAR_Time-18_Fixed</t>
  </si>
  <si>
    <t>AVATAR_Closure-66_Repaired</t>
  </si>
  <si>
    <t>TBar_Math-11_Buggy</t>
  </si>
  <si>
    <t>ARJA_Chart-1_Fixed</t>
  </si>
  <si>
    <t>ACS_Chart-19_Buggy</t>
  </si>
  <si>
    <t>FixMiner_Lang-57_Buggy</t>
  </si>
  <si>
    <t>TBar_Chart-4_Repaired</t>
  </si>
  <si>
    <t>ARJA_Chart-7_Fixed</t>
  </si>
  <si>
    <t>Nopol_Lang-51_Repaired</t>
  </si>
  <si>
    <t>kPAR_Closure-40_Repaired</t>
  </si>
  <si>
    <t>AVATAR_Closure-11_Buggy</t>
  </si>
  <si>
    <t>FixMiner_Math-30_Buggy</t>
  </si>
  <si>
    <t>AVATAR_Closure-108_Fixed</t>
  </si>
  <si>
    <t>FixMiner_Math-63_Fixed</t>
  </si>
  <si>
    <t>kPAR_Closure-38_Repaired</t>
  </si>
  <si>
    <t>ARJA_Closure-21_Repaired</t>
  </si>
  <si>
    <t>SimFix_Math-81_Repaired</t>
  </si>
  <si>
    <t>ACS_Math-81_Repaired</t>
  </si>
  <si>
    <t>FixMiner_Chart-12_Fixed</t>
  </si>
  <si>
    <t>AVATAR_Math-80_Buggy</t>
  </si>
  <si>
    <t>Nopol_Lang-44_Fixed</t>
  </si>
  <si>
    <t>TBar_Chart-7_Buggy</t>
  </si>
  <si>
    <t>kPAR_Math-40_Buggy</t>
  </si>
  <si>
    <t>TBar_Closure-46_Buggy</t>
  </si>
  <si>
    <t>SimFix_Math-33_Repaired</t>
  </si>
  <si>
    <t>TBar_Math-82_Repaired</t>
  </si>
  <si>
    <t>kPAR_Closure-22_Fixed</t>
  </si>
  <si>
    <t>ARJA_Lang-46_Buggy</t>
  </si>
  <si>
    <t>AVATAR_Lang-27_Buggy</t>
  </si>
  <si>
    <t>ARJA_Closure-8_Fixed</t>
  </si>
  <si>
    <t>TBar_Math-52_Repaired</t>
  </si>
  <si>
    <t>kPAR_Lang-7_Repaired</t>
  </si>
  <si>
    <t>FixMiner_Lang-22_Buggy</t>
  </si>
  <si>
    <t>FixMiner_Lang-10_Buggy</t>
  </si>
  <si>
    <t>SimFix_Closure-22_Buggy</t>
  </si>
  <si>
    <t>TBar_Lang-27_Fixed</t>
  </si>
  <si>
    <t>ACS_Chart-19_Fixed</t>
  </si>
  <si>
    <t>ARJA_Closure-55_Buggy</t>
  </si>
  <si>
    <t>TBar_Closure-66_Repaired</t>
  </si>
  <si>
    <t>TBar_Math-52_Buggy</t>
  </si>
  <si>
    <t>FixMiner_Lang-63_Fixed</t>
  </si>
  <si>
    <t>kPAR_Lang-58_Buggy</t>
  </si>
  <si>
    <t>SimFix_Math-33_Buggy</t>
  </si>
  <si>
    <t>TBar_Lang-39_Fixed</t>
  </si>
  <si>
    <t>SimFix_Math-84_Buggy</t>
  </si>
  <si>
    <t>TBar_Math-75_Repaired</t>
  </si>
  <si>
    <t>AVATAR_Closure-108_Buggy</t>
  </si>
  <si>
    <t>DynaMoth_Math-105_Buggy</t>
  </si>
  <si>
    <t>SimFix_Math-43_Fixed</t>
  </si>
  <si>
    <t>ACS_Time-15_Fixed</t>
  </si>
  <si>
    <t>FixMiner_Math-79_Fixed</t>
  </si>
  <si>
    <t>AVATAR_Math-84_Repaired</t>
  </si>
  <si>
    <t>Nopol_Chart-9_Fixed</t>
  </si>
  <si>
    <t>DynaMoth_Lang-58_Repaired</t>
  </si>
  <si>
    <t>kPAR_Lang-16_Buggy</t>
  </si>
  <si>
    <t>TBar_Lang-27_Buggy</t>
  </si>
  <si>
    <t>FixMiner_Lang-19_Buggy</t>
  </si>
  <si>
    <t>FixMiner_Chart-1_Repaired</t>
  </si>
  <si>
    <t>TBar_Lang-63_Fixed</t>
  </si>
  <si>
    <t>ACS_Time-15_Repaired</t>
  </si>
  <si>
    <t>kPAR_Closure-11_Buggy</t>
  </si>
  <si>
    <t>FixMiner_Chart-12_Buggy</t>
  </si>
  <si>
    <t>kPAR_Chart-4_Repaired</t>
  </si>
  <si>
    <t>kPAR_Closure-4_Buggy</t>
  </si>
  <si>
    <t>AVATAR_Lang-59_Repaired</t>
  </si>
  <si>
    <t>Nopol_Lang-53_Fixed</t>
  </si>
  <si>
    <t>DynaMoth_Chart-5_Repaired</t>
  </si>
  <si>
    <t>ARJA_Closure-114_Repaired</t>
  </si>
  <si>
    <t>TBar_Closure-22_Buggy</t>
  </si>
  <si>
    <t>kPAR_Chart-4_Fixed</t>
  </si>
  <si>
    <t>TBar_Lang-6_Buggy</t>
  </si>
  <si>
    <t>kPAR_Math-104_Buggy</t>
  </si>
  <si>
    <t>TBar_Lang-60_Fixed</t>
  </si>
  <si>
    <t>SimFix_Math-43_Repaired</t>
  </si>
  <si>
    <t>SimFix_Closure-46_Fixed</t>
  </si>
  <si>
    <t>SimFix_Closure-73_Buggy</t>
  </si>
  <si>
    <t>TBar_Chart-3_Repaired</t>
  </si>
  <si>
    <t>ARJA_Chart-5_Buggy</t>
  </si>
  <si>
    <t>FixMiner_Math-57_Buggy</t>
  </si>
  <si>
    <t>ARJA_Closure-88_Buggy</t>
  </si>
  <si>
    <t>SimFix_Closure-57_Buggy</t>
  </si>
  <si>
    <t>DynaMoth_Math-28_Fixed</t>
  </si>
  <si>
    <t>ARJA_Chart-3_Buggy</t>
  </si>
  <si>
    <t>TBar_Lang-24_Buggy</t>
  </si>
  <si>
    <t>FixMiner_Chart-7_Repaired</t>
  </si>
  <si>
    <t>FixMiner_Closure-13_Buggy</t>
  </si>
  <si>
    <t>TBar_Math-2_Buggy</t>
  </si>
  <si>
    <t>AVATAR_Chart-25_Repaired</t>
  </si>
  <si>
    <t>ACS_Math-97_Buggy</t>
  </si>
  <si>
    <t>AVATAR_Closure-2_Repaired</t>
  </si>
  <si>
    <t>AVATAR_Chart-24_Buggy</t>
  </si>
  <si>
    <t>AVATAR_Math-62_Repaired</t>
  </si>
  <si>
    <t>AVATAR_Lang-59_Buggy</t>
  </si>
  <si>
    <t>ARJA_Chart-13_Fixed</t>
  </si>
  <si>
    <t>FixMiner_Closure-62_Repaired</t>
  </si>
  <si>
    <t>ARJA_Math-70_Fixed</t>
  </si>
  <si>
    <t>Nopol_Math-49_Repaired</t>
  </si>
  <si>
    <t>AVATAR_Closure-62_Buggy</t>
  </si>
  <si>
    <t>SimFix_Math-57_Repaired</t>
  </si>
  <si>
    <t>Nopol_Math-85_Buggy</t>
  </si>
  <si>
    <t>kPAR_Lang-6_Repaired</t>
  </si>
  <si>
    <t>Nopol_Lang-46_Buggy</t>
  </si>
  <si>
    <t>TBar_Lang-10_Repaired</t>
  </si>
  <si>
    <t>kPAR_Closure-46_Repaired</t>
  </si>
  <si>
    <t>kPAR_Closure-115_Repaired</t>
  </si>
  <si>
    <t>ARJA_Lang-16_Buggy</t>
  </si>
  <si>
    <t>SimFix_Lang-63_Repaired</t>
  </si>
  <si>
    <t>AVATAR_Lang-63_Repaired</t>
  </si>
  <si>
    <t>FixMiner_Lang-7_Repaired</t>
  </si>
  <si>
    <t>ARJA_Lang-20_Repaired</t>
  </si>
  <si>
    <t>DynaMoth_Math-8_Buggy</t>
  </si>
  <si>
    <t>SimFix_Math-70_Fixed</t>
  </si>
  <si>
    <t>TBar_Math-75_Buggy</t>
  </si>
  <si>
    <t>TBar_Math-57_Repaired</t>
  </si>
  <si>
    <t>FixMiner_Closure-13_Repaired</t>
  </si>
  <si>
    <t>FixMiner_Closure-10_Repaired</t>
  </si>
  <si>
    <t>TBar_Closure-70_Fixed</t>
  </si>
  <si>
    <t>kPAR_Chart-1_Fixed</t>
  </si>
  <si>
    <t>kPAR_Chart-19_Repaired</t>
  </si>
  <si>
    <t>SimFix_Chart-25_Repaired</t>
  </si>
  <si>
    <t>Nopol_Lang-58_Fixed</t>
  </si>
  <si>
    <t>TBar_Closure-115_Repaired</t>
  </si>
  <si>
    <t>TBar_Closure-73_Buggy</t>
  </si>
  <si>
    <t>SimFix_Lang-33_Fixed</t>
  </si>
  <si>
    <t>ACS_Math-90_Buggy</t>
  </si>
  <si>
    <t>kPAR_Lang-63_Fixed</t>
  </si>
  <si>
    <t>Nopol_Math-81_Repaired</t>
  </si>
  <si>
    <t>Nopol_Chart-25_Buggy</t>
  </si>
  <si>
    <t>SimFix_Closure-57_Fixed</t>
  </si>
  <si>
    <t>DynaMoth_Math-81_Fixed</t>
  </si>
  <si>
    <t>DynaMoth_Math-32_Fixed</t>
  </si>
  <si>
    <t>ARJA_Closure-22_Repaired</t>
  </si>
  <si>
    <t>SimFix_Math-5_Fixed</t>
  </si>
  <si>
    <t>ARJA_Math-84_Repaired</t>
  </si>
  <si>
    <t>SimFix_Math-63_Repaired</t>
  </si>
  <si>
    <t>ARJA_Math-81_Repaired</t>
  </si>
  <si>
    <t>Nopol_Math-49_Fixed</t>
  </si>
  <si>
    <t>DynaMoth_Math-81_Buggy</t>
  </si>
  <si>
    <t>Nopol_Math-80_Fixed</t>
  </si>
  <si>
    <t>AVATAR_Mockito-38_Repaired</t>
  </si>
  <si>
    <t>ARJA_Chart-5_Repaired</t>
  </si>
  <si>
    <t>TBar_Lang-45_Repaired</t>
  </si>
  <si>
    <t>DynaMoth_Math-82_Repaired</t>
  </si>
  <si>
    <t>FixMiner_Lang-57_Repaired</t>
  </si>
  <si>
    <t>TBar_Chart-5_Repaired</t>
  </si>
  <si>
    <t>TBar_Closure-38_Buggy</t>
  </si>
  <si>
    <t>kPAR_Closure-73_Buggy</t>
  </si>
  <si>
    <t>kPAR_Math-85_Buggy</t>
  </si>
  <si>
    <t>Nopol_Chart-9_Buggy</t>
  </si>
  <si>
    <t>AVATAR_Closure-48_Fixed</t>
  </si>
  <si>
    <t>AVATAR_Chart-7_Repaired</t>
  </si>
  <si>
    <t>kPAR_Math-63_Fixed</t>
  </si>
  <si>
    <t>ARJA_Math-85_Fixed</t>
  </si>
  <si>
    <t>TBar_Lang-33_Buggy</t>
  </si>
  <si>
    <t>SimFix_Math-75_Buggy</t>
  </si>
  <si>
    <t>DynaMoth_Lang-63_Buggy</t>
  </si>
  <si>
    <t>ARJA_Closure-125_Repaired</t>
  </si>
  <si>
    <t>kPAR_Lang-27_Repaired</t>
  </si>
  <si>
    <t>kPAR_Lang-24_Buggy</t>
  </si>
  <si>
    <t>Nopol_Time-14_Repaired</t>
  </si>
  <si>
    <t>Nopol_Math-80_Repaired</t>
  </si>
  <si>
    <t>TBar_Chart-19_Buggy</t>
  </si>
  <si>
    <t>FixMiner_Closure-115_Repaired</t>
  </si>
  <si>
    <t>FixMiner_Math-95_Buggy</t>
  </si>
  <si>
    <t>FixMiner_Math-84_Buggy</t>
  </si>
  <si>
    <t>FixMiner_Chart-3_Buggy</t>
  </si>
  <si>
    <t>SimFix_Lang-43_Buggy</t>
  </si>
  <si>
    <t>SimFix_Math-85_Buggy</t>
  </si>
  <si>
    <t>TBar_Closure-13_Fixed</t>
  </si>
  <si>
    <t>TBar_Chart-9_Repaired</t>
  </si>
  <si>
    <t>DynaMoth_Math-101_Buggy</t>
  </si>
  <si>
    <t>ACS_Math-99_Fixed</t>
  </si>
  <si>
    <t>ARJA_Closure-86_Repaired</t>
  </si>
  <si>
    <t>DynaMoth_Lang-51_Fixed</t>
  </si>
  <si>
    <t>SimFix_Closure-19_Fixed</t>
  </si>
  <si>
    <t>Nopol_Math-82_Repaired</t>
  </si>
  <si>
    <t>AVATAR_Chart-11_Fixed</t>
  </si>
  <si>
    <t>FixMiner_Closure-10_Buggy</t>
  </si>
  <si>
    <t>SimFix_Lang-1_Fixed</t>
  </si>
  <si>
    <t>TBar_Math-79_Buggy</t>
  </si>
  <si>
    <t>SimFix_Math-8_Repaired</t>
  </si>
  <si>
    <t>FixMiner_Math-79_Repaired</t>
  </si>
  <si>
    <t>SimFix_Closure-115_Fixed</t>
  </si>
  <si>
    <t>DynaMoth_Lang-58_Buggy</t>
  </si>
  <si>
    <t>TBar_Math-79_Repaired</t>
  </si>
  <si>
    <t>kPAR_Chart-1_Buggy</t>
  </si>
  <si>
    <t>Nopol_Math-87_Repaired</t>
  </si>
  <si>
    <t>kPAR_Closure-35_Fixed</t>
  </si>
  <si>
    <t>TBar_Closure-4_Fixed</t>
  </si>
  <si>
    <t>AVATAR_Chart-5_Repaired</t>
  </si>
  <si>
    <t>SimFix_Closure-115_Buggy</t>
  </si>
  <si>
    <t>AVATAR_Closure-38_Fixed</t>
  </si>
  <si>
    <t>TBar_Lang-57_Repaired</t>
  </si>
  <si>
    <t>AVATAR_Lang-58_Fixed</t>
  </si>
  <si>
    <t>AVATAR_Closure-22_Fixed</t>
  </si>
  <si>
    <t>kPAR_Lang-24_Repaired</t>
  </si>
  <si>
    <t>ARJA_Lang-43_Repaired</t>
  </si>
  <si>
    <t>TBar_Lang-10_Fixed</t>
  </si>
  <si>
    <t>SimFix_Closure-73_Repaired</t>
  </si>
  <si>
    <t>TBar_Math-58_Repaired</t>
  </si>
  <si>
    <t>SimFix_Closure-21_Repaired</t>
  </si>
  <si>
    <t>Nopol_Math-82_Buggy</t>
  </si>
  <si>
    <t>TBar_Math-80_Fixed</t>
  </si>
  <si>
    <t>Nopol_Math-69_Repaired</t>
  </si>
  <si>
    <t>ARJA_Closure-3_Buggy</t>
  </si>
  <si>
    <t>Nopol_Time-14_Fixed</t>
  </si>
  <si>
    <t>ARJA_Lang-59_Fixed</t>
  </si>
  <si>
    <t>ACS_Math-89_Fixed</t>
  </si>
  <si>
    <t>SimFix_Lang-16_Fixed</t>
  </si>
  <si>
    <t>kPAR_Math-7_Fixed</t>
  </si>
  <si>
    <t>DynaMoth_Math-28_Repaired</t>
  </si>
  <si>
    <t>DynaMoth_Chart-1_Buggy</t>
  </si>
  <si>
    <t>SimFix_Chart-25_Fixed</t>
  </si>
  <si>
    <t>TBar_Math-2_Fixed</t>
  </si>
  <si>
    <t>Nopol_Math-88_Repaired</t>
  </si>
  <si>
    <t>DynaMoth_Chart-13_Fixed</t>
  </si>
  <si>
    <t>ARJA_Lang-63_Buggy</t>
  </si>
  <si>
    <t>TBar_Math-84_Repaired</t>
  </si>
  <si>
    <t>SimFix_Math-43_Buggy</t>
  </si>
  <si>
    <t>Nopol_Math-80_Buggy</t>
  </si>
  <si>
    <t>AVATAR_Lang-39_Buggy</t>
  </si>
  <si>
    <t>TBar_Math-5_Repaired</t>
  </si>
  <si>
    <t>TBar_Chart-13_Buggy</t>
  </si>
  <si>
    <t>kPAR_Chart-5_Repaired</t>
  </si>
  <si>
    <t>SimFix_Closure-62_Buggy</t>
  </si>
  <si>
    <t>FixMiner_Math-35_Repaired</t>
  </si>
  <si>
    <t>FixMiner_Math-30_Fixed</t>
  </si>
  <si>
    <t>AVATAR_Closure-115_Repaired</t>
  </si>
  <si>
    <t>SimFix_Lang-39_Buggy</t>
  </si>
  <si>
    <t>SimFix_Math-85_Repaired</t>
  </si>
  <si>
    <t>AVATAR_Math-57_Repaired</t>
  </si>
  <si>
    <t>ACS_Lang-24_Buggy</t>
  </si>
  <si>
    <t>TBar_Lang-45_Fixed</t>
  </si>
  <si>
    <t>DynaMoth_Math-82_Buggy</t>
  </si>
  <si>
    <t>TBar_Closure-19_Buggy</t>
  </si>
  <si>
    <t>FixMiner_Math-70_Fixed</t>
  </si>
  <si>
    <t>AVATAR_Math-82_Repaired</t>
  </si>
  <si>
    <t>FixMiner_Chart-19_Fixed</t>
  </si>
  <si>
    <t>AVATAR_Math-85_Fixed</t>
  </si>
  <si>
    <t>AVATAR_Math-89_Fixed</t>
  </si>
  <si>
    <t>SimFix_Closure-62_Fixed</t>
  </si>
  <si>
    <t>SimFix_Math-33_Fixed</t>
  </si>
  <si>
    <t>SimFix_Chart-12_Fixed</t>
  </si>
  <si>
    <t>Nopol_Math-105_Fixed</t>
  </si>
  <si>
    <t>AVATAR_Mockito-29_Buggy</t>
  </si>
  <si>
    <t>SimFix_Math-80_Buggy</t>
  </si>
  <si>
    <t>AVATAR_Math-104_Repaired</t>
  </si>
  <si>
    <t>kPAR_Closure-4_Repaired</t>
  </si>
  <si>
    <t>TBar_Lang-58_Fixed</t>
  </si>
  <si>
    <t>FixMiner_Math-81_Fixed</t>
  </si>
  <si>
    <t>AVATAR_Lang-57_Buggy</t>
  </si>
  <si>
    <t>DynaMoth_Math-20_Fixed</t>
  </si>
  <si>
    <t>AVATAR_Lang-51_Repaired</t>
  </si>
  <si>
    <t>kPAR_Lang-44_Repaired</t>
  </si>
  <si>
    <t>kPAR_Closure-115_Buggy</t>
  </si>
  <si>
    <t>TBar_Closure-102_Buggy</t>
  </si>
  <si>
    <t>kPAR_Math-43_Repaired</t>
  </si>
  <si>
    <t>FixMiner_Chart-3_Repaired</t>
  </si>
  <si>
    <t>SimFix_Math-63_Buggy</t>
  </si>
  <si>
    <t>AVATAR_Lang-10_Repaired</t>
  </si>
  <si>
    <t>SimFix_Lang-50_Buggy</t>
  </si>
  <si>
    <t>kPAR_Math-43_Buggy</t>
  </si>
  <si>
    <t>FixMiner_Math-75_Buggy</t>
  </si>
  <si>
    <t>DynaMoth_Math-41_Repaired</t>
  </si>
  <si>
    <t>TBar_Math-8_Fixed</t>
  </si>
  <si>
    <t>TBar_Lang-7_Repaired</t>
  </si>
  <si>
    <t>FixMiner_Closure-38_Buggy</t>
  </si>
  <si>
    <t>TBar_Math-89_Fixed</t>
  </si>
  <si>
    <t>Nopol_Math-81_Fixed</t>
  </si>
  <si>
    <t>DynaMoth_Math-82_Fixed</t>
  </si>
  <si>
    <t>TBar_Lang-22_Buggy</t>
  </si>
  <si>
    <t>TBar_Lang-26_Repaired</t>
  </si>
  <si>
    <t>kPAR_Lang-7_Buggy</t>
  </si>
  <si>
    <t>TBar_Lang-7_Buggy</t>
  </si>
  <si>
    <t>TBar_Math-62_Fixed</t>
  </si>
  <si>
    <t>Nopol_Chart-5_Buggy</t>
  </si>
  <si>
    <t>FixMiner_Closure-19_Buggy</t>
  </si>
  <si>
    <t>TBar_Closure-11_Buggy</t>
  </si>
  <si>
    <t>FixMiner_Closure-38_Fixed</t>
  </si>
  <si>
    <t>Nopol_Lang-55_Buggy</t>
  </si>
  <si>
    <t>ARJA_Math-49_Buggy</t>
  </si>
  <si>
    <t>Nopol_Lang-53_Buggy</t>
  </si>
  <si>
    <t>SimFix_Math-41_Fixed</t>
  </si>
  <si>
    <t>TBar_Math-8_Buggy</t>
  </si>
  <si>
    <t>FixMiner_Math-80_Buggy</t>
  </si>
  <si>
    <t>DynaMoth_Math-105_Repaired</t>
  </si>
  <si>
    <t>ARJA_Math-40_Repaired</t>
  </si>
  <si>
    <t>kPAR_Math-50_Fixed</t>
  </si>
  <si>
    <t>TBar_Math-8_Repaired</t>
  </si>
  <si>
    <t>AVATAR_Math-62_Fixed</t>
  </si>
  <si>
    <t>TBar_Math-81_Buggy</t>
  </si>
  <si>
    <t>ARJA_Lang-20_Fixed</t>
  </si>
  <si>
    <t>TBar_Chart-11_Fixed</t>
  </si>
  <si>
    <t>Nopol_Lang-51_Buggy</t>
  </si>
  <si>
    <t>SimFix_Chart-12_Buggy</t>
  </si>
  <si>
    <t>ARJA_Closure-115_Repaired</t>
  </si>
  <si>
    <t>ARJA_Closure-117_Repaired</t>
  </si>
  <si>
    <t>FixMiner_Math-88_Fixed</t>
  </si>
  <si>
    <t>FixMiner_Math-28_Fixed</t>
  </si>
  <si>
    <t>ACS_Lang-7_Buggy</t>
  </si>
  <si>
    <t>TBar_Chart-3_Buggy</t>
  </si>
  <si>
    <t>DynaMoth_Chart-13_Buggy</t>
  </si>
  <si>
    <t>AVATAR_Closure-62_Repaired</t>
  </si>
  <si>
    <t>FixMiner_Math-50_Repaired</t>
  </si>
  <si>
    <t>ACS_Math-35_Buggy</t>
  </si>
  <si>
    <t>ARJA_Math-58_Fixed</t>
  </si>
  <si>
    <t>ACS_Math-73_Fixed</t>
  </si>
  <si>
    <t>FixMiner_Math-63_Repaired</t>
  </si>
  <si>
    <t>DynaMoth_Math-97_Fixed</t>
  </si>
  <si>
    <t>TBar_Math-96_Repaired</t>
  </si>
  <si>
    <t>TBar_Math-70_Fixed</t>
  </si>
  <si>
    <t>SimFix_Chart-25_Buggy</t>
  </si>
  <si>
    <t>TBar_Closure-10_Fixed</t>
  </si>
  <si>
    <t>Nopol_Lang-58_Repaired</t>
  </si>
  <si>
    <t>SimFix_Lang-12_Repaired</t>
  </si>
  <si>
    <t>AVATAR_Chart-7_Fixed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</si>
  <si>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</si>
  <si>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</si>
  <si>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</si>
  <si>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</si>
  <si>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</si>
  <si>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</si>
  <si>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TBar_Lang-6_Fixed</t>
  </si>
  <si>
    <t>kPAR_Math-40_Repaired</t>
  </si>
  <si>
    <t>TBar_Closure-2_Buggy</t>
  </si>
  <si>
    <t>SimFix_Chart-12_Repaired</t>
  </si>
  <si>
    <t>FixMiner_Math-85_Fixed</t>
  </si>
  <si>
    <t>DynaMoth_Math-8_Repaired</t>
  </si>
  <si>
    <t>FixMiner_Math-28_Repaired</t>
  </si>
  <si>
    <t>kPAR_Lang-59_Fixed</t>
  </si>
  <si>
    <t>ARJA_Closure-22_Fixed</t>
  </si>
  <si>
    <t>FixMiner_Closure-73_Fixed</t>
  </si>
  <si>
    <t>DynaMoth_Lang-63_Fixed</t>
  </si>
  <si>
    <t>DynaMoth_Math-50_Buggy</t>
  </si>
  <si>
    <t>SimFix_Math-59_Fixed</t>
  </si>
  <si>
    <t>SimFix_Closure-6_Fixed</t>
  </si>
  <si>
    <t>FixMiner_Closure-2_Repaired</t>
  </si>
  <si>
    <t>SimFix_Closure-125_Repaired</t>
  </si>
  <si>
    <t>AVATAR_Closure-2_Fixed</t>
  </si>
  <si>
    <t>ACS_Math-85_Buggy</t>
  </si>
  <si>
    <t>kPAR_Math-75_Buggy</t>
  </si>
  <si>
    <t>FixMiner_Closure-38_Repaired</t>
  </si>
  <si>
    <t>FixMiner_Mockito-29_Fixed</t>
  </si>
  <si>
    <t>TBar_Closure-11_Fixed</t>
  </si>
  <si>
    <t>DynaMoth_Chart-5_Buggy</t>
  </si>
  <si>
    <t>FixMiner_Closure-73_Buggy</t>
  </si>
  <si>
    <t>SimFix_Closure-19_Buggy</t>
  </si>
  <si>
    <t>AVATAR_Math-62_Buggy</t>
  </si>
  <si>
    <t>AVATAR_Chart-26_Repaired</t>
  </si>
  <si>
    <t>SimFix_Closure-14_Repaired</t>
  </si>
  <si>
    <t>DynaMoth_Chart-25_Repaired</t>
  </si>
  <si>
    <t>DynaMoth_Math-88_Fixed</t>
  </si>
  <si>
    <t>ARJA_Chart-12_Fixed</t>
  </si>
  <si>
    <t>kPAR_Lang-43_Repaired</t>
  </si>
  <si>
    <t>SimFix_Chart-1_Repaired</t>
  </si>
  <si>
    <t>kPAR_Lang-21_Repaired</t>
  </si>
  <si>
    <t>kPAR_Math-81_Buggy</t>
  </si>
  <si>
    <t>Nopol_Math-7_Buggy</t>
  </si>
  <si>
    <t>TBar_Mockito-26_Fixed</t>
  </si>
  <si>
    <t>ARJA_Math-35_Buggy</t>
  </si>
  <si>
    <t>ARJA_Closure-112_Fixed</t>
  </si>
  <si>
    <t>kPAR_Lang-27_Fixed</t>
  </si>
  <si>
    <t>AVATAR_Lang-20_Repaired</t>
  </si>
  <si>
    <t>TBar_Closure-102_Fixed</t>
  </si>
  <si>
    <t>AVATAR_Math-104_Buggy</t>
  </si>
  <si>
    <t>TBar_Lang-57_Fixed</t>
  </si>
  <si>
    <t>TBar_Closure-21_Repaired</t>
  </si>
  <si>
    <t>ACS_Math-5_Repaired</t>
  </si>
  <si>
    <t>DynaMoth_Lang-58_Fixed</t>
  </si>
  <si>
    <t>kPAR_Lang-63_Repaired</t>
  </si>
  <si>
    <t>kPAR_Lang-45_Fixed</t>
  </si>
  <si>
    <t>SimFix_Lang-60_Buggy</t>
  </si>
  <si>
    <t>TBar_Closure-13_Repaired</t>
  </si>
  <si>
    <t>TBar_Math-65_Fixed</t>
  </si>
  <si>
    <t>ARJA_Closure-33_Fixed</t>
  </si>
  <si>
    <t>SimFix_Closure-22_Fixed</t>
  </si>
  <si>
    <t>ARJA_Chart-3_Repaired</t>
  </si>
  <si>
    <t>kPAR_Closure-125_Fixed</t>
  </si>
  <si>
    <t>ARJA_Closure-124_Repaired</t>
  </si>
  <si>
    <t>kPAR_Closure-62_Fixed</t>
  </si>
  <si>
    <t>TBar_Lang-43_Repaired</t>
  </si>
  <si>
    <t>FixMiner_Math-68_Buggy</t>
  </si>
  <si>
    <t>TBar_Chart-1_Repaired</t>
  </si>
  <si>
    <t>AVATAR_Math-28_Repaired</t>
  </si>
  <si>
    <t>kPAR_Closure-62_Repaired</t>
  </si>
  <si>
    <t>AVATAR_Closure-115_Fixed</t>
  </si>
  <si>
    <t>kPAR_Math-81_Repaired</t>
  </si>
  <si>
    <t>kPAR_Lang-18_Repaired</t>
  </si>
  <si>
    <t>TBar_Chart-4_Buggy</t>
  </si>
  <si>
    <t>AVATAR_Mockito-38_Fixed</t>
  </si>
  <si>
    <t>kPAR_Math-62_Buggy</t>
  </si>
  <si>
    <t>TBar_Lang-50_Buggy</t>
  </si>
  <si>
    <t>AVATAR_Lang-10_Fixed</t>
  </si>
  <si>
    <t>ARJA_Lang-16_Repaired</t>
  </si>
  <si>
    <t>Nopol_Math-69_Buggy</t>
  </si>
  <si>
    <t>AVATAR_Lang-51_Fixed</t>
  </si>
  <si>
    <t>FixMiner_Lang-59_Repaired</t>
  </si>
  <si>
    <t>SimFix_Closure-6_Buggy</t>
  </si>
  <si>
    <t>kPAR_Chart-3_Repaired</t>
  </si>
  <si>
    <t>TBar_Lang-33_Repaired</t>
  </si>
  <si>
    <t>FixMiner_Math-33_Repaired</t>
  </si>
  <si>
    <t>AVATAR_Lang-7_Buggy</t>
  </si>
  <si>
    <t>ACS_Lang-7_Fixed</t>
  </si>
  <si>
    <t>SimFix_Chart-22_Buggy</t>
  </si>
  <si>
    <t>SimFix_Lang-41_Repaired</t>
  </si>
  <si>
    <t>SimFix_Math-84_Fixed</t>
  </si>
  <si>
    <t>DynaMoth_Lang-46_Fixed</t>
  </si>
  <si>
    <t>SimFix_Math-59_Repaired</t>
  </si>
  <si>
    <t>kPAR_Chart-7_Fixed</t>
  </si>
  <si>
    <t>FixMiner_Lang-19_Fixed</t>
  </si>
  <si>
    <t>kPAR_Math-88_Repaired</t>
  </si>
  <si>
    <t>DynaMoth_Math-97_Buggy</t>
  </si>
  <si>
    <t>SimFix_Lang-45_Buggy</t>
  </si>
  <si>
    <t>DynaMoth_Math-81_Repaired</t>
  </si>
  <si>
    <t>FixMiner_Closure-19_Fixed</t>
  </si>
  <si>
    <t>FixMiner_Closure-62_Buggy</t>
  </si>
  <si>
    <t>kPAR_Lang-59_Buggy</t>
  </si>
  <si>
    <t>TBar_Math-65_Repaired</t>
  </si>
  <si>
    <t>kPAR_Closure-2_Buggy</t>
  </si>
  <si>
    <t>Nopol_Chart-17_Buggy</t>
  </si>
  <si>
    <t>TBar_Closure-2_Fixed</t>
  </si>
  <si>
    <t>TBar_Closure-62_Repaired</t>
  </si>
  <si>
    <t>TBar_Chart-9_Fixed</t>
  </si>
  <si>
    <t>AVATAR_Math-82_Buggy</t>
  </si>
  <si>
    <t>AVATAR_Math-57_Buggy</t>
  </si>
  <si>
    <t>ARJA_Math-80_Fixed</t>
  </si>
  <si>
    <t>FixMiner_Chart-3_Fixed</t>
  </si>
  <si>
    <t>Nopol_Chart-17_Repaired</t>
  </si>
  <si>
    <t>FixMiner_Math-68_Repaired</t>
  </si>
  <si>
    <t>ARJA_Closure-21_Fixed</t>
  </si>
  <si>
    <t>SimFix_Math-73_Buggy</t>
  </si>
  <si>
    <t>ACS_Math-3_Buggy</t>
  </si>
  <si>
    <t>TBar_Lang-41_Repaired</t>
  </si>
  <si>
    <t>kPAR_Lang-53_Buggy</t>
  </si>
  <si>
    <t>DynaMoth_Lang-63_Repaired</t>
  </si>
  <si>
    <t>ARJA_Math-58_Repaired</t>
  </si>
  <si>
    <t>FixMiner_Lang-7_Fixed</t>
  </si>
  <si>
    <t>SimFix_Chart-22_Repaired</t>
  </si>
  <si>
    <t>SimFix_Math-73_Fixed</t>
  </si>
  <si>
    <t>TBar_Chart-5_Buggy</t>
  </si>
  <si>
    <t>AVATAR_Math-80_Repaired</t>
  </si>
  <si>
    <t>SimFix_Math-71_Buggy</t>
  </si>
  <si>
    <t>TBar_Chart-8_Fixed</t>
  </si>
  <si>
    <t>SimFix_Chart-1_Fixed</t>
  </si>
  <si>
    <t>TBar_Chart-26_Repaired</t>
  </si>
  <si>
    <t>ACS_Math-3_Repaired</t>
  </si>
  <si>
    <t>TBar_Lang-47_Buggy</t>
  </si>
  <si>
    <t>TBar_Closure-38_Repaired</t>
  </si>
  <si>
    <t>TBar_Lang-57_Buggy</t>
  </si>
  <si>
    <t>kPAR_Math-88_Fixed</t>
  </si>
  <si>
    <t>kPAR_Closure-21_Buggy</t>
  </si>
  <si>
    <t>TBar_Lang-39_Repaired</t>
  </si>
  <si>
    <t>DynaMoth_Math-50_Repaired</t>
  </si>
  <si>
    <t>FixMiner_Chart-7_Buggy</t>
  </si>
  <si>
    <t>SimFix_Math-72_Repaired</t>
  </si>
  <si>
    <t>TBar_Closure-117_Buggy</t>
  </si>
  <si>
    <t>ACS_Math-35_Repaired</t>
  </si>
  <si>
    <t>TBar_Closure-40_Buggy</t>
  </si>
  <si>
    <t>SimFix_Math-73_Repaired</t>
  </si>
  <si>
    <t>ARJA_Closure-124_Buggy</t>
  </si>
  <si>
    <t>AVATAR_Math-85_Buggy</t>
  </si>
  <si>
    <t>FixMiner_Math-63_Buggy</t>
  </si>
  <si>
    <t>TBar_Lang-60_Buggy</t>
  </si>
  <si>
    <t>AVATAR_Math-81_Repaired</t>
  </si>
  <si>
    <t>kPAR_Closure-38_Buggy</t>
  </si>
  <si>
    <t>TBar_Closure-10_Repaired</t>
  </si>
  <si>
    <t>TBar_Closure-115_Buggy</t>
  </si>
  <si>
    <t>AVATAR_Closure-62_Fixed</t>
  </si>
  <si>
    <t>kPAR_Lang-6_Buggy</t>
  </si>
  <si>
    <t>TBar_Closure-70_Repaired</t>
  </si>
  <si>
    <t>kPAR_Closure-62_Buggy</t>
  </si>
  <si>
    <t>TBar_Closure-11_Repaired</t>
  </si>
  <si>
    <t>AVATAR_Lang-39_Fixed</t>
  </si>
  <si>
    <t>SimFix_Math-75_Repaired</t>
  </si>
  <si>
    <t>kPAR_Lang-6_Fixed</t>
  </si>
  <si>
    <t>kPAR_Closure-11_Repaired</t>
  </si>
  <si>
    <t>Nopol_Lang-51_Fixed</t>
  </si>
  <si>
    <t>AVATAR_Lang-13_Repaired</t>
  </si>
  <si>
    <t>FixMiner_Math-33_Fixed</t>
  </si>
  <si>
    <t>FixMiner_Chart-26_Buggy</t>
  </si>
  <si>
    <t>Nopol_Lang-55_Fixed</t>
  </si>
  <si>
    <t>ACS_Math-28_Repaired</t>
  </si>
  <si>
    <t>FixMiner_Math-81_Buggy</t>
  </si>
  <si>
    <t>TBar_Closure-70_Buggy</t>
  </si>
  <si>
    <t>kPAR_Math-8_Fixed</t>
  </si>
  <si>
    <t>kPAR_Lang-44_Fixed</t>
  </si>
  <si>
    <t>TBar_Chart-19_Fixed</t>
  </si>
  <si>
    <t>ACS_Math-73_Buggy</t>
  </si>
  <si>
    <t>AVATAR_Lang-58_Repaired</t>
  </si>
  <si>
    <t>ARJA_Chart-13_Buggy</t>
  </si>
  <si>
    <t>SimFix_Lang-41_Fixed</t>
  </si>
  <si>
    <t>SimFix_Closure-19_Repaired</t>
  </si>
  <si>
    <t>SimFix_Closure-125_Fixed</t>
  </si>
  <si>
    <t>SimFix_Lang-12_Fixed</t>
  </si>
  <si>
    <t>AVATAR_Closure-45_Repaired</t>
  </si>
  <si>
    <t>ACS_Math-93_Buggy</t>
  </si>
  <si>
    <t>DynaMoth_Math-80_Fixed</t>
  </si>
  <si>
    <t>AVATAR_Math-28_Buggy</t>
  </si>
  <si>
    <t>kPAR_Math-15_Buggy</t>
  </si>
  <si>
    <t>TBar_Chart-9_Buggy</t>
  </si>
  <si>
    <t>ACS_Math-89_Repaired</t>
  </si>
  <si>
    <t>kPAR_Lang-51_Fixed</t>
  </si>
  <si>
    <t>DynaMoth_Lang-46_Buggy</t>
  </si>
  <si>
    <t>Nopol_Lang-44_Repaired</t>
  </si>
  <si>
    <t>kPAR_Math-63_Repaired</t>
  </si>
  <si>
    <t>SimFix_Lang-58_Fixed</t>
  </si>
  <si>
    <t>SimFix_Math-41_Buggy</t>
  </si>
  <si>
    <t>AVATAR_Math-85_Repaired</t>
  </si>
  <si>
    <t>TBar_Lang-45_Buggy</t>
  </si>
  <si>
    <t>ARJA_Lang-50_Fixed</t>
  </si>
  <si>
    <t>TBar_Lang-27_Repaired</t>
  </si>
  <si>
    <t>SimFix_Lang-16_Repaired</t>
  </si>
  <si>
    <t>FixMiner_Chart-13_Repaired</t>
  </si>
  <si>
    <t>TBar_Math-95_Fixed</t>
  </si>
  <si>
    <t>AVATAR_Mockito-38_Buggy</t>
  </si>
  <si>
    <t>TBar_Closure-73_Repaired</t>
  </si>
  <si>
    <t>SimFix_Math-5_Buggy</t>
  </si>
  <si>
    <t>AVATAR_Math-88_Fixed</t>
  </si>
  <si>
    <t>kPAR_Math-104_Fixed</t>
  </si>
  <si>
    <t>TBar_Closure-13_Buggy</t>
  </si>
  <si>
    <t>kPAR_Chart-3_Fixed</t>
  </si>
  <si>
    <t>TBar_Math-63_Repaired</t>
  </si>
  <si>
    <t>FixMiner_Closure-46_Repaired</t>
  </si>
  <si>
    <t>FixMiner_Math-50_Fixed</t>
  </si>
  <si>
    <t>SimFix_Lang-16_Buggy</t>
  </si>
  <si>
    <t>SimFix_Lang-50_Repaired</t>
  </si>
  <si>
    <t>AVATAR_Chart-19_Repaired</t>
  </si>
  <si>
    <t>Nopol_Math-105_Buggy</t>
  </si>
  <si>
    <t>ARJA_Lang-59_Repaired</t>
  </si>
  <si>
    <t>DynaMoth_Math-101_Fixed</t>
  </si>
  <si>
    <t>AVATAR_Closure-21_Fixed</t>
  </si>
  <si>
    <t>TBar_Lang-44_Repaired</t>
  </si>
  <si>
    <t>FixMiner_Math-64_Buggy</t>
  </si>
  <si>
    <t>kPAR_Math-80_Buggy</t>
  </si>
  <si>
    <t>ARJA_Math-80_Repaired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</si>
  <si>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</si>
  <si>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</si>
  <si>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</si>
  <si>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</si>
  <si>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</si>
  <si>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</si>
  <si>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</si>
  <si>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</si>
  <si>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</si>
  <si>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</si>
  <si>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</si>
  <si>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</si>
  <si>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</si>
  <si>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</si>
  <si>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</si>
  <si>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</si>
  <si>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</si>
  <si>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</si>
  <si>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</si>
  <si>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</si>
  <si>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</si>
  <si>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</si>
  <si>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</si>
  <si>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</si>
  <si>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</si>
  <si>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Count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</si>
  <si>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</si>
  <si>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</si>
  <si>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</si>
  <si>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</si>
  <si>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</si>
  <si>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</si>
  <si>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</si>
  <si>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</si>
  <si>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</si>
  <si>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</si>
  <si>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</si>
  <si>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</si>
  <si>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</si>
  <si>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</si>
  <si>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</si>
  <si>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</si>
  <si>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</si>
  <si>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</si>
  <si>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Avg-RSRepair-Fixed</t>
  </si>
  <si>
    <t>Avg-RSRepair-Repaired</t>
  </si>
  <si>
    <t>Avg-SimFix-Fixed</t>
  </si>
  <si>
    <t>Avg-SimFix-Repaired</t>
  </si>
  <si>
    <t>Avg-TBar-Fixed</t>
  </si>
  <si>
    <t>Avg-TBar-Repaired</t>
  </si>
  <si>
    <t>525 projects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</si>
  <si>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</si>
  <si>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</si>
  <si>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</si>
  <si>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</si>
  <si>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</si>
  <si>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</si>
  <si>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</si>
  <si>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</si>
  <si>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</si>
  <si>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</si>
  <si>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</si>
  <si>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</si>
  <si>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</si>
  <si>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</si>
  <si>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</si>
  <si>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</si>
  <si>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</si>
  <si>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</si>
  <si>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</si>
  <si>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</si>
  <si>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</si>
  <si>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</si>
  <si>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</si>
  <si>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</si>
  <si>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</si>
  <si>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</si>
  <si>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</si>
  <si>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</si>
  <si>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</si>
  <si>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</si>
  <si>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</si>
  <si>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</si>
  <si>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</si>
  <si>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</si>
  <si>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</si>
  <si>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</si>
  <si>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</si>
  <si>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</si>
  <si>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</si>
  <si>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</si>
  <si>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</si>
  <si>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</si>
  <si>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</si>
  <si>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</si>
  <si>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</si>
  <si>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</si>
  <si>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</si>
  <si>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</si>
  <si>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</si>
  <si>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</si>
  <si>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</si>
  <si>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</si>
  <si>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</si>
  <si>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</si>
  <si>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</si>
  <si>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</si>
  <si>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</si>
  <si>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</si>
  <si>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</si>
  <si>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</si>
  <si>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</si>
  <si>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</si>
  <si>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</si>
  <si>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</si>
  <si>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</si>
  <si>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</si>
  <si>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</si>
  <si>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</si>
  <si>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</si>
  <si>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</si>
  <si>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</si>
  <si>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</si>
  <si>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</si>
  <si>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</si>
  <si>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</si>
  <si>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</si>
  <si>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</si>
  <si>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</si>
  <si>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</si>
  <si>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</si>
  <si>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</si>
  <si>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</si>
  <si>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</si>
  <si>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</si>
  <si>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</si>
  <si>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</si>
  <si>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</si>
  <si>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</si>
  <si>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</si>
  <si>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</si>
  <si>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</si>
  <si>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</si>
  <si>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</si>
  <si>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</si>
  <si>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</si>
  <si>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</si>
  <si>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</si>
  <si>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</si>
  <si>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</si>
  <si>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</si>
  <si>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</si>
  <si>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</si>
  <si>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</si>
  <si>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</si>
  <si>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</si>
  <si>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</si>
  <si>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</si>
  <si>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</si>
  <si>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GenProg-A_Chart-1_Fixed</t>
  </si>
  <si>
    <t>GenProg-A_Chart-12_Fixed</t>
  </si>
  <si>
    <t>GenProg-A_Chart-13_Fixed</t>
  </si>
  <si>
    <t>GenProg-A_Chart-3_Fixed</t>
  </si>
  <si>
    <t>GenProg-A_Closure-112_Fixed</t>
  </si>
  <si>
    <t>GenProg-A_Closure-115_Fixed</t>
  </si>
  <si>
    <t>GenProg-A_Closure-117_Fixed</t>
  </si>
  <si>
    <t>GenProg-A_Closure-124_Fixed</t>
  </si>
  <si>
    <t>GenProg-A_Closure-125_Fixed</t>
  </si>
  <si>
    <t>GenProg-A_Closure-21_Fixed</t>
  </si>
  <si>
    <t>GenProg-A_Closure-22_Fixed</t>
  </si>
  <si>
    <t>GenProg-A_Closure-3_Fixed</t>
  </si>
  <si>
    <t>GenProg-A_Closure-33_Fixed</t>
  </si>
  <si>
    <t>GenProg-A_Closure-55_Fixed</t>
  </si>
  <si>
    <t>GenProg-A_Closure-86_Fixed</t>
  </si>
  <si>
    <t>GenProg-A_Closure-88_Fixed</t>
  </si>
  <si>
    <t>GenProg-A_Lang-43_Fixed</t>
  </si>
  <si>
    <t>GenProg-A_Lang-59_Fixed</t>
  </si>
  <si>
    <t>GenProg-A_Lang-63_Fixed</t>
  </si>
  <si>
    <t>GenProg-A_Lang-7_Fixed</t>
  </si>
  <si>
    <t>GenProg-A_Math-28_Fixed</t>
  </si>
  <si>
    <t>GenProg-A_Math-50_Fixed</t>
  </si>
  <si>
    <t>GenProg-A_Math-70_Fixed</t>
  </si>
  <si>
    <t>GenProg-A_Math-80_Fixed</t>
  </si>
  <si>
    <t>GenProg-A_Math-81_Fixed</t>
  </si>
  <si>
    <t>GenProg-A_Math-82_Fixed</t>
  </si>
  <si>
    <t>GenProg-A_Math-85_Fixed</t>
  </si>
  <si>
    <t>GenProg-A_Math-95_Fixed</t>
  </si>
  <si>
    <t>Kali-A_Chart-1_Fixed</t>
  </si>
  <si>
    <t>Kali-A_Chart-5_Fixed</t>
  </si>
  <si>
    <t>Kali-A_Closure-1_Fixed</t>
  </si>
  <si>
    <t>Kali-A_Closure-10_Fixed</t>
  </si>
  <si>
    <t>Kali-A_Closure-112_Fixed</t>
  </si>
  <si>
    <t>Kali-A_Closure-113_Fixed</t>
  </si>
  <si>
    <t>Kali-A_Closure-115_Fixed</t>
  </si>
  <si>
    <t>Kali-A_Closure-124_Fixed</t>
  </si>
  <si>
    <t>Kali-A_Closure-15_Fixed</t>
  </si>
  <si>
    <t>Kali-A_Closure-2_Fixed</t>
  </si>
  <si>
    <t>Kali-A_Closure-21_Fixed</t>
  </si>
  <si>
    <t>Kali-A_Closure-22_Fixed</t>
  </si>
  <si>
    <t>Kali-A_Closure-3_Fixed</t>
  </si>
  <si>
    <t>Kali-A_Closure-33_Fixed</t>
  </si>
  <si>
    <t>Kali-A_Closure-38_Fixed</t>
  </si>
  <si>
    <t>Kali-A_Closure-4_Fixed</t>
  </si>
  <si>
    <t>Kali-A_Closure-46_Fixed</t>
  </si>
  <si>
    <t>Kali-A_Closure-51_Fixed</t>
  </si>
  <si>
    <t>Kali-A_Closure-55_Fixed</t>
  </si>
  <si>
    <t>Kali-A_Closure-66_Fixed</t>
  </si>
  <si>
    <t>Kali-A_Closure-7_Fixed</t>
  </si>
  <si>
    <t>Kali-A_Closure-75_Fixed</t>
  </si>
  <si>
    <t>Kali-A_Closure-86_Fixed</t>
  </si>
  <si>
    <t>Kali-A_Lang-58_Fixed</t>
  </si>
  <si>
    <t>Kali-A_Lang-63_Fixed</t>
  </si>
  <si>
    <t>Kali-A_Math-28_Fixed</t>
  </si>
  <si>
    <t>Kali-A_Math-31_Fixed</t>
  </si>
  <si>
    <t>Kali-A_Math-32_Fixed</t>
  </si>
  <si>
    <t>Kali-A_Math-49_Fixed</t>
  </si>
  <si>
    <t>Kali-A_Math-50_Fixed</t>
  </si>
  <si>
    <t>Kali-A_Math-80_Fixed</t>
  </si>
  <si>
    <t>Kali-A_Math-81_Fixed</t>
  </si>
  <si>
    <t>Kali-A_Math-84_Fixed</t>
  </si>
  <si>
    <t>Kali-A_Math-85_Fixed</t>
  </si>
  <si>
    <t>Kali-A_Math-95_Fixed</t>
  </si>
  <si>
    <t>RSRepair-A_Chart-1_Fixed</t>
  </si>
  <si>
    <t>RSRepair-A_Chart-12_Fixed</t>
  </si>
  <si>
    <t>RSRepair-A_Chart-5_Fixed</t>
  </si>
  <si>
    <t>RSRepair-A_Closure-10_Fixed</t>
  </si>
  <si>
    <t>RSRepair-A_Closure-112_Fixed</t>
  </si>
  <si>
    <t>RSRepair-A_Closure-115_Fixed</t>
  </si>
  <si>
    <t>RSRepair-A_Closure-117_Fixed</t>
  </si>
  <si>
    <t>RSRepair-A_Closure-120_Fixed</t>
  </si>
  <si>
    <t>RSRepair-A_Closure-121_Fixed</t>
  </si>
  <si>
    <t>RSRepair-A_Closure-124_Fixed</t>
  </si>
  <si>
    <t>RSRepair-A_Closure-125_Fixed</t>
  </si>
  <si>
    <t>RSRepair-A_Closure-21_Fixed</t>
  </si>
  <si>
    <t>RSRepair-A_Closure-22_Fixed</t>
  </si>
  <si>
    <t>RSRepair-A_Closure-3_Fixed</t>
  </si>
  <si>
    <t>RSRepair-A_Closure-33_Fixed</t>
  </si>
  <si>
    <t>RSRepair-A_Closure-55_Fixed</t>
  </si>
  <si>
    <t>RSRepair-A_Closure-75_Fixed</t>
  </si>
  <si>
    <t>RSRepair-A_Closure-86_Fixed</t>
  </si>
  <si>
    <t>RSRepair-A_Closure-88_Fixed</t>
  </si>
  <si>
    <t>RSRepair-A_Lang-13_Fixed</t>
  </si>
  <si>
    <t>RSRepair-A_Lang-16_Fixed</t>
  </si>
  <si>
    <t>RSRepair-A_Lang-43_Fixed</t>
  </si>
  <si>
    <t>RSRepair-A_Lang-46_Fixed</t>
  </si>
  <si>
    <t>RSRepair-A_Lang-59_Fixed</t>
  </si>
  <si>
    <t>RSRepair-A_Lang-63_Fixed</t>
  </si>
  <si>
    <t>RSRepair-A_Lang-7_Fixed</t>
  </si>
  <si>
    <t>RSRepair-A_Math-28_Fixed</t>
  </si>
  <si>
    <t>RSRepair-A_Math-33_Fixed</t>
  </si>
  <si>
    <t>RSRepair-A_Math-40_Fixed</t>
  </si>
  <si>
    <t>RSRepair-A_Math-5_Fixed</t>
  </si>
  <si>
    <t>RSRepair-A_Math-50_Fixed</t>
  </si>
  <si>
    <t>RSRepair-A_Math-53_Fixed</t>
  </si>
  <si>
    <t>RSRepair-A_Math-58_Fixed</t>
  </si>
  <si>
    <t>RSRepair-A_Math-70_Fixed</t>
  </si>
  <si>
    <t>RSRepair-A_Math-80_Fixed</t>
  </si>
  <si>
    <t>RSRepair-A_Math-81_Fixed</t>
  </si>
  <si>
    <t>RSRepair-A_Math-82_Fixed</t>
  </si>
  <si>
    <t>RSRepair-A_Math-84_Fixed</t>
  </si>
  <si>
    <t>RSRepair-A_Math-85_Fixed</t>
  </si>
  <si>
    <t>RSRepair-A_Math-88_Fixed</t>
  </si>
  <si>
    <t>RSRepair-A_Math-95_Fixed</t>
  </si>
  <si>
    <t>GenProg-A_Chart-1_Repaired</t>
  </si>
  <si>
    <t>GenProg-A_Chart-12_Repaired</t>
  </si>
  <si>
    <t>GenProg-A_Chart-13_Repaired</t>
  </si>
  <si>
    <t>GenProg-A_Chart-3_Repaired</t>
  </si>
  <si>
    <t>GenProg-A_Closure-112_Repaired</t>
  </si>
  <si>
    <t>GenProg-A_Closure-115_Repaired</t>
  </si>
  <si>
    <t>GenProg-A_Closure-117_Repaired</t>
  </si>
  <si>
    <t>GenProg-A_Closure-124_Repaired</t>
  </si>
  <si>
    <t>GenProg-A_Closure-125_Repaired</t>
  </si>
  <si>
    <t>GenProg-A_Closure-21_Repaired</t>
  </si>
  <si>
    <t>GenProg-A_Closure-22_Repaired</t>
  </si>
  <si>
    <t>GenProg-A_Closure-3_Repaired</t>
  </si>
  <si>
    <t>GenProg-A_Closure-33_Repaired</t>
  </si>
  <si>
    <t>GenProg-A_Closure-55_Repaired</t>
  </si>
  <si>
    <t>GenProg-A_Closure-86_Repaired</t>
  </si>
  <si>
    <t>GenProg-A_Closure-88_Repaired</t>
  </si>
  <si>
    <t>GenProg-A_Lang-43_Repaired</t>
  </si>
  <si>
    <t>GenProg-A_Lang-59_Repaired</t>
  </si>
  <si>
    <t>GenProg-A_Lang-63_Repaired</t>
  </si>
  <si>
    <t>GenProg-A_Lang-7_Repaired</t>
  </si>
  <si>
    <t>GenProg-A_Math-28_Repaired</t>
  </si>
  <si>
    <t>GenProg-A_Math-50_Repaired</t>
  </si>
  <si>
    <t>GenProg-A_Math-70_Repaired</t>
  </si>
  <si>
    <t>GenProg-A_Math-80_Repaired</t>
  </si>
  <si>
    <t>GenProg-A_Math-81_Repaired</t>
  </si>
  <si>
    <t>GenProg-A_Math-82_Repaired</t>
  </si>
  <si>
    <t>GenProg-A_Math-85_Repaired</t>
  </si>
  <si>
    <t>GenProg-A_Math-95_Repaired</t>
  </si>
  <si>
    <t>Kali-A_Chart-1_Repaired</t>
  </si>
  <si>
    <t>Kali-A_Chart-5_Repaired</t>
  </si>
  <si>
    <t>Kali-A_Closure-1_Repaired</t>
  </si>
  <si>
    <t>Kali-A_Closure-10_Repaired</t>
  </si>
  <si>
    <t>Kali-A_Closure-112_Repaired</t>
  </si>
  <si>
    <t>Kali-A_Closure-113_Repaired</t>
  </si>
  <si>
    <t>Kali-A_Closure-115_Repaired</t>
  </si>
  <si>
    <t>Kali-A_Closure-124_Repaired</t>
  </si>
  <si>
    <t>Kali-A_Closure-15_Repaired</t>
  </si>
  <si>
    <t>Kali-A_Closure-2_Repaired</t>
  </si>
  <si>
    <t>Kali-A_Closure-21_Repaired</t>
  </si>
  <si>
    <t>Kali-A_Closure-22_Repaired</t>
  </si>
  <si>
    <t>Kali-A_Closure-3_Repaired</t>
  </si>
  <si>
    <t>Kali-A_Closure-33_Repaired</t>
  </si>
  <si>
    <t>Kali-A_Closure-38_Repaired</t>
  </si>
  <si>
    <t>Kali-A_Closure-4_Repaired</t>
  </si>
  <si>
    <t>Kali-A_Closure-46_Repaired</t>
  </si>
  <si>
    <t>Kali-A_Closure-51_Repaired</t>
  </si>
  <si>
    <t>Kali-A_Closure-55_Repaired</t>
  </si>
  <si>
    <t>Kali-A_Closure-66_Repaired</t>
  </si>
  <si>
    <t>Kali-A_Closure-7_Repaired</t>
  </si>
  <si>
    <t>Kali-A_Closure-75_Repaired</t>
  </si>
  <si>
    <t>Kali-A_Closure-86_Repaired</t>
  </si>
  <si>
    <t>Kali-A_Lang-58_Repaired</t>
  </si>
  <si>
    <t>Kali-A_Lang-63_Repaired</t>
  </si>
  <si>
    <t>Kali-A_Math-28_Repaired</t>
  </si>
  <si>
    <t>Kali-A_Math-31_Repaired</t>
  </si>
  <si>
    <t>Kali-A_Math-32_Repaired</t>
  </si>
  <si>
    <t>Kali-A_Math-49_Repaired</t>
  </si>
  <si>
    <t>Kali-A_Math-50_Repaired</t>
  </si>
  <si>
    <t>Kali-A_Math-80_Repaired</t>
  </si>
  <si>
    <t>Kali-A_Math-81_Repaired</t>
  </si>
  <si>
    <t>Kali-A_Math-84_Repaired</t>
  </si>
  <si>
    <t>Kali-A_Math-85_Repaired</t>
  </si>
  <si>
    <t>Kali-A_Math-95_Repaired</t>
  </si>
  <si>
    <t>RSRepair-A_Chart-1_Repaired</t>
  </si>
  <si>
    <t>RSRepair-A_Chart-12_Repaired</t>
  </si>
  <si>
    <t>RSRepair-A_Chart-5_Repaired</t>
  </si>
  <si>
    <t>RSRepair-A_Closure-10_Repaired</t>
  </si>
  <si>
    <t>RSRepair-A_Closure-112_Repaired</t>
  </si>
  <si>
    <t>RSRepair-A_Closure-115_Repaired</t>
  </si>
  <si>
    <t>RSRepair-A_Closure-117_Repaired</t>
  </si>
  <si>
    <t>RSRepair-A_Closure-120_Repaired</t>
  </si>
  <si>
    <t>RSRepair-A_Closure-121_Repaired</t>
  </si>
  <si>
    <t>RSRepair-A_Closure-124_Repaired</t>
  </si>
  <si>
    <t>RSRepair-A_Closure-125_Repaired</t>
  </si>
  <si>
    <t>RSRepair-A_Closure-21_Repaired</t>
  </si>
  <si>
    <t>RSRepair-A_Closure-22_Repaired</t>
  </si>
  <si>
    <t>RSRepair-A_Closure-3_Repaired</t>
  </si>
  <si>
    <t>RSRepair-A_Closure-33_Repaired</t>
  </si>
  <si>
    <t>RSRepair-A_Closure-55_Repaired</t>
  </si>
  <si>
    <t>RSRepair-A_Closure-75_Repaired</t>
  </si>
  <si>
    <t>RSRepair-A_Closure-86_Repaired</t>
  </si>
  <si>
    <t>RSRepair-A_Closure-88_Repaired</t>
  </si>
  <si>
    <t>RSRepair-A_Lang-13_Repaired</t>
  </si>
  <si>
    <t>RSRepair-A_Lang-16_Repaired</t>
  </si>
  <si>
    <t>RSRepair-A_Lang-43_Repaired</t>
  </si>
  <si>
    <t>RSRepair-A_Lang-46_Repaired</t>
  </si>
  <si>
    <t>RSRepair-A_Lang-59_Repaired</t>
  </si>
  <si>
    <t>RSRepair-A_Lang-63_Repaired</t>
  </si>
  <si>
    <t>RSRepair-A_Lang-7_Repaired</t>
  </si>
  <si>
    <t>RSRepair-A_Math-28_Repaired</t>
  </si>
  <si>
    <t>RSRepair-A_Math-33_Repaired</t>
  </si>
  <si>
    <t>RSRepair-A_Math-40_Repaired</t>
  </si>
  <si>
    <t>RSRepair-A_Math-5_Repaired</t>
  </si>
  <si>
    <t>RSRepair-A_Math-50_Repaired</t>
  </si>
  <si>
    <t>RSRepair-A_Math-53_Repaired</t>
  </si>
  <si>
    <t>RSRepair-A_Math-58_Repaired</t>
  </si>
  <si>
    <t>RSRepair-A_Math-70_Repaired</t>
  </si>
  <si>
    <t>RSRepair-A_Math-80_Repaired</t>
  </si>
  <si>
    <t>RSRepair-A_Math-81_Repaired</t>
  </si>
  <si>
    <t>RSRepair-A_Math-82_Repaired</t>
  </si>
  <si>
    <t>RSRepair-A_Math-84_Repaired</t>
  </si>
  <si>
    <t>RSRepair-A_Math-85_Repaired</t>
  </si>
  <si>
    <t>RSRepair-A_Math-88_Repaired</t>
  </si>
  <si>
    <t>RSRepair-A_Math-95_Repaired</t>
  </si>
  <si>
    <t>217 projects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</si>
  <si>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</si>
  <si>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</si>
  <si>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</si>
  <si>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</si>
  <si>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</si>
  <si>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</si>
  <si>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</si>
  <si>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</si>
  <si>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</si>
  <si>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</si>
  <si>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</si>
  <si>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</si>
  <si>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</si>
  <si>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</si>
  <si>
    <t>Correctness</t>
  </si>
  <si>
    <t>correct</t>
  </si>
  <si>
    <t>plausible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</si>
  <si>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</si>
  <si>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</si>
  <si>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</si>
  <si>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</si>
  <si>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</si>
  <si>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</si>
  <si>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</si>
  <si>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</si>
  <si>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</si>
  <si>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</si>
  <si>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</si>
  <si>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</si>
  <si>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</si>
  <si>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</si>
  <si>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</si>
  <si>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</si>
  <si>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</si>
  <si>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</si>
  <si>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1 575 total</t>
  </si>
  <si>
    <t>Avg-Correct-Fixed</t>
  </si>
  <si>
    <t>Avg-Correct-Repaired</t>
  </si>
  <si>
    <t>Avg-Plausible-Repaired</t>
  </si>
  <si>
    <t>Correctness of Repaired</t>
  </si>
  <si>
    <t>p &lt; .05</t>
  </si>
  <si>
    <t>Single-Line-Avg-Fixed</t>
  </si>
  <si>
    <t>Single-Line-Avg-Repaired</t>
  </si>
  <si>
    <t>Multi-Line-Avg-Fixed</t>
  </si>
  <si>
    <t>Multi-Line-Avg-Repaired</t>
  </si>
  <si>
    <t>Wilcoxon signed-rank test</t>
  </si>
  <si>
    <t>Two-Factor Different</t>
  </si>
  <si>
    <t>Two-Factor Common</t>
  </si>
  <si>
    <t>Edits</t>
  </si>
  <si>
    <t>Project</t>
  </si>
  <si>
    <t>Lines</t>
  </si>
  <si>
    <t>NO</t>
  </si>
  <si>
    <t>YES</t>
  </si>
  <si>
    <t>Multi-Chunk &amp; Multi-Line Different</t>
  </si>
  <si>
    <t>Single-Chunk-Avg-Fixed</t>
  </si>
  <si>
    <t>Single-Chunk-Single-Edit-Avg-Fixed</t>
  </si>
  <si>
    <t>Single-Chunk-Avg-Repaired</t>
  </si>
  <si>
    <t>Single-Chunk-Single-Edit-Avg-Repaired</t>
  </si>
  <si>
    <t>Multi-Chunk-Avg-Fixed</t>
  </si>
  <si>
    <t>Single-Chunk-Multi-Edits-Avg-Fixed</t>
  </si>
  <si>
    <t>Multi-Chunk-Avg-Repaired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</si>
  <si>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</si>
  <si>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</si>
  <si>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</si>
  <si>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</si>
  <si>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</si>
  <si>
    <t>Multi-Chunk &amp; Multi-Line Common</t>
  </si>
  <si>
    <t>MC-SL Diff</t>
  </si>
  <si>
    <t>MC-ML Diff</t>
  </si>
  <si>
    <t>MC-SL Comm</t>
  </si>
  <si>
    <t>MC-ML Comm</t>
  </si>
  <si>
    <t>SC-SL Comm</t>
  </si>
  <si>
    <t>SC-ML Comm</t>
  </si>
  <si>
    <t>SL Comm</t>
  </si>
  <si>
    <t>ML Comm</t>
  </si>
  <si>
    <t>w</t>
  </si>
  <si>
    <t>DIFF SUM</t>
  </si>
  <si>
    <t>ACS</t>
  </si>
  <si>
    <t>Arja</t>
  </si>
  <si>
    <t>AVATAR</t>
  </si>
  <si>
    <t>DynaMoth</t>
  </si>
  <si>
    <t>FixMiner</t>
  </si>
  <si>
    <t>GenProg</t>
  </si>
  <si>
    <t>Kali</t>
  </si>
  <si>
    <t>kPAR</t>
  </si>
  <si>
    <t>Nopol</t>
  </si>
  <si>
    <t>RSRepair</t>
  </si>
  <si>
    <t>SimFix</t>
  </si>
  <si>
    <t>TBar</t>
  </si>
  <si>
    <t>True Search</t>
  </si>
  <si>
    <t>Evolutionary Search</t>
  </si>
  <si>
    <t>True Semantic</t>
  </si>
  <si>
    <t>True Pattern</t>
  </si>
  <si>
    <t>Search Like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</si>
</sst>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2" fontId="23" fillId="34" borderId="10" xfId="0" applyNumberFormat="1" applyFont="1" applyFill="1" applyBorder="1" applyAlignment="1">
      <alignment horizontal="center" vertical="center" wrapText="1"/>
    </xf>
    <xf numFmtId="2" fontId="26" fillId="0" borderId="0" xfId="0" applyNumberFormat="1" applyFont="1"/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 applyAlignment="1">
      <alignment horizontal="center" vertical="center"/>
    </xf>
    <xf numFmtId="164" fontId="18" fillId="0" borderId="0" xfId="0" applyNumberFormat="1" applyFont="1"/>
    <xf numFmtId="164" fontId="23" fillId="34" borderId="10" xfId="0" applyNumberFormat="1" applyFont="1" applyFill="1" applyBorder="1" applyAlignment="1">
      <alignment horizontal="center" vertical="center" wrapText="1"/>
    </xf>
    <xf numFmtId="164" fontId="26" fillId="0" borderId="0" xfId="0" applyNumberFormat="1" applyFont="1"/>
    <xf numFmtId="0" fontId="18" fillId="0" borderId="15" xfId="0" applyFont="1" applyBorder="1"/>
    <xf numFmtId="164" fontId="0" fillId="0" borderId="0" xfId="0" applyNumberFormat="1"/>
    <xf numFmtId="164" fontId="0" fillId="0" borderId="13" xfId="0" applyNumberFormat="1" applyBorder="1"/>
    <xf numFmtId="164" fontId="27" fillId="0" borderId="13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1751"/>
  <sheetViews>
    <sheetView showGridLines="0" tabSelected="1" topLeftCell="A1605" zoomScale="55" zoomScaleNormal="55" workbookViewId="0">
      <selection activeCell="C1619" sqref="C1619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1" width="10.77734375" style="1" customWidth="1"/>
    <col min="22" max="22" width="9.109375" style="1"/>
    <col min="23" max="23" width="12.33203125" style="1" customWidth="1"/>
    <col min="24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3" x14ac:dyDescent="0.35">
      <c r="A17" s="4" t="s">
        <v>15</v>
      </c>
    </row>
    <row r="18" spans="1:23" x14ac:dyDescent="0.35">
      <c r="A18" s="4" t="s">
        <v>16</v>
      </c>
    </row>
    <row r="19" spans="1:23" x14ac:dyDescent="0.35">
      <c r="A19" s="4" t="s">
        <v>17</v>
      </c>
    </row>
    <row r="20" spans="1:23" x14ac:dyDescent="0.35">
      <c r="A20" s="4" t="s">
        <v>18</v>
      </c>
    </row>
    <row r="21" spans="1:23" x14ac:dyDescent="0.35">
      <c r="A21" s="4" t="s">
        <v>19</v>
      </c>
    </row>
    <row r="23" spans="1:23" s="15" customFormat="1" ht="28.8" x14ac:dyDescent="0.3">
      <c r="A23" s="14" t="s">
        <v>1688</v>
      </c>
      <c r="B23" s="14" t="s">
        <v>20</v>
      </c>
      <c r="C23" s="14" t="s">
        <v>1297</v>
      </c>
      <c r="D23" s="14" t="s">
        <v>1298</v>
      </c>
      <c r="E23" s="14" t="s">
        <v>21</v>
      </c>
      <c r="F23" s="14" t="s">
        <v>1299</v>
      </c>
      <c r="G23" s="14" t="s">
        <v>22</v>
      </c>
      <c r="H23" s="14" t="s">
        <v>1300</v>
      </c>
      <c r="I23" s="14" t="s">
        <v>1301</v>
      </c>
      <c r="J23" s="14" t="s">
        <v>1302</v>
      </c>
      <c r="K23" s="14" t="s">
        <v>1303</v>
      </c>
      <c r="L23" s="14" t="s">
        <v>1304</v>
      </c>
      <c r="M23" s="14" t="s">
        <v>1305</v>
      </c>
      <c r="N23" s="14" t="s">
        <v>1306</v>
      </c>
      <c r="O23" s="14" t="s">
        <v>1339</v>
      </c>
      <c r="P23" s="14" t="s">
        <v>1336</v>
      </c>
      <c r="Q23" s="14" t="s">
        <v>1295</v>
      </c>
      <c r="R23" s="12" t="s">
        <v>1692</v>
      </c>
      <c r="S23" s="12" t="s">
        <v>1292</v>
      </c>
      <c r="T23" s="12" t="s">
        <v>1293</v>
      </c>
      <c r="U23" s="12" t="s">
        <v>1294</v>
      </c>
      <c r="V23" s="12" t="s">
        <v>1703</v>
      </c>
      <c r="W23" s="12" t="s">
        <v>1702</v>
      </c>
    </row>
    <row r="24" spans="1:23" x14ac:dyDescent="0.35">
      <c r="A24" s="7" t="s">
        <v>754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>LEFT($A24,FIND("_",$A24)-1)</f>
        <v>ACS</v>
      </c>
      <c r="P24" s="13" t="str">
        <f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>IF(NOT(ISERR(SEARCH("*_Buggy",$A24))), "Buggy", IF(NOT(ISERR(SEARCH("*_Fixed",$A24))), "Fixed", IF(NOT(ISERR(SEARCH("*_Repaired",$A24))), "Repaired", "")))</f>
        <v>Buggy</v>
      </c>
      <c r="R24" s="13"/>
      <c r="S24" s="13"/>
      <c r="T24" s="13"/>
      <c r="U24" s="13"/>
      <c r="V24" s="13"/>
      <c r="W24" s="13"/>
    </row>
    <row r="25" spans="1:23" x14ac:dyDescent="0.35">
      <c r="A25" s="7" t="s">
        <v>981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>LEFT($A25,FIND("_",$A25)-1)</f>
        <v>ACS</v>
      </c>
      <c r="P25" s="13" t="str">
        <f>IF($O25="ACS", "True Search", IF($O25="Arja", "Evolutionary Search", IF($O25="AVATAR", "True Pattern", IF($O25="CapGen", "Search Like Pattern", IF($O25="Cardumen", "True Semantic", IF($O25="DynaMoth", "True Semantic", IF($O25="FixMiner", "True Pattern", IF($O25="GenProg-A", "Evolutionary Search", IF($O25="Hercules", "Learning Pattern", IF($O25="Jaid", "True Semantic",
IF($O25="Kali-A", "True Search", IF($O25="kPAR", "True Pattern", IF($O25="Nopol", "True Semantic", IF($O25="RSRepair-A", "Evolutionary Search", IF($O25="SequenceR", "Deep Learning", IF($O25="SimFix", "Search Like Pattern", IF($O25="SketchFix", "True Pattern", IF($O25="SOFix", "True Pattern", IF($O25="ssFix", "Search Like Pattern", IF($O25="TBar", "True Pattern", ""))))))))))))))))))))</f>
        <v>True Search</v>
      </c>
      <c r="Q25" s="13" t="str">
        <f>IF(NOT(ISERR(SEARCH("*_Buggy",$A25))), "Buggy", IF(NOT(ISERR(SEARCH("*_Fixed",$A25))), "Fixed", IF(NOT(ISERR(SEARCH("*_Repaired",$A25))), "Repaired", "")))</f>
        <v>Buggy</v>
      </c>
      <c r="R25" s="13"/>
      <c r="S25" s="13"/>
      <c r="T25" s="13"/>
      <c r="U25" s="13"/>
      <c r="V25" s="13"/>
      <c r="W25" s="13"/>
    </row>
    <row r="26" spans="1:23" x14ac:dyDescent="0.35">
      <c r="A26" s="5" t="s">
        <v>458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>LEFT($A26,FIND("_",$A26)-1)</f>
        <v>ACS</v>
      </c>
      <c r="P26" s="13" t="str">
        <f>IF($O26="ACS", "True Search", IF($O26="Arja", "Evolutionary Search", IF($O26="AVATAR", "True Pattern", IF($O26="CapGen", "Search Like Pattern", IF($O26="Cardumen", "True Semantic", IF($O26="DynaMoth", "True Semantic", IF($O26="FixMiner", "True Pattern", IF($O26="GenProg-A", "Evolutionary Search", IF($O26="Hercules", "Learning Pattern", IF($O26="Jaid", "True Semantic",
IF($O26="Kali-A", "True Search", IF($O26="kPAR", "True Pattern", IF($O26="Nopol", "True Semantic", IF($O26="RSRepair-A", "Evolutionary Search", IF($O26="SequenceR", "Deep Learning", IF($O26="SimFix", "Search Like Pattern", IF($O26="SketchFix", "True Pattern", IF($O26="SOFix", "True Pattern", IF($O26="ssFix", "Search Like Pattern", IF($O26="TBar", "True Pattern", ""))))))))))))))))))))</f>
        <v>True Search</v>
      </c>
      <c r="Q26" s="13" t="str">
        <f>IF(NOT(ISERR(SEARCH("*_Buggy",$A26))), "Buggy", IF(NOT(ISERR(SEARCH("*_Fixed",$A26))), "Fixed", IF(NOT(ISERR(SEARCH("*_Repaired",$A26))), "Repaired", "")))</f>
        <v>Buggy</v>
      </c>
      <c r="R26" s="13"/>
      <c r="S26" s="13"/>
      <c r="T26" s="13"/>
      <c r="U26" s="13"/>
      <c r="V26" s="13"/>
      <c r="W26" s="13"/>
    </row>
    <row r="27" spans="1:23" x14ac:dyDescent="0.35">
      <c r="A27" s="7" t="s">
        <v>1049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>LEFT($A27,FIND("_",$A27)-1)</f>
        <v>ACS</v>
      </c>
      <c r="P27" s="13" t="str">
        <f>IF($O27="ACS", "True Search", IF($O27="Arja", "Evolutionary Search", IF($O27="AVATAR", "True Pattern", IF($O27="CapGen", "Search Like Pattern", IF($O27="Cardumen", "True Semantic", IF($O27="DynaMoth", "True Semantic", IF($O27="FixMiner", "True Pattern", IF($O27="GenProg-A", "Evolutionary Search", IF($O27="Hercules", "Learning Pattern", IF($O27="Jaid", "True Semantic",
IF($O27="Kali-A", "True Search", IF($O27="kPAR", "True Pattern", IF($O27="Nopol", "True Semantic", IF($O27="RSRepair-A", "Evolutionary Search", IF($O27="SequenceR", "Deep Learning", IF($O27="SimFix", "Search Like Pattern", IF($O27="SketchFix", "True Pattern", IF($O27="SOFix", "True Pattern", IF($O27="ssFix", "Search Like Pattern", IF($O27="TBar", "True Pattern", ""))))))))))))))))))))</f>
        <v>True Search</v>
      </c>
      <c r="Q27" s="13" t="str">
        <f>IF(NOT(ISERR(SEARCH("*_Buggy",$A27))), "Buggy", IF(NOT(ISERR(SEARCH("*_Fixed",$A27))), "Fixed", IF(NOT(ISERR(SEARCH("*_Repaired",$A27))), "Repaired", "")))</f>
        <v>Buggy</v>
      </c>
      <c r="R27" s="13"/>
      <c r="S27" s="13"/>
      <c r="T27" s="13"/>
      <c r="U27" s="13"/>
      <c r="V27" s="13"/>
      <c r="W27" s="13"/>
    </row>
    <row r="28" spans="1:23" x14ac:dyDescent="0.35">
      <c r="A28" s="5" t="s">
        <v>733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>LEFT($A28,FIND("_",$A28)-1)</f>
        <v>ACS</v>
      </c>
      <c r="P28" s="13" t="str">
        <f>IF($O28="ACS", "True Search", IF($O28="Arja", "Evolutionary Search", IF($O28="AVATAR", "True Pattern", IF($O28="CapGen", "Search Like Pattern", IF($O28="Cardumen", "True Semantic", IF($O28="DynaMoth", "True Semantic", IF($O28="FixMiner", "True Pattern", IF($O28="GenProg-A", "Evolutionary Search", IF($O28="Hercules", "Learning Pattern", IF($O28="Jaid", "True Semantic",
IF($O28="Kali-A", "True Search", IF($O28="kPAR", "True Pattern", IF($O28="Nopol", "True Semantic", IF($O28="RSRepair-A", "Evolutionary Search", IF($O28="SequenceR", "Deep Learning", IF($O28="SimFix", "Search Like Pattern", IF($O28="SketchFix", "True Pattern", IF($O28="SOFix", "True Pattern", IF($O28="ssFix", "Search Like Pattern", IF($O28="TBar", "True Pattern", ""))))))))))))))))))))</f>
        <v>True Search</v>
      </c>
      <c r="Q28" s="13" t="str">
        <f>IF(NOT(ISERR(SEARCH("*_Buggy",$A28))), "Buggy", IF(NOT(ISERR(SEARCH("*_Fixed",$A28))), "Fixed", IF(NOT(ISERR(SEARCH("*_Repaired",$A28))), "Repaired", "")))</f>
        <v>Buggy</v>
      </c>
      <c r="R28" s="13"/>
      <c r="S28" s="13"/>
      <c r="T28" s="13"/>
      <c r="U28" s="13"/>
      <c r="V28" s="13"/>
      <c r="W28" s="13"/>
    </row>
    <row r="29" spans="1:23" x14ac:dyDescent="0.35">
      <c r="A29" s="5" t="s">
        <v>506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>LEFT($A29,FIND("_",$A29)-1)</f>
        <v>ACS</v>
      </c>
      <c r="P29" s="13" t="str">
        <f>IF($O29="ACS", "True Search", IF($O29="Arja", "Evolutionary Search", IF($O29="AVATAR", "True Pattern", IF($O29="CapGen", "Search Like Pattern", IF($O29="Cardumen", "True Semantic", IF($O29="DynaMoth", "True Semantic", IF($O29="FixMiner", "True Pattern", IF($O29="GenProg-A", "Evolutionary Search", IF($O29="Hercules", "Learning Pattern", IF($O29="Jaid", "True Semantic",
IF($O29="Kali-A", "True Search", IF($O29="kPAR", "True Pattern", IF($O29="Nopol", "True Semantic", IF($O29="RSRepair-A", "Evolutionary Search", IF($O29="SequenceR", "Deep Learning", IF($O29="SimFix", "Search Like Pattern", IF($O29="SketchFix", "True Pattern", IF($O29="SOFix", "True Pattern", IF($O29="ssFix", "Search Like Pattern", IF($O29="TBar", "True Pattern", ""))))))))))))))))))))</f>
        <v>True Search</v>
      </c>
      <c r="Q29" s="13" t="str">
        <f>IF(NOT(ISERR(SEARCH("*_Buggy",$A29))), "Buggy", IF(NOT(ISERR(SEARCH("*_Fixed",$A29))), "Fixed", IF(NOT(ISERR(SEARCH("*_Repaired",$A29))), "Repaired", "")))</f>
        <v>Buggy</v>
      </c>
      <c r="R29" s="13"/>
      <c r="S29" s="13"/>
      <c r="T29" s="13"/>
      <c r="U29" s="13"/>
      <c r="V29" s="13"/>
      <c r="W29" s="13"/>
    </row>
    <row r="30" spans="1:23" x14ac:dyDescent="0.35">
      <c r="A30" s="5" t="s">
        <v>1181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>LEFT($A30,FIND("_",$A30)-1)</f>
        <v>ACS</v>
      </c>
      <c r="P30" s="13" t="str">
        <f>IF($O30="ACS", "True Search", IF($O30="Arja", "Evolutionary Search", IF($O30="AVATAR", "True Pattern", IF($O30="CapGen", "Search Like Pattern", IF($O30="Cardumen", "True Semantic", IF($O30="DynaMoth", "True Semantic", IF($O30="FixMiner", "True Pattern", IF($O30="GenProg-A", "Evolutionary Search", IF($O30="Hercules", "Learning Pattern", IF($O30="Jaid", "True Semantic",
IF($O30="Kali-A", "True Search", IF($O30="kPAR", "True Pattern", IF($O30="Nopol", "True Semantic", IF($O30="RSRepair-A", "Evolutionary Search", IF($O30="SequenceR", "Deep Learning", IF($O30="SimFix", "Search Like Pattern", IF($O30="SketchFix", "True Pattern", IF($O30="SOFix", "True Pattern", IF($O30="ssFix", "Search Like Pattern", IF($O30="TBar", "True Pattern", ""))))))))))))))))))))</f>
        <v>True Search</v>
      </c>
      <c r="Q30" s="13" t="str">
        <f>IF(NOT(ISERR(SEARCH("*_Buggy",$A30))), "Buggy", IF(NOT(ISERR(SEARCH("*_Fixed",$A30))), "Fixed", IF(NOT(ISERR(SEARCH("*_Repaired",$A30))), "Repaired", "")))</f>
        <v>Buggy</v>
      </c>
      <c r="R30" s="13"/>
      <c r="S30" s="13"/>
      <c r="T30" s="13"/>
      <c r="U30" s="13"/>
      <c r="V30" s="13"/>
      <c r="W30" s="13"/>
    </row>
    <row r="31" spans="1:23" x14ac:dyDescent="0.35">
      <c r="A31" s="7" t="s">
        <v>1054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>LEFT($A31,FIND("_",$A31)-1)</f>
        <v>ACS</v>
      </c>
      <c r="P31" s="13" t="str">
        <f>IF($O31="ACS", "True Search", IF($O31="Arja", "Evolutionary Search", IF($O31="AVATAR", "True Pattern", IF($O31="CapGen", "Search Like Pattern", IF($O31="Cardumen", "True Semantic", IF($O31="DynaMoth", "True Semantic", IF($O31="FixMiner", "True Pattern", IF($O31="GenProg-A", "Evolutionary Search", IF($O31="Hercules", "Learning Pattern", IF($O31="Jaid", "True Semantic",
IF($O31="Kali-A", "True Search", IF($O31="kPAR", "True Pattern", IF($O31="Nopol", "True Semantic", IF($O31="RSRepair-A", "Evolutionary Search", IF($O31="SequenceR", "Deep Learning", IF($O31="SimFix", "Search Like Pattern", IF($O31="SketchFix", "True Pattern", IF($O31="SOFix", "True Pattern", IF($O31="ssFix", "Search Like Pattern", IF($O31="TBar", "True Pattern", ""))))))))))))))))))))</f>
        <v>True Search</v>
      </c>
      <c r="Q31" s="13" t="str">
        <f>IF(NOT(ISERR(SEARCH("*_Buggy",$A31))), "Buggy", IF(NOT(ISERR(SEARCH("*_Fixed",$A31))), "Fixed", IF(NOT(ISERR(SEARCH("*_Repaired",$A31))), "Repaired", "")))</f>
        <v>Buggy</v>
      </c>
      <c r="R31" s="13"/>
      <c r="S31" s="13"/>
      <c r="T31" s="13"/>
      <c r="U31" s="13"/>
      <c r="V31" s="13"/>
      <c r="W31" s="13"/>
    </row>
    <row r="32" spans="1:23" x14ac:dyDescent="0.35">
      <c r="A32" s="5" t="s">
        <v>705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>LEFT($A32,FIND("_",$A32)-1)</f>
        <v>ACS</v>
      </c>
      <c r="P32" s="13" t="str">
        <f>IF($O32="ACS", "True Search", IF($O32="Arja", "Evolutionary Search", IF($O32="AVATAR", "True Pattern", IF($O32="CapGen", "Search Like Pattern", IF($O32="Cardumen", "True Semantic", IF($O32="DynaMoth", "True Semantic", IF($O32="FixMiner", "True Pattern", IF($O32="GenProg-A", "Evolutionary Search", IF($O32="Hercules", "Learning Pattern", IF($O32="Jaid", "True Semantic",
IF($O32="Kali-A", "True Search", IF($O32="kPAR", "True Pattern", IF($O32="Nopol", "True Semantic", IF($O32="RSRepair-A", "Evolutionary Search", IF($O32="SequenceR", "Deep Learning", IF($O32="SimFix", "Search Like Pattern", IF($O32="SketchFix", "True Pattern", IF($O32="SOFix", "True Pattern", IF($O32="ssFix", "Search Like Pattern", IF($O32="TBar", "True Pattern", ""))))))))))))))))))))</f>
        <v>True Search</v>
      </c>
      <c r="Q32" s="13" t="str">
        <f>IF(NOT(ISERR(SEARCH("*_Buggy",$A32))), "Buggy", IF(NOT(ISERR(SEARCH("*_Fixed",$A32))), "Fixed", IF(NOT(ISERR(SEARCH("*_Repaired",$A32))), "Repaired", "")))</f>
        <v>Buggy</v>
      </c>
      <c r="R32" s="13"/>
      <c r="S32" s="13"/>
      <c r="T32" s="13"/>
      <c r="U32" s="13"/>
      <c r="V32" s="13"/>
      <c r="W32" s="13"/>
    </row>
    <row r="33" spans="1:23" x14ac:dyDescent="0.35">
      <c r="A33" s="5" t="s">
        <v>1237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>LEFT($A33,FIND("_",$A33)-1)</f>
        <v>ACS</v>
      </c>
      <c r="P33" s="13" t="str">
        <f>IF($O33="ACS", "True Search", IF($O33="Arja", "Evolutionary Search", IF($O33="AVATAR", "True Pattern", IF($O33="CapGen", "Search Like Pattern", IF($O33="Cardumen", "True Semantic", IF($O33="DynaMoth", "True Semantic", IF($O33="FixMiner", "True Pattern", IF($O33="GenProg-A", "Evolutionary Search", IF($O33="Hercules", "Learning Pattern", IF($O33="Jaid", "True Semantic",
IF($O33="Kali-A", "True Search", IF($O33="kPAR", "True Pattern", IF($O33="Nopol", "True Semantic", IF($O33="RSRepair-A", "Evolutionary Search", IF($O33="SequenceR", "Deep Learning", IF($O33="SimFix", "Search Like Pattern", IF($O33="SketchFix", "True Pattern", IF($O33="SOFix", "True Pattern", IF($O33="ssFix", "Search Like Pattern", IF($O33="TBar", "True Pattern", ""))))))))))))))))))))</f>
        <v>True Search</v>
      </c>
      <c r="Q33" s="13" t="str">
        <f>IF(NOT(ISERR(SEARCH("*_Buggy",$A33))), "Buggy", IF(NOT(ISERR(SEARCH("*_Fixed",$A33))), "Fixed", IF(NOT(ISERR(SEARCH("*_Repaired",$A33))), "Repaired", "")))</f>
        <v>Buggy</v>
      </c>
      <c r="R33" s="13"/>
      <c r="S33" s="13"/>
      <c r="T33" s="13"/>
      <c r="U33" s="13"/>
      <c r="V33" s="13"/>
      <c r="W33" s="13"/>
    </row>
    <row r="34" spans="1:23" x14ac:dyDescent="0.35">
      <c r="A34" s="5" t="s">
        <v>174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>LEFT($A34,FIND("_",$A34)-1)</f>
        <v>ACS</v>
      </c>
      <c r="P34" s="13" t="str">
        <f>IF($O34="ACS", "True Search", IF($O34="Arja", "Evolutionary Search", IF($O34="AVATAR", "True Pattern", IF($O34="CapGen", "Search Like Pattern", IF($O34="Cardumen", "True Semantic", IF($O34="DynaMoth", "True Semantic", IF($O34="FixMiner", "True Pattern", IF($O34="GenProg-A", "Evolutionary Search", IF($O34="Hercules", "Learning Pattern", IF($O34="Jaid", "True Semantic",
IF($O34="Kali-A", "True Search", IF($O34="kPAR", "True Pattern", IF($O34="Nopol", "True Semantic", IF($O34="RSRepair-A", "Evolutionary Search", IF($O34="SequenceR", "Deep Learning", IF($O34="SimFix", "Search Like Pattern", IF($O34="SketchFix", "True Pattern", IF($O34="SOFix", "True Pattern", IF($O34="ssFix", "Search Like Pattern", IF($O34="TBar", "True Pattern", ""))))))))))))))))))))</f>
        <v>True Search</v>
      </c>
      <c r="Q34" s="13" t="str">
        <f>IF(NOT(ISERR(SEARCH("*_Buggy",$A34))), "Buggy", IF(NOT(ISERR(SEARCH("*_Fixed",$A34))), "Fixed", IF(NOT(ISERR(SEARCH("*_Repaired",$A34))), "Repaired", "")))</f>
        <v>Buggy</v>
      </c>
      <c r="R34" s="13"/>
      <c r="S34" s="13"/>
      <c r="T34" s="13"/>
      <c r="U34" s="13"/>
      <c r="V34" s="13"/>
      <c r="W34" s="13"/>
    </row>
    <row r="35" spans="1:23" x14ac:dyDescent="0.35">
      <c r="A35" s="5" t="s">
        <v>363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>LEFT($A35,FIND("_",$A35)-1)</f>
        <v>ACS</v>
      </c>
      <c r="P35" s="13" t="str">
        <f>IF($O35="ACS", "True Search", IF($O35="Arja", "Evolutionary Search", IF($O35="AVATAR", "True Pattern", IF($O35="CapGen", "Search Like Pattern", IF($O35="Cardumen", "True Semantic", IF($O35="DynaMoth", "True Semantic", IF($O35="FixMiner", "True Pattern", IF($O35="GenProg-A", "Evolutionary Search", IF($O35="Hercules", "Learning Pattern", IF($O35="Jaid", "True Semantic",
IF($O35="Kali-A", "True Search", IF($O35="kPAR", "True Pattern", IF($O35="Nopol", "True Semantic", IF($O35="RSRepair-A", "Evolutionary Search", IF($O35="SequenceR", "Deep Learning", IF($O35="SimFix", "Search Like Pattern", IF($O35="SketchFix", "True Pattern", IF($O35="SOFix", "True Pattern", IF($O35="ssFix", "Search Like Pattern", IF($O35="TBar", "True Pattern", ""))))))))))))))))))))</f>
        <v>True Search</v>
      </c>
      <c r="Q35" s="13" t="str">
        <f>IF(NOT(ISERR(SEARCH("*_Buggy",$A35))), "Buggy", IF(NOT(ISERR(SEARCH("*_Fixed",$A35))), "Fixed", IF(NOT(ISERR(SEARCH("*_Repaired",$A35))), "Repaired", "")))</f>
        <v>Buggy</v>
      </c>
      <c r="R35" s="13"/>
      <c r="S35" s="13"/>
      <c r="T35" s="13"/>
      <c r="U35" s="13"/>
      <c r="V35" s="13"/>
      <c r="W35" s="13"/>
    </row>
    <row r="36" spans="1:23" x14ac:dyDescent="0.35">
      <c r="A36" s="5" t="s">
        <v>1089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>LEFT($A36,FIND("_",$A36)-1)</f>
        <v>ACS</v>
      </c>
      <c r="P36" s="13" t="str">
        <f>IF($O36="ACS", "True Search", IF($O36="Arja", "Evolutionary Search", IF($O36="AVATAR", "True Pattern", IF($O36="CapGen", "Search Like Pattern", IF($O36="Cardumen", "True Semantic", IF($O36="DynaMoth", "True Semantic", IF($O36="FixMiner", "True Pattern", IF($O36="GenProg-A", "Evolutionary Search", IF($O36="Hercules", "Learning Pattern", IF($O36="Jaid", "True Semantic",
IF($O36="Kali-A", "True Search", IF($O36="kPAR", "True Pattern", IF($O36="Nopol", "True Semantic", IF($O36="RSRepair-A", "Evolutionary Search", IF($O36="SequenceR", "Deep Learning", IF($O36="SimFix", "Search Like Pattern", IF($O36="SketchFix", "True Pattern", IF($O36="SOFix", "True Pattern", IF($O36="ssFix", "Search Like Pattern", IF($O36="TBar", "True Pattern", ""))))))))))))))))))))</f>
        <v>True Search</v>
      </c>
      <c r="Q36" s="13" t="str">
        <f>IF(NOT(ISERR(SEARCH("*_Buggy",$A36))), "Buggy", IF(NOT(ISERR(SEARCH("*_Fixed",$A36))), "Fixed", IF(NOT(ISERR(SEARCH("*_Repaired",$A36))), "Repaired", "")))</f>
        <v>Buggy</v>
      </c>
      <c r="R36" s="13"/>
      <c r="S36" s="13"/>
      <c r="T36" s="13"/>
      <c r="U36" s="13"/>
      <c r="V36" s="13"/>
      <c r="W36" s="13"/>
    </row>
    <row r="37" spans="1:23" x14ac:dyDescent="0.35">
      <c r="A37" s="7" t="s">
        <v>518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>LEFT($A37,FIND("_",$A37)-1)</f>
        <v>ACS</v>
      </c>
      <c r="P37" s="13" t="str">
        <f>IF($O37="ACS", "True Search", IF($O37="Arja", "Evolutionary Search", IF($O37="AVATAR", "True Pattern", IF($O37="CapGen", "Search Like Pattern", IF($O37="Cardumen", "True Semantic", IF($O37="DynaMoth", "True Semantic", IF($O37="FixMiner", "True Pattern", IF($O37="GenProg-A", "Evolutionary Search", IF($O37="Hercules", "Learning Pattern", IF($O37="Jaid", "True Semantic",
IF($O37="Kali-A", "True Search", IF($O37="kPAR", "True Pattern", IF($O37="Nopol", "True Semantic", IF($O37="RSRepair-A", "Evolutionary Search", IF($O37="SequenceR", "Deep Learning", IF($O37="SimFix", "Search Like Pattern", IF($O37="SketchFix", "True Pattern", IF($O37="SOFix", "True Pattern", IF($O37="ssFix", "Search Like Pattern", IF($O37="TBar", "True Pattern", ""))))))))))))))))))))</f>
        <v>True Search</v>
      </c>
      <c r="Q37" s="13" t="str">
        <f>IF(NOT(ISERR(SEARCH("*_Buggy",$A37))), "Buggy", IF(NOT(ISERR(SEARCH("*_Fixed",$A37))), "Fixed", IF(NOT(ISERR(SEARCH("*_Repaired",$A37))), "Repaired", "")))</f>
        <v>Buggy</v>
      </c>
      <c r="R37" s="13"/>
      <c r="S37" s="13"/>
      <c r="T37" s="13"/>
      <c r="U37" s="13"/>
      <c r="V37" s="13"/>
      <c r="W37" s="13"/>
    </row>
    <row r="38" spans="1:23" x14ac:dyDescent="0.35">
      <c r="A38" s="5" t="s">
        <v>874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>LEFT($A38,FIND("_",$A38)-1)</f>
        <v>ACS</v>
      </c>
      <c r="P38" s="13" t="str">
        <f>IF($O38="ACS", "True Search", IF($O38="Arja", "Evolutionary Search", IF($O38="AVATAR", "True Pattern", IF($O38="CapGen", "Search Like Pattern", IF($O38="Cardumen", "True Semantic", IF($O38="DynaMoth", "True Semantic", IF($O38="FixMiner", "True Pattern", IF($O38="GenProg-A", "Evolutionary Search", IF($O38="Hercules", "Learning Pattern", IF($O38="Jaid", "True Semantic",
IF($O38="Kali-A", "True Search", IF($O38="kPAR", "True Pattern", IF($O38="Nopol", "True Semantic", IF($O38="RSRepair-A", "Evolutionary Search", IF($O38="SequenceR", "Deep Learning", IF($O38="SimFix", "Search Like Pattern", IF($O38="SketchFix", "True Pattern", IF($O38="SOFix", "True Pattern", IF($O38="ssFix", "Search Like Pattern", IF($O38="TBar", "True Pattern", ""))))))))))))))))))))</f>
        <v>True Search</v>
      </c>
      <c r="Q38" s="13" t="str">
        <f>IF(NOT(ISERR(SEARCH("*_Buggy",$A38))), "Buggy", IF(NOT(ISERR(SEARCH("*_Fixed",$A38))), "Fixed", IF(NOT(ISERR(SEARCH("*_Repaired",$A38))), "Repaired", "")))</f>
        <v>Buggy</v>
      </c>
      <c r="R38" s="13"/>
      <c r="S38" s="13"/>
      <c r="T38" s="13"/>
      <c r="U38" s="13"/>
      <c r="V38" s="13"/>
      <c r="W38" s="13"/>
    </row>
    <row r="39" spans="1:23" x14ac:dyDescent="0.35">
      <c r="A39" s="5" t="s">
        <v>1245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>LEFT($A39,FIND("_",$A39)-1)</f>
        <v>ACS</v>
      </c>
      <c r="P39" s="13" t="str">
        <f>IF($O39="ACS", "True Search", IF($O39="Arja", "Evolutionary Search", IF($O39="AVATAR", "True Pattern", IF($O39="CapGen", "Search Like Pattern", IF($O39="Cardumen", "True Semantic", IF($O39="DynaMoth", "True Semantic", IF($O39="FixMiner", "True Pattern", IF($O39="GenProg-A", "Evolutionary Search", IF($O39="Hercules", "Learning Pattern", IF($O39="Jaid", "True Semantic",
IF($O39="Kali-A", "True Search", IF($O39="kPAR", "True Pattern", IF($O39="Nopol", "True Semantic", IF($O39="RSRepair-A", "Evolutionary Search", IF($O39="SequenceR", "Deep Learning", IF($O39="SimFix", "Search Like Pattern", IF($O39="SketchFix", "True Pattern", IF($O39="SOFix", "True Pattern", IF($O39="ssFix", "Search Like Pattern", IF($O39="TBar", "True Pattern", ""))))))))))))))))))))</f>
        <v>True Search</v>
      </c>
      <c r="Q39" s="13" t="str">
        <f>IF(NOT(ISERR(SEARCH("*_Buggy",$A39))), "Buggy", IF(NOT(ISERR(SEARCH("*_Fixed",$A39))), "Fixed", IF(NOT(ISERR(SEARCH("*_Repaired",$A39))), "Repaired", "")))</f>
        <v>Buggy</v>
      </c>
      <c r="R39" s="13"/>
      <c r="S39" s="13"/>
      <c r="T39" s="13"/>
      <c r="U39" s="13"/>
      <c r="V39" s="13"/>
      <c r="W39" s="13"/>
    </row>
    <row r="40" spans="1:23" x14ac:dyDescent="0.35">
      <c r="A40" s="7" t="s">
        <v>838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>LEFT($A40,FIND("_",$A40)-1)</f>
        <v>ACS</v>
      </c>
      <c r="P40" s="13" t="str">
        <f>IF($O40="ACS", "True Search", IF($O40="Arja", "Evolutionary Search", IF($O40="AVATAR", "True Pattern", IF($O40="CapGen", "Search Like Pattern", IF($O40="Cardumen", "True Semantic", IF($O40="DynaMoth", "True Semantic", IF($O40="FixMiner", "True Pattern", IF($O40="GenProg-A", "Evolutionary Search", IF($O40="Hercules", "Learning Pattern", IF($O40="Jaid", "True Semantic",
IF($O40="Kali-A", "True Search", IF($O40="kPAR", "True Pattern", IF($O40="Nopol", "True Semantic", IF($O40="RSRepair-A", "Evolutionary Search", IF($O40="SequenceR", "Deep Learning", IF($O40="SimFix", "Search Like Pattern", IF($O40="SketchFix", "True Pattern", IF($O40="SOFix", "True Pattern", IF($O40="ssFix", "Search Like Pattern", IF($O40="TBar", "True Pattern", ""))))))))))))))))))))</f>
        <v>True Search</v>
      </c>
      <c r="Q40" s="13" t="str">
        <f>IF(NOT(ISERR(SEARCH("*_Buggy",$A40))), "Buggy", IF(NOT(ISERR(SEARCH("*_Fixed",$A40))), "Fixed", IF(NOT(ISERR(SEARCH("*_Repaired",$A40))), "Repaired", "")))</f>
        <v>Buggy</v>
      </c>
      <c r="R40" s="13"/>
      <c r="S40" s="13"/>
      <c r="T40" s="13"/>
      <c r="U40" s="13"/>
      <c r="V40" s="13"/>
      <c r="W40" s="13"/>
    </row>
    <row r="41" spans="1:23" x14ac:dyDescent="0.35">
      <c r="A41" s="5" t="s">
        <v>651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>LEFT($A41,FIND("_",$A41)-1)</f>
        <v>ACS</v>
      </c>
      <c r="P41" s="13" t="str">
        <f>IF($O41="ACS", "True Search", IF($O41="Arja", "Evolutionary Search", IF($O41="AVATAR", "True Pattern", IF($O41="CapGen", "Search Like Pattern", IF($O41="Cardumen", "True Semantic", IF($O41="DynaMoth", "True Semantic", IF($O41="FixMiner", "True Pattern", IF($O41="GenProg-A", "Evolutionary Search", IF($O41="Hercules", "Learning Pattern", IF($O41="Jaid", "True Semantic",
IF($O41="Kali-A", "True Search", IF($O41="kPAR", "True Pattern", IF($O41="Nopol", "True Semantic", IF($O41="RSRepair-A", "Evolutionary Search", IF($O41="SequenceR", "Deep Learning", IF($O41="SimFix", "Search Like Pattern", IF($O41="SketchFix", "True Pattern", IF($O41="SOFix", "True Pattern", IF($O41="ssFix", "Search Like Pattern", IF($O41="TBar", "True Pattern", ""))))))))))))))))))))</f>
        <v>True Search</v>
      </c>
      <c r="Q41" s="13" t="str">
        <f>IF(NOT(ISERR(SEARCH("*_Buggy",$A41))), "Buggy", IF(NOT(ISERR(SEARCH("*_Fixed",$A41))), "Fixed", IF(NOT(ISERR(SEARCH("*_Repaired",$A41))), "Repaired", "")))</f>
        <v>Buggy</v>
      </c>
      <c r="R41" s="13"/>
      <c r="S41" s="13"/>
      <c r="T41" s="13"/>
      <c r="U41" s="13"/>
      <c r="V41" s="13"/>
      <c r="W41" s="13"/>
    </row>
    <row r="42" spans="1:23" x14ac:dyDescent="0.35">
      <c r="A42" s="7" t="s">
        <v>600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>LEFT($A42,FIND("_",$A42)-1)</f>
        <v>ACS</v>
      </c>
      <c r="P42" s="13" t="str">
        <f>IF($O42="ACS", "True Search", IF($O42="Arja", "Evolutionary Search", IF($O42="AVATAR", "True Pattern", IF($O42="CapGen", "Search Like Pattern", IF($O42="Cardumen", "True Semantic", IF($O42="DynaMoth", "True Semantic", IF($O42="FixMiner", "True Pattern", IF($O42="GenProg-A", "Evolutionary Search", IF($O42="Hercules", "Learning Pattern", IF($O42="Jaid", "True Semantic",
IF($O42="Kali-A", "True Search", IF($O42="kPAR", "True Pattern", IF($O42="Nopol", "True Semantic", IF($O42="RSRepair-A", "Evolutionary Search", IF($O42="SequenceR", "Deep Learning", IF($O42="SimFix", "Search Like Pattern", IF($O42="SketchFix", "True Pattern", IF($O42="SOFix", "True Pattern", IF($O42="ssFix", "Search Like Pattern", IF($O42="TBar", "True Pattern", ""))))))))))))))))))))</f>
        <v>True Search</v>
      </c>
      <c r="Q42" s="13" t="str">
        <f>IF(NOT(ISERR(SEARCH("*_Buggy",$A42))), "Buggy", IF(NOT(ISERR(SEARCH("*_Fixed",$A42))), "Fixed", IF(NOT(ISERR(SEARCH("*_Repaired",$A42))), "Repaired", "")))</f>
        <v>Buggy</v>
      </c>
      <c r="R42" s="13"/>
      <c r="S42" s="13"/>
      <c r="T42" s="13"/>
      <c r="U42" s="13"/>
      <c r="V42" s="13"/>
      <c r="W42" s="13"/>
    </row>
    <row r="43" spans="1:23" x14ac:dyDescent="0.35">
      <c r="A43" s="5" t="s">
        <v>170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>LEFT($A43,FIND("_",$A43)-1)</f>
        <v>ARJA</v>
      </c>
      <c r="P43" s="13" t="str">
        <f>IF($O43="ACS", "True Search", IF($O43="Arja", "Evolutionary Search", IF($O43="AVATAR", "True Pattern", IF($O43="CapGen", "Search Like Pattern", IF($O43="Cardumen", "True Semantic", IF($O43="DynaMoth", "True Semantic", IF($O43="FixMiner", "True Pattern", IF($O43="GenProg-A", "Evolutionary Search", IF($O43="Hercules", "Learning Pattern", IF($O43="Jaid", "True Semantic",
IF($O43="Kali-A", "True Search", IF($O43="kPAR", "True Pattern", IF($O43="Nopol", "True Semantic", IF($O43="RSRepair-A", "Evolutionary Search", IF($O43="SequenceR", "Deep Learning", IF($O43="SimFix", "Search Like Pattern", IF($O43="SketchFix", "True Pattern", IF($O43="SOFix", "True Pattern", IF($O43="ssFix", "Search Like Pattern", IF($O43="TBar", "True Pattern", ""))))))))))))))))))))</f>
        <v>Evolutionary Search</v>
      </c>
      <c r="Q43" s="13" t="str">
        <f>IF(NOT(ISERR(SEARCH("*_Buggy",$A43))), "Buggy", IF(NOT(ISERR(SEARCH("*_Fixed",$A43))), "Fixed", IF(NOT(ISERR(SEARCH("*_Repaired",$A43))), "Repaired", "")))</f>
        <v>Buggy</v>
      </c>
      <c r="R43" s="13"/>
      <c r="S43" s="13"/>
      <c r="T43" s="13"/>
      <c r="U43" s="13"/>
      <c r="V43" s="13"/>
      <c r="W43" s="13"/>
    </row>
    <row r="44" spans="1:23" x14ac:dyDescent="0.35">
      <c r="A44" s="7" t="s">
        <v>532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>LEFT($A44,FIND("_",$A44)-1)</f>
        <v>ARJA</v>
      </c>
      <c r="P44" s="13" t="str">
        <f>IF($O44="ACS", "True Search", IF($O44="Arja", "Evolutionary Search", IF($O44="AVATAR", "True Pattern", IF($O44="CapGen", "Search Like Pattern", IF($O44="Cardumen", "True Semantic", IF($O44="DynaMoth", "True Semantic", IF($O44="FixMiner", "True Pattern", IF($O44="GenProg-A", "Evolutionary Search", IF($O44="Hercules", "Learning Pattern", IF($O44="Jaid", "True Semantic",
IF($O44="Kali-A", "True Search", IF($O44="kPAR", "True Pattern", IF($O44="Nopol", "True Semantic", IF($O44="RSRepair-A", "Evolutionary Search", IF($O44="SequenceR", "Deep Learning", IF($O44="SimFix", "Search Like Pattern", IF($O44="SketchFix", "True Pattern", IF($O44="SOFix", "True Pattern", IF($O44="ssFix", "Search Like Pattern", IF($O44="TBar", "True Pattern", ""))))))))))))))))))))</f>
        <v>Evolutionary Search</v>
      </c>
      <c r="Q44" s="13" t="str">
        <f>IF(NOT(ISERR(SEARCH("*_Buggy",$A44))), "Buggy", IF(NOT(ISERR(SEARCH("*_Fixed",$A44))), "Fixed", IF(NOT(ISERR(SEARCH("*_Repaired",$A44))), "Repaired", "")))</f>
        <v>Buggy</v>
      </c>
      <c r="R44" s="13"/>
      <c r="S44" s="13"/>
      <c r="T44" s="13"/>
      <c r="U44" s="13"/>
      <c r="V44" s="13"/>
      <c r="W44" s="13"/>
    </row>
    <row r="45" spans="1:23" x14ac:dyDescent="0.35">
      <c r="A45" s="5" t="s">
        <v>1239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>LEFT($A45,FIND("_",$A45)-1)</f>
        <v>ARJA</v>
      </c>
      <c r="P45" s="13" t="str">
        <f>IF($O45="ACS", "True Search", IF($O45="Arja", "Evolutionary Search", IF($O45="AVATAR", "True Pattern", IF($O45="CapGen", "Search Like Pattern", IF($O45="Cardumen", "True Semantic", IF($O45="DynaMoth", "True Semantic", IF($O45="FixMiner", "True Pattern", IF($O45="GenProg-A", "Evolutionary Search", IF($O45="Hercules", "Learning Pattern", IF($O45="Jaid", "True Semantic",
IF($O45="Kali-A", "True Search", IF($O45="kPAR", "True Pattern", IF($O45="Nopol", "True Semantic", IF($O45="RSRepair-A", "Evolutionary Search", IF($O45="SequenceR", "Deep Learning", IF($O45="SimFix", "Search Like Pattern", IF($O45="SketchFix", "True Pattern", IF($O45="SOFix", "True Pattern", IF($O45="ssFix", "Search Like Pattern", IF($O45="TBar", "True Pattern", ""))))))))))))))))))))</f>
        <v>Evolutionary Search</v>
      </c>
      <c r="Q45" s="13" t="str">
        <f>IF(NOT(ISERR(SEARCH("*_Buggy",$A45))), "Buggy", IF(NOT(ISERR(SEARCH("*_Fixed",$A45))), "Fixed", IF(NOT(ISERR(SEARCH("*_Repaired",$A45))), "Repaired", "")))</f>
        <v>Buggy</v>
      </c>
      <c r="R45" s="13"/>
      <c r="S45" s="13"/>
      <c r="T45" s="13"/>
      <c r="U45" s="13"/>
      <c r="V45" s="13"/>
      <c r="W45" s="13"/>
    </row>
    <row r="46" spans="1:23" x14ac:dyDescent="0.35">
      <c r="A46" s="5" t="s">
        <v>832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>LEFT($A46,FIND("_",$A46)-1)</f>
        <v>ARJA</v>
      </c>
      <c r="P46" s="13" t="str">
        <f>IF($O46="ACS", "True Search", IF($O46="Arja", "Evolutionary Search", IF($O46="AVATAR", "True Pattern", IF($O46="CapGen", "Search Like Pattern", IF($O46="Cardumen", "True Semantic", IF($O46="DynaMoth", "True Semantic", IF($O46="FixMiner", "True Pattern", IF($O46="GenProg-A", "Evolutionary Search", IF($O46="Hercules", "Learning Pattern", IF($O46="Jaid", "True Semantic",
IF($O46="Kali-A", "True Search", IF($O46="kPAR", "True Pattern", IF($O46="Nopol", "True Semantic", IF($O46="RSRepair-A", "Evolutionary Search", IF($O46="SequenceR", "Deep Learning", IF($O46="SimFix", "Search Like Pattern", IF($O46="SketchFix", "True Pattern", IF($O46="SOFix", "True Pattern", IF($O46="ssFix", "Search Like Pattern", IF($O46="TBar", "True Pattern", ""))))))))))))))))))))</f>
        <v>Evolutionary Search</v>
      </c>
      <c r="Q46" s="13" t="str">
        <f>IF(NOT(ISERR(SEARCH("*_Buggy",$A46))), "Buggy", IF(NOT(ISERR(SEARCH("*_Fixed",$A46))), "Fixed", IF(NOT(ISERR(SEARCH("*_Repaired",$A46))), "Repaired", "")))</f>
        <v>Buggy</v>
      </c>
      <c r="R46" s="13"/>
      <c r="S46" s="13"/>
      <c r="T46" s="13"/>
      <c r="U46" s="13"/>
      <c r="V46" s="13"/>
      <c r="W46" s="13"/>
    </row>
    <row r="47" spans="1:23" x14ac:dyDescent="0.35">
      <c r="A47" s="5" t="s">
        <v>827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>LEFT($A47,FIND("_",$A47)-1)</f>
        <v>ARJA</v>
      </c>
      <c r="P47" s="13" t="str">
        <f>IF($O47="ACS", "True Search", IF($O47="Arja", "Evolutionary Search", IF($O47="AVATAR", "True Pattern", IF($O47="CapGen", "Search Like Pattern", IF($O47="Cardumen", "True Semantic", IF($O47="DynaMoth", "True Semantic", IF($O47="FixMiner", "True Pattern", IF($O47="GenProg-A", "Evolutionary Search", IF($O47="Hercules", "Learning Pattern", IF($O47="Jaid", "True Semantic",
IF($O47="Kali-A", "True Search", IF($O47="kPAR", "True Pattern", IF($O47="Nopol", "True Semantic", IF($O47="RSRepair-A", "Evolutionary Search", IF($O47="SequenceR", "Deep Learning", IF($O47="SimFix", "Search Like Pattern", IF($O47="SketchFix", "True Pattern", IF($O47="SOFix", "True Pattern", IF($O47="ssFix", "Search Like Pattern", IF($O47="TBar", "True Pattern", ""))))))))))))))))))))</f>
        <v>Evolutionary Search</v>
      </c>
      <c r="Q47" s="13" t="str">
        <f>IF(NOT(ISERR(SEARCH("*_Buggy",$A47))), "Buggy", IF(NOT(ISERR(SEARCH("*_Fixed",$A47))), "Fixed", IF(NOT(ISERR(SEARCH("*_Repaired",$A47))), "Repaired", "")))</f>
        <v>Buggy</v>
      </c>
      <c r="R47" s="13"/>
      <c r="S47" s="13"/>
      <c r="T47" s="13"/>
      <c r="U47" s="13"/>
      <c r="V47" s="13"/>
      <c r="W47" s="13"/>
    </row>
    <row r="48" spans="1:23" x14ac:dyDescent="0.35">
      <c r="A48" s="5" t="s">
        <v>513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>LEFT($A48,FIND("_",$A48)-1)</f>
        <v>ARJA</v>
      </c>
      <c r="P48" s="13" t="str">
        <f>IF($O48="ACS", "True Search", IF($O48="Arja", "Evolutionary Search", IF($O48="AVATAR", "True Pattern", IF($O48="CapGen", "Search Like Pattern", IF($O48="Cardumen", "True Semantic", IF($O48="DynaMoth", "True Semantic", IF($O48="FixMiner", "True Pattern", IF($O48="GenProg-A", "Evolutionary Search", IF($O48="Hercules", "Learning Pattern", IF($O48="Jaid", "True Semantic",
IF($O48="Kali-A", "True Search", IF($O48="kPAR", "True Pattern", IF($O48="Nopol", "True Semantic", IF($O48="RSRepair-A", "Evolutionary Search", IF($O48="SequenceR", "Deep Learning", IF($O48="SimFix", "Search Like Pattern", IF($O48="SketchFix", "True Pattern", IF($O48="SOFix", "True Pattern", IF($O48="ssFix", "Search Like Pattern", IF($O48="TBar", "True Pattern", ""))))))))))))))))))))</f>
        <v>Evolutionary Search</v>
      </c>
      <c r="Q48" s="13" t="str">
        <f>IF(NOT(ISERR(SEARCH("*_Buggy",$A48))), "Buggy", IF(NOT(ISERR(SEARCH("*_Fixed",$A48))), "Fixed", IF(NOT(ISERR(SEARCH("*_Repaired",$A48))), "Repaired", "")))</f>
        <v>Buggy</v>
      </c>
      <c r="R48" s="13"/>
      <c r="S48" s="13"/>
      <c r="T48" s="13"/>
      <c r="U48" s="13"/>
      <c r="V48" s="13"/>
      <c r="W48" s="13"/>
    </row>
    <row r="49" spans="1:23" x14ac:dyDescent="0.35">
      <c r="A49" s="5" t="s">
        <v>416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>LEFT($A49,FIND("_",$A49)-1)</f>
        <v>ARJA</v>
      </c>
      <c r="P49" s="13" t="str">
        <f>IF($O49="ACS", "True Search", IF($O49="Arja", "Evolutionary Search", IF($O49="AVATAR", "True Pattern", IF($O49="CapGen", "Search Like Pattern", IF($O49="Cardumen", "True Semantic", IF($O49="DynaMoth", "True Semantic", IF($O49="FixMiner", "True Pattern", IF($O49="GenProg-A", "Evolutionary Search", IF($O49="Hercules", "Learning Pattern", IF($O49="Jaid", "True Semantic",
IF($O49="Kali-A", "True Search", IF($O49="kPAR", "True Pattern", IF($O49="Nopol", "True Semantic", IF($O49="RSRepair-A", "Evolutionary Search", IF($O49="SequenceR", "Deep Learning", IF($O49="SimFix", "Search Like Pattern", IF($O49="SketchFix", "True Pattern", IF($O49="SOFix", "True Pattern", IF($O49="ssFix", "Search Like Pattern", IF($O49="TBar", "True Pattern", ""))))))))))))))))))))</f>
        <v>Evolutionary Search</v>
      </c>
      <c r="Q49" s="13" t="str">
        <f>IF(NOT(ISERR(SEARCH("*_Buggy",$A49))), "Buggy", IF(NOT(ISERR(SEARCH("*_Fixed",$A49))), "Fixed", IF(NOT(ISERR(SEARCH("*_Repaired",$A49))), "Repaired", "")))</f>
        <v>Buggy</v>
      </c>
      <c r="R49" s="13"/>
      <c r="S49" s="13"/>
      <c r="T49" s="13"/>
      <c r="U49" s="13"/>
      <c r="V49" s="13"/>
      <c r="W49" s="13"/>
    </row>
    <row r="50" spans="1:23" x14ac:dyDescent="0.35">
      <c r="A50" s="7" t="s">
        <v>290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>LEFT($A50,FIND("_",$A50)-1)</f>
        <v>ARJA</v>
      </c>
      <c r="P50" s="13" t="str">
        <f>IF($O50="ACS", "True Search", IF($O50="Arja", "Evolutionary Search", IF($O50="AVATAR", "True Pattern", IF($O50="CapGen", "Search Like Pattern", IF($O50="Cardumen", "True Semantic", IF($O50="DynaMoth", "True Semantic", IF($O50="FixMiner", "True Pattern", IF($O50="GenProg-A", "Evolutionary Search", IF($O50="Hercules", "Learning Pattern", IF($O50="Jaid", "True Semantic",
IF($O50="Kali-A", "True Search", IF($O50="kPAR", "True Pattern", IF($O50="Nopol", "True Semantic", IF($O50="RSRepair-A", "Evolutionary Search", IF($O50="SequenceR", "Deep Learning", IF($O50="SimFix", "Search Like Pattern", IF($O50="SketchFix", "True Pattern", IF($O50="SOFix", "True Pattern", IF($O50="ssFix", "Search Like Pattern", IF($O50="TBar", "True Pattern", ""))))))))))))))))))))</f>
        <v>Evolutionary Search</v>
      </c>
      <c r="Q50" s="13" t="str">
        <f>IF(NOT(ISERR(SEARCH("*_Buggy",$A50))), "Buggy", IF(NOT(ISERR(SEARCH("*_Fixed",$A50))), "Fixed", IF(NOT(ISERR(SEARCH("*_Repaired",$A50))), "Repaired", "")))</f>
        <v>Buggy</v>
      </c>
      <c r="R50" s="13"/>
      <c r="S50" s="13"/>
      <c r="T50" s="13"/>
      <c r="U50" s="13"/>
      <c r="V50" s="13"/>
      <c r="W50" s="13"/>
    </row>
    <row r="51" spans="1:23" x14ac:dyDescent="0.35">
      <c r="A51" s="7" t="s">
        <v>648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>LEFT($A51,FIND("_",$A51)-1)</f>
        <v>ARJA</v>
      </c>
      <c r="P51" s="13" t="str">
        <f>IF($O51="ACS", "True Search", IF($O51="Arja", "Evolutionary Search", IF($O51="AVATAR", "True Pattern", IF($O51="CapGen", "Search Like Pattern", IF($O51="Cardumen", "True Semantic", IF($O51="DynaMoth", "True Semantic", IF($O51="FixMiner", "True Pattern", IF($O51="GenProg-A", "Evolutionary Search", IF($O51="Hercules", "Learning Pattern", IF($O51="Jaid", "True Semantic",
IF($O51="Kali-A", "True Search", IF($O51="kPAR", "True Pattern", IF($O51="Nopol", "True Semantic", IF($O51="RSRepair-A", "Evolutionary Search", IF($O51="SequenceR", "Deep Learning", IF($O51="SimFix", "Search Like Pattern", IF($O51="SketchFix", "True Pattern", IF($O51="SOFix", "True Pattern", IF($O51="ssFix", "Search Like Pattern", IF($O51="TBar", "True Pattern", ""))))))))))))))))))))</f>
        <v>Evolutionary Search</v>
      </c>
      <c r="Q51" s="13" t="str">
        <f>IF(NOT(ISERR(SEARCH("*_Buggy",$A51))), "Buggy", IF(NOT(ISERR(SEARCH("*_Fixed",$A51))), "Fixed", IF(NOT(ISERR(SEARCH("*_Repaired",$A51))), "Repaired", "")))</f>
        <v>Buggy</v>
      </c>
      <c r="R51" s="13"/>
      <c r="S51" s="13"/>
      <c r="T51" s="13"/>
      <c r="U51" s="13"/>
      <c r="V51" s="13"/>
      <c r="W51" s="13"/>
    </row>
    <row r="52" spans="1:23" x14ac:dyDescent="0.35">
      <c r="A52" s="7" t="s">
        <v>631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>LEFT($A52,FIND("_",$A52)-1)</f>
        <v>ARJA</v>
      </c>
      <c r="P52" s="13" t="str">
        <f>IF($O52="ACS", "True Search", IF($O52="Arja", "Evolutionary Search", IF($O52="AVATAR", "True Pattern", IF($O52="CapGen", "Search Like Pattern", IF($O52="Cardumen", "True Semantic", IF($O52="DynaMoth", "True Semantic", IF($O52="FixMiner", "True Pattern", IF($O52="GenProg-A", "Evolutionary Search", IF($O52="Hercules", "Learning Pattern", IF($O52="Jaid", "True Semantic",
IF($O52="Kali-A", "True Search", IF($O52="kPAR", "True Pattern", IF($O52="Nopol", "True Semantic", IF($O52="RSRepair-A", "Evolutionary Search", IF($O52="SequenceR", "Deep Learning", IF($O52="SimFix", "Search Like Pattern", IF($O52="SketchFix", "True Pattern", IF($O52="SOFix", "True Pattern", IF($O52="ssFix", "Search Like Pattern", IF($O52="TBar", "True Pattern", ""))))))))))))))))))))</f>
        <v>Evolutionary Search</v>
      </c>
      <c r="Q52" s="13" t="str">
        <f>IF(NOT(ISERR(SEARCH("*_Buggy",$A52))), "Buggy", IF(NOT(ISERR(SEARCH("*_Fixed",$A52))), "Fixed", IF(NOT(ISERR(SEARCH("*_Repaired",$A52))), "Repaired", "")))</f>
        <v>Buggy</v>
      </c>
      <c r="R52" s="13"/>
      <c r="S52" s="13"/>
      <c r="T52" s="13"/>
      <c r="U52" s="13"/>
      <c r="V52" s="13"/>
      <c r="W52" s="13"/>
    </row>
    <row r="53" spans="1:23" x14ac:dyDescent="0.35">
      <c r="A53" s="5" t="s">
        <v>1209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>LEFT($A53,FIND("_",$A53)-1)</f>
        <v>ARJA</v>
      </c>
      <c r="P53" s="13" t="str">
        <f>IF($O53="ACS", "True Search", IF($O53="Arja", "Evolutionary Search", IF($O53="AVATAR", "True Pattern", IF($O53="CapGen", "Search Like Pattern", IF($O53="Cardumen", "True Semantic", IF($O53="DynaMoth", "True Semantic", IF($O53="FixMiner", "True Pattern", IF($O53="GenProg-A", "Evolutionary Search", IF($O53="Hercules", "Learning Pattern", IF($O53="Jaid", "True Semantic",
IF($O53="Kali-A", "True Search", IF($O53="kPAR", "True Pattern", IF($O53="Nopol", "True Semantic", IF($O53="RSRepair-A", "Evolutionary Search", IF($O53="SequenceR", "Deep Learning", IF($O53="SimFix", "Search Like Pattern", IF($O53="SketchFix", "True Pattern", IF($O53="SOFix", "True Pattern", IF($O53="ssFix", "Search Like Pattern", IF($O53="TBar", "True Pattern", ""))))))))))))))))))))</f>
        <v>Evolutionary Search</v>
      </c>
      <c r="Q53" s="13" t="str">
        <f>IF(NOT(ISERR(SEARCH("*_Buggy",$A53))), "Buggy", IF(NOT(ISERR(SEARCH("*_Fixed",$A53))), "Fixed", IF(NOT(ISERR(SEARCH("*_Repaired",$A53))), "Repaired", "")))</f>
        <v>Buggy</v>
      </c>
      <c r="R53" s="13"/>
      <c r="S53" s="13"/>
      <c r="T53" s="13"/>
      <c r="U53" s="13"/>
      <c r="V53" s="13"/>
      <c r="W53" s="13"/>
    </row>
    <row r="54" spans="1:23" x14ac:dyDescent="0.35">
      <c r="A54" s="7" t="s">
        <v>132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>LEFT($A54,FIND("_",$A54)-1)</f>
        <v>ARJA</v>
      </c>
      <c r="P54" s="13" t="str">
        <f>IF($O54="ACS", "True Search", IF($O54="Arja", "Evolutionary Search", IF($O54="AVATAR", "True Pattern", IF($O54="CapGen", "Search Like Pattern", IF($O54="Cardumen", "True Semantic", IF($O54="DynaMoth", "True Semantic", IF($O54="FixMiner", "True Pattern", IF($O54="GenProg-A", "Evolutionary Search", IF($O54="Hercules", "Learning Pattern", IF($O54="Jaid", "True Semantic",
IF($O54="Kali-A", "True Search", IF($O54="kPAR", "True Pattern", IF($O54="Nopol", "True Semantic", IF($O54="RSRepair-A", "Evolutionary Search", IF($O54="SequenceR", "Deep Learning", IF($O54="SimFix", "Search Like Pattern", IF($O54="SketchFix", "True Pattern", IF($O54="SOFix", "True Pattern", IF($O54="ssFix", "Search Like Pattern", IF($O54="TBar", "True Pattern", ""))))))))))))))))))))</f>
        <v>Evolutionary Search</v>
      </c>
      <c r="Q54" s="13" t="str">
        <f>IF(NOT(ISERR(SEARCH("*_Buggy",$A54))), "Buggy", IF(NOT(ISERR(SEARCH("*_Fixed",$A54))), "Fixed", IF(NOT(ISERR(SEARCH("*_Repaired",$A54))), "Repaired", "")))</f>
        <v>Buggy</v>
      </c>
      <c r="R54" s="13"/>
      <c r="S54" s="13"/>
      <c r="T54" s="13"/>
      <c r="U54" s="13"/>
      <c r="V54" s="13"/>
      <c r="W54" s="13"/>
    </row>
    <row r="55" spans="1:23" x14ac:dyDescent="0.35">
      <c r="A55" s="7" t="s">
        <v>278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>LEFT($A55,FIND("_",$A55)-1)</f>
        <v>ARJA</v>
      </c>
      <c r="P55" s="13" t="str">
        <f>IF($O55="ACS", "True Search", IF($O55="Arja", "Evolutionary Search", IF($O55="AVATAR", "True Pattern", IF($O55="CapGen", "Search Like Pattern", IF($O55="Cardumen", "True Semantic", IF($O55="DynaMoth", "True Semantic", IF($O55="FixMiner", "True Pattern", IF($O55="GenProg-A", "Evolutionary Search", IF($O55="Hercules", "Learning Pattern", IF($O55="Jaid", "True Semantic",
IF($O55="Kali-A", "True Search", IF($O55="kPAR", "True Pattern", IF($O55="Nopol", "True Semantic", IF($O55="RSRepair-A", "Evolutionary Search", IF($O55="SequenceR", "Deep Learning", IF($O55="SimFix", "Search Like Pattern", IF($O55="SketchFix", "True Pattern", IF($O55="SOFix", "True Pattern", IF($O55="ssFix", "Search Like Pattern", IF($O55="TBar", "True Pattern", ""))))))))))))))))))))</f>
        <v>Evolutionary Search</v>
      </c>
      <c r="Q55" s="13" t="str">
        <f>IF(NOT(ISERR(SEARCH("*_Buggy",$A55))), "Buggy", IF(NOT(ISERR(SEARCH("*_Fixed",$A55))), "Fixed", IF(NOT(ISERR(SEARCH("*_Repaired",$A55))), "Repaired", "")))</f>
        <v>Buggy</v>
      </c>
      <c r="R55" s="13"/>
      <c r="S55" s="13"/>
      <c r="T55" s="13"/>
      <c r="U55" s="13"/>
      <c r="V55" s="13"/>
      <c r="W55" s="13"/>
    </row>
    <row r="56" spans="1:23" x14ac:dyDescent="0.35">
      <c r="A56" s="5" t="s">
        <v>620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>LEFT($A56,FIND("_",$A56)-1)</f>
        <v>ARJA</v>
      </c>
      <c r="P56" s="13" t="str">
        <f>IF($O56="ACS", "True Search", IF($O56="Arja", "Evolutionary Search", IF($O56="AVATAR", "True Pattern", IF($O56="CapGen", "Search Like Pattern", IF($O56="Cardumen", "True Semantic", IF($O56="DynaMoth", "True Semantic", IF($O56="FixMiner", "True Pattern", IF($O56="GenProg-A", "Evolutionary Search", IF($O56="Hercules", "Learning Pattern", IF($O56="Jaid", "True Semantic",
IF($O56="Kali-A", "True Search", IF($O56="kPAR", "True Pattern", IF($O56="Nopol", "True Semantic", IF($O56="RSRepair-A", "Evolutionary Search", IF($O56="SequenceR", "Deep Learning", IF($O56="SimFix", "Search Like Pattern", IF($O56="SketchFix", "True Pattern", IF($O56="SOFix", "True Pattern", IF($O56="ssFix", "Search Like Pattern", IF($O56="TBar", "True Pattern", ""))))))))))))))))))))</f>
        <v>Evolutionary Search</v>
      </c>
      <c r="Q56" s="13" t="str">
        <f>IF(NOT(ISERR(SEARCH("*_Buggy",$A56))), "Buggy", IF(NOT(ISERR(SEARCH("*_Fixed",$A56))), "Fixed", IF(NOT(ISERR(SEARCH("*_Repaired",$A56))), "Repaired", "")))</f>
        <v>Buggy</v>
      </c>
      <c r="R56" s="13"/>
      <c r="S56" s="13"/>
      <c r="T56" s="13"/>
      <c r="U56" s="13"/>
      <c r="V56" s="13"/>
      <c r="W56" s="13"/>
    </row>
    <row r="57" spans="1:23" x14ac:dyDescent="0.35">
      <c r="A57" s="5" t="s">
        <v>954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>LEFT($A57,FIND("_",$A57)-1)</f>
        <v>ARJA</v>
      </c>
      <c r="P57" s="13" t="str">
        <f>IF($O57="ACS", "True Search", IF($O57="Arja", "Evolutionary Search", IF($O57="AVATAR", "True Pattern", IF($O57="CapGen", "Search Like Pattern", IF($O57="Cardumen", "True Semantic", IF($O57="DynaMoth", "True Semantic", IF($O57="FixMiner", "True Pattern", IF($O57="GenProg-A", "Evolutionary Search", IF($O57="Hercules", "Learning Pattern", IF($O57="Jaid", "True Semantic",
IF($O57="Kali-A", "True Search", IF($O57="kPAR", "True Pattern", IF($O57="Nopol", "True Semantic", IF($O57="RSRepair-A", "Evolutionary Search", IF($O57="SequenceR", "Deep Learning", IF($O57="SimFix", "Search Like Pattern", IF($O57="SketchFix", "True Pattern", IF($O57="SOFix", "True Pattern", IF($O57="ssFix", "Search Like Pattern", IF($O57="TBar", "True Pattern", ""))))))))))))))))))))</f>
        <v>Evolutionary Search</v>
      </c>
      <c r="Q57" s="13" t="str">
        <f>IF(NOT(ISERR(SEARCH("*_Buggy",$A57))), "Buggy", IF(NOT(ISERR(SEARCH("*_Fixed",$A57))), "Fixed", IF(NOT(ISERR(SEARCH("*_Repaired",$A57))), "Repaired", "")))</f>
        <v>Buggy</v>
      </c>
      <c r="R57" s="13"/>
      <c r="S57" s="13"/>
      <c r="T57" s="13"/>
      <c r="U57" s="13"/>
      <c r="V57" s="13"/>
      <c r="W57" s="13"/>
    </row>
    <row r="58" spans="1:23" x14ac:dyDescent="0.35">
      <c r="A58" s="7" t="s">
        <v>525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>LEFT($A58,FIND("_",$A58)-1)</f>
        <v>ARJA</v>
      </c>
      <c r="P58" s="13" t="str">
        <f>IF($O58="ACS", "True Search", IF($O58="Arja", "Evolutionary Search", IF($O58="AVATAR", "True Pattern", IF($O58="CapGen", "Search Like Pattern", IF($O58="Cardumen", "True Semantic", IF($O58="DynaMoth", "True Semantic", IF($O58="FixMiner", "True Pattern", IF($O58="GenProg-A", "Evolutionary Search", IF($O58="Hercules", "Learning Pattern", IF($O58="Jaid", "True Semantic",
IF($O58="Kali-A", "True Search", IF($O58="kPAR", "True Pattern", IF($O58="Nopol", "True Semantic", IF($O58="RSRepair-A", "Evolutionary Search", IF($O58="SequenceR", "Deep Learning", IF($O58="SimFix", "Search Like Pattern", IF($O58="SketchFix", "True Pattern", IF($O58="SOFix", "True Pattern", IF($O58="ssFix", "Search Like Pattern", IF($O58="TBar", "True Pattern", ""))))))))))))))))))))</f>
        <v>Evolutionary Search</v>
      </c>
      <c r="Q58" s="13" t="str">
        <f>IF(NOT(ISERR(SEARCH("*_Buggy",$A58))), "Buggy", IF(NOT(ISERR(SEARCH("*_Fixed",$A58))), "Fixed", IF(NOT(ISERR(SEARCH("*_Repaired",$A58))), "Repaired", "")))</f>
        <v>Buggy</v>
      </c>
      <c r="R58" s="13"/>
      <c r="S58" s="13"/>
      <c r="T58" s="13"/>
      <c r="U58" s="13"/>
      <c r="V58" s="13"/>
      <c r="W58" s="13"/>
    </row>
    <row r="59" spans="1:23" x14ac:dyDescent="0.35">
      <c r="A59" s="5" t="s">
        <v>787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>LEFT($A59,FIND("_",$A59)-1)</f>
        <v>ARJA</v>
      </c>
      <c r="P59" s="13" t="str">
        <f>IF($O59="ACS", "True Search", IF($O59="Arja", "Evolutionary Search", IF($O59="AVATAR", "True Pattern", IF($O59="CapGen", "Search Like Pattern", IF($O59="Cardumen", "True Semantic", IF($O59="DynaMoth", "True Semantic", IF($O59="FixMiner", "True Pattern", IF($O59="GenProg-A", "Evolutionary Search", IF($O59="Hercules", "Learning Pattern", IF($O59="Jaid", "True Semantic",
IF($O59="Kali-A", "True Search", IF($O59="kPAR", "True Pattern", IF($O59="Nopol", "True Semantic", IF($O59="RSRepair-A", "Evolutionary Search", IF($O59="SequenceR", "Deep Learning", IF($O59="SimFix", "Search Like Pattern", IF($O59="SketchFix", "True Pattern", IF($O59="SOFix", "True Pattern", IF($O59="ssFix", "Search Like Pattern", IF($O59="TBar", "True Pattern", ""))))))))))))))))))))</f>
        <v>Evolutionary Search</v>
      </c>
      <c r="Q59" s="13" t="str">
        <f>IF(NOT(ISERR(SEARCH("*_Buggy",$A59))), "Buggy", IF(NOT(ISERR(SEARCH("*_Fixed",$A59))), "Fixed", IF(NOT(ISERR(SEARCH("*_Repaired",$A59))), "Repaired", "")))</f>
        <v>Buggy</v>
      </c>
      <c r="R59" s="13"/>
      <c r="S59" s="13"/>
      <c r="T59" s="13"/>
      <c r="U59" s="13"/>
      <c r="V59" s="13"/>
      <c r="W59" s="13"/>
    </row>
    <row r="60" spans="1:23" x14ac:dyDescent="0.35">
      <c r="A60" s="7" t="s">
        <v>555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>LEFT($A60,FIND("_",$A60)-1)</f>
        <v>ARJA</v>
      </c>
      <c r="P60" s="13" t="str">
        <f>IF($O60="ACS", "True Search", IF($O60="Arja", "Evolutionary Search", IF($O60="AVATAR", "True Pattern", IF($O60="CapGen", "Search Like Pattern", IF($O60="Cardumen", "True Semantic", IF($O60="DynaMoth", "True Semantic", IF($O60="FixMiner", "True Pattern", IF($O60="GenProg-A", "Evolutionary Search", IF($O60="Hercules", "Learning Pattern", IF($O60="Jaid", "True Semantic",
IF($O60="Kali-A", "True Search", IF($O60="kPAR", "True Pattern", IF($O60="Nopol", "True Semantic", IF($O60="RSRepair-A", "Evolutionary Search", IF($O60="SequenceR", "Deep Learning", IF($O60="SimFix", "Search Like Pattern", IF($O60="SketchFix", "True Pattern", IF($O60="SOFix", "True Pattern", IF($O60="ssFix", "Search Like Pattern", IF($O60="TBar", "True Pattern", ""))))))))))))))))))))</f>
        <v>Evolutionary Search</v>
      </c>
      <c r="Q60" s="13" t="str">
        <f>IF(NOT(ISERR(SEARCH("*_Buggy",$A60))), "Buggy", IF(NOT(ISERR(SEARCH("*_Fixed",$A60))), "Fixed", IF(NOT(ISERR(SEARCH("*_Repaired",$A60))), "Repaired", "")))</f>
        <v>Buggy</v>
      </c>
      <c r="R60" s="13"/>
      <c r="S60" s="13"/>
      <c r="T60" s="13"/>
      <c r="U60" s="13"/>
      <c r="V60" s="13"/>
      <c r="W60" s="13"/>
    </row>
    <row r="61" spans="1:23" x14ac:dyDescent="0.35">
      <c r="A61" s="7" t="s">
        <v>621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>LEFT($A61,FIND("_",$A61)-1)</f>
        <v>ARJA</v>
      </c>
      <c r="P61" s="13" t="str">
        <f>IF($O61="ACS", "True Search", IF($O61="Arja", "Evolutionary Search", IF($O61="AVATAR", "True Pattern", IF($O61="CapGen", "Search Like Pattern", IF($O61="Cardumen", "True Semantic", IF($O61="DynaMoth", "True Semantic", IF($O61="FixMiner", "True Pattern", IF($O61="GenProg-A", "Evolutionary Search", IF($O61="Hercules", "Learning Pattern", IF($O61="Jaid", "True Semantic",
IF($O61="Kali-A", "True Search", IF($O61="kPAR", "True Pattern", IF($O61="Nopol", "True Semantic", IF($O61="RSRepair-A", "Evolutionary Search", IF($O61="SequenceR", "Deep Learning", IF($O61="SimFix", "Search Like Pattern", IF($O61="SketchFix", "True Pattern", IF($O61="SOFix", "True Pattern", IF($O61="ssFix", "Search Like Pattern", IF($O61="TBar", "True Pattern", ""))))))))))))))))))))</f>
        <v>Evolutionary Search</v>
      </c>
      <c r="Q61" s="13" t="str">
        <f>IF(NOT(ISERR(SEARCH("*_Buggy",$A61))), "Buggy", IF(NOT(ISERR(SEARCH("*_Fixed",$A61))), "Fixed", IF(NOT(ISERR(SEARCH("*_Repaired",$A61))), "Repaired", "")))</f>
        <v>Buggy</v>
      </c>
      <c r="R61" s="13"/>
      <c r="S61" s="13"/>
      <c r="T61" s="13"/>
      <c r="U61" s="13"/>
      <c r="V61" s="13"/>
      <c r="W61" s="13"/>
    </row>
    <row r="62" spans="1:23" x14ac:dyDescent="0.35">
      <c r="A62" s="5" t="s">
        <v>829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>LEFT($A62,FIND("_",$A62)-1)</f>
        <v>ARJA</v>
      </c>
      <c r="P62" s="13" t="str">
        <f>IF($O62="ACS", "True Search", IF($O62="Arja", "Evolutionary Search", IF($O62="AVATAR", "True Pattern", IF($O62="CapGen", "Search Like Pattern", IF($O62="Cardumen", "True Semantic", IF($O62="DynaMoth", "True Semantic", IF($O62="FixMiner", "True Pattern", IF($O62="GenProg-A", "Evolutionary Search", IF($O62="Hercules", "Learning Pattern", IF($O62="Jaid", "True Semantic",
IF($O62="Kali-A", "True Search", IF($O62="kPAR", "True Pattern", IF($O62="Nopol", "True Semantic", IF($O62="RSRepair-A", "Evolutionary Search", IF($O62="SequenceR", "Deep Learning", IF($O62="SimFix", "Search Like Pattern", IF($O62="SketchFix", "True Pattern", IF($O62="SOFix", "True Pattern", IF($O62="ssFix", "Search Like Pattern", IF($O62="TBar", "True Pattern", ""))))))))))))))))))))</f>
        <v>Evolutionary Search</v>
      </c>
      <c r="Q62" s="13" t="str">
        <f>IF(NOT(ISERR(SEARCH("*_Buggy",$A62))), "Buggy", IF(NOT(ISERR(SEARCH("*_Fixed",$A62))), "Fixed", IF(NOT(ISERR(SEARCH("*_Repaired",$A62))), "Repaired", "")))</f>
        <v>Buggy</v>
      </c>
      <c r="R62" s="13"/>
      <c r="S62" s="13"/>
      <c r="T62" s="13"/>
      <c r="U62" s="13"/>
      <c r="V62" s="13"/>
      <c r="W62" s="13"/>
    </row>
    <row r="63" spans="1:23" x14ac:dyDescent="0.35">
      <c r="A63" s="5" t="s">
        <v>855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>LEFT($A63,FIND("_",$A63)-1)</f>
        <v>ARJA</v>
      </c>
      <c r="P63" s="13" t="str">
        <f>IF($O63="ACS", "True Search", IF($O63="Arja", "Evolutionary Search", IF($O63="AVATAR", "True Pattern", IF($O63="CapGen", "Search Like Pattern", IF($O63="Cardumen", "True Semantic", IF($O63="DynaMoth", "True Semantic", IF($O63="FixMiner", "True Pattern", IF($O63="GenProg-A", "Evolutionary Search", IF($O63="Hercules", "Learning Pattern", IF($O63="Jaid", "True Semantic",
IF($O63="Kali-A", "True Search", IF($O63="kPAR", "True Pattern", IF($O63="Nopol", "True Semantic", IF($O63="RSRepair-A", "Evolutionary Search", IF($O63="SequenceR", "Deep Learning", IF($O63="SimFix", "Search Like Pattern", IF($O63="SketchFix", "True Pattern", IF($O63="SOFix", "True Pattern", IF($O63="ssFix", "Search Like Pattern", IF($O63="TBar", "True Pattern", ""))))))))))))))))))))</f>
        <v>Evolutionary Search</v>
      </c>
      <c r="Q63" s="13" t="str">
        <f>IF(NOT(ISERR(SEARCH("*_Buggy",$A63))), "Buggy", IF(NOT(ISERR(SEARCH("*_Fixed",$A63))), "Fixed", IF(NOT(ISERR(SEARCH("*_Repaired",$A63))), "Repaired", "")))</f>
        <v>Buggy</v>
      </c>
      <c r="R63" s="13"/>
      <c r="S63" s="13"/>
      <c r="T63" s="13"/>
      <c r="U63" s="13"/>
      <c r="V63" s="13"/>
      <c r="W63" s="13"/>
    </row>
    <row r="64" spans="1:23" x14ac:dyDescent="0.35">
      <c r="A64" s="7" t="s">
        <v>578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>LEFT($A64,FIND("_",$A64)-1)</f>
        <v>ARJA</v>
      </c>
      <c r="P64" s="13" t="str">
        <f>IF($O64="ACS", "True Search", IF($O64="Arja", "Evolutionary Search", IF($O64="AVATAR", "True Pattern", IF($O64="CapGen", "Search Like Pattern", IF($O64="Cardumen", "True Semantic", IF($O64="DynaMoth", "True Semantic", IF($O64="FixMiner", "True Pattern", IF($O64="GenProg-A", "Evolutionary Search", IF($O64="Hercules", "Learning Pattern", IF($O64="Jaid", "True Semantic",
IF($O64="Kali-A", "True Search", IF($O64="kPAR", "True Pattern", IF($O64="Nopol", "True Semantic", IF($O64="RSRepair-A", "Evolutionary Search", IF($O64="SequenceR", "Deep Learning", IF($O64="SimFix", "Search Like Pattern", IF($O64="SketchFix", "True Pattern", IF($O64="SOFix", "True Pattern", IF($O64="ssFix", "Search Like Pattern", IF($O64="TBar", "True Pattern", ""))))))))))))))))))))</f>
        <v>Evolutionary Search</v>
      </c>
      <c r="Q64" s="13" t="str">
        <f>IF(NOT(ISERR(SEARCH("*_Buggy",$A64))), "Buggy", IF(NOT(ISERR(SEARCH("*_Fixed",$A64))), "Fixed", IF(NOT(ISERR(SEARCH("*_Repaired",$A64))), "Repaired", "")))</f>
        <v>Buggy</v>
      </c>
      <c r="R64" s="13"/>
      <c r="S64" s="13"/>
      <c r="T64" s="13"/>
      <c r="U64" s="13"/>
      <c r="V64" s="13"/>
      <c r="W64" s="13"/>
    </row>
    <row r="65" spans="1:23" x14ac:dyDescent="0.35">
      <c r="A65" s="7" t="s">
        <v>84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>LEFT($A65,FIND("_",$A65)-1)</f>
        <v>ARJA</v>
      </c>
      <c r="P65" s="13" t="str">
        <f>IF($O65="ACS", "True Search", IF($O65="Arja", "Evolutionary Search", IF($O65="AVATAR", "True Pattern", IF($O65="CapGen", "Search Like Pattern", IF($O65="Cardumen", "True Semantic", IF($O65="DynaMoth", "True Semantic", IF($O65="FixMiner", "True Pattern", IF($O65="GenProg-A", "Evolutionary Search", IF($O65="Hercules", "Learning Pattern", IF($O65="Jaid", "True Semantic",
IF($O65="Kali-A", "True Search", IF($O65="kPAR", "True Pattern", IF($O65="Nopol", "True Semantic", IF($O65="RSRepair-A", "Evolutionary Search", IF($O65="SequenceR", "Deep Learning", IF($O65="SimFix", "Search Like Pattern", IF($O65="SketchFix", "True Pattern", IF($O65="SOFix", "True Pattern", IF($O65="ssFix", "Search Like Pattern", IF($O65="TBar", "True Pattern", ""))))))))))))))))))))</f>
        <v>Evolutionary Search</v>
      </c>
      <c r="Q65" s="13" t="str">
        <f>IF(NOT(ISERR(SEARCH("*_Buggy",$A65))), "Buggy", IF(NOT(ISERR(SEARCH("*_Fixed",$A65))), "Fixed", IF(NOT(ISERR(SEARCH("*_Repaired",$A65))), "Repaired", "")))</f>
        <v>Buggy</v>
      </c>
      <c r="R65" s="13"/>
      <c r="S65" s="13"/>
      <c r="T65" s="13"/>
      <c r="U65" s="13"/>
      <c r="V65" s="13"/>
      <c r="W65" s="13"/>
    </row>
    <row r="66" spans="1:23" x14ac:dyDescent="0.35">
      <c r="A66" s="7" t="s">
        <v>777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>LEFT($A66,FIND("_",$A66)-1)</f>
        <v>ARJA</v>
      </c>
      <c r="P66" s="13" t="str">
        <f>IF($O66="ACS", "True Search", IF($O66="Arja", "Evolutionary Search", IF($O66="AVATAR", "True Pattern", IF($O66="CapGen", "Search Like Pattern", IF($O66="Cardumen", "True Semantic", IF($O66="DynaMoth", "True Semantic", IF($O66="FixMiner", "True Pattern", IF($O66="GenProg-A", "Evolutionary Search", IF($O66="Hercules", "Learning Pattern", IF($O66="Jaid", "True Semantic",
IF($O66="Kali-A", "True Search", IF($O66="kPAR", "True Pattern", IF($O66="Nopol", "True Semantic", IF($O66="RSRepair-A", "Evolutionary Search", IF($O66="SequenceR", "Deep Learning", IF($O66="SimFix", "Search Like Pattern", IF($O66="SketchFix", "True Pattern", IF($O66="SOFix", "True Pattern", IF($O66="ssFix", "Search Like Pattern", IF($O66="TBar", "True Pattern", ""))))))))))))))))))))</f>
        <v>Evolutionary Search</v>
      </c>
      <c r="Q66" s="13" t="str">
        <f>IF(NOT(ISERR(SEARCH("*_Buggy",$A66))), "Buggy", IF(NOT(ISERR(SEARCH("*_Fixed",$A66))), "Fixed", IF(NOT(ISERR(SEARCH("*_Repaired",$A66))), "Repaired", "")))</f>
        <v>Buggy</v>
      </c>
      <c r="R66" s="13"/>
      <c r="S66" s="13"/>
      <c r="T66" s="13"/>
      <c r="U66" s="13"/>
      <c r="V66" s="13"/>
      <c r="W66" s="13"/>
    </row>
    <row r="67" spans="1:23" x14ac:dyDescent="0.35">
      <c r="A67" s="7" t="s">
        <v>240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>LEFT($A67,FIND("_",$A67)-1)</f>
        <v>ARJA</v>
      </c>
      <c r="P67" s="13" t="str">
        <f>IF($O67="ACS", "True Search", IF($O67="Arja", "Evolutionary Search", IF($O67="AVATAR", "True Pattern", IF($O67="CapGen", "Search Like Pattern", IF($O67="Cardumen", "True Semantic", IF($O67="DynaMoth", "True Semantic", IF($O67="FixMiner", "True Pattern", IF($O67="GenProg-A", "Evolutionary Search", IF($O67="Hercules", "Learning Pattern", IF($O67="Jaid", "True Semantic",
IF($O67="Kali-A", "True Search", IF($O67="kPAR", "True Pattern", IF($O67="Nopol", "True Semantic", IF($O67="RSRepair-A", "Evolutionary Search", IF($O67="SequenceR", "Deep Learning", IF($O67="SimFix", "Search Like Pattern", IF($O67="SketchFix", "True Pattern", IF($O67="SOFix", "True Pattern", IF($O67="ssFix", "Search Like Pattern", IF($O67="TBar", "True Pattern", ""))))))))))))))))))))</f>
        <v>Evolutionary Search</v>
      </c>
      <c r="Q67" s="13" t="str">
        <f>IF(NOT(ISERR(SEARCH("*_Buggy",$A67))), "Buggy", IF(NOT(ISERR(SEARCH("*_Fixed",$A67))), "Fixed", IF(NOT(ISERR(SEARCH("*_Repaired",$A67))), "Repaired", "")))</f>
        <v>Buggy</v>
      </c>
      <c r="R67" s="13"/>
      <c r="S67" s="13"/>
      <c r="T67" s="13"/>
      <c r="U67" s="13"/>
      <c r="V67" s="13"/>
      <c r="W67" s="13"/>
    </row>
    <row r="68" spans="1:23" x14ac:dyDescent="0.35">
      <c r="A68" s="7" t="s">
        <v>158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>LEFT($A68,FIND("_",$A68)-1)</f>
        <v>ARJA</v>
      </c>
      <c r="P68" s="13" t="str">
        <f>IF($O68="ACS", "True Search", IF($O68="Arja", "Evolutionary Search", IF($O68="AVATAR", "True Pattern", IF($O68="CapGen", "Search Like Pattern", IF($O68="Cardumen", "True Semantic", IF($O68="DynaMoth", "True Semantic", IF($O68="FixMiner", "True Pattern", IF($O68="GenProg-A", "Evolutionary Search", IF($O68="Hercules", "Learning Pattern", IF($O68="Jaid", "True Semantic",
IF($O68="Kali-A", "True Search", IF($O68="kPAR", "True Pattern", IF($O68="Nopol", "True Semantic", IF($O68="RSRepair-A", "Evolutionary Search", IF($O68="SequenceR", "Deep Learning", IF($O68="SimFix", "Search Like Pattern", IF($O68="SketchFix", "True Pattern", IF($O68="SOFix", "True Pattern", IF($O68="ssFix", "Search Like Pattern", IF($O68="TBar", "True Pattern", ""))))))))))))))))))))</f>
        <v>Evolutionary Search</v>
      </c>
      <c r="Q68" s="13" t="str">
        <f>IF(NOT(ISERR(SEARCH("*_Buggy",$A68))), "Buggy", IF(NOT(ISERR(SEARCH("*_Fixed",$A68))), "Fixed", IF(NOT(ISERR(SEARCH("*_Repaired",$A68))), "Repaired", "")))</f>
        <v>Buggy</v>
      </c>
      <c r="R68" s="13"/>
      <c r="S68" s="13"/>
      <c r="T68" s="13"/>
      <c r="U68" s="13"/>
      <c r="V68" s="13"/>
      <c r="W68" s="13"/>
    </row>
    <row r="69" spans="1:23" x14ac:dyDescent="0.35">
      <c r="A69" s="7" t="s">
        <v>966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>LEFT($A69,FIND("_",$A69)-1)</f>
        <v>ARJA</v>
      </c>
      <c r="P69" s="13" t="str">
        <f>IF($O69="ACS", "True Search", IF($O69="Arja", "Evolutionary Search", IF($O69="AVATAR", "True Pattern", IF($O69="CapGen", "Search Like Pattern", IF($O69="Cardumen", "True Semantic", IF($O69="DynaMoth", "True Semantic", IF($O69="FixMiner", "True Pattern", IF($O69="GenProg-A", "Evolutionary Search", IF($O69="Hercules", "Learning Pattern", IF($O69="Jaid", "True Semantic",
IF($O69="Kali-A", "True Search", IF($O69="kPAR", "True Pattern", IF($O69="Nopol", "True Semantic", IF($O69="RSRepair-A", "Evolutionary Search", IF($O69="SequenceR", "Deep Learning", IF($O69="SimFix", "Search Like Pattern", IF($O69="SketchFix", "True Pattern", IF($O69="SOFix", "True Pattern", IF($O69="ssFix", "Search Like Pattern", IF($O69="TBar", "True Pattern", ""))))))))))))))))))))</f>
        <v>Evolutionary Search</v>
      </c>
      <c r="Q69" s="13" t="str">
        <f>IF(NOT(ISERR(SEARCH("*_Buggy",$A69))), "Buggy", IF(NOT(ISERR(SEARCH("*_Fixed",$A69))), "Fixed", IF(NOT(ISERR(SEARCH("*_Repaired",$A69))), "Repaired", "")))</f>
        <v>Buggy</v>
      </c>
      <c r="R69" s="13"/>
      <c r="S69" s="13"/>
      <c r="T69" s="13"/>
      <c r="U69" s="13"/>
      <c r="V69" s="13"/>
      <c r="W69" s="13"/>
    </row>
    <row r="70" spans="1:23" x14ac:dyDescent="0.35">
      <c r="A70" s="5" t="s">
        <v>133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>LEFT($A70,FIND("_",$A70)-1)</f>
        <v>ARJA</v>
      </c>
      <c r="P70" s="13" t="str">
        <f>IF($O70="ACS", "True Search", IF($O70="Arja", "Evolutionary Search", IF($O70="AVATAR", "True Pattern", IF($O70="CapGen", "Search Like Pattern", IF($O70="Cardumen", "True Semantic", IF($O70="DynaMoth", "True Semantic", IF($O70="FixMiner", "True Pattern", IF($O70="GenProg-A", "Evolutionary Search", IF($O70="Hercules", "Learning Pattern", IF($O70="Jaid", "True Semantic",
IF($O70="Kali-A", "True Search", IF($O70="kPAR", "True Pattern", IF($O70="Nopol", "True Semantic", IF($O70="RSRepair-A", "Evolutionary Search", IF($O70="SequenceR", "Deep Learning", IF($O70="SimFix", "Search Like Pattern", IF($O70="SketchFix", "True Pattern", IF($O70="SOFix", "True Pattern", IF($O70="ssFix", "Search Like Pattern", IF($O70="TBar", "True Pattern", ""))))))))))))))))))))</f>
        <v>Evolutionary Search</v>
      </c>
      <c r="Q70" s="13" t="str">
        <f>IF(NOT(ISERR(SEARCH("*_Buggy",$A70))), "Buggy", IF(NOT(ISERR(SEARCH("*_Fixed",$A70))), "Fixed", IF(NOT(ISERR(SEARCH("*_Repaired",$A70))), "Repaired", "")))</f>
        <v>Buggy</v>
      </c>
      <c r="R70" s="13"/>
      <c r="S70" s="13"/>
      <c r="T70" s="13"/>
      <c r="U70" s="13"/>
      <c r="V70" s="13"/>
      <c r="W70" s="13"/>
    </row>
    <row r="71" spans="1:23" x14ac:dyDescent="0.35">
      <c r="A71" s="7" t="s">
        <v>1109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>LEFT($A71,FIND("_",$A71)-1)</f>
        <v>ARJA</v>
      </c>
      <c r="P71" s="13" t="str">
        <f>IF($O71="ACS", "True Search", IF($O71="Arja", "Evolutionary Search", IF($O71="AVATAR", "True Pattern", IF($O71="CapGen", "Search Like Pattern", IF($O71="Cardumen", "True Semantic", IF($O71="DynaMoth", "True Semantic", IF($O71="FixMiner", "True Pattern", IF($O71="GenProg-A", "Evolutionary Search", IF($O71="Hercules", "Learning Pattern", IF($O71="Jaid", "True Semantic",
IF($O71="Kali-A", "True Search", IF($O71="kPAR", "True Pattern", IF($O71="Nopol", "True Semantic", IF($O71="RSRepair-A", "Evolutionary Search", IF($O71="SequenceR", "Deep Learning", IF($O71="SimFix", "Search Like Pattern", IF($O71="SketchFix", "True Pattern", IF($O71="SOFix", "True Pattern", IF($O71="ssFix", "Search Like Pattern", IF($O71="TBar", "True Pattern", ""))))))))))))))))))))</f>
        <v>Evolutionary Search</v>
      </c>
      <c r="Q71" s="13" t="str">
        <f>IF(NOT(ISERR(SEARCH("*_Buggy",$A71))), "Buggy", IF(NOT(ISERR(SEARCH("*_Fixed",$A71))), "Fixed", IF(NOT(ISERR(SEARCH("*_Repaired",$A71))), "Repaired", "")))</f>
        <v>Buggy</v>
      </c>
      <c r="R71" s="13"/>
      <c r="S71" s="13"/>
      <c r="T71" s="13"/>
      <c r="U71" s="13"/>
      <c r="V71" s="13"/>
      <c r="W71" s="13"/>
    </row>
    <row r="72" spans="1:23" x14ac:dyDescent="0.35">
      <c r="A72" s="7" t="s">
        <v>559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>LEFT($A72,FIND("_",$A72)-1)</f>
        <v>ARJA</v>
      </c>
      <c r="P72" s="13" t="str">
        <f>IF($O72="ACS", "True Search", IF($O72="Arja", "Evolutionary Search", IF($O72="AVATAR", "True Pattern", IF($O72="CapGen", "Search Like Pattern", IF($O72="Cardumen", "True Semantic", IF($O72="DynaMoth", "True Semantic", IF($O72="FixMiner", "True Pattern", IF($O72="GenProg-A", "Evolutionary Search", IF($O72="Hercules", "Learning Pattern", IF($O72="Jaid", "True Semantic",
IF($O72="Kali-A", "True Search", IF($O72="kPAR", "True Pattern", IF($O72="Nopol", "True Semantic", IF($O72="RSRepair-A", "Evolutionary Search", IF($O72="SequenceR", "Deep Learning", IF($O72="SimFix", "Search Like Pattern", IF($O72="SketchFix", "True Pattern", IF($O72="SOFix", "True Pattern", IF($O72="ssFix", "Search Like Pattern", IF($O72="TBar", "True Pattern", ""))))))))))))))))))))</f>
        <v>Evolutionary Search</v>
      </c>
      <c r="Q72" s="13" t="str">
        <f>IF(NOT(ISERR(SEARCH("*_Buggy",$A72))), "Buggy", IF(NOT(ISERR(SEARCH("*_Fixed",$A72))), "Fixed", IF(NOT(ISERR(SEARCH("*_Repaired",$A72))), "Repaired", "")))</f>
        <v>Buggy</v>
      </c>
      <c r="R72" s="13"/>
      <c r="S72" s="13"/>
      <c r="T72" s="13"/>
      <c r="U72" s="13"/>
      <c r="V72" s="13"/>
      <c r="W72" s="13"/>
    </row>
    <row r="73" spans="1:23" x14ac:dyDescent="0.35">
      <c r="A73" s="7" t="s">
        <v>1030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>LEFT($A73,FIND("_",$A73)-1)</f>
        <v>ARJA</v>
      </c>
      <c r="P73" s="13" t="str">
        <f>IF($O73="ACS", "True Search", IF($O73="Arja", "Evolutionary Search", IF($O73="AVATAR", "True Pattern", IF($O73="CapGen", "Search Like Pattern", IF($O73="Cardumen", "True Semantic", IF($O73="DynaMoth", "True Semantic", IF($O73="FixMiner", "True Pattern", IF($O73="GenProg-A", "Evolutionary Search", IF($O73="Hercules", "Learning Pattern", IF($O73="Jaid", "True Semantic",
IF($O73="Kali-A", "True Search", IF($O73="kPAR", "True Pattern", IF($O73="Nopol", "True Semantic", IF($O73="RSRepair-A", "Evolutionary Search", IF($O73="SequenceR", "Deep Learning", IF($O73="SimFix", "Search Like Pattern", IF($O73="SketchFix", "True Pattern", IF($O73="SOFix", "True Pattern", IF($O73="ssFix", "Search Like Pattern", IF($O73="TBar", "True Pattern", ""))))))))))))))))))))</f>
        <v>Evolutionary Search</v>
      </c>
      <c r="Q73" s="13" t="str">
        <f>IF(NOT(ISERR(SEARCH("*_Buggy",$A73))), "Buggy", IF(NOT(ISERR(SEARCH("*_Fixed",$A73))), "Fixed", IF(NOT(ISERR(SEARCH("*_Repaired",$A73))), "Repaired", "")))</f>
        <v>Buggy</v>
      </c>
      <c r="R73" s="13"/>
      <c r="S73" s="13"/>
      <c r="T73" s="13"/>
      <c r="U73" s="13"/>
      <c r="V73" s="13"/>
      <c r="W73" s="13"/>
    </row>
    <row r="74" spans="1:23" x14ac:dyDescent="0.35">
      <c r="A74" s="5" t="s">
        <v>622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>LEFT($A74,FIND("_",$A74)-1)</f>
        <v>ARJA</v>
      </c>
      <c r="P74" s="13" t="str">
        <f>IF($O74="ACS", "True Search", IF($O74="Arja", "Evolutionary Search", IF($O74="AVATAR", "True Pattern", IF($O74="CapGen", "Search Like Pattern", IF($O74="Cardumen", "True Semantic", IF($O74="DynaMoth", "True Semantic", IF($O74="FixMiner", "True Pattern", IF($O74="GenProg-A", "Evolutionary Search", IF($O74="Hercules", "Learning Pattern", IF($O74="Jaid", "True Semantic",
IF($O74="Kali-A", "True Search", IF($O74="kPAR", "True Pattern", IF($O74="Nopol", "True Semantic", IF($O74="RSRepair-A", "Evolutionary Search", IF($O74="SequenceR", "Deep Learning", IF($O74="SimFix", "Search Like Pattern", IF($O74="SketchFix", "True Pattern", IF($O74="SOFix", "True Pattern", IF($O74="ssFix", "Search Like Pattern", IF($O74="TBar", "True Pattern", ""))))))))))))))))))))</f>
        <v>Evolutionary Search</v>
      </c>
      <c r="Q74" s="13" t="str">
        <f>IF(NOT(ISERR(SEARCH("*_Buggy",$A74))), "Buggy", IF(NOT(ISERR(SEARCH("*_Fixed",$A74))), "Fixed", IF(NOT(ISERR(SEARCH("*_Repaired",$A74))), "Repaired", "")))</f>
        <v>Buggy</v>
      </c>
      <c r="R74" s="13"/>
      <c r="S74" s="13"/>
      <c r="T74" s="13"/>
      <c r="U74" s="13"/>
      <c r="V74" s="13"/>
      <c r="W74" s="13"/>
    </row>
    <row r="75" spans="1:23" x14ac:dyDescent="0.35">
      <c r="A75" s="7" t="s">
        <v>330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>LEFT($A75,FIND("_",$A75)-1)</f>
        <v>ARJA</v>
      </c>
      <c r="P75" s="13" t="str">
        <f>IF($O75="ACS", "True Search", IF($O75="Arja", "Evolutionary Search", IF($O75="AVATAR", "True Pattern", IF($O75="CapGen", "Search Like Pattern", IF($O75="Cardumen", "True Semantic", IF($O75="DynaMoth", "True Semantic", IF($O75="FixMiner", "True Pattern", IF($O75="GenProg-A", "Evolutionary Search", IF($O75="Hercules", "Learning Pattern", IF($O75="Jaid", "True Semantic",
IF($O75="Kali-A", "True Search", IF($O75="kPAR", "True Pattern", IF($O75="Nopol", "True Semantic", IF($O75="RSRepair-A", "Evolutionary Search", IF($O75="SequenceR", "Deep Learning", IF($O75="SimFix", "Search Like Pattern", IF($O75="SketchFix", "True Pattern", IF($O75="SOFix", "True Pattern", IF($O75="ssFix", "Search Like Pattern", IF($O75="TBar", "True Pattern", ""))))))))))))))))))))</f>
        <v>Evolutionary Search</v>
      </c>
      <c r="Q75" s="13" t="str">
        <f>IF(NOT(ISERR(SEARCH("*_Buggy",$A75))), "Buggy", IF(NOT(ISERR(SEARCH("*_Fixed",$A75))), "Fixed", IF(NOT(ISERR(SEARCH("*_Repaired",$A75))), "Repaired", "")))</f>
        <v>Buggy</v>
      </c>
      <c r="R75" s="13"/>
      <c r="S75" s="13"/>
      <c r="T75" s="13"/>
      <c r="U75" s="13"/>
      <c r="V75" s="13"/>
      <c r="W75" s="13"/>
    </row>
    <row r="76" spans="1:23" x14ac:dyDescent="0.35">
      <c r="A76" s="5" t="s">
        <v>441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>LEFT($A76,FIND("_",$A76)-1)</f>
        <v>ARJA</v>
      </c>
      <c r="P76" s="13" t="str">
        <f>IF($O76="ACS", "True Search", IF($O76="Arja", "Evolutionary Search", IF($O76="AVATAR", "True Pattern", IF($O76="CapGen", "Search Like Pattern", IF($O76="Cardumen", "True Semantic", IF($O76="DynaMoth", "True Semantic", IF($O76="FixMiner", "True Pattern", IF($O76="GenProg-A", "Evolutionary Search", IF($O76="Hercules", "Learning Pattern", IF($O76="Jaid", "True Semantic",
IF($O76="Kali-A", "True Search", IF($O76="kPAR", "True Pattern", IF($O76="Nopol", "True Semantic", IF($O76="RSRepair-A", "Evolutionary Search", IF($O76="SequenceR", "Deep Learning", IF($O76="SimFix", "Search Like Pattern", IF($O76="SketchFix", "True Pattern", IF($O76="SOFix", "True Pattern", IF($O76="ssFix", "Search Like Pattern", IF($O76="TBar", "True Pattern", ""))))))))))))))))))))</f>
        <v>Evolutionary Search</v>
      </c>
      <c r="Q76" s="13" t="str">
        <f>IF(NOT(ISERR(SEARCH("*_Buggy",$A76))), "Buggy", IF(NOT(ISERR(SEARCH("*_Fixed",$A76))), "Fixed", IF(NOT(ISERR(SEARCH("*_Repaired",$A76))), "Repaired", "")))</f>
        <v>Buggy</v>
      </c>
      <c r="R76" s="13"/>
      <c r="S76" s="13"/>
      <c r="T76" s="13"/>
      <c r="U76" s="13"/>
      <c r="V76" s="13"/>
      <c r="W76" s="13"/>
    </row>
    <row r="77" spans="1:23" x14ac:dyDescent="0.35">
      <c r="A77" s="7" t="s">
        <v>334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>LEFT($A77,FIND("_",$A77)-1)</f>
        <v>ARJA</v>
      </c>
      <c r="P77" s="13" t="str">
        <f>IF($O77="ACS", "True Search", IF($O77="Arja", "Evolutionary Search", IF($O77="AVATAR", "True Pattern", IF($O77="CapGen", "Search Like Pattern", IF($O77="Cardumen", "True Semantic", IF($O77="DynaMoth", "True Semantic", IF($O77="FixMiner", "True Pattern", IF($O77="GenProg-A", "Evolutionary Search", IF($O77="Hercules", "Learning Pattern", IF($O77="Jaid", "True Semantic",
IF($O77="Kali-A", "True Search", IF($O77="kPAR", "True Pattern", IF($O77="Nopol", "True Semantic", IF($O77="RSRepair-A", "Evolutionary Search", IF($O77="SequenceR", "Deep Learning", IF($O77="SimFix", "Search Like Pattern", IF($O77="SketchFix", "True Pattern", IF($O77="SOFix", "True Pattern", IF($O77="ssFix", "Search Like Pattern", IF($O77="TBar", "True Pattern", ""))))))))))))))))))))</f>
        <v>Evolutionary Search</v>
      </c>
      <c r="Q77" s="13" t="str">
        <f>IF(NOT(ISERR(SEARCH("*_Buggy",$A77))), "Buggy", IF(NOT(ISERR(SEARCH("*_Fixed",$A77))), "Fixed", IF(NOT(ISERR(SEARCH("*_Repaired",$A77))), "Repaired", "")))</f>
        <v>Buggy</v>
      </c>
      <c r="R77" s="13"/>
      <c r="S77" s="13"/>
      <c r="T77" s="13"/>
      <c r="U77" s="13"/>
      <c r="V77" s="13"/>
      <c r="W77" s="13"/>
    </row>
    <row r="78" spans="1:23" x14ac:dyDescent="0.35">
      <c r="A78" s="7" t="s">
        <v>464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>LEFT($A78,FIND("_",$A78)-1)</f>
        <v>ARJA</v>
      </c>
      <c r="P78" s="13" t="str">
        <f>IF($O78="ACS", "True Search", IF($O78="Arja", "Evolutionary Search", IF($O78="AVATAR", "True Pattern", IF($O78="CapGen", "Search Like Pattern", IF($O78="Cardumen", "True Semantic", IF($O78="DynaMoth", "True Semantic", IF($O78="FixMiner", "True Pattern", IF($O78="GenProg-A", "Evolutionary Search", IF($O78="Hercules", "Learning Pattern", IF($O78="Jaid", "True Semantic",
IF($O78="Kali-A", "True Search", IF($O78="kPAR", "True Pattern", IF($O78="Nopol", "True Semantic", IF($O78="RSRepair-A", "Evolutionary Search", IF($O78="SequenceR", "Deep Learning", IF($O78="SimFix", "Search Like Pattern", IF($O78="SketchFix", "True Pattern", IF($O78="SOFix", "True Pattern", IF($O78="ssFix", "Search Like Pattern", IF($O78="TBar", "True Pattern", ""))))))))))))))))))))</f>
        <v>Evolutionary Search</v>
      </c>
      <c r="Q78" s="13" t="str">
        <f>IF(NOT(ISERR(SEARCH("*_Buggy",$A78))), "Buggy", IF(NOT(ISERR(SEARCH("*_Fixed",$A78))), "Fixed", IF(NOT(ISERR(SEARCH("*_Repaired",$A78))), "Repaired", "")))</f>
        <v>Buggy</v>
      </c>
      <c r="R78" s="13"/>
      <c r="S78" s="13"/>
      <c r="T78" s="13"/>
      <c r="U78" s="13"/>
      <c r="V78" s="13"/>
      <c r="W78" s="13"/>
    </row>
    <row r="79" spans="1:23" x14ac:dyDescent="0.35">
      <c r="A79" s="7" t="s">
        <v>682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>LEFT($A79,FIND("_",$A79)-1)</f>
        <v>ARJA</v>
      </c>
      <c r="P79" s="13" t="str">
        <f>IF($O79="ACS", "True Search", IF($O79="Arja", "Evolutionary Search", IF($O79="AVATAR", "True Pattern", IF($O79="CapGen", "Search Like Pattern", IF($O79="Cardumen", "True Semantic", IF($O79="DynaMoth", "True Semantic", IF($O79="FixMiner", "True Pattern", IF($O79="GenProg-A", "Evolutionary Search", IF($O79="Hercules", "Learning Pattern", IF($O79="Jaid", "True Semantic",
IF($O79="Kali-A", "True Search", IF($O79="kPAR", "True Pattern", IF($O79="Nopol", "True Semantic", IF($O79="RSRepair-A", "Evolutionary Search", IF($O79="SequenceR", "Deep Learning", IF($O79="SimFix", "Search Like Pattern", IF($O79="SketchFix", "True Pattern", IF($O79="SOFix", "True Pattern", IF($O79="ssFix", "Search Like Pattern", IF($O79="TBar", "True Pattern", ""))))))))))))))))))))</f>
        <v>Evolutionary Search</v>
      </c>
      <c r="Q79" s="13" t="str">
        <f>IF(NOT(ISERR(SEARCH("*_Buggy",$A79))), "Buggy", IF(NOT(ISERR(SEARCH("*_Fixed",$A79))), "Fixed", IF(NOT(ISERR(SEARCH("*_Repaired",$A79))), "Repaired", "")))</f>
        <v>Buggy</v>
      </c>
      <c r="R79" s="13"/>
      <c r="S79" s="13"/>
      <c r="T79" s="13"/>
      <c r="U79" s="13"/>
      <c r="V79" s="13"/>
      <c r="W79" s="13"/>
    </row>
    <row r="80" spans="1:23" x14ac:dyDescent="0.35">
      <c r="A80" s="7" t="s">
        <v>146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>LEFT($A80,FIND("_",$A80)-1)</f>
        <v>ARJA</v>
      </c>
      <c r="P80" s="13" t="str">
        <f>IF($O80="ACS", "True Search", IF($O80="Arja", "Evolutionary Search", IF($O80="AVATAR", "True Pattern", IF($O80="CapGen", "Search Like Pattern", IF($O80="Cardumen", "True Semantic", IF($O80="DynaMoth", "True Semantic", IF($O80="FixMiner", "True Pattern", IF($O80="GenProg-A", "Evolutionary Search", IF($O80="Hercules", "Learning Pattern", IF($O80="Jaid", "True Semantic",
IF($O80="Kali-A", "True Search", IF($O80="kPAR", "True Pattern", IF($O80="Nopol", "True Semantic", IF($O80="RSRepair-A", "Evolutionary Search", IF($O80="SequenceR", "Deep Learning", IF($O80="SimFix", "Search Like Pattern", IF($O80="SketchFix", "True Pattern", IF($O80="SOFix", "True Pattern", IF($O80="ssFix", "Search Like Pattern", IF($O80="TBar", "True Pattern", ""))))))))))))))))))))</f>
        <v>Evolutionary Search</v>
      </c>
      <c r="Q80" s="13" t="str">
        <f>IF(NOT(ISERR(SEARCH("*_Buggy",$A80))), "Buggy", IF(NOT(ISERR(SEARCH("*_Fixed",$A80))), "Fixed", IF(NOT(ISERR(SEARCH("*_Repaired",$A80))), "Repaired", "")))</f>
        <v>Buggy</v>
      </c>
      <c r="R80" s="13"/>
      <c r="S80" s="13"/>
      <c r="T80" s="13"/>
      <c r="U80" s="13"/>
      <c r="V80" s="13"/>
      <c r="W80" s="13"/>
    </row>
    <row r="81" spans="1:23" x14ac:dyDescent="0.35">
      <c r="A81" s="7" t="s">
        <v>638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>LEFT($A81,FIND("_",$A81)-1)</f>
        <v>ARJA</v>
      </c>
      <c r="P81" s="13" t="str">
        <f>IF($O81="ACS", "True Search", IF($O81="Arja", "Evolutionary Search", IF($O81="AVATAR", "True Pattern", IF($O81="CapGen", "Search Like Pattern", IF($O81="Cardumen", "True Semantic", IF($O81="DynaMoth", "True Semantic", IF($O81="FixMiner", "True Pattern", IF($O81="GenProg-A", "Evolutionary Search", IF($O81="Hercules", "Learning Pattern", IF($O81="Jaid", "True Semantic",
IF($O81="Kali-A", "True Search", IF($O81="kPAR", "True Pattern", IF($O81="Nopol", "True Semantic", IF($O81="RSRepair-A", "Evolutionary Search", IF($O81="SequenceR", "Deep Learning", IF($O81="SimFix", "Search Like Pattern", IF($O81="SketchFix", "True Pattern", IF($O81="SOFix", "True Pattern", IF($O81="ssFix", "Search Like Pattern", IF($O81="TBar", "True Pattern", ""))))))))))))))))))))</f>
        <v>Evolutionary Search</v>
      </c>
      <c r="Q81" s="13" t="str">
        <f>IF(NOT(ISERR(SEARCH("*_Buggy",$A81))), "Buggy", IF(NOT(ISERR(SEARCH("*_Fixed",$A81))), "Fixed", IF(NOT(ISERR(SEARCH("*_Repaired",$A81))), "Repaired", "")))</f>
        <v>Buggy</v>
      </c>
      <c r="R81" s="13"/>
      <c r="S81" s="13"/>
      <c r="T81" s="13"/>
      <c r="U81" s="13"/>
      <c r="V81" s="13"/>
      <c r="W81" s="13"/>
    </row>
    <row r="82" spans="1:23" x14ac:dyDescent="0.35">
      <c r="A82" s="5" t="s">
        <v>684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>LEFT($A82,FIND("_",$A82)-1)</f>
        <v>ARJA</v>
      </c>
      <c r="P82" s="13" t="str">
        <f>IF($O82="ACS", "True Search", IF($O82="Arja", "Evolutionary Search", IF($O82="AVATAR", "True Pattern", IF($O82="CapGen", "Search Like Pattern", IF($O82="Cardumen", "True Semantic", IF($O82="DynaMoth", "True Semantic", IF($O82="FixMiner", "True Pattern", IF($O82="GenProg-A", "Evolutionary Search", IF($O82="Hercules", "Learning Pattern", IF($O82="Jaid", "True Semantic",
IF($O82="Kali-A", "True Search", IF($O82="kPAR", "True Pattern", IF($O82="Nopol", "True Semantic", IF($O82="RSRepair-A", "Evolutionary Search", IF($O82="SequenceR", "Deep Learning", IF($O82="SimFix", "Search Like Pattern", IF($O82="SketchFix", "True Pattern", IF($O82="SOFix", "True Pattern", IF($O82="ssFix", "Search Like Pattern", IF($O82="TBar", "True Pattern", ""))))))))))))))))))))</f>
        <v>Evolutionary Search</v>
      </c>
      <c r="Q82" s="13" t="str">
        <f>IF(NOT(ISERR(SEARCH("*_Buggy",$A82))), "Buggy", IF(NOT(ISERR(SEARCH("*_Fixed",$A82))), "Fixed", IF(NOT(ISERR(SEARCH("*_Repaired",$A82))), "Repaired", "")))</f>
        <v>Buggy</v>
      </c>
      <c r="R82" s="13"/>
      <c r="S82" s="13"/>
      <c r="T82" s="13"/>
      <c r="U82" s="13"/>
      <c r="V82" s="13"/>
      <c r="W82" s="13"/>
    </row>
    <row r="83" spans="1:23" x14ac:dyDescent="0.35">
      <c r="A83" s="7" t="s">
        <v>534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>LEFT($A83,FIND("_",$A83)-1)</f>
        <v>ARJA</v>
      </c>
      <c r="P83" s="13" t="str">
        <f>IF($O83="ACS", "True Search", IF($O83="Arja", "Evolutionary Search", IF($O83="AVATAR", "True Pattern", IF($O83="CapGen", "Search Like Pattern", IF($O83="Cardumen", "True Semantic", IF($O83="DynaMoth", "True Semantic", IF($O83="FixMiner", "True Pattern", IF($O83="GenProg-A", "Evolutionary Search", IF($O83="Hercules", "Learning Pattern", IF($O83="Jaid", "True Semantic",
IF($O83="Kali-A", "True Search", IF($O83="kPAR", "True Pattern", IF($O83="Nopol", "True Semantic", IF($O83="RSRepair-A", "Evolutionary Search", IF($O83="SequenceR", "Deep Learning", IF($O83="SimFix", "Search Like Pattern", IF($O83="SketchFix", "True Pattern", IF($O83="SOFix", "True Pattern", IF($O83="ssFix", "Search Like Pattern", IF($O83="TBar", "True Pattern", ""))))))))))))))))))))</f>
        <v>Evolutionary Search</v>
      </c>
      <c r="Q83" s="13" t="str">
        <f>IF(NOT(ISERR(SEARCH("*_Buggy",$A83))), "Buggy", IF(NOT(ISERR(SEARCH("*_Fixed",$A83))), "Fixed", IF(NOT(ISERR(SEARCH("*_Repaired",$A83))), "Repaired", "")))</f>
        <v>Buggy</v>
      </c>
      <c r="R83" s="13"/>
      <c r="S83" s="13"/>
      <c r="T83" s="13"/>
      <c r="U83" s="13"/>
      <c r="V83" s="13"/>
      <c r="W83" s="13"/>
    </row>
    <row r="84" spans="1:23" x14ac:dyDescent="0.35">
      <c r="A84" s="7" t="s">
        <v>322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>LEFT($A84,FIND("_",$A84)-1)</f>
        <v>ARJA</v>
      </c>
      <c r="P84" s="13" t="str">
        <f>IF($O84="ACS", "True Search", IF($O84="Arja", "Evolutionary Search", IF($O84="AVATAR", "True Pattern", IF($O84="CapGen", "Search Like Pattern", IF($O84="Cardumen", "True Semantic", IF($O84="DynaMoth", "True Semantic", IF($O84="FixMiner", "True Pattern", IF($O84="GenProg-A", "Evolutionary Search", IF($O84="Hercules", "Learning Pattern", IF($O84="Jaid", "True Semantic",
IF($O84="Kali-A", "True Search", IF($O84="kPAR", "True Pattern", IF($O84="Nopol", "True Semantic", IF($O84="RSRepair-A", "Evolutionary Search", IF($O84="SequenceR", "Deep Learning", IF($O84="SimFix", "Search Like Pattern", IF($O84="SketchFix", "True Pattern", IF($O84="SOFix", "True Pattern", IF($O84="ssFix", "Search Like Pattern", IF($O84="TBar", "True Pattern", ""))))))))))))))))))))</f>
        <v>Evolutionary Search</v>
      </c>
      <c r="Q84" s="13" t="str">
        <f>IF(NOT(ISERR(SEARCH("*_Buggy",$A84))), "Buggy", IF(NOT(ISERR(SEARCH("*_Fixed",$A84))), "Fixed", IF(NOT(ISERR(SEARCH("*_Repaired",$A84))), "Repaired", "")))</f>
        <v>Buggy</v>
      </c>
      <c r="R84" s="13"/>
      <c r="S84" s="13"/>
      <c r="T84" s="13"/>
      <c r="U84" s="13"/>
      <c r="V84" s="13"/>
      <c r="W84" s="13"/>
    </row>
    <row r="85" spans="1:23" x14ac:dyDescent="0.35">
      <c r="A85" s="5" t="s">
        <v>114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>LEFT($A85,FIND("_",$A85)-1)</f>
        <v>AVATAR</v>
      </c>
      <c r="P85" s="13" t="str">
        <f>IF($O85="ACS", "True Search", IF($O85="Arja", "Evolutionary Search", IF($O85="AVATAR", "True Pattern", IF($O85="CapGen", "Search Like Pattern", IF($O85="Cardumen", "True Semantic", IF($O85="DynaMoth", "True Semantic", IF($O85="FixMiner", "True Pattern", IF($O85="GenProg-A", "Evolutionary Search", IF($O85="Hercules", "Learning Pattern", IF($O85="Jaid", "True Semantic",
IF($O85="Kali-A", "True Search", IF($O85="kPAR", "True Pattern", IF($O85="Nopol", "True Semantic", IF($O85="RSRepair-A", "Evolutionary Search", IF($O85="SequenceR", "Deep Learning", IF($O85="SimFix", "Search Like Pattern", IF($O85="SketchFix", "True Pattern", IF($O85="SOFix", "True Pattern", IF($O85="ssFix", "Search Like Pattern", IF($O85="TBar", "True Pattern", ""))))))))))))))))))))</f>
        <v>True Pattern</v>
      </c>
      <c r="Q85" s="13" t="str">
        <f>IF(NOT(ISERR(SEARCH("*_Buggy",$A85))), "Buggy", IF(NOT(ISERR(SEARCH("*_Fixed",$A85))), "Fixed", IF(NOT(ISERR(SEARCH("*_Repaired",$A85))), "Repaired", "")))</f>
        <v>Buggy</v>
      </c>
      <c r="R85" s="13"/>
      <c r="S85" s="13"/>
      <c r="T85" s="13"/>
      <c r="U85" s="13"/>
      <c r="V85" s="13"/>
      <c r="W85" s="13"/>
    </row>
    <row r="86" spans="1:23" x14ac:dyDescent="0.35">
      <c r="A86" s="7" t="s">
        <v>742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>LEFT($A86,FIND("_",$A86)-1)</f>
        <v>AVATAR</v>
      </c>
      <c r="P86" s="13" t="str">
        <f>IF($O86="ACS", "True Search", IF($O86="Arja", "Evolutionary Search", IF($O86="AVATAR", "True Pattern", IF($O86="CapGen", "Search Like Pattern", IF($O86="Cardumen", "True Semantic", IF($O86="DynaMoth", "True Semantic", IF($O86="FixMiner", "True Pattern", IF($O86="GenProg-A", "Evolutionary Search", IF($O86="Hercules", "Learning Pattern", IF($O86="Jaid", "True Semantic",
IF($O86="Kali-A", "True Search", IF($O86="kPAR", "True Pattern", IF($O86="Nopol", "True Semantic", IF($O86="RSRepair-A", "Evolutionary Search", IF($O86="SequenceR", "Deep Learning", IF($O86="SimFix", "Search Like Pattern", IF($O86="SketchFix", "True Pattern", IF($O86="SOFix", "True Pattern", IF($O86="ssFix", "Search Like Pattern", IF($O86="TBar", "True Pattern", ""))))))))))))))))))))</f>
        <v>True Pattern</v>
      </c>
      <c r="Q86" s="13" t="str">
        <f>IF(NOT(ISERR(SEARCH("*_Buggy",$A86))), "Buggy", IF(NOT(ISERR(SEARCH("*_Fixed",$A86))), "Fixed", IF(NOT(ISERR(SEARCH("*_Repaired",$A86))), "Repaired", "")))</f>
        <v>Buggy</v>
      </c>
      <c r="R86" s="13"/>
      <c r="S86" s="13"/>
      <c r="T86" s="13"/>
      <c r="U86" s="13"/>
      <c r="V86" s="13"/>
      <c r="W86" s="13"/>
    </row>
    <row r="87" spans="1:23" x14ac:dyDescent="0.35">
      <c r="A87" s="7" t="s">
        <v>212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>LEFT($A87,FIND("_",$A87)-1)</f>
        <v>AVATAR</v>
      </c>
      <c r="P87" s="13" t="str">
        <f>IF($O87="ACS", "True Search", IF($O87="Arja", "Evolutionary Search", IF($O87="AVATAR", "True Pattern", IF($O87="CapGen", "Search Like Pattern", IF($O87="Cardumen", "True Semantic", IF($O87="DynaMoth", "True Semantic", IF($O87="FixMiner", "True Pattern", IF($O87="GenProg-A", "Evolutionary Search", IF($O87="Hercules", "Learning Pattern", IF($O87="Jaid", "True Semantic",
IF($O87="Kali-A", "True Search", IF($O87="kPAR", "True Pattern", IF($O87="Nopol", "True Semantic", IF($O87="RSRepair-A", "Evolutionary Search", IF($O87="SequenceR", "Deep Learning", IF($O87="SimFix", "Search Like Pattern", IF($O87="SketchFix", "True Pattern", IF($O87="SOFix", "True Pattern", IF($O87="ssFix", "Search Like Pattern", IF($O87="TBar", "True Pattern", ""))))))))))))))))))))</f>
        <v>True Pattern</v>
      </c>
      <c r="Q87" s="13" t="str">
        <f>IF(NOT(ISERR(SEARCH("*_Buggy",$A87))), "Buggy", IF(NOT(ISERR(SEARCH("*_Fixed",$A87))), "Fixed", IF(NOT(ISERR(SEARCH("*_Repaired",$A87))), "Repaired", "")))</f>
        <v>Buggy</v>
      </c>
      <c r="R87" s="13"/>
      <c r="S87" s="13"/>
      <c r="T87" s="13"/>
      <c r="U87" s="13"/>
      <c r="V87" s="13"/>
      <c r="W87" s="13"/>
    </row>
    <row r="88" spans="1:23" x14ac:dyDescent="0.35">
      <c r="A88" s="7" t="s">
        <v>840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>LEFT($A88,FIND("_",$A88)-1)</f>
        <v>AVATAR</v>
      </c>
      <c r="P88" s="13" t="str">
        <f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>IF(NOT(ISERR(SEARCH("*_Buggy",$A88))), "Buggy", IF(NOT(ISERR(SEARCH("*_Fixed",$A88))), "Fixed", IF(NOT(ISERR(SEARCH("*_Repaired",$A88))), "Repaired", "")))</f>
        <v>Buggy</v>
      </c>
      <c r="R88" s="13"/>
      <c r="S88" s="13"/>
      <c r="T88" s="13"/>
      <c r="U88" s="13"/>
      <c r="V88" s="13"/>
      <c r="W88" s="13"/>
    </row>
    <row r="89" spans="1:23" x14ac:dyDescent="0.35">
      <c r="A89" s="7" t="s">
        <v>404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>LEFT($A89,FIND("_",$A89)-1)</f>
        <v>AVATAR</v>
      </c>
      <c r="P89" s="13" t="str">
        <f>IF($O89="ACS", "True Search", IF($O89="Arja", "Evolutionary Search", IF($O89="AVATAR", "True Pattern", IF($O89="CapGen", "Search Like Pattern", IF($O89="Cardumen", "True Semantic", IF($O89="DynaMoth", "True Semantic", IF($O89="FixMiner", "True Pattern", IF($O89="GenProg-A", "Evolutionary Search", IF($O89="Hercules", "Learning Pattern", IF($O89="Jaid", "True Semantic",
IF($O89="Kali-A", "True Search", IF($O89="kPAR", "True Pattern", IF($O89="Nopol", "True Semantic", IF($O89="RSRepair-A", "Evolutionary Search", IF($O89="SequenceR", "Deep Learning", IF($O89="SimFix", "Search Like Pattern", IF($O89="SketchFix", "True Pattern", IF($O89="SOFix", "True Pattern", IF($O89="ssFix", "Search Like Pattern", IF($O89="TBar", "True Pattern", ""))))))))))))))))))))</f>
        <v>True Pattern</v>
      </c>
      <c r="Q89" s="13" t="str">
        <f>IF(NOT(ISERR(SEARCH("*_Buggy",$A89))), "Buggy", IF(NOT(ISERR(SEARCH("*_Fixed",$A89))), "Fixed", IF(NOT(ISERR(SEARCH("*_Repaired",$A89))), "Repaired", "")))</f>
        <v>Buggy</v>
      </c>
      <c r="R89" s="13"/>
      <c r="S89" s="13"/>
      <c r="T89" s="13"/>
      <c r="U89" s="13"/>
      <c r="V89" s="13"/>
      <c r="W89" s="13"/>
    </row>
    <row r="90" spans="1:23" x14ac:dyDescent="0.35">
      <c r="A90" s="5" t="s">
        <v>655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>LEFT($A90,FIND("_",$A90)-1)</f>
        <v>AVATAR</v>
      </c>
      <c r="P90" s="13" t="str">
        <f>IF($O90="ACS", "True Search", IF($O90="Arja", "Evolutionary Search", IF($O90="AVATAR", "True Pattern", IF($O90="CapGen", "Search Like Pattern", IF($O90="Cardumen", "True Semantic", IF($O90="DynaMoth", "True Semantic", IF($O90="FixMiner", "True Pattern", IF($O90="GenProg-A", "Evolutionary Search", IF($O90="Hercules", "Learning Pattern", IF($O90="Jaid", "True Semantic",
IF($O90="Kali-A", "True Search", IF($O90="kPAR", "True Pattern", IF($O90="Nopol", "True Semantic", IF($O90="RSRepair-A", "Evolutionary Search", IF($O90="SequenceR", "Deep Learning", IF($O90="SimFix", "Search Like Pattern", IF($O90="SketchFix", "True Pattern", IF($O90="SOFix", "True Pattern", IF($O90="ssFix", "Search Like Pattern", IF($O90="TBar", "True Pattern", ""))))))))))))))))))))</f>
        <v>True Pattern</v>
      </c>
      <c r="Q90" s="13" t="str">
        <f>IF(NOT(ISERR(SEARCH("*_Buggy",$A90))), "Buggy", IF(NOT(ISERR(SEARCH("*_Fixed",$A90))), "Fixed", IF(NOT(ISERR(SEARCH("*_Repaired",$A90))), "Repaired", "")))</f>
        <v>Buggy</v>
      </c>
      <c r="R90" s="13"/>
      <c r="S90" s="13"/>
      <c r="T90" s="13"/>
      <c r="U90" s="13"/>
      <c r="V90" s="13"/>
      <c r="W90" s="13"/>
    </row>
    <row r="91" spans="1:23" x14ac:dyDescent="0.35">
      <c r="A91" s="5" t="s">
        <v>403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>LEFT($A91,FIND("_",$A91)-1)</f>
        <v>AVATAR</v>
      </c>
      <c r="P91" s="13" t="str">
        <f>IF($O91="ACS", "True Search", IF($O91="Arja", "Evolutionary Search", IF($O91="AVATAR", "True Pattern", IF($O91="CapGen", "Search Like Pattern", IF($O91="Cardumen", "True Semantic", IF($O91="DynaMoth", "True Semantic", IF($O91="FixMiner", "True Pattern", IF($O91="GenProg-A", "Evolutionary Search", IF($O91="Hercules", "Learning Pattern", IF($O91="Jaid", "True Semantic",
IF($O91="Kali-A", "True Search", IF($O91="kPAR", "True Pattern", IF($O91="Nopol", "True Semantic", IF($O91="RSRepair-A", "Evolutionary Search", IF($O91="SequenceR", "Deep Learning", IF($O91="SimFix", "Search Like Pattern", IF($O91="SketchFix", "True Pattern", IF($O91="SOFix", "True Pattern", IF($O91="ssFix", "Search Like Pattern", IF($O91="TBar", "True Pattern", ""))))))))))))))))))))</f>
        <v>True Pattern</v>
      </c>
      <c r="Q91" s="13" t="str">
        <f>IF(NOT(ISERR(SEARCH("*_Buggy",$A91))), "Buggy", IF(NOT(ISERR(SEARCH("*_Fixed",$A91))), "Fixed", IF(NOT(ISERR(SEARCH("*_Repaired",$A91))), "Repaired", "")))</f>
        <v>Buggy</v>
      </c>
      <c r="R91" s="13"/>
      <c r="S91" s="13"/>
      <c r="T91" s="13"/>
      <c r="U91" s="13"/>
      <c r="V91" s="13"/>
      <c r="W91" s="13"/>
    </row>
    <row r="92" spans="1:23" x14ac:dyDescent="0.35">
      <c r="A92" s="7" t="s">
        <v>98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>LEFT($A92,FIND("_",$A92)-1)</f>
        <v>AVATAR</v>
      </c>
      <c r="P92" s="13" t="str">
        <f>IF($O92="ACS", "True Search", IF($O92="Arja", "Evolutionary Search", IF($O92="AVATAR", "True Pattern", IF($O92="CapGen", "Search Like Pattern", IF($O92="Cardumen", "True Semantic", IF($O92="DynaMoth", "True Semantic", IF($O92="FixMiner", "True Pattern", IF($O92="GenProg-A", "Evolutionary Search", IF($O92="Hercules", "Learning Pattern", IF($O92="Jaid", "True Semantic",
IF($O92="Kali-A", "True Search", IF($O92="kPAR", "True Pattern", IF($O92="Nopol", "True Semantic", IF($O92="RSRepair-A", "Evolutionary Search", IF($O92="SequenceR", "Deep Learning", IF($O92="SimFix", "Search Like Pattern", IF($O92="SketchFix", "True Pattern", IF($O92="SOFix", "True Pattern", IF($O92="ssFix", "Search Like Pattern", IF($O92="TBar", "True Pattern", ""))))))))))))))))))))</f>
        <v>True Pattern</v>
      </c>
      <c r="Q92" s="13" t="str">
        <f>IF(NOT(ISERR(SEARCH("*_Buggy",$A92))), "Buggy", IF(NOT(ISERR(SEARCH("*_Fixed",$A92))), "Fixed", IF(NOT(ISERR(SEARCH("*_Repaired",$A92))), "Repaired", "")))</f>
        <v>Buggy</v>
      </c>
      <c r="R92" s="13"/>
      <c r="S92" s="13"/>
      <c r="T92" s="13"/>
      <c r="U92" s="13"/>
      <c r="V92" s="13"/>
      <c r="W92" s="13"/>
    </row>
    <row r="93" spans="1:23" x14ac:dyDescent="0.35">
      <c r="A93" s="5" t="s">
        <v>401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>LEFT($A93,FIND("_",$A93)-1)</f>
        <v>AVATAR</v>
      </c>
      <c r="P93" s="13" t="str">
        <f>IF($O93="ACS", "True Search", IF($O93="Arja", "Evolutionary Search", IF($O93="AVATAR", "True Pattern", IF($O93="CapGen", "Search Like Pattern", IF($O93="Cardumen", "True Semantic", IF($O93="DynaMoth", "True Semantic", IF($O93="FixMiner", "True Pattern", IF($O93="GenProg-A", "Evolutionary Search", IF($O93="Hercules", "Learning Pattern", IF($O93="Jaid", "True Semantic",
IF($O93="Kali-A", "True Search", IF($O93="kPAR", "True Pattern", IF($O93="Nopol", "True Semantic", IF($O93="RSRepair-A", "Evolutionary Search", IF($O93="SequenceR", "Deep Learning", IF($O93="SimFix", "Search Like Pattern", IF($O93="SketchFix", "True Pattern", IF($O93="SOFix", "True Pattern", IF($O93="ssFix", "Search Like Pattern", IF($O93="TBar", "True Pattern", ""))))))))))))))))))))</f>
        <v>True Pattern</v>
      </c>
      <c r="Q93" s="13" t="str">
        <f>IF(NOT(ISERR(SEARCH("*_Buggy",$A93))), "Buggy", IF(NOT(ISERR(SEARCH("*_Fixed",$A93))), "Fixed", IF(NOT(ISERR(SEARCH("*_Repaired",$A93))), "Repaired", "")))</f>
        <v>Buggy</v>
      </c>
      <c r="R93" s="13"/>
      <c r="S93" s="13"/>
      <c r="T93" s="13"/>
      <c r="U93" s="13"/>
      <c r="V93" s="13"/>
      <c r="W93" s="13"/>
    </row>
    <row r="94" spans="1:23" x14ac:dyDescent="0.35">
      <c r="A94" s="7" t="s">
        <v>796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>LEFT($A94,FIND("_",$A94)-1)</f>
        <v>AVATAR</v>
      </c>
      <c r="P94" s="13" t="str">
        <f>IF($O94="ACS", "True Search", IF($O94="Arja", "Evolutionary Search", IF($O94="AVATAR", "True Pattern", IF($O94="CapGen", "Search Like Pattern", IF($O94="Cardumen", "True Semantic", IF($O94="DynaMoth", "True Semantic", IF($O94="FixMiner", "True Pattern", IF($O94="GenProg-A", "Evolutionary Search", IF($O94="Hercules", "Learning Pattern", IF($O94="Jaid", "True Semantic",
IF($O94="Kali-A", "True Search", IF($O94="kPAR", "True Pattern", IF($O94="Nopol", "True Semantic", IF($O94="RSRepair-A", "Evolutionary Search", IF($O94="SequenceR", "Deep Learning", IF($O94="SimFix", "Search Like Pattern", IF($O94="SketchFix", "True Pattern", IF($O94="SOFix", "True Pattern", IF($O94="ssFix", "Search Like Pattern", IF($O94="TBar", "True Pattern", ""))))))))))))))))))))</f>
        <v>True Pattern</v>
      </c>
      <c r="Q94" s="13" t="str">
        <f>IF(NOT(ISERR(SEARCH("*_Buggy",$A94))), "Buggy", IF(NOT(ISERR(SEARCH("*_Fixed",$A94))), "Fixed", IF(NOT(ISERR(SEARCH("*_Repaired",$A94))), "Repaired", "")))</f>
        <v>Buggy</v>
      </c>
      <c r="R94" s="13"/>
      <c r="S94" s="13"/>
      <c r="T94" s="13"/>
      <c r="U94" s="13"/>
      <c r="V94" s="13"/>
      <c r="W94" s="13"/>
    </row>
    <row r="95" spans="1:23" x14ac:dyDescent="0.35">
      <c r="A95" s="7" t="s">
        <v>760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>LEFT($A95,FIND("_",$A95)-1)</f>
        <v>AVATAR</v>
      </c>
      <c r="P95" s="13" t="str">
        <f>IF($O95="ACS", "True Search", IF($O95="Arja", "Evolutionary Search", IF($O95="AVATAR", "True Pattern", IF($O95="CapGen", "Search Like Pattern", IF($O95="Cardumen", "True Semantic", IF($O95="DynaMoth", "True Semantic", IF($O95="FixMiner", "True Pattern", IF($O95="GenProg-A", "Evolutionary Search", IF($O95="Hercules", "Learning Pattern", IF($O95="Jaid", "True Semantic",
IF($O95="Kali-A", "True Search", IF($O95="kPAR", "True Pattern", IF($O95="Nopol", "True Semantic", IF($O95="RSRepair-A", "Evolutionary Search", IF($O95="SequenceR", "Deep Learning", IF($O95="SimFix", "Search Like Pattern", IF($O95="SketchFix", "True Pattern", IF($O95="SOFix", "True Pattern", IF($O95="ssFix", "Search Like Pattern", IF($O95="TBar", "True Pattern", ""))))))))))))))))))))</f>
        <v>True Pattern</v>
      </c>
      <c r="Q95" s="13" t="str">
        <f>IF(NOT(ISERR(SEARCH("*_Buggy",$A95))), "Buggy", IF(NOT(ISERR(SEARCH("*_Fixed",$A95))), "Fixed", IF(NOT(ISERR(SEARCH("*_Repaired",$A95))), "Repaired", "")))</f>
        <v>Buggy</v>
      </c>
      <c r="R95" s="13"/>
      <c r="S95" s="13"/>
      <c r="T95" s="13"/>
      <c r="U95" s="13"/>
      <c r="V95" s="13"/>
      <c r="W95" s="13"/>
    </row>
    <row r="96" spans="1:23" x14ac:dyDescent="0.35">
      <c r="A96" s="7" t="s">
        <v>539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>LEFT($A96,FIND("_",$A96)-1)</f>
        <v>AVATAR</v>
      </c>
      <c r="P96" s="13" t="str">
        <f>IF($O96="ACS", "True Search", IF($O96="Arja", "Evolutionary Search", IF($O96="AVATAR", "True Pattern", IF($O96="CapGen", "Search Like Pattern", IF($O96="Cardumen", "True Semantic", IF($O96="DynaMoth", "True Semantic", IF($O96="FixMiner", "True Pattern", IF($O96="GenProg-A", "Evolutionary Search", IF($O96="Hercules", "Learning Pattern", IF($O96="Jaid", "True Semantic",
IF($O96="Kali-A", "True Search", IF($O96="kPAR", "True Pattern", IF($O96="Nopol", "True Semantic", IF($O96="RSRepair-A", "Evolutionary Search", IF($O96="SequenceR", "Deep Learning", IF($O96="SimFix", "Search Like Pattern", IF($O96="SketchFix", "True Pattern", IF($O96="SOFix", "True Pattern", IF($O96="ssFix", "Search Like Pattern", IF($O96="TBar", "True Pattern", ""))))))))))))))))))))</f>
        <v>True Pattern</v>
      </c>
      <c r="Q96" s="13" t="str">
        <f>IF(NOT(ISERR(SEARCH("*_Buggy",$A96))), "Buggy", IF(NOT(ISERR(SEARCH("*_Fixed",$A96))), "Fixed", IF(NOT(ISERR(SEARCH("*_Repaired",$A96))), "Repaired", "")))</f>
        <v>Buggy</v>
      </c>
      <c r="R96" s="13"/>
      <c r="S96" s="13"/>
      <c r="T96" s="13"/>
      <c r="U96" s="13"/>
      <c r="V96" s="13"/>
      <c r="W96" s="13"/>
    </row>
    <row r="97" spans="1:23" x14ac:dyDescent="0.35">
      <c r="A97" s="5" t="s">
        <v>244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>LEFT($A97,FIND("_",$A97)-1)</f>
        <v>AVATAR</v>
      </c>
      <c r="P97" s="13" t="str">
        <f>IF($O97="ACS", "True Search", IF($O97="Arja", "Evolutionary Search", IF($O97="AVATAR", "True Pattern", IF($O97="CapGen", "Search Like Pattern", IF($O97="Cardumen", "True Semantic", IF($O97="DynaMoth", "True Semantic", IF($O97="FixMiner", "True Pattern", IF($O97="GenProg-A", "Evolutionary Search", IF($O97="Hercules", "Learning Pattern", IF($O97="Jaid", "True Semantic",
IF($O97="Kali-A", "True Search", IF($O97="kPAR", "True Pattern", IF($O97="Nopol", "True Semantic", IF($O97="RSRepair-A", "Evolutionary Search", IF($O97="SequenceR", "Deep Learning", IF($O97="SimFix", "Search Like Pattern", IF($O97="SketchFix", "True Pattern", IF($O97="SOFix", "True Pattern", IF($O97="ssFix", "Search Like Pattern", IF($O97="TBar", "True Pattern", ""))))))))))))))))))))</f>
        <v>True Pattern</v>
      </c>
      <c r="Q97" s="13" t="str">
        <f>IF(NOT(ISERR(SEARCH("*_Buggy",$A97))), "Buggy", IF(NOT(ISERR(SEARCH("*_Fixed",$A97))), "Fixed", IF(NOT(ISERR(SEARCH("*_Repaired",$A97))), "Repaired", "")))</f>
        <v>Buggy</v>
      </c>
      <c r="R97" s="13"/>
      <c r="S97" s="13"/>
      <c r="T97" s="13"/>
      <c r="U97" s="13"/>
      <c r="V97" s="13"/>
      <c r="W97" s="13"/>
    </row>
    <row r="98" spans="1:23" x14ac:dyDescent="0.35">
      <c r="A98" s="5" t="s">
        <v>214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>LEFT($A98,FIND("_",$A98)-1)</f>
        <v>AVATAR</v>
      </c>
      <c r="P98" s="13" t="str">
        <f>IF($O98="ACS", "True Search", IF($O98="Arja", "Evolutionary Search", IF($O98="AVATAR", "True Pattern", IF($O98="CapGen", "Search Like Pattern", IF($O98="Cardumen", "True Semantic", IF($O98="DynaMoth", "True Semantic", IF($O98="FixMiner", "True Pattern", IF($O98="GenProg-A", "Evolutionary Search", IF($O98="Hercules", "Learning Pattern", IF($O98="Jaid", "True Semantic",
IF($O98="Kali-A", "True Search", IF($O98="kPAR", "True Pattern", IF($O98="Nopol", "True Semantic", IF($O98="RSRepair-A", "Evolutionary Search", IF($O98="SequenceR", "Deep Learning", IF($O98="SimFix", "Search Like Pattern", IF($O98="SketchFix", "True Pattern", IF($O98="SOFix", "True Pattern", IF($O98="ssFix", "Search Like Pattern", IF($O98="TBar", "True Pattern", ""))))))))))))))))))))</f>
        <v>True Pattern</v>
      </c>
      <c r="Q98" s="13" t="str">
        <f>IF(NOT(ISERR(SEARCH("*_Buggy",$A98))), "Buggy", IF(NOT(ISERR(SEARCH("*_Fixed",$A98))), "Fixed", IF(NOT(ISERR(SEARCH("*_Repaired",$A98))), "Repaired", "")))</f>
        <v>Buggy</v>
      </c>
      <c r="R98" s="13"/>
      <c r="S98" s="13"/>
      <c r="T98" s="13"/>
      <c r="U98" s="13"/>
      <c r="V98" s="13"/>
      <c r="W98" s="13"/>
    </row>
    <row r="99" spans="1:23" x14ac:dyDescent="0.35">
      <c r="A99" s="7" t="s">
        <v>243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>LEFT($A99,FIND("_",$A99)-1)</f>
        <v>AVATAR</v>
      </c>
      <c r="P99" s="13" t="str">
        <f>IF($O99="ACS", "True Search", IF($O99="Arja", "Evolutionary Search", IF($O99="AVATAR", "True Pattern", IF($O99="CapGen", "Search Like Pattern", IF($O99="Cardumen", "True Semantic", IF($O99="DynaMoth", "True Semantic", IF($O99="FixMiner", "True Pattern", IF($O99="GenProg-A", "Evolutionary Search", IF($O99="Hercules", "Learning Pattern", IF($O99="Jaid", "True Semantic",
IF($O99="Kali-A", "True Search", IF($O99="kPAR", "True Pattern", IF($O99="Nopol", "True Semantic", IF($O99="RSRepair-A", "Evolutionary Search", IF($O99="SequenceR", "Deep Learning", IF($O99="SimFix", "Search Like Pattern", IF($O99="SketchFix", "True Pattern", IF($O99="SOFix", "True Pattern", IF($O99="ssFix", "Search Like Pattern", IF($O99="TBar", "True Pattern", ""))))))))))))))))))))</f>
        <v>True Pattern</v>
      </c>
      <c r="Q99" s="13" t="str">
        <f>IF(NOT(ISERR(SEARCH("*_Buggy",$A99))), "Buggy", IF(NOT(ISERR(SEARCH("*_Fixed",$A99))), "Fixed", IF(NOT(ISERR(SEARCH("*_Repaired",$A99))), "Repaired", "")))</f>
        <v>Buggy</v>
      </c>
      <c r="R99" s="13"/>
      <c r="S99" s="13"/>
      <c r="T99" s="13"/>
      <c r="U99" s="13"/>
      <c r="V99" s="13"/>
      <c r="W99" s="13"/>
    </row>
    <row r="100" spans="1:23" x14ac:dyDescent="0.35">
      <c r="A100" s="5" t="s">
        <v>437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>LEFT($A100,FIND("_",$A100)-1)</f>
        <v>AVATAR</v>
      </c>
      <c r="P100" s="13" t="str">
        <f>IF($O100="ACS", "True Search", IF($O100="Arja", "Evolutionary Search", IF($O100="AVATAR", "True Pattern", IF($O100="CapGen", "Search Like Pattern", IF($O100="Cardumen", "True Semantic", IF($O100="DynaMoth", "True Semantic", IF($O100="FixMiner", "True Pattern", IF($O100="GenProg-A", "Evolutionary Search", IF($O100="Hercules", "Learning Pattern", IF($O100="Jaid", "True Semantic",
IF($O100="Kali-A", "True Search", IF($O100="kPAR", "True Pattern", IF($O100="Nopol", "True Semantic", IF($O100="RSRepair-A", "Evolutionary Search", IF($O100="SequenceR", "Deep Learning", IF($O100="SimFix", "Search Like Pattern", IF($O100="SketchFix", "True Pattern", IF($O100="SOFix", "True Pattern", IF($O100="ssFix", "Search Like Pattern", IF($O100="TBar", "True Pattern", ""))))))))))))))))))))</f>
        <v>True Pattern</v>
      </c>
      <c r="Q100" s="13" t="str">
        <f>IF(NOT(ISERR(SEARCH("*_Buggy",$A100))), "Buggy", IF(NOT(ISERR(SEARCH("*_Fixed",$A100))), "Fixed", IF(NOT(ISERR(SEARCH("*_Repaired",$A100))), "Repaired", "")))</f>
        <v>Buggy</v>
      </c>
      <c r="R100" s="13"/>
      <c r="S100" s="13"/>
      <c r="T100" s="13"/>
      <c r="U100" s="13"/>
      <c r="V100" s="13"/>
      <c r="W100" s="13"/>
    </row>
    <row r="101" spans="1:23" x14ac:dyDescent="0.35">
      <c r="A101" s="5" t="s">
        <v>257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>LEFT($A101,FIND("_",$A101)-1)</f>
        <v>AVATAR</v>
      </c>
      <c r="P101" s="13" t="str">
        <f>IF($O101="ACS", "True Search", IF($O101="Arja", "Evolutionary Search", IF($O101="AVATAR", "True Pattern", IF($O101="CapGen", "Search Like Pattern", IF($O101="Cardumen", "True Semantic", IF($O101="DynaMoth", "True Semantic", IF($O101="FixMiner", "True Pattern", IF($O101="GenProg-A", "Evolutionary Search", IF($O101="Hercules", "Learning Pattern", IF($O101="Jaid", "True Semantic",
IF($O101="Kali-A", "True Search", IF($O101="kPAR", "True Pattern", IF($O101="Nopol", "True Semantic", IF($O101="RSRepair-A", "Evolutionary Search", IF($O101="SequenceR", "Deep Learning", IF($O101="SimFix", "Search Like Pattern", IF($O101="SketchFix", "True Pattern", IF($O101="SOFix", "True Pattern", IF($O101="ssFix", "Search Like Pattern", IF($O101="TBar", "True Pattern", ""))))))))))))))))))))</f>
        <v>True Pattern</v>
      </c>
      <c r="Q101" s="13" t="str">
        <f>IF(NOT(ISERR(SEARCH("*_Buggy",$A101))), "Buggy", IF(NOT(ISERR(SEARCH("*_Fixed",$A101))), "Fixed", IF(NOT(ISERR(SEARCH("*_Repaired",$A101))), "Repaired", "")))</f>
        <v>Buggy</v>
      </c>
      <c r="R101" s="13"/>
      <c r="S101" s="13"/>
      <c r="T101" s="13"/>
      <c r="U101" s="13"/>
      <c r="V101" s="13"/>
      <c r="W101" s="13"/>
    </row>
    <row r="102" spans="1:23" x14ac:dyDescent="0.35">
      <c r="A102" s="5" t="s">
        <v>592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>LEFT($A102,FIND("_",$A102)-1)</f>
        <v>AVATAR</v>
      </c>
      <c r="P102" s="13" t="str">
        <f>IF($O102="ACS", "True Search", IF($O102="Arja", "Evolutionary Search", IF($O102="AVATAR", "True Pattern", IF($O102="CapGen", "Search Like Pattern", IF($O102="Cardumen", "True Semantic", IF($O102="DynaMoth", "True Semantic", IF($O102="FixMiner", "True Pattern", IF($O102="GenProg-A", "Evolutionary Search", IF($O102="Hercules", "Learning Pattern", IF($O102="Jaid", "True Semantic",
IF($O102="Kali-A", "True Search", IF($O102="kPAR", "True Pattern", IF($O102="Nopol", "True Semantic", IF($O102="RSRepair-A", "Evolutionary Search", IF($O102="SequenceR", "Deep Learning", IF($O102="SimFix", "Search Like Pattern", IF($O102="SketchFix", "True Pattern", IF($O102="SOFix", "True Pattern", IF($O102="ssFix", "Search Like Pattern", IF($O102="TBar", "True Pattern", ""))))))))))))))))))))</f>
        <v>True Pattern</v>
      </c>
      <c r="Q102" s="13" t="str">
        <f>IF(NOT(ISERR(SEARCH("*_Buggy",$A102))), "Buggy", IF(NOT(ISERR(SEARCH("*_Fixed",$A102))), "Fixed", IF(NOT(ISERR(SEARCH("*_Repaired",$A102))), "Repaired", "")))</f>
        <v>Buggy</v>
      </c>
      <c r="R102" s="13"/>
      <c r="S102" s="13"/>
      <c r="T102" s="13"/>
      <c r="U102" s="13"/>
      <c r="V102" s="13"/>
      <c r="W102" s="13"/>
    </row>
    <row r="103" spans="1:23" x14ac:dyDescent="0.35">
      <c r="A103" s="7" t="s">
        <v>566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>LEFT($A103,FIND("_",$A103)-1)</f>
        <v>AVATAR</v>
      </c>
      <c r="P103" s="13" t="str">
        <f>IF($O103="ACS", "True Search", IF($O103="Arja", "Evolutionary Search", IF($O103="AVATAR", "True Pattern", IF($O103="CapGen", "Search Like Pattern", IF($O103="Cardumen", "True Semantic", IF($O103="DynaMoth", "True Semantic", IF($O103="FixMiner", "True Pattern", IF($O103="GenProg-A", "Evolutionary Search", IF($O103="Hercules", "Learning Pattern", IF($O103="Jaid", "True Semantic",
IF($O103="Kali-A", "True Search", IF($O103="kPAR", "True Pattern", IF($O103="Nopol", "True Semantic", IF($O103="RSRepair-A", "Evolutionary Search", IF($O103="SequenceR", "Deep Learning", IF($O103="SimFix", "Search Like Pattern", IF($O103="SketchFix", "True Pattern", IF($O103="SOFix", "True Pattern", IF($O103="ssFix", "Search Like Pattern", IF($O103="TBar", "True Pattern", ""))))))))))))))))))))</f>
        <v>True Pattern</v>
      </c>
      <c r="Q103" s="13" t="str">
        <f>IF(NOT(ISERR(SEARCH("*_Buggy",$A103))), "Buggy", IF(NOT(ISERR(SEARCH("*_Fixed",$A103))), "Fixed", IF(NOT(ISERR(SEARCH("*_Repaired",$A103))), "Repaired", "")))</f>
        <v>Buggy</v>
      </c>
      <c r="R103" s="13"/>
      <c r="S103" s="13"/>
      <c r="T103" s="13"/>
      <c r="U103" s="13"/>
      <c r="V103" s="13"/>
      <c r="W103" s="13"/>
    </row>
    <row r="104" spans="1:23" x14ac:dyDescent="0.35">
      <c r="A104" s="7" t="s">
        <v>847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>LEFT($A104,FIND("_",$A104)-1)</f>
        <v>AVATAR</v>
      </c>
      <c r="P104" s="13" t="str">
        <f>IF($O104="ACS", "True Search", IF($O104="Arja", "Evolutionary Search", IF($O104="AVATAR", "True Pattern", IF($O104="CapGen", "Search Like Pattern", IF($O104="Cardumen", "True Semantic", IF($O104="DynaMoth", "True Semantic", IF($O104="FixMiner", "True Pattern", IF($O104="GenProg-A", "Evolutionary Search", IF($O104="Hercules", "Learning Pattern", IF($O104="Jaid", "True Semantic",
IF($O104="Kali-A", "True Search", IF($O104="kPAR", "True Pattern", IF($O104="Nopol", "True Semantic", IF($O104="RSRepair-A", "Evolutionary Search", IF($O104="SequenceR", "Deep Learning", IF($O104="SimFix", "Search Like Pattern", IF($O104="SketchFix", "True Pattern", IF($O104="SOFix", "True Pattern", IF($O104="ssFix", "Search Like Pattern", IF($O104="TBar", "True Pattern", ""))))))))))))))))))))</f>
        <v>True Pattern</v>
      </c>
      <c r="Q104" s="13" t="str">
        <f>IF(NOT(ISERR(SEARCH("*_Buggy",$A104))), "Buggy", IF(NOT(ISERR(SEARCH("*_Fixed",$A104))), "Fixed", IF(NOT(ISERR(SEARCH("*_Repaired",$A104))), "Repaired", "")))</f>
        <v>Buggy</v>
      </c>
      <c r="R104" s="13"/>
      <c r="S104" s="13"/>
      <c r="T104" s="13"/>
      <c r="U104" s="13"/>
      <c r="V104" s="13"/>
      <c r="W104" s="13"/>
    </row>
    <row r="105" spans="1:23" x14ac:dyDescent="0.35">
      <c r="A105" s="7" t="s">
        <v>514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>LEFT($A105,FIND("_",$A105)-1)</f>
        <v>AVATAR</v>
      </c>
      <c r="P105" s="13" t="str">
        <f>IF($O105="ACS", "True Search", IF($O105="Arja", "Evolutionary Search", IF($O105="AVATAR", "True Pattern", IF($O105="CapGen", "Search Like Pattern", IF($O105="Cardumen", "True Semantic", IF($O105="DynaMoth", "True Semantic", IF($O105="FixMiner", "True Pattern", IF($O105="GenProg-A", "Evolutionary Search", IF($O105="Hercules", "Learning Pattern", IF($O105="Jaid", "True Semantic",
IF($O105="Kali-A", "True Search", IF($O105="kPAR", "True Pattern", IF($O105="Nopol", "True Semantic", IF($O105="RSRepair-A", "Evolutionary Search", IF($O105="SequenceR", "Deep Learning", IF($O105="SimFix", "Search Like Pattern", IF($O105="SketchFix", "True Pattern", IF($O105="SOFix", "True Pattern", IF($O105="ssFix", "Search Like Pattern", IF($O105="TBar", "True Pattern", ""))))))))))))))))))))</f>
        <v>True Pattern</v>
      </c>
      <c r="Q105" s="13" t="str">
        <f>IF(NOT(ISERR(SEARCH("*_Buggy",$A105))), "Buggy", IF(NOT(ISERR(SEARCH("*_Fixed",$A105))), "Fixed", IF(NOT(ISERR(SEARCH("*_Repaired",$A105))), "Repaired", "")))</f>
        <v>Buggy</v>
      </c>
      <c r="R105" s="13"/>
      <c r="S105" s="13"/>
      <c r="T105" s="13"/>
      <c r="U105" s="13"/>
      <c r="V105" s="13"/>
      <c r="W105" s="13"/>
    </row>
    <row r="106" spans="1:23" x14ac:dyDescent="0.35">
      <c r="A106" s="5" t="s">
        <v>595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>LEFT($A106,FIND("_",$A106)-1)</f>
        <v>AVATAR</v>
      </c>
      <c r="P106" s="13" t="str">
        <f>IF($O106="ACS", "True Search", IF($O106="Arja", "Evolutionary Search", IF($O106="AVATAR", "True Pattern", IF($O106="CapGen", "Search Like Pattern", IF($O106="Cardumen", "True Semantic", IF($O106="DynaMoth", "True Semantic", IF($O106="FixMiner", "True Pattern", IF($O106="GenProg-A", "Evolutionary Search", IF($O106="Hercules", "Learning Pattern", IF($O106="Jaid", "True Semantic",
IF($O106="Kali-A", "True Search", IF($O106="kPAR", "True Pattern", IF($O106="Nopol", "True Semantic", IF($O106="RSRepair-A", "Evolutionary Search", IF($O106="SequenceR", "Deep Learning", IF($O106="SimFix", "Search Like Pattern", IF($O106="SketchFix", "True Pattern", IF($O106="SOFix", "True Pattern", IF($O106="ssFix", "Search Like Pattern", IF($O106="TBar", "True Pattern", ""))))))))))))))))))))</f>
        <v>True Pattern</v>
      </c>
      <c r="Q106" s="13" t="str">
        <f>IF(NOT(ISERR(SEARCH("*_Buggy",$A106))), "Buggy", IF(NOT(ISERR(SEARCH("*_Fixed",$A106))), "Fixed", IF(NOT(ISERR(SEARCH("*_Repaired",$A106))), "Repaired", "")))</f>
        <v>Buggy</v>
      </c>
      <c r="R106" s="13"/>
      <c r="S106" s="13"/>
      <c r="T106" s="13"/>
      <c r="U106" s="13"/>
      <c r="V106" s="13"/>
      <c r="W106" s="13"/>
    </row>
    <row r="107" spans="1:23" x14ac:dyDescent="0.35">
      <c r="A107" s="7" t="s">
        <v>310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>LEFT($A107,FIND("_",$A107)-1)</f>
        <v>AVATAR</v>
      </c>
      <c r="P107" s="13" t="str">
        <f>IF($O107="ACS", "True Search", IF($O107="Arja", "Evolutionary Search", IF($O107="AVATAR", "True Pattern", IF($O107="CapGen", "Search Like Pattern", IF($O107="Cardumen", "True Semantic", IF($O107="DynaMoth", "True Semantic", IF($O107="FixMiner", "True Pattern", IF($O107="GenProg-A", "Evolutionary Search", IF($O107="Hercules", "Learning Pattern", IF($O107="Jaid", "True Semantic",
IF($O107="Kali-A", "True Search", IF($O107="kPAR", "True Pattern", IF($O107="Nopol", "True Semantic", IF($O107="RSRepair-A", "Evolutionary Search", IF($O107="SequenceR", "Deep Learning", IF($O107="SimFix", "Search Like Pattern", IF($O107="SketchFix", "True Pattern", IF($O107="SOFix", "True Pattern", IF($O107="ssFix", "Search Like Pattern", IF($O107="TBar", "True Pattern", ""))))))))))))))))))))</f>
        <v>True Pattern</v>
      </c>
      <c r="Q107" s="13" t="str">
        <f>IF(NOT(ISERR(SEARCH("*_Buggy",$A107))), "Buggy", IF(NOT(ISERR(SEARCH("*_Fixed",$A107))), "Fixed", IF(NOT(ISERR(SEARCH("*_Repaired",$A107))), "Repaired", "")))</f>
        <v>Buggy</v>
      </c>
      <c r="R107" s="13"/>
      <c r="S107" s="13"/>
      <c r="T107" s="13"/>
      <c r="U107" s="13"/>
      <c r="V107" s="13"/>
      <c r="W107" s="13"/>
    </row>
    <row r="108" spans="1:23" x14ac:dyDescent="0.35">
      <c r="A108" s="5" t="s">
        <v>562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>LEFT($A108,FIND("_",$A108)-1)</f>
        <v>AVATAR</v>
      </c>
      <c r="P108" s="13" t="str">
        <f>IF($O108="ACS", "True Search", IF($O108="Arja", "Evolutionary Search", IF($O108="AVATAR", "True Pattern", IF($O108="CapGen", "Search Like Pattern", IF($O108="Cardumen", "True Semantic", IF($O108="DynaMoth", "True Semantic", IF($O108="FixMiner", "True Pattern", IF($O108="GenProg-A", "Evolutionary Search", IF($O108="Hercules", "Learning Pattern", IF($O108="Jaid", "True Semantic",
IF($O108="Kali-A", "True Search", IF($O108="kPAR", "True Pattern", IF($O108="Nopol", "True Semantic", IF($O108="RSRepair-A", "Evolutionary Search", IF($O108="SequenceR", "Deep Learning", IF($O108="SimFix", "Search Like Pattern", IF($O108="SketchFix", "True Pattern", IF($O108="SOFix", "True Pattern", IF($O108="ssFix", "Search Like Pattern", IF($O108="TBar", "True Pattern", ""))))))))))))))))))))</f>
        <v>True Pattern</v>
      </c>
      <c r="Q108" s="13" t="str">
        <f>IF(NOT(ISERR(SEARCH("*_Buggy",$A108))), "Buggy", IF(NOT(ISERR(SEARCH("*_Fixed",$A108))), "Fixed", IF(NOT(ISERR(SEARCH("*_Repaired",$A108))), "Repaired", "")))</f>
        <v>Buggy</v>
      </c>
      <c r="R108" s="13"/>
      <c r="S108" s="13"/>
      <c r="T108" s="13"/>
      <c r="U108" s="13"/>
      <c r="V108" s="13"/>
      <c r="W108" s="13"/>
    </row>
    <row r="109" spans="1:23" x14ac:dyDescent="0.35">
      <c r="A109" s="7" t="s">
        <v>292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>LEFT($A109,FIND("_",$A109)-1)</f>
        <v>AVATAR</v>
      </c>
      <c r="P109" s="13" t="str">
        <f>IF($O109="ACS", "True Search", IF($O109="Arja", "Evolutionary Search", IF($O109="AVATAR", "True Pattern", IF($O109="CapGen", "Search Like Pattern", IF($O109="Cardumen", "True Semantic", IF($O109="DynaMoth", "True Semantic", IF($O109="FixMiner", "True Pattern", IF($O109="GenProg-A", "Evolutionary Search", IF($O109="Hercules", "Learning Pattern", IF($O109="Jaid", "True Semantic",
IF($O109="Kali-A", "True Search", IF($O109="kPAR", "True Pattern", IF($O109="Nopol", "True Semantic", IF($O109="RSRepair-A", "Evolutionary Search", IF($O109="SequenceR", "Deep Learning", IF($O109="SimFix", "Search Like Pattern", IF($O109="SketchFix", "True Pattern", IF($O109="SOFix", "True Pattern", IF($O109="ssFix", "Search Like Pattern", IF($O109="TBar", "True Pattern", ""))))))))))))))))))))</f>
        <v>True Pattern</v>
      </c>
      <c r="Q109" s="13" t="str">
        <f>IF(NOT(ISERR(SEARCH("*_Buggy",$A109))), "Buggy", IF(NOT(ISERR(SEARCH("*_Fixed",$A109))), "Fixed", IF(NOT(ISERR(SEARCH("*_Repaired",$A109))), "Repaired", "")))</f>
        <v>Buggy</v>
      </c>
      <c r="R109" s="13"/>
      <c r="S109" s="13"/>
      <c r="T109" s="13"/>
      <c r="U109" s="13"/>
      <c r="V109" s="13"/>
      <c r="W109" s="13"/>
    </row>
    <row r="110" spans="1:23" x14ac:dyDescent="0.35">
      <c r="A110" s="5" t="s">
        <v>80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>LEFT($A110,FIND("_",$A110)-1)</f>
        <v>AVATAR</v>
      </c>
      <c r="P110" s="13" t="str">
        <f>IF($O110="ACS", "True Search", IF($O110="Arja", "Evolutionary Search", IF($O110="AVATAR", "True Pattern", IF($O110="CapGen", "Search Like Pattern", IF($O110="Cardumen", "True Semantic", IF($O110="DynaMoth", "True Semantic", IF($O110="FixMiner", "True Pattern", IF($O110="GenProg-A", "Evolutionary Search", IF($O110="Hercules", "Learning Pattern", IF($O110="Jaid", "True Semantic",
IF($O110="Kali-A", "True Search", IF($O110="kPAR", "True Pattern", IF($O110="Nopol", "True Semantic", IF($O110="RSRepair-A", "Evolutionary Search", IF($O110="SequenceR", "Deep Learning", IF($O110="SimFix", "Search Like Pattern", IF($O110="SketchFix", "True Pattern", IF($O110="SOFix", "True Pattern", IF($O110="ssFix", "Search Like Pattern", IF($O110="TBar", "True Pattern", ""))))))))))))))))))))</f>
        <v>True Pattern</v>
      </c>
      <c r="Q110" s="13" t="str">
        <f>IF(NOT(ISERR(SEARCH("*_Buggy",$A110))), "Buggy", IF(NOT(ISERR(SEARCH("*_Fixed",$A110))), "Fixed", IF(NOT(ISERR(SEARCH("*_Repaired",$A110))), "Repaired", "")))</f>
        <v>Buggy</v>
      </c>
      <c r="R110" s="13"/>
      <c r="S110" s="13"/>
      <c r="T110" s="13"/>
      <c r="U110" s="13"/>
      <c r="V110" s="13"/>
      <c r="W110" s="13"/>
    </row>
    <row r="111" spans="1:23" x14ac:dyDescent="0.35">
      <c r="A111" s="5" t="s">
        <v>778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>LEFT($A111,FIND("_",$A111)-1)</f>
        <v>AVATAR</v>
      </c>
      <c r="P111" s="13" t="str">
        <f>IF($O111="ACS", "True Search", IF($O111="Arja", "Evolutionary Search", IF($O111="AVATAR", "True Pattern", IF($O111="CapGen", "Search Like Pattern", IF($O111="Cardumen", "True Semantic", IF($O111="DynaMoth", "True Semantic", IF($O111="FixMiner", "True Pattern", IF($O111="GenProg-A", "Evolutionary Search", IF($O111="Hercules", "Learning Pattern", IF($O111="Jaid", "True Semantic",
IF($O111="Kali-A", "True Search", IF($O111="kPAR", "True Pattern", IF($O111="Nopol", "True Semantic", IF($O111="RSRepair-A", "Evolutionary Search", IF($O111="SequenceR", "Deep Learning", IF($O111="SimFix", "Search Like Pattern", IF($O111="SketchFix", "True Pattern", IF($O111="SOFix", "True Pattern", IF($O111="ssFix", "Search Like Pattern", IF($O111="TBar", "True Pattern", ""))))))))))))))))))))</f>
        <v>True Pattern</v>
      </c>
      <c r="Q111" s="13" t="str">
        <f>IF(NOT(ISERR(SEARCH("*_Buggy",$A111))), "Buggy", IF(NOT(ISERR(SEARCH("*_Fixed",$A111))), "Fixed", IF(NOT(ISERR(SEARCH("*_Repaired",$A111))), "Repaired", "")))</f>
        <v>Buggy</v>
      </c>
      <c r="R111" s="13"/>
      <c r="S111" s="13"/>
      <c r="T111" s="13"/>
      <c r="U111" s="13"/>
      <c r="V111" s="13"/>
      <c r="W111" s="13"/>
    </row>
    <row r="112" spans="1:23" x14ac:dyDescent="0.35">
      <c r="A112" s="5" t="s">
        <v>970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>LEFT($A112,FIND("_",$A112)-1)</f>
        <v>AVATAR</v>
      </c>
      <c r="P112" s="13" t="str">
        <f>IF($O112="ACS", "True Search", IF($O112="Arja", "Evolutionary Search", IF($O112="AVATAR", "True Pattern", IF($O112="CapGen", "Search Like Pattern", IF($O112="Cardumen", "True Semantic", IF($O112="DynaMoth", "True Semantic", IF($O112="FixMiner", "True Pattern", IF($O112="GenProg-A", "Evolutionary Search", IF($O112="Hercules", "Learning Pattern", IF($O112="Jaid", "True Semantic",
IF($O112="Kali-A", "True Search", IF($O112="kPAR", "True Pattern", IF($O112="Nopol", "True Semantic", IF($O112="RSRepair-A", "Evolutionary Search", IF($O112="SequenceR", "Deep Learning", IF($O112="SimFix", "Search Like Pattern", IF($O112="SketchFix", "True Pattern", IF($O112="SOFix", "True Pattern", IF($O112="ssFix", "Search Like Pattern", IF($O112="TBar", "True Pattern", ""))))))))))))))))))))</f>
        <v>True Pattern</v>
      </c>
      <c r="Q112" s="13" t="str">
        <f>IF(NOT(ISERR(SEARCH("*_Buggy",$A112))), "Buggy", IF(NOT(ISERR(SEARCH("*_Fixed",$A112))), "Fixed", IF(NOT(ISERR(SEARCH("*_Repaired",$A112))), "Repaired", "")))</f>
        <v>Buggy</v>
      </c>
      <c r="R112" s="13"/>
      <c r="S112" s="13"/>
      <c r="T112" s="13"/>
      <c r="U112" s="13"/>
      <c r="V112" s="13"/>
      <c r="W112" s="13"/>
    </row>
    <row r="113" spans="1:23" x14ac:dyDescent="0.35">
      <c r="A113" s="5" t="s">
        <v>618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>LEFT($A113,FIND("_",$A113)-1)</f>
        <v>AVATAR</v>
      </c>
      <c r="P113" s="13" t="str">
        <f>IF($O113="ACS", "True Search", IF($O113="Arja", "Evolutionary Search", IF($O113="AVATAR", "True Pattern", IF($O113="CapGen", "Search Like Pattern", IF($O113="Cardumen", "True Semantic", IF($O113="DynaMoth", "True Semantic", IF($O113="FixMiner", "True Pattern", IF($O113="GenProg-A", "Evolutionary Search", IF($O113="Hercules", "Learning Pattern", IF($O113="Jaid", "True Semantic",
IF($O113="Kali-A", "True Search", IF($O113="kPAR", "True Pattern", IF($O113="Nopol", "True Semantic", IF($O113="RSRepair-A", "Evolutionary Search", IF($O113="SequenceR", "Deep Learning", IF($O113="SimFix", "Search Like Pattern", IF($O113="SketchFix", "True Pattern", IF($O113="SOFix", "True Pattern", IF($O113="ssFix", "Search Like Pattern", IF($O113="TBar", "True Pattern", ""))))))))))))))))))))</f>
        <v>True Pattern</v>
      </c>
      <c r="Q113" s="13" t="str">
        <f>IF(NOT(ISERR(SEARCH("*_Buggy",$A113))), "Buggy", IF(NOT(ISERR(SEARCH("*_Fixed",$A113))), "Fixed", IF(NOT(ISERR(SEARCH("*_Repaired",$A113))), "Repaired", "")))</f>
        <v>Buggy</v>
      </c>
      <c r="R113" s="13"/>
      <c r="S113" s="13"/>
      <c r="T113" s="13"/>
      <c r="U113" s="13"/>
      <c r="V113" s="13"/>
      <c r="W113" s="13"/>
    </row>
    <row r="114" spans="1:23" x14ac:dyDescent="0.35">
      <c r="A114" s="7" t="s">
        <v>1000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>LEFT($A114,FIND("_",$A114)-1)</f>
        <v>AVATAR</v>
      </c>
      <c r="P114" s="13" t="str">
        <f>IF($O114="ACS", "True Search", IF($O114="Arja", "Evolutionary Search", IF($O114="AVATAR", "True Pattern", IF($O114="CapGen", "Search Like Pattern", IF($O114="Cardumen", "True Semantic", IF($O114="DynaMoth", "True Semantic", IF($O114="FixMiner", "True Pattern", IF($O114="GenProg-A", "Evolutionary Search", IF($O114="Hercules", "Learning Pattern", IF($O114="Jaid", "True Semantic",
IF($O114="Kali-A", "True Search", IF($O114="kPAR", "True Pattern", IF($O114="Nopol", "True Semantic", IF($O114="RSRepair-A", "Evolutionary Search", IF($O114="SequenceR", "Deep Learning", IF($O114="SimFix", "Search Like Pattern", IF($O114="SketchFix", "True Pattern", IF($O114="SOFix", "True Pattern", IF($O114="ssFix", "Search Like Pattern", IF($O114="TBar", "True Pattern", ""))))))))))))))))))))</f>
        <v>True Pattern</v>
      </c>
      <c r="Q114" s="13" t="str">
        <f>IF(NOT(ISERR(SEARCH("*_Buggy",$A114))), "Buggy", IF(NOT(ISERR(SEARCH("*_Fixed",$A114))), "Fixed", IF(NOT(ISERR(SEARCH("*_Repaired",$A114))), "Repaired", "")))</f>
        <v>Buggy</v>
      </c>
      <c r="R114" s="13"/>
      <c r="S114" s="13"/>
      <c r="T114" s="13"/>
      <c r="U114" s="13"/>
      <c r="V114" s="13"/>
      <c r="W114" s="13"/>
    </row>
    <row r="115" spans="1:23" x14ac:dyDescent="0.35">
      <c r="A115" s="7" t="s">
        <v>500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>LEFT($A115,FIND("_",$A115)-1)</f>
        <v>AVATAR</v>
      </c>
      <c r="P115" s="13" t="str">
        <f>IF($O115="ACS", "True Search", IF($O115="Arja", "Evolutionary Search", IF($O115="AVATAR", "True Pattern", IF($O115="CapGen", "Search Like Pattern", IF($O115="Cardumen", "True Semantic", IF($O115="DynaMoth", "True Semantic", IF($O115="FixMiner", "True Pattern", IF($O115="GenProg-A", "Evolutionary Search", IF($O115="Hercules", "Learning Pattern", IF($O115="Jaid", "True Semantic",
IF($O115="Kali-A", "True Search", IF($O115="kPAR", "True Pattern", IF($O115="Nopol", "True Semantic", IF($O115="RSRepair-A", "Evolutionary Search", IF($O115="SequenceR", "Deep Learning", IF($O115="SimFix", "Search Like Pattern", IF($O115="SketchFix", "True Pattern", IF($O115="SOFix", "True Pattern", IF($O115="ssFix", "Search Like Pattern", IF($O115="TBar", "True Pattern", ""))))))))))))))))))))</f>
        <v>True Pattern</v>
      </c>
      <c r="Q115" s="13" t="str">
        <f>IF(NOT(ISERR(SEARCH("*_Buggy",$A115))), "Buggy", IF(NOT(ISERR(SEARCH("*_Fixed",$A115))), "Fixed", IF(NOT(ISERR(SEARCH("*_Repaired",$A115))), "Repaired", "")))</f>
        <v>Buggy</v>
      </c>
      <c r="R115" s="13"/>
      <c r="S115" s="13"/>
      <c r="T115" s="13"/>
      <c r="U115" s="13"/>
      <c r="V115" s="13"/>
      <c r="W115" s="13"/>
    </row>
    <row r="116" spans="1:23" x14ac:dyDescent="0.35">
      <c r="A116" s="7" t="s">
        <v>842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>LEFT($A116,FIND("_",$A116)-1)</f>
        <v>AVATAR</v>
      </c>
      <c r="P116" s="13" t="str">
        <f>IF($O116="ACS", "True Search", IF($O116="Arja", "Evolutionary Search", IF($O116="AVATAR", "True Pattern", IF($O116="CapGen", "Search Like Pattern", IF($O116="Cardumen", "True Semantic", IF($O116="DynaMoth", "True Semantic", IF($O116="FixMiner", "True Pattern", IF($O116="GenProg-A", "Evolutionary Search", IF($O116="Hercules", "Learning Pattern", IF($O116="Jaid", "True Semantic",
IF($O116="Kali-A", "True Search", IF($O116="kPAR", "True Pattern", IF($O116="Nopol", "True Semantic", IF($O116="RSRepair-A", "Evolutionary Search", IF($O116="SequenceR", "Deep Learning", IF($O116="SimFix", "Search Like Pattern", IF($O116="SketchFix", "True Pattern", IF($O116="SOFix", "True Pattern", IF($O116="ssFix", "Search Like Pattern", IF($O116="TBar", "True Pattern", ""))))))))))))))))))))</f>
        <v>True Pattern</v>
      </c>
      <c r="Q116" s="13" t="str">
        <f>IF(NOT(ISERR(SEARCH("*_Buggy",$A116))), "Buggy", IF(NOT(ISERR(SEARCH("*_Fixed",$A116))), "Fixed", IF(NOT(ISERR(SEARCH("*_Repaired",$A116))), "Repaired", "")))</f>
        <v>Buggy</v>
      </c>
      <c r="R116" s="13"/>
      <c r="S116" s="13"/>
      <c r="T116" s="13"/>
      <c r="U116" s="13"/>
      <c r="V116" s="13"/>
      <c r="W116" s="13"/>
    </row>
    <row r="117" spans="1:23" x14ac:dyDescent="0.35">
      <c r="A117" s="7" t="s">
        <v>644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>LEFT($A117,FIND("_",$A117)-1)</f>
        <v>AVATAR</v>
      </c>
      <c r="P117" s="13" t="str">
        <f>IF($O117="ACS", "True Search", IF($O117="Arja", "Evolutionary Search", IF($O117="AVATAR", "True Pattern", IF($O117="CapGen", "Search Like Pattern", IF($O117="Cardumen", "True Semantic", IF($O117="DynaMoth", "True Semantic", IF($O117="FixMiner", "True Pattern", IF($O117="GenProg-A", "Evolutionary Search", IF($O117="Hercules", "Learning Pattern", IF($O117="Jaid", "True Semantic",
IF($O117="Kali-A", "True Search", IF($O117="kPAR", "True Pattern", IF($O117="Nopol", "True Semantic", IF($O117="RSRepair-A", "Evolutionary Search", IF($O117="SequenceR", "Deep Learning", IF($O117="SimFix", "Search Like Pattern", IF($O117="SketchFix", "True Pattern", IF($O117="SOFix", "True Pattern", IF($O117="ssFix", "Search Like Pattern", IF($O117="TBar", "True Pattern", ""))))))))))))))))))))</f>
        <v>True Pattern</v>
      </c>
      <c r="Q117" s="13" t="str">
        <f>IF(NOT(ISERR(SEARCH("*_Buggy",$A117))), "Buggy", IF(NOT(ISERR(SEARCH("*_Fixed",$A117))), "Fixed", IF(NOT(ISERR(SEARCH("*_Repaired",$A117))), "Repaired", "")))</f>
        <v>Buggy</v>
      </c>
      <c r="R117" s="13"/>
      <c r="S117" s="13"/>
      <c r="T117" s="13"/>
      <c r="U117" s="13"/>
      <c r="V117" s="13"/>
      <c r="W117" s="13"/>
    </row>
    <row r="118" spans="1:23" x14ac:dyDescent="0.35">
      <c r="A118" s="7" t="s">
        <v>679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>LEFT($A118,FIND("_",$A118)-1)</f>
        <v>AVATAR</v>
      </c>
      <c r="P118" s="13" t="str">
        <f>IF($O118="ACS", "True Search", IF($O118="Arja", "Evolutionary Search", IF($O118="AVATAR", "True Pattern", IF($O118="CapGen", "Search Like Pattern", IF($O118="Cardumen", "True Semantic", IF($O118="DynaMoth", "True Semantic", IF($O118="FixMiner", "True Pattern", IF($O118="GenProg-A", "Evolutionary Search", IF($O118="Hercules", "Learning Pattern", IF($O118="Jaid", "True Semantic",
IF($O118="Kali-A", "True Search", IF($O118="kPAR", "True Pattern", IF($O118="Nopol", "True Semantic", IF($O118="RSRepair-A", "Evolutionary Search", IF($O118="SequenceR", "Deep Learning", IF($O118="SimFix", "Search Like Pattern", IF($O118="SketchFix", "True Pattern", IF($O118="SOFix", "True Pattern", IF($O118="ssFix", "Search Like Pattern", IF($O118="TBar", "True Pattern", ""))))))))))))))))))))</f>
        <v>True Pattern</v>
      </c>
      <c r="Q118" s="13" t="str">
        <f>IF(NOT(ISERR(SEARCH("*_Buggy",$A118))), "Buggy", IF(NOT(ISERR(SEARCH("*_Fixed",$A118))), "Fixed", IF(NOT(ISERR(SEARCH("*_Repaired",$A118))), "Repaired", "")))</f>
        <v>Buggy</v>
      </c>
      <c r="R118" s="13"/>
      <c r="S118" s="13"/>
      <c r="T118" s="13"/>
      <c r="U118" s="13"/>
      <c r="V118" s="13"/>
      <c r="W118" s="13"/>
    </row>
    <row r="119" spans="1:23" x14ac:dyDescent="0.35">
      <c r="A119" s="5" t="s">
        <v>1151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>LEFT($A119,FIND("_",$A119)-1)</f>
        <v>AVATAR</v>
      </c>
      <c r="P119" s="13" t="str">
        <f>IF($O119="ACS", "True Search", IF($O119="Arja", "Evolutionary Search", IF($O119="AVATAR", "True Pattern", IF($O119="CapGen", "Search Like Pattern", IF($O119="Cardumen", "True Semantic", IF($O119="DynaMoth", "True Semantic", IF($O119="FixMiner", "True Pattern", IF($O119="GenProg-A", "Evolutionary Search", IF($O119="Hercules", "Learning Pattern", IF($O119="Jaid", "True Semantic",
IF($O119="Kali-A", "True Search", IF($O119="kPAR", "True Pattern", IF($O119="Nopol", "True Semantic", IF($O119="RSRepair-A", "Evolutionary Search", IF($O119="SequenceR", "Deep Learning", IF($O119="SimFix", "Search Like Pattern", IF($O119="SketchFix", "True Pattern", IF($O119="SOFix", "True Pattern", IF($O119="ssFix", "Search Like Pattern", IF($O119="TBar", "True Pattern", ""))))))))))))))))))))</f>
        <v>True Pattern</v>
      </c>
      <c r="Q119" s="13" t="str">
        <f>IF(NOT(ISERR(SEARCH("*_Buggy",$A119))), "Buggy", IF(NOT(ISERR(SEARCH("*_Fixed",$A119))), "Fixed", IF(NOT(ISERR(SEARCH("*_Repaired",$A119))), "Repaired", "")))</f>
        <v>Buggy</v>
      </c>
      <c r="R119" s="13"/>
      <c r="S119" s="13"/>
      <c r="T119" s="13"/>
      <c r="U119" s="13"/>
      <c r="V119" s="13"/>
      <c r="W119" s="13"/>
    </row>
    <row r="120" spans="1:23" x14ac:dyDescent="0.35">
      <c r="A120" s="5" t="s">
        <v>1114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>LEFT($A120,FIND("_",$A120)-1)</f>
        <v>AVATAR</v>
      </c>
      <c r="P120" s="13" t="str">
        <f>IF($O120="ACS", "True Search", IF($O120="Arja", "Evolutionary Search", IF($O120="AVATAR", "True Pattern", IF($O120="CapGen", "Search Like Pattern", IF($O120="Cardumen", "True Semantic", IF($O120="DynaMoth", "True Semantic", IF($O120="FixMiner", "True Pattern", IF($O120="GenProg-A", "Evolutionary Search", IF($O120="Hercules", "Learning Pattern", IF($O120="Jaid", "True Semantic",
IF($O120="Kali-A", "True Search", IF($O120="kPAR", "True Pattern", IF($O120="Nopol", "True Semantic", IF($O120="RSRepair-A", "Evolutionary Search", IF($O120="SequenceR", "Deep Learning", IF($O120="SimFix", "Search Like Pattern", IF($O120="SketchFix", "True Pattern", IF($O120="SOFix", "True Pattern", IF($O120="ssFix", "Search Like Pattern", IF($O120="TBar", "True Pattern", ""))))))))))))))))))))</f>
        <v>True Pattern</v>
      </c>
      <c r="Q120" s="13" t="str">
        <f>IF(NOT(ISERR(SEARCH("*_Buggy",$A120))), "Buggy", IF(NOT(ISERR(SEARCH("*_Fixed",$A120))), "Fixed", IF(NOT(ISERR(SEARCH("*_Repaired",$A120))), "Repaired", "")))</f>
        <v>Buggy</v>
      </c>
      <c r="R120" s="13"/>
      <c r="S120" s="13"/>
      <c r="T120" s="13"/>
      <c r="U120" s="13"/>
      <c r="V120" s="13"/>
      <c r="W120" s="13"/>
    </row>
    <row r="121" spans="1:23" x14ac:dyDescent="0.35">
      <c r="A121" s="5" t="s">
        <v>1247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>LEFT($A121,FIND("_",$A121)-1)</f>
        <v>AVATAR</v>
      </c>
      <c r="P121" s="13" t="str">
        <f>IF($O121="ACS", "True Search", IF($O121="Arja", "Evolutionary Search", IF($O121="AVATAR", "True Pattern", IF($O121="CapGen", "Search Like Pattern", IF($O121="Cardumen", "True Semantic", IF($O121="DynaMoth", "True Semantic", IF($O121="FixMiner", "True Pattern", IF($O121="GenProg-A", "Evolutionary Search", IF($O121="Hercules", "Learning Pattern", IF($O121="Jaid", "True Semantic",
IF($O121="Kali-A", "True Search", IF($O121="kPAR", "True Pattern", IF($O121="Nopol", "True Semantic", IF($O121="RSRepair-A", "Evolutionary Search", IF($O121="SequenceR", "Deep Learning", IF($O121="SimFix", "Search Like Pattern", IF($O121="SketchFix", "True Pattern", IF($O121="SOFix", "True Pattern", IF($O121="ssFix", "Search Like Pattern", IF($O121="TBar", "True Pattern", ""))))))))))))))))))))</f>
        <v>True Pattern</v>
      </c>
      <c r="Q121" s="13" t="str">
        <f>IF(NOT(ISERR(SEARCH("*_Buggy",$A121))), "Buggy", IF(NOT(ISERR(SEARCH("*_Fixed",$A121))), "Fixed", IF(NOT(ISERR(SEARCH("*_Repaired",$A121))), "Repaired", "")))</f>
        <v>Buggy</v>
      </c>
      <c r="R121" s="13"/>
      <c r="S121" s="13"/>
      <c r="T121" s="13"/>
      <c r="U121" s="13"/>
      <c r="V121" s="13"/>
      <c r="W121" s="13"/>
    </row>
    <row r="122" spans="1:23" x14ac:dyDescent="0.35">
      <c r="A122" s="7" t="s">
        <v>572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>LEFT($A122,FIND("_",$A122)-1)</f>
        <v>AVATAR</v>
      </c>
      <c r="P122" s="13" t="str">
        <f>IF($O122="ACS", "True Search", IF($O122="Arja", "Evolutionary Search", IF($O122="AVATAR", "True Pattern", IF($O122="CapGen", "Search Like Pattern", IF($O122="Cardumen", "True Semantic", IF($O122="DynaMoth", "True Semantic", IF($O122="FixMiner", "True Pattern", IF($O122="GenProg-A", "Evolutionary Search", IF($O122="Hercules", "Learning Pattern", IF($O122="Jaid", "True Semantic",
IF($O122="Kali-A", "True Search", IF($O122="kPAR", "True Pattern", IF($O122="Nopol", "True Semantic", IF($O122="RSRepair-A", "Evolutionary Search", IF($O122="SequenceR", "Deep Learning", IF($O122="SimFix", "Search Like Pattern", IF($O122="SketchFix", "True Pattern", IF($O122="SOFix", "True Pattern", IF($O122="ssFix", "Search Like Pattern", IF($O122="TBar", "True Pattern", ""))))))))))))))))))))</f>
        <v>True Pattern</v>
      </c>
      <c r="Q122" s="13" t="str">
        <f>IF(NOT(ISERR(SEARCH("*_Buggy",$A122))), "Buggy", IF(NOT(ISERR(SEARCH("*_Fixed",$A122))), "Fixed", IF(NOT(ISERR(SEARCH("*_Repaired",$A122))), "Repaired", "")))</f>
        <v>Buggy</v>
      </c>
      <c r="R122" s="13"/>
      <c r="S122" s="13"/>
      <c r="T122" s="13"/>
      <c r="U122" s="13"/>
      <c r="V122" s="13"/>
      <c r="W122" s="13"/>
    </row>
    <row r="123" spans="1:23" x14ac:dyDescent="0.35">
      <c r="A123" s="7" t="s">
        <v>356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>LEFT($A123,FIND("_",$A123)-1)</f>
        <v>AVATAR</v>
      </c>
      <c r="P123" s="13" t="str">
        <f>IF($O123="ACS", "True Search", IF($O123="Arja", "Evolutionary Search", IF($O123="AVATAR", "True Pattern", IF($O123="CapGen", "Search Like Pattern", IF($O123="Cardumen", "True Semantic", IF($O123="DynaMoth", "True Semantic", IF($O123="FixMiner", "True Pattern", IF($O123="GenProg-A", "Evolutionary Search", IF($O123="Hercules", "Learning Pattern", IF($O123="Jaid", "True Semantic",
IF($O123="Kali-A", "True Search", IF($O123="kPAR", "True Pattern", IF($O123="Nopol", "True Semantic", IF($O123="RSRepair-A", "Evolutionary Search", IF($O123="SequenceR", "Deep Learning", IF($O123="SimFix", "Search Like Pattern", IF($O123="SketchFix", "True Pattern", IF($O123="SOFix", "True Pattern", IF($O123="ssFix", "Search Like Pattern", IF($O123="TBar", "True Pattern", ""))))))))))))))))))))</f>
        <v>True Pattern</v>
      </c>
      <c r="Q123" s="13" t="str">
        <f>IF(NOT(ISERR(SEARCH("*_Buggy",$A123))), "Buggy", IF(NOT(ISERR(SEARCH("*_Fixed",$A123))), "Fixed", IF(NOT(ISERR(SEARCH("*_Repaired",$A123))), "Repaired", "")))</f>
        <v>Buggy</v>
      </c>
      <c r="R123" s="13"/>
      <c r="S123" s="13"/>
      <c r="T123" s="13"/>
      <c r="U123" s="13"/>
      <c r="V123" s="13"/>
      <c r="W123" s="13"/>
    </row>
    <row r="124" spans="1:23" x14ac:dyDescent="0.35">
      <c r="A124" s="7" t="s">
        <v>1174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>LEFT($A124,FIND("_",$A124)-1)</f>
        <v>AVATAR</v>
      </c>
      <c r="P124" s="13" t="str">
        <f>IF($O124="ACS", "True Search", IF($O124="Arja", "Evolutionary Search", IF($O124="AVATAR", "True Pattern", IF($O124="CapGen", "Search Like Pattern", IF($O124="Cardumen", "True Semantic", IF($O124="DynaMoth", "True Semantic", IF($O124="FixMiner", "True Pattern", IF($O124="GenProg-A", "Evolutionary Search", IF($O124="Hercules", "Learning Pattern", IF($O124="Jaid", "True Semantic",
IF($O124="Kali-A", "True Search", IF($O124="kPAR", "True Pattern", IF($O124="Nopol", "True Semantic", IF($O124="RSRepair-A", "Evolutionary Search", IF($O124="SequenceR", "Deep Learning", IF($O124="SimFix", "Search Like Pattern", IF($O124="SketchFix", "True Pattern", IF($O124="SOFix", "True Pattern", IF($O124="ssFix", "Search Like Pattern", IF($O124="TBar", "True Pattern", ""))))))))))))))))))))</f>
        <v>True Pattern</v>
      </c>
      <c r="Q124" s="13" t="str">
        <f>IF(NOT(ISERR(SEARCH("*_Buggy",$A124))), "Buggy", IF(NOT(ISERR(SEARCH("*_Fixed",$A124))), "Fixed", IF(NOT(ISERR(SEARCH("*_Repaired",$A124))), "Repaired", "")))</f>
        <v>Buggy</v>
      </c>
      <c r="R124" s="13"/>
      <c r="S124" s="13"/>
      <c r="T124" s="13"/>
      <c r="U124" s="13"/>
      <c r="V124" s="13"/>
      <c r="W124" s="13"/>
    </row>
    <row r="125" spans="1:23" x14ac:dyDescent="0.35">
      <c r="A125" s="5" t="s">
        <v>1097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>LEFT($A125,FIND("_",$A125)-1)</f>
        <v>AVATAR</v>
      </c>
      <c r="P125" s="13" t="str">
        <f>IF($O125="ACS", "True Search", IF($O125="Arja", "Evolutionary Search", IF($O125="AVATAR", "True Pattern", IF($O125="CapGen", "Search Like Pattern", IF($O125="Cardumen", "True Semantic", IF($O125="DynaMoth", "True Semantic", IF($O125="FixMiner", "True Pattern", IF($O125="GenProg-A", "Evolutionary Search", IF($O125="Hercules", "Learning Pattern", IF($O125="Jaid", "True Semantic",
IF($O125="Kali-A", "True Search", IF($O125="kPAR", "True Pattern", IF($O125="Nopol", "True Semantic", IF($O125="RSRepair-A", "Evolutionary Search", IF($O125="SequenceR", "Deep Learning", IF($O125="SimFix", "Search Like Pattern", IF($O125="SketchFix", "True Pattern", IF($O125="SOFix", "True Pattern", IF($O125="ssFix", "Search Like Pattern", IF($O125="TBar", "True Pattern", ""))))))))))))))))))))</f>
        <v>True Pattern</v>
      </c>
      <c r="Q125" s="13" t="str">
        <f>IF(NOT(ISERR(SEARCH("*_Buggy",$A125))), "Buggy", IF(NOT(ISERR(SEARCH("*_Fixed",$A125))), "Fixed", IF(NOT(ISERR(SEARCH("*_Repaired",$A125))), "Repaired", "")))</f>
        <v>Buggy</v>
      </c>
      <c r="R125" s="13"/>
      <c r="S125" s="13"/>
      <c r="T125" s="13"/>
      <c r="U125" s="13"/>
      <c r="V125" s="13"/>
      <c r="W125" s="13"/>
    </row>
    <row r="126" spans="1:23" x14ac:dyDescent="0.35">
      <c r="A126" s="7" t="s">
        <v>769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>LEFT($A126,FIND("_",$A126)-1)</f>
        <v>AVATAR</v>
      </c>
      <c r="P126" s="13" t="str">
        <f>IF($O126="ACS", "True Search", IF($O126="Arja", "Evolutionary Search", IF($O126="AVATAR", "True Pattern", IF($O126="CapGen", "Search Like Pattern", IF($O126="Cardumen", "True Semantic", IF($O126="DynaMoth", "True Semantic", IF($O126="FixMiner", "True Pattern", IF($O126="GenProg-A", "Evolutionary Search", IF($O126="Hercules", "Learning Pattern", IF($O126="Jaid", "True Semantic",
IF($O126="Kali-A", "True Search", IF($O126="kPAR", "True Pattern", IF($O126="Nopol", "True Semantic", IF($O126="RSRepair-A", "Evolutionary Search", IF($O126="SequenceR", "Deep Learning", IF($O126="SimFix", "Search Like Pattern", IF($O126="SketchFix", "True Pattern", IF($O126="SOFix", "True Pattern", IF($O126="ssFix", "Search Like Pattern", IF($O126="TBar", "True Pattern", ""))))))))))))))))))))</f>
        <v>True Pattern</v>
      </c>
      <c r="Q126" s="13" t="str">
        <f>IF(NOT(ISERR(SEARCH("*_Buggy",$A126))), "Buggy", IF(NOT(ISERR(SEARCH("*_Fixed",$A126))), "Fixed", IF(NOT(ISERR(SEARCH("*_Repaired",$A126))), "Repaired", "")))</f>
        <v>Buggy</v>
      </c>
      <c r="R126" s="13"/>
      <c r="S126" s="13"/>
      <c r="T126" s="13"/>
      <c r="U126" s="13"/>
      <c r="V126" s="13"/>
      <c r="W126" s="13"/>
    </row>
    <row r="127" spans="1:23" x14ac:dyDescent="0.35">
      <c r="A127" s="7" t="s">
        <v>308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>LEFT($A127,FIND("_",$A127)-1)</f>
        <v>AVATAR</v>
      </c>
      <c r="P127" s="13" t="str">
        <f>IF($O127="ACS", "True Search", IF($O127="Arja", "Evolutionary Search", IF($O127="AVATAR", "True Pattern", IF($O127="CapGen", "Search Like Pattern", IF($O127="Cardumen", "True Semantic", IF($O127="DynaMoth", "True Semantic", IF($O127="FixMiner", "True Pattern", IF($O127="GenProg-A", "Evolutionary Search", IF($O127="Hercules", "Learning Pattern", IF($O127="Jaid", "True Semantic",
IF($O127="Kali-A", "True Search", IF($O127="kPAR", "True Pattern", IF($O127="Nopol", "True Semantic", IF($O127="RSRepair-A", "Evolutionary Search", IF($O127="SequenceR", "Deep Learning", IF($O127="SimFix", "Search Like Pattern", IF($O127="SketchFix", "True Pattern", IF($O127="SOFix", "True Pattern", IF($O127="ssFix", "Search Like Pattern", IF($O127="TBar", "True Pattern", ""))))))))))))))))))))</f>
        <v>True Pattern</v>
      </c>
      <c r="Q127" s="13" t="str">
        <f>IF(NOT(ISERR(SEARCH("*_Buggy",$A127))), "Buggy", IF(NOT(ISERR(SEARCH("*_Fixed",$A127))), "Fixed", IF(NOT(ISERR(SEARCH("*_Repaired",$A127))), "Repaired", "")))</f>
        <v>Buggy</v>
      </c>
      <c r="R127" s="13"/>
      <c r="S127" s="13"/>
      <c r="T127" s="13"/>
      <c r="U127" s="13"/>
      <c r="V127" s="13"/>
      <c r="W127" s="13"/>
    </row>
    <row r="128" spans="1:23" x14ac:dyDescent="0.35">
      <c r="A128" s="5" t="s">
        <v>1173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>LEFT($A128,FIND("_",$A128)-1)</f>
        <v>AVATAR</v>
      </c>
      <c r="P128" s="13" t="str">
        <f>IF($O128="ACS", "True Search", IF($O128="Arja", "Evolutionary Search", IF($O128="AVATAR", "True Pattern", IF($O128="CapGen", "Search Like Pattern", IF($O128="Cardumen", "True Semantic", IF($O128="DynaMoth", "True Semantic", IF($O128="FixMiner", "True Pattern", IF($O128="GenProg-A", "Evolutionary Search", IF($O128="Hercules", "Learning Pattern", IF($O128="Jaid", "True Semantic",
IF($O128="Kali-A", "True Search", IF($O128="kPAR", "True Pattern", IF($O128="Nopol", "True Semantic", IF($O128="RSRepair-A", "Evolutionary Search", IF($O128="SequenceR", "Deep Learning", IF($O128="SimFix", "Search Like Pattern", IF($O128="SketchFix", "True Pattern", IF($O128="SOFix", "True Pattern", IF($O128="ssFix", "Search Like Pattern", IF($O128="TBar", "True Pattern", ""))))))))))))))))))))</f>
        <v>True Pattern</v>
      </c>
      <c r="Q128" s="13" t="str">
        <f>IF(NOT(ISERR(SEARCH("*_Buggy",$A128))), "Buggy", IF(NOT(ISERR(SEARCH("*_Fixed",$A128))), "Fixed", IF(NOT(ISERR(SEARCH("*_Repaired",$A128))), "Repaired", "")))</f>
        <v>Buggy</v>
      </c>
      <c r="R128" s="13"/>
      <c r="S128" s="13"/>
      <c r="T128" s="13"/>
      <c r="U128" s="13"/>
      <c r="V128" s="13"/>
      <c r="W128" s="13"/>
    </row>
    <row r="129" spans="1:23" x14ac:dyDescent="0.35">
      <c r="A129" s="7" t="s">
        <v>732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>LEFT($A129,FIND("_",$A129)-1)</f>
        <v>AVATAR</v>
      </c>
      <c r="P129" s="13" t="str">
        <f>IF($O129="ACS", "True Search", IF($O129="Arja", "Evolutionary Search", IF($O129="AVATAR", "True Pattern", IF($O129="CapGen", "Search Like Pattern", IF($O129="Cardumen", "True Semantic", IF($O129="DynaMoth", "True Semantic", IF($O129="FixMiner", "True Pattern", IF($O129="GenProg-A", "Evolutionary Search", IF($O129="Hercules", "Learning Pattern", IF($O129="Jaid", "True Semantic",
IF($O129="Kali-A", "True Search", IF($O129="kPAR", "True Pattern", IF($O129="Nopol", "True Semantic", IF($O129="RSRepair-A", "Evolutionary Search", IF($O129="SequenceR", "Deep Learning", IF($O129="SimFix", "Search Like Pattern", IF($O129="SketchFix", "True Pattern", IF($O129="SOFix", "True Pattern", IF($O129="ssFix", "Search Like Pattern", IF($O129="TBar", "True Pattern", ""))))))))))))))))))))</f>
        <v>True Pattern</v>
      </c>
      <c r="Q129" s="13" t="str">
        <f>IF(NOT(ISERR(SEARCH("*_Buggy",$A129))), "Buggy", IF(NOT(ISERR(SEARCH("*_Fixed",$A129))), "Fixed", IF(NOT(ISERR(SEARCH("*_Repaired",$A129))), "Repaired", "")))</f>
        <v>Buggy</v>
      </c>
      <c r="R129" s="13"/>
      <c r="S129" s="13"/>
      <c r="T129" s="13"/>
      <c r="U129" s="13"/>
      <c r="V129" s="13"/>
      <c r="W129" s="13"/>
    </row>
    <row r="130" spans="1:23" x14ac:dyDescent="0.35">
      <c r="A130" s="7" t="s">
        <v>1210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>LEFT($A130,FIND("_",$A130)-1)</f>
        <v>AVATAR</v>
      </c>
      <c r="P130" s="13" t="str">
        <f>IF($O130="ACS", "True Search", IF($O130="Arja", "Evolutionary Search", IF($O130="AVATAR", "True Pattern", IF($O130="CapGen", "Search Like Pattern", IF($O130="Cardumen", "True Semantic", IF($O130="DynaMoth", "True Semantic", IF($O130="FixMiner", "True Pattern", IF($O130="GenProg-A", "Evolutionary Search", IF($O130="Hercules", "Learning Pattern", IF($O130="Jaid", "True Semantic",
IF($O130="Kali-A", "True Search", IF($O130="kPAR", "True Pattern", IF($O130="Nopol", "True Semantic", IF($O130="RSRepair-A", "Evolutionary Search", IF($O130="SequenceR", "Deep Learning", IF($O130="SimFix", "Search Like Pattern", IF($O130="SketchFix", "True Pattern", IF($O130="SOFix", "True Pattern", IF($O130="ssFix", "Search Like Pattern", IF($O130="TBar", "True Pattern", ""))))))))))))))))))))</f>
        <v>True Pattern</v>
      </c>
      <c r="Q130" s="13" t="str">
        <f>IF(NOT(ISERR(SEARCH("*_Buggy",$A130))), "Buggy", IF(NOT(ISERR(SEARCH("*_Fixed",$A130))), "Fixed", IF(NOT(ISERR(SEARCH("*_Repaired",$A130))), "Repaired", "")))</f>
        <v>Buggy</v>
      </c>
      <c r="R130" s="13"/>
      <c r="S130" s="13"/>
      <c r="T130" s="13"/>
      <c r="U130" s="13"/>
      <c r="V130" s="13"/>
      <c r="W130" s="13"/>
    </row>
    <row r="131" spans="1:23" x14ac:dyDescent="0.35">
      <c r="A131" s="5" t="s">
        <v>87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>LEFT($A131,FIND("_",$A131)-1)</f>
        <v>AVATAR</v>
      </c>
      <c r="P131" s="13" t="str">
        <f>IF($O131="ACS", "True Search", IF($O131="Arja", "Evolutionary Search", IF($O131="AVATAR", "True Pattern", IF($O131="CapGen", "Search Like Pattern", IF($O131="Cardumen", "True Semantic", IF($O131="DynaMoth", "True Semantic", IF($O131="FixMiner", "True Pattern", IF($O131="GenProg-A", "Evolutionary Search", IF($O131="Hercules", "Learning Pattern", IF($O131="Jaid", "True Semantic",
IF($O131="Kali-A", "True Search", IF($O131="kPAR", "True Pattern", IF($O131="Nopol", "True Semantic", IF($O131="RSRepair-A", "Evolutionary Search", IF($O131="SequenceR", "Deep Learning", IF($O131="SimFix", "Search Like Pattern", IF($O131="SketchFix", "True Pattern", IF($O131="SOFix", "True Pattern", IF($O131="ssFix", "Search Like Pattern", IF($O131="TBar", "True Pattern", ""))))))))))))))))))))</f>
        <v>True Pattern</v>
      </c>
      <c r="Q131" s="13" t="str">
        <f>IF(NOT(ISERR(SEARCH("*_Buggy",$A131))), "Buggy", IF(NOT(ISERR(SEARCH("*_Fixed",$A131))), "Fixed", IF(NOT(ISERR(SEARCH("*_Repaired",$A131))), "Repaired", "")))</f>
        <v>Buggy</v>
      </c>
      <c r="R131" s="13"/>
      <c r="S131" s="13"/>
      <c r="T131" s="13"/>
      <c r="U131" s="13"/>
      <c r="V131" s="13"/>
      <c r="W131" s="13"/>
    </row>
    <row r="132" spans="1:23" x14ac:dyDescent="0.35">
      <c r="A132" s="7" t="s">
        <v>623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>LEFT($A132,FIND("_",$A132)-1)</f>
        <v>AVATAR</v>
      </c>
      <c r="P132" s="13" t="str">
        <f>IF($O132="ACS", "True Search", IF($O132="Arja", "Evolutionary Search", IF($O132="AVATAR", "True Pattern", IF($O132="CapGen", "Search Like Pattern", IF($O132="Cardumen", "True Semantic", IF($O132="DynaMoth", "True Semantic", IF($O132="FixMiner", "True Pattern", IF($O132="GenProg-A", "Evolutionary Search", IF($O132="Hercules", "Learning Pattern", IF($O132="Jaid", "True Semantic",
IF($O132="Kali-A", "True Search", IF($O132="kPAR", "True Pattern", IF($O132="Nopol", "True Semantic", IF($O132="RSRepair-A", "Evolutionary Search", IF($O132="SequenceR", "Deep Learning", IF($O132="SimFix", "Search Like Pattern", IF($O132="SketchFix", "True Pattern", IF($O132="SOFix", "True Pattern", IF($O132="ssFix", "Search Like Pattern", IF($O132="TBar", "True Pattern", ""))))))))))))))))))))</f>
        <v>True Pattern</v>
      </c>
      <c r="Q132" s="13" t="str">
        <f>IF(NOT(ISERR(SEARCH("*_Buggy",$A132))), "Buggy", IF(NOT(ISERR(SEARCH("*_Fixed",$A132))), "Fixed", IF(NOT(ISERR(SEARCH("*_Repaired",$A132))), "Repaired", "")))</f>
        <v>Buggy</v>
      </c>
      <c r="R132" s="13"/>
      <c r="S132" s="13"/>
      <c r="T132" s="13"/>
      <c r="U132" s="13"/>
      <c r="V132" s="13"/>
      <c r="W132" s="13"/>
    </row>
    <row r="133" spans="1:23" x14ac:dyDescent="0.35">
      <c r="A133" s="5" t="s">
        <v>498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>LEFT($A133,FIND("_",$A133)-1)</f>
        <v>AVATAR</v>
      </c>
      <c r="P133" s="13" t="str">
        <f>IF($O133="ACS", "True Search", IF($O133="Arja", "Evolutionary Search", IF($O133="AVATAR", "True Pattern", IF($O133="CapGen", "Search Like Pattern", IF($O133="Cardumen", "True Semantic", IF($O133="DynaMoth", "True Semantic", IF($O133="FixMiner", "True Pattern", IF($O133="GenProg-A", "Evolutionary Search", IF($O133="Hercules", "Learning Pattern", IF($O133="Jaid", "True Semantic",
IF($O133="Kali-A", "True Search", IF($O133="kPAR", "True Pattern", IF($O133="Nopol", "True Semantic", IF($O133="RSRepair-A", "Evolutionary Search", IF($O133="SequenceR", "Deep Learning", IF($O133="SimFix", "Search Like Pattern", IF($O133="SketchFix", "True Pattern", IF($O133="SOFix", "True Pattern", IF($O133="ssFix", "Search Like Pattern", IF($O133="TBar", "True Pattern", ""))))))))))))))))))))</f>
        <v>True Pattern</v>
      </c>
      <c r="Q133" s="13" t="str">
        <f>IF(NOT(ISERR(SEARCH("*_Buggy",$A133))), "Buggy", IF(NOT(ISERR(SEARCH("*_Fixed",$A133))), "Fixed", IF(NOT(ISERR(SEARCH("*_Repaired",$A133))), "Repaired", "")))</f>
        <v>Buggy</v>
      </c>
      <c r="R133" s="13"/>
      <c r="S133" s="13"/>
      <c r="T133" s="13"/>
      <c r="U133" s="13"/>
      <c r="V133" s="13"/>
      <c r="W133" s="13"/>
    </row>
    <row r="134" spans="1:23" x14ac:dyDescent="0.35">
      <c r="A134" s="7" t="s">
        <v>994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>LEFT($A134,FIND("_",$A134)-1)</f>
        <v>AVATAR</v>
      </c>
      <c r="P134" s="13" t="str">
        <f>IF($O134="ACS", "True Search", IF($O134="Arja", "Evolutionary Search", IF($O134="AVATAR", "True Pattern", IF($O134="CapGen", "Search Like Pattern", IF($O134="Cardumen", "True Semantic", IF($O134="DynaMoth", "True Semantic", IF($O134="FixMiner", "True Pattern", IF($O134="GenProg-A", "Evolutionary Search", IF($O134="Hercules", "Learning Pattern", IF($O134="Jaid", "True Semantic",
IF($O134="Kali-A", "True Search", IF($O134="kPAR", "True Pattern", IF($O134="Nopol", "True Semantic", IF($O134="RSRepair-A", "Evolutionary Search", IF($O134="SequenceR", "Deep Learning", IF($O134="SimFix", "Search Like Pattern", IF($O134="SketchFix", "True Pattern", IF($O134="SOFix", "True Pattern", IF($O134="ssFix", "Search Like Pattern", IF($O134="TBar", "True Pattern", ""))))))))))))))))))))</f>
        <v>True Pattern</v>
      </c>
      <c r="Q134" s="13" t="str">
        <f>IF(NOT(ISERR(SEARCH("*_Buggy",$A134))), "Buggy", IF(NOT(ISERR(SEARCH("*_Fixed",$A134))), "Fixed", IF(NOT(ISERR(SEARCH("*_Repaired",$A134))), "Repaired", "")))</f>
        <v>Buggy</v>
      </c>
      <c r="R134" s="13"/>
      <c r="S134" s="13"/>
      <c r="T134" s="13"/>
      <c r="U134" s="13"/>
      <c r="V134" s="13"/>
      <c r="W134" s="13"/>
    </row>
    <row r="135" spans="1:23" x14ac:dyDescent="0.35">
      <c r="A135" s="5" t="s">
        <v>1264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>LEFT($A135,FIND("_",$A135)-1)</f>
        <v>AVATAR</v>
      </c>
      <c r="P135" s="13" t="str">
        <f>IF($O135="ACS", "True Search", IF($O135="Arja", "Evolutionary Search", IF($O135="AVATAR", "True Pattern", IF($O135="CapGen", "Search Like Pattern", IF($O135="Cardumen", "True Semantic", IF($O135="DynaMoth", "True Semantic", IF($O135="FixMiner", "True Pattern", IF($O135="GenProg-A", "Evolutionary Search", IF($O135="Hercules", "Learning Pattern", IF($O135="Jaid", "True Semantic",
IF($O135="Kali-A", "True Search", IF($O135="kPAR", "True Pattern", IF($O135="Nopol", "True Semantic", IF($O135="RSRepair-A", "Evolutionary Search", IF($O135="SequenceR", "Deep Learning", IF($O135="SimFix", "Search Like Pattern", IF($O135="SketchFix", "True Pattern", IF($O135="SOFix", "True Pattern", IF($O135="ssFix", "Search Like Pattern", IF($O135="TBar", "True Pattern", ""))))))))))))))))))))</f>
        <v>True Pattern</v>
      </c>
      <c r="Q135" s="13" t="str">
        <f>IF(NOT(ISERR(SEARCH("*_Buggy",$A135))), "Buggy", IF(NOT(ISERR(SEARCH("*_Fixed",$A135))), "Fixed", IF(NOT(ISERR(SEARCH("*_Repaired",$A135))), "Repaired", "")))</f>
        <v>Buggy</v>
      </c>
      <c r="R135" s="13"/>
      <c r="S135" s="13"/>
      <c r="T135" s="13"/>
      <c r="U135" s="13"/>
      <c r="V135" s="13"/>
      <c r="W135" s="13"/>
    </row>
    <row r="136" spans="1:23" x14ac:dyDescent="0.35">
      <c r="A136" s="5" t="s">
        <v>1066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>LEFT($A136,FIND("_",$A136)-1)</f>
        <v>AVATAR</v>
      </c>
      <c r="P136" s="13" t="str">
        <f>IF($O136="ACS", "True Search", IF($O136="Arja", "Evolutionary Search", IF($O136="AVATAR", "True Pattern", IF($O136="CapGen", "Search Like Pattern", IF($O136="Cardumen", "True Semantic", IF($O136="DynaMoth", "True Semantic", IF($O136="FixMiner", "True Pattern", IF($O136="GenProg-A", "Evolutionary Search", IF($O136="Hercules", "Learning Pattern", IF($O136="Jaid", "True Semantic",
IF($O136="Kali-A", "True Search", IF($O136="kPAR", "True Pattern", IF($O136="Nopol", "True Semantic", IF($O136="RSRepair-A", "Evolutionary Search", IF($O136="SequenceR", "Deep Learning", IF($O136="SimFix", "Search Like Pattern", IF($O136="SketchFix", "True Pattern", IF($O136="SOFix", "True Pattern", IF($O136="ssFix", "Search Like Pattern", IF($O136="TBar", "True Pattern", ""))))))))))))))))))))</f>
        <v>True Pattern</v>
      </c>
      <c r="Q136" s="13" t="str">
        <f>IF(NOT(ISERR(SEARCH("*_Buggy",$A136))), "Buggy", IF(NOT(ISERR(SEARCH("*_Fixed",$A136))), "Fixed", IF(NOT(ISERR(SEARCH("*_Repaired",$A136))), "Repaired", "")))</f>
        <v>Buggy</v>
      </c>
      <c r="R136" s="13"/>
      <c r="S136" s="13"/>
      <c r="T136" s="13"/>
      <c r="U136" s="13"/>
      <c r="V136" s="13"/>
      <c r="W136" s="13"/>
    </row>
    <row r="137" spans="1:23" x14ac:dyDescent="0.35">
      <c r="A137" s="7" t="s">
        <v>961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>LEFT($A137,FIND("_",$A137)-1)</f>
        <v>DynaMoth</v>
      </c>
      <c r="P137" s="13" t="str">
        <f>IF($O137="ACS", "True Search", IF($O137="Arja", "Evolutionary Search", IF($O137="AVATAR", "True Pattern", IF($O137="CapGen", "Search Like Pattern", IF($O137="Cardumen", "True Semantic", IF($O137="DynaMoth", "True Semantic", IF($O137="FixMiner", "True Pattern", IF($O137="GenProg-A", "Evolutionary Search", IF($O137="Hercules", "Learning Pattern", IF($O137="Jaid", "True Semantic",
IF($O137="Kali-A", "True Search", IF($O137="kPAR", "True Pattern", IF($O137="Nopol", "True Semantic", IF($O137="RSRepair-A", "Evolutionary Search", IF($O137="SequenceR", "Deep Learning", IF($O137="SimFix", "Search Like Pattern", IF($O137="SketchFix", "True Pattern", IF($O137="SOFix", "True Pattern", IF($O137="ssFix", "Search Like Pattern", IF($O137="TBar", "True Pattern", ""))))))))))))))))))))</f>
        <v>True Semantic</v>
      </c>
      <c r="Q137" s="13" t="str">
        <f>IF(NOT(ISERR(SEARCH("*_Buggy",$A137))), "Buggy", IF(NOT(ISERR(SEARCH("*_Fixed",$A137))), "Fixed", IF(NOT(ISERR(SEARCH("*_Repaired",$A137))), "Repaired", "")))</f>
        <v>Buggy</v>
      </c>
      <c r="R137" s="13"/>
      <c r="S137" s="13"/>
      <c r="T137" s="13"/>
      <c r="U137" s="13"/>
      <c r="V137" s="13"/>
      <c r="W137" s="13"/>
    </row>
    <row r="138" spans="1:23" x14ac:dyDescent="0.35">
      <c r="A138" s="7" t="s">
        <v>1051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>LEFT($A138,FIND("_",$A138)-1)</f>
        <v>DynaMoth</v>
      </c>
      <c r="P138" s="13" t="str">
        <f>IF($O138="ACS", "True Search", IF($O138="Arja", "Evolutionary Search", IF($O138="AVATAR", "True Pattern", IF($O138="CapGen", "Search Like Pattern", IF($O138="Cardumen", "True Semantic", IF($O138="DynaMoth", "True Semantic", IF($O138="FixMiner", "True Pattern", IF($O138="GenProg-A", "Evolutionary Search", IF($O138="Hercules", "Learning Pattern", IF($O138="Jaid", "True Semantic",
IF($O138="Kali-A", "True Search", IF($O138="kPAR", "True Pattern", IF($O138="Nopol", "True Semantic", IF($O138="RSRepair-A", "Evolutionary Search", IF($O138="SequenceR", "Deep Learning", IF($O138="SimFix", "Search Like Pattern", IF($O138="SketchFix", "True Pattern", IF($O138="SOFix", "True Pattern", IF($O138="ssFix", "Search Like Pattern", IF($O138="TBar", "True Pattern", ""))))))))))))))))))))</f>
        <v>True Semantic</v>
      </c>
      <c r="Q138" s="13" t="str">
        <f>IF(NOT(ISERR(SEARCH("*_Buggy",$A138))), "Buggy", IF(NOT(ISERR(SEARCH("*_Fixed",$A138))), "Fixed", IF(NOT(ISERR(SEARCH("*_Repaired",$A138))), "Repaired", "")))</f>
        <v>Buggy</v>
      </c>
      <c r="R138" s="13"/>
      <c r="S138" s="13"/>
      <c r="T138" s="13"/>
      <c r="U138" s="13"/>
      <c r="V138" s="13"/>
      <c r="W138" s="13"/>
    </row>
    <row r="139" spans="1:23" x14ac:dyDescent="0.35">
      <c r="A139" s="7" t="s">
        <v>502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>LEFT($A139,FIND("_",$A139)-1)</f>
        <v>DynaMoth</v>
      </c>
      <c r="P139" s="13" t="str">
        <f>IF($O139="ACS", "True Search", IF($O139="Arja", "Evolutionary Search", IF($O139="AVATAR", "True Pattern", IF($O139="CapGen", "Search Like Pattern", IF($O139="Cardumen", "True Semantic", IF($O139="DynaMoth", "True Semantic", IF($O139="FixMiner", "True Pattern", IF($O139="GenProg-A", "Evolutionary Search", IF($O139="Hercules", "Learning Pattern", IF($O139="Jaid", "True Semantic",
IF($O139="Kali-A", "True Search", IF($O139="kPAR", "True Pattern", IF($O139="Nopol", "True Semantic", IF($O139="RSRepair-A", "Evolutionary Search", IF($O139="SequenceR", "Deep Learning", IF($O139="SimFix", "Search Like Pattern", IF($O139="SketchFix", "True Pattern", IF($O139="SOFix", "True Pattern", IF($O139="ssFix", "Search Like Pattern", IF($O139="TBar", "True Pattern", ""))))))))))))))))))))</f>
        <v>True Semantic</v>
      </c>
      <c r="Q139" s="13" t="str">
        <f>IF(NOT(ISERR(SEARCH("*_Buggy",$A139))), "Buggy", IF(NOT(ISERR(SEARCH("*_Fixed",$A139))), "Fixed", IF(NOT(ISERR(SEARCH("*_Repaired",$A139))), "Repaired", "")))</f>
        <v>Buggy</v>
      </c>
      <c r="R139" s="13"/>
      <c r="S139" s="13"/>
      <c r="T139" s="13"/>
      <c r="U139" s="13"/>
      <c r="V139" s="13"/>
      <c r="W139" s="13"/>
    </row>
    <row r="140" spans="1:23" x14ac:dyDescent="0.35">
      <c r="A140" s="7" t="s">
        <v>1094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>LEFT($A140,FIND("_",$A140)-1)</f>
        <v>DynaMoth</v>
      </c>
      <c r="P140" s="13" t="str">
        <f>IF($O140="ACS", "True Search", IF($O140="Arja", "Evolutionary Search", IF($O140="AVATAR", "True Pattern", IF($O140="CapGen", "Search Like Pattern", IF($O140="Cardumen", "True Semantic", IF($O140="DynaMoth", "True Semantic", IF($O140="FixMiner", "True Pattern", IF($O140="GenProg-A", "Evolutionary Search", IF($O140="Hercules", "Learning Pattern", IF($O140="Jaid", "True Semantic",
IF($O140="Kali-A", "True Search", IF($O140="kPAR", "True Pattern", IF($O140="Nopol", "True Semantic", IF($O140="RSRepair-A", "Evolutionary Search", IF($O140="SequenceR", "Deep Learning", IF($O140="SimFix", "Search Like Pattern", IF($O140="SketchFix", "True Pattern", IF($O140="SOFix", "True Pattern", IF($O140="ssFix", "Search Like Pattern", IF($O140="TBar", "True Pattern", ""))))))))))))))))))))</f>
        <v>True Semantic</v>
      </c>
      <c r="Q140" s="13" t="str">
        <f>IF(NOT(ISERR(SEARCH("*_Buggy",$A140))), "Buggy", IF(NOT(ISERR(SEARCH("*_Fixed",$A140))), "Fixed", IF(NOT(ISERR(SEARCH("*_Repaired",$A140))), "Repaired", "")))</f>
        <v>Buggy</v>
      </c>
      <c r="R140" s="13"/>
      <c r="S140" s="13"/>
      <c r="T140" s="13"/>
      <c r="U140" s="13"/>
      <c r="V140" s="13"/>
      <c r="W140" s="13"/>
    </row>
    <row r="141" spans="1:23" x14ac:dyDescent="0.35">
      <c r="A141" s="7" t="s">
        <v>1252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>LEFT($A141,FIND("_",$A141)-1)</f>
        <v>DynaMoth</v>
      </c>
      <c r="P141" s="13" t="str">
        <f>IF($O141="ACS", "True Search", IF($O141="Arja", "Evolutionary Search", IF($O141="AVATAR", "True Pattern", IF($O141="CapGen", "Search Like Pattern", IF($O141="Cardumen", "True Semantic", IF($O141="DynaMoth", "True Semantic", IF($O141="FixMiner", "True Pattern", IF($O141="GenProg-A", "Evolutionary Search", IF($O141="Hercules", "Learning Pattern", IF($O141="Jaid", "True Semantic",
IF($O141="Kali-A", "True Search", IF($O141="kPAR", "True Pattern", IF($O141="Nopol", "True Semantic", IF($O141="RSRepair-A", "Evolutionary Search", IF($O141="SequenceR", "Deep Learning", IF($O141="SimFix", "Search Like Pattern", IF($O141="SketchFix", "True Pattern", IF($O141="SOFix", "True Pattern", IF($O141="ssFix", "Search Like Pattern", IF($O141="TBar", "True Pattern", ""))))))))))))))))))))</f>
        <v>True Semantic</v>
      </c>
      <c r="Q141" s="13" t="str">
        <f>IF(NOT(ISERR(SEARCH("*_Buggy",$A141))), "Buggy", IF(NOT(ISERR(SEARCH("*_Fixed",$A141))), "Fixed", IF(NOT(ISERR(SEARCH("*_Repaired",$A141))), "Repaired", "")))</f>
        <v>Buggy</v>
      </c>
      <c r="R141" s="13"/>
      <c r="S141" s="13"/>
      <c r="T141" s="13"/>
      <c r="U141" s="13"/>
      <c r="V141" s="13"/>
      <c r="W141" s="13"/>
    </row>
    <row r="142" spans="1:23" x14ac:dyDescent="0.35">
      <c r="A142" s="5" t="s">
        <v>475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>LEFT($A142,FIND("_",$A142)-1)</f>
        <v>DynaMoth</v>
      </c>
      <c r="P142" s="13" t="str">
        <f>IF($O142="ACS", "True Search", IF($O142="Arja", "Evolutionary Search", IF($O142="AVATAR", "True Pattern", IF($O142="CapGen", "Search Like Pattern", IF($O142="Cardumen", "True Semantic", IF($O142="DynaMoth", "True Semantic", IF($O142="FixMiner", "True Pattern", IF($O142="GenProg-A", "Evolutionary Search", IF($O142="Hercules", "Learning Pattern", IF($O142="Jaid", "True Semantic",
IF($O142="Kali-A", "True Search", IF($O142="kPAR", "True Pattern", IF($O142="Nopol", "True Semantic", IF($O142="RSRepair-A", "Evolutionary Search", IF($O142="SequenceR", "Deep Learning", IF($O142="SimFix", "Search Like Pattern", IF($O142="SketchFix", "True Pattern", IF($O142="SOFix", "True Pattern", IF($O142="ssFix", "Search Like Pattern", IF($O142="TBar", "True Pattern", ""))))))))))))))))))))</f>
        <v>True Semantic</v>
      </c>
      <c r="Q142" s="13" t="str">
        <f>IF(NOT(ISERR(SEARCH("*_Buggy",$A142))), "Buggy", IF(NOT(ISERR(SEARCH("*_Fixed",$A142))), "Fixed", IF(NOT(ISERR(SEARCH("*_Repaired",$A142))), "Repaired", "")))</f>
        <v>Buggy</v>
      </c>
      <c r="R142" s="13"/>
      <c r="S142" s="13"/>
      <c r="T142" s="13"/>
      <c r="U142" s="13"/>
      <c r="V142" s="13"/>
      <c r="W142" s="13"/>
    </row>
    <row r="143" spans="1:23" x14ac:dyDescent="0.35">
      <c r="A143" s="5" t="s">
        <v>197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>LEFT($A143,FIND("_",$A143)-1)</f>
        <v>DynaMoth</v>
      </c>
      <c r="P143" s="13" t="str">
        <f>IF($O143="ACS", "True Search", IF($O143="Arja", "Evolutionary Search", IF($O143="AVATAR", "True Pattern", IF($O143="CapGen", "Search Like Pattern", IF($O143="Cardumen", "True Semantic", IF($O143="DynaMoth", "True Semantic", IF($O143="FixMiner", "True Pattern", IF($O143="GenProg-A", "Evolutionary Search", IF($O143="Hercules", "Learning Pattern", IF($O143="Jaid", "True Semantic",
IF($O143="Kali-A", "True Search", IF($O143="kPAR", "True Pattern", IF($O143="Nopol", "True Semantic", IF($O143="RSRepair-A", "Evolutionary Search", IF($O143="SequenceR", "Deep Learning", IF($O143="SimFix", "Search Like Pattern", IF($O143="SketchFix", "True Pattern", IF($O143="SOFix", "True Pattern", IF($O143="ssFix", "Search Like Pattern", IF($O143="TBar", "True Pattern", ""))))))))))))))))))))</f>
        <v>True Semantic</v>
      </c>
      <c r="Q143" s="13" t="str">
        <f>IF(NOT(ISERR(SEARCH("*_Buggy",$A143))), "Buggy", IF(NOT(ISERR(SEARCH("*_Fixed",$A143))), "Fixed", IF(NOT(ISERR(SEARCH("*_Repaired",$A143))), "Repaired", "")))</f>
        <v>Buggy</v>
      </c>
      <c r="R143" s="13"/>
      <c r="S143" s="13"/>
      <c r="T143" s="13"/>
      <c r="U143" s="13"/>
      <c r="V143" s="13"/>
      <c r="W143" s="13"/>
    </row>
    <row r="144" spans="1:23" x14ac:dyDescent="0.35">
      <c r="A144" s="7" t="s">
        <v>933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>LEFT($A144,FIND("_",$A144)-1)</f>
        <v>DynaMoth</v>
      </c>
      <c r="P144" s="13" t="str">
        <f>IF($O144="ACS", "True Search", IF($O144="Arja", "Evolutionary Search", IF($O144="AVATAR", "True Pattern", IF($O144="CapGen", "Search Like Pattern", IF($O144="Cardumen", "True Semantic", IF($O144="DynaMoth", "True Semantic", IF($O144="FixMiner", "True Pattern", IF($O144="GenProg-A", "Evolutionary Search", IF($O144="Hercules", "Learning Pattern", IF($O144="Jaid", "True Semantic",
IF($O144="Kali-A", "True Search", IF($O144="kPAR", "True Pattern", IF($O144="Nopol", "True Semantic", IF($O144="RSRepair-A", "Evolutionary Search", IF($O144="SequenceR", "Deep Learning", IF($O144="SimFix", "Search Like Pattern", IF($O144="SketchFix", "True Pattern", IF($O144="SOFix", "True Pattern", IF($O144="ssFix", "Search Like Pattern", IF($O144="TBar", "True Pattern", ""))))))))))))))))))))</f>
        <v>True Semantic</v>
      </c>
      <c r="Q144" s="13" t="str">
        <f>IF(NOT(ISERR(SEARCH("*_Buggy",$A144))), "Buggy", IF(NOT(ISERR(SEARCH("*_Fixed",$A144))), "Fixed", IF(NOT(ISERR(SEARCH("*_Repaired",$A144))), "Repaired", "")))</f>
        <v>Buggy</v>
      </c>
      <c r="R144" s="13"/>
      <c r="S144" s="13"/>
      <c r="T144" s="13"/>
      <c r="U144" s="13"/>
      <c r="V144" s="13"/>
      <c r="W144" s="13"/>
    </row>
    <row r="145" spans="1:23" x14ac:dyDescent="0.35">
      <c r="A145" s="7" t="s">
        <v>905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>LEFT($A145,FIND("_",$A145)-1)</f>
        <v>DynaMoth</v>
      </c>
      <c r="P145" s="13" t="str">
        <f>IF($O145="ACS", "True Search", IF($O145="Arja", "Evolutionary Search", IF($O145="AVATAR", "True Pattern", IF($O145="CapGen", "Search Like Pattern", IF($O145="Cardumen", "True Semantic", IF($O145="DynaMoth", "True Semantic", IF($O145="FixMiner", "True Pattern", IF($O145="GenProg-A", "Evolutionary Search", IF($O145="Hercules", "Learning Pattern", IF($O145="Jaid", "True Semantic",
IF($O145="Kali-A", "True Search", IF($O145="kPAR", "True Pattern", IF($O145="Nopol", "True Semantic", IF($O145="RSRepair-A", "Evolutionary Search", IF($O145="SequenceR", "Deep Learning", IF($O145="SimFix", "Search Like Pattern", IF($O145="SketchFix", "True Pattern", IF($O145="SOFix", "True Pattern", IF($O145="ssFix", "Search Like Pattern", IF($O145="TBar", "True Pattern", ""))))))))))))))))))))</f>
        <v>True Semantic</v>
      </c>
      <c r="Q145" s="13" t="str">
        <f>IF(NOT(ISERR(SEARCH("*_Buggy",$A145))), "Buggy", IF(NOT(ISERR(SEARCH("*_Fixed",$A145))), "Fixed", IF(NOT(ISERR(SEARCH("*_Repaired",$A145))), "Repaired", "")))</f>
        <v>Buggy</v>
      </c>
      <c r="R145" s="13"/>
      <c r="S145" s="13"/>
      <c r="T145" s="13"/>
      <c r="U145" s="13"/>
      <c r="V145" s="13"/>
      <c r="W145" s="13"/>
    </row>
    <row r="146" spans="1:23" x14ac:dyDescent="0.35">
      <c r="A146" s="7" t="s">
        <v>920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>LEFT($A146,FIND("_",$A146)-1)</f>
        <v>DynaMoth</v>
      </c>
      <c r="P146" s="13" t="str">
        <f>IF($O146="ACS", "True Search", IF($O146="Arja", "Evolutionary Search", IF($O146="AVATAR", "True Pattern", IF($O146="CapGen", "Search Like Pattern", IF($O146="Cardumen", "True Semantic", IF($O146="DynaMoth", "True Semantic", IF($O146="FixMiner", "True Pattern", IF($O146="GenProg-A", "Evolutionary Search", IF($O146="Hercules", "Learning Pattern", IF($O146="Jaid", "True Semantic",
IF($O146="Kali-A", "True Search", IF($O146="kPAR", "True Pattern", IF($O146="Nopol", "True Semantic", IF($O146="RSRepair-A", "Evolutionary Search", IF($O146="SequenceR", "Deep Learning", IF($O146="SimFix", "Search Like Pattern", IF($O146="SketchFix", "True Pattern", IF($O146="SOFix", "True Pattern", IF($O146="ssFix", "Search Like Pattern", IF($O146="TBar", "True Pattern", ""))))))))))))))))))))</f>
        <v>True Semantic</v>
      </c>
      <c r="Q146" s="13" t="str">
        <f>IF(NOT(ISERR(SEARCH("*_Buggy",$A146))), "Buggy", IF(NOT(ISERR(SEARCH("*_Fixed",$A146))), "Fixed", IF(NOT(ISERR(SEARCH("*_Repaired",$A146))), "Repaired", "")))</f>
        <v>Buggy</v>
      </c>
      <c r="R146" s="13"/>
      <c r="S146" s="13"/>
      <c r="T146" s="13"/>
      <c r="U146" s="13"/>
      <c r="V146" s="13"/>
      <c r="W146" s="13"/>
    </row>
    <row r="147" spans="1:23" x14ac:dyDescent="0.35">
      <c r="A147" s="5" t="s">
        <v>797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>LEFT($A147,FIND("_",$A147)-1)</f>
        <v>DynaMoth</v>
      </c>
      <c r="P147" s="13" t="str">
        <f>IF($O147="ACS", "True Search", IF($O147="Arja", "Evolutionary Search", IF($O147="AVATAR", "True Pattern", IF($O147="CapGen", "Search Like Pattern", IF($O147="Cardumen", "True Semantic", IF($O147="DynaMoth", "True Semantic", IF($O147="FixMiner", "True Pattern", IF($O147="GenProg-A", "Evolutionary Search", IF($O147="Hercules", "Learning Pattern", IF($O147="Jaid", "True Semantic",
IF($O147="Kali-A", "True Search", IF($O147="kPAR", "True Pattern", IF($O147="Nopol", "True Semantic", IF($O147="RSRepair-A", "Evolutionary Search", IF($O147="SequenceR", "Deep Learning", IF($O147="SimFix", "Search Like Pattern", IF($O147="SketchFix", "True Pattern", IF($O147="SOFix", "True Pattern", IF($O147="ssFix", "Search Like Pattern", IF($O147="TBar", "True Pattern", ""))))))))))))))))))))</f>
        <v>True Semantic</v>
      </c>
      <c r="Q147" s="13" t="str">
        <f>IF(NOT(ISERR(SEARCH("*_Buggy",$A147))), "Buggy", IF(NOT(ISERR(SEARCH("*_Fixed",$A147))), "Fixed", IF(NOT(ISERR(SEARCH("*_Repaired",$A147))), "Repaired", "")))</f>
        <v>Buggy</v>
      </c>
      <c r="R147" s="13"/>
      <c r="S147" s="13"/>
      <c r="T147" s="13"/>
      <c r="U147" s="13"/>
      <c r="V147" s="13"/>
      <c r="W147" s="13"/>
    </row>
    <row r="148" spans="1:23" x14ac:dyDescent="0.35">
      <c r="A148" s="5" t="s">
        <v>47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>LEFT($A148,FIND("_",$A148)-1)</f>
        <v>DynaMoth</v>
      </c>
      <c r="P148" s="13" t="str">
        <f>IF($O148="ACS", "True Search", IF($O148="Arja", "Evolutionary Search", IF($O148="AVATAR", "True Pattern", IF($O148="CapGen", "Search Like Pattern", IF($O148="Cardumen", "True Semantic", IF($O148="DynaMoth", "True Semantic", IF($O148="FixMiner", "True Pattern", IF($O148="GenProg-A", "Evolutionary Search", IF($O148="Hercules", "Learning Pattern", IF($O148="Jaid", "True Semantic",
IF($O148="Kali-A", "True Search", IF($O148="kPAR", "True Pattern", IF($O148="Nopol", "True Semantic", IF($O148="RSRepair-A", "Evolutionary Search", IF($O148="SequenceR", "Deep Learning", IF($O148="SimFix", "Search Like Pattern", IF($O148="SketchFix", "True Pattern", IF($O148="SOFix", "True Pattern", IF($O148="ssFix", "Search Like Pattern", IF($O148="TBar", "True Pattern", ""))))))))))))))))))))</f>
        <v>True Semantic</v>
      </c>
      <c r="Q148" s="13" t="str">
        <f>IF(NOT(ISERR(SEARCH("*_Buggy",$A148))), "Buggy", IF(NOT(ISERR(SEARCH("*_Fixed",$A148))), "Fixed", IF(NOT(ISERR(SEARCH("*_Repaired",$A148))), "Repaired", "")))</f>
        <v>Buggy</v>
      </c>
      <c r="R148" s="13"/>
      <c r="S148" s="13"/>
      <c r="T148" s="13"/>
      <c r="U148" s="13"/>
      <c r="V148" s="13"/>
      <c r="W148" s="13"/>
    </row>
    <row r="149" spans="1:23" x14ac:dyDescent="0.35">
      <c r="A149" s="5" t="s">
        <v>524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>LEFT($A149,FIND("_",$A149)-1)</f>
        <v>DynaMoth</v>
      </c>
      <c r="P149" s="13" t="str">
        <f>IF($O149="ACS", "True Search", IF($O149="Arja", "Evolutionary Search", IF($O149="AVATAR", "True Pattern", IF($O149="CapGen", "Search Like Pattern", IF($O149="Cardumen", "True Semantic", IF($O149="DynaMoth", "True Semantic", IF($O149="FixMiner", "True Pattern", IF($O149="GenProg-A", "Evolutionary Search", IF($O149="Hercules", "Learning Pattern", IF($O149="Jaid", "True Semantic",
IF($O149="Kali-A", "True Search", IF($O149="kPAR", "True Pattern", IF($O149="Nopol", "True Semantic", IF($O149="RSRepair-A", "Evolutionary Search", IF($O149="SequenceR", "Deep Learning", IF($O149="SimFix", "Search Like Pattern", IF($O149="SketchFix", "True Pattern", IF($O149="SOFix", "True Pattern", IF($O149="ssFix", "Search Like Pattern", IF($O149="TBar", "True Pattern", ""))))))))))))))))))))</f>
        <v>True Semantic</v>
      </c>
      <c r="Q149" s="13" t="str">
        <f>IF(NOT(ISERR(SEARCH("*_Buggy",$A149))), "Buggy", IF(NOT(ISERR(SEARCH("*_Fixed",$A149))), "Fixed", IF(NOT(ISERR(SEARCH("*_Repaired",$A149))), "Repaired", "")))</f>
        <v>Buggy</v>
      </c>
      <c r="R149" s="13"/>
      <c r="S149" s="13"/>
      <c r="T149" s="13"/>
      <c r="U149" s="13"/>
      <c r="V149" s="13"/>
      <c r="W149" s="13"/>
    </row>
    <row r="150" spans="1:23" x14ac:dyDescent="0.35">
      <c r="A150" s="7" t="s">
        <v>350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>LEFT($A150,FIND("_",$A150)-1)</f>
        <v>DynaMoth</v>
      </c>
      <c r="P150" s="13" t="str">
        <f>IF($O150="ACS", "True Search", IF($O150="Arja", "Evolutionary Search", IF($O150="AVATAR", "True Pattern", IF($O150="CapGen", "Search Like Pattern", IF($O150="Cardumen", "True Semantic", IF($O150="DynaMoth", "True Semantic", IF($O150="FixMiner", "True Pattern", IF($O150="GenProg-A", "Evolutionary Search", IF($O150="Hercules", "Learning Pattern", IF($O150="Jaid", "True Semantic",
IF($O150="Kali-A", "True Search", IF($O150="kPAR", "True Pattern", IF($O150="Nopol", "True Semantic", IF($O150="RSRepair-A", "Evolutionary Search", IF($O150="SequenceR", "Deep Learning", IF($O150="SimFix", "Search Like Pattern", IF($O150="SketchFix", "True Pattern", IF($O150="SOFix", "True Pattern", IF($O150="ssFix", "Search Like Pattern", IF($O150="TBar", "True Pattern", ""))))))))))))))))))))</f>
        <v>True Semantic</v>
      </c>
      <c r="Q150" s="13" t="str">
        <f>IF(NOT(ISERR(SEARCH("*_Buggy",$A150))), "Buggy", IF(NOT(ISERR(SEARCH("*_Fixed",$A150))), "Fixed", IF(NOT(ISERR(SEARCH("*_Repaired",$A150))), "Repaired", "")))</f>
        <v>Buggy</v>
      </c>
      <c r="R150" s="13"/>
      <c r="S150" s="13"/>
      <c r="T150" s="13"/>
      <c r="U150" s="13"/>
      <c r="V150" s="13"/>
      <c r="W150" s="13"/>
    </row>
    <row r="151" spans="1:23" x14ac:dyDescent="0.35">
      <c r="A151" s="7" t="s">
        <v>501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>LEFT($A151,FIND("_",$A151)-1)</f>
        <v>DynaMoth</v>
      </c>
      <c r="P151" s="13" t="str">
        <f>IF($O151="ACS", "True Search", IF($O151="Arja", "Evolutionary Search", IF($O151="AVATAR", "True Pattern", IF($O151="CapGen", "Search Like Pattern", IF($O151="Cardumen", "True Semantic", IF($O151="DynaMoth", "True Semantic", IF($O151="FixMiner", "True Pattern", IF($O151="GenProg-A", "Evolutionary Search", IF($O151="Hercules", "Learning Pattern", IF($O151="Jaid", "True Semantic",
IF($O151="Kali-A", "True Search", IF($O151="kPAR", "True Pattern", IF($O151="Nopol", "True Semantic", IF($O151="RSRepair-A", "Evolutionary Search", IF($O151="SequenceR", "Deep Learning", IF($O151="SimFix", "Search Like Pattern", IF($O151="SketchFix", "True Pattern", IF($O151="SOFix", "True Pattern", IF($O151="ssFix", "Search Like Pattern", IF($O151="TBar", "True Pattern", ""))))))))))))))))))))</f>
        <v>True Semantic</v>
      </c>
      <c r="Q151" s="13" t="str">
        <f>IF(NOT(ISERR(SEARCH("*_Buggy",$A151))), "Buggy", IF(NOT(ISERR(SEARCH("*_Fixed",$A151))), "Fixed", IF(NOT(ISERR(SEARCH("*_Repaired",$A151))), "Repaired", "")))</f>
        <v>Buggy</v>
      </c>
      <c r="R151" s="13"/>
      <c r="S151" s="13"/>
      <c r="T151" s="13"/>
      <c r="U151" s="13"/>
      <c r="V151" s="13"/>
      <c r="W151" s="13"/>
    </row>
    <row r="152" spans="1:23" x14ac:dyDescent="0.35">
      <c r="A152" s="7" t="s">
        <v>472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>LEFT($A152,FIND("_",$A152)-1)</f>
        <v>DynaMoth</v>
      </c>
      <c r="P152" s="13" t="str">
        <f>IF($O152="ACS", "True Search", IF($O152="Arja", "Evolutionary Search", IF($O152="AVATAR", "True Pattern", IF($O152="CapGen", "Search Like Pattern", IF($O152="Cardumen", "True Semantic", IF($O152="DynaMoth", "True Semantic", IF($O152="FixMiner", "True Pattern", IF($O152="GenProg-A", "Evolutionary Search", IF($O152="Hercules", "Learning Pattern", IF($O152="Jaid", "True Semantic",
IF($O152="Kali-A", "True Search", IF($O152="kPAR", "True Pattern", IF($O152="Nopol", "True Semantic", IF($O152="RSRepair-A", "Evolutionary Search", IF($O152="SequenceR", "Deep Learning", IF($O152="SimFix", "Search Like Pattern", IF($O152="SketchFix", "True Pattern", IF($O152="SOFix", "True Pattern", IF($O152="ssFix", "Search Like Pattern", IF($O152="TBar", "True Pattern", ""))))))))))))))))))))</f>
        <v>True Semantic</v>
      </c>
      <c r="Q152" s="13" t="str">
        <f>IF(NOT(ISERR(SEARCH("*_Buggy",$A152))), "Buggy", IF(NOT(ISERR(SEARCH("*_Fixed",$A152))), "Fixed", IF(NOT(ISERR(SEARCH("*_Repaired",$A152))), "Repaired", "")))</f>
        <v>Buggy</v>
      </c>
      <c r="R152" s="13"/>
      <c r="S152" s="13"/>
      <c r="T152" s="13"/>
      <c r="U152" s="13"/>
      <c r="V152" s="13"/>
      <c r="W152" s="13"/>
    </row>
    <row r="153" spans="1:23" x14ac:dyDescent="0.35">
      <c r="A153" s="7" t="s">
        <v>1083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>LEFT($A153,FIND("_",$A153)-1)</f>
        <v>DynaMoth</v>
      </c>
      <c r="P153" s="13" t="str">
        <f>IF($O153="ACS", "True Search", IF($O153="Arja", "Evolutionary Search", IF($O153="AVATAR", "True Pattern", IF($O153="CapGen", "Search Like Pattern", IF($O153="Cardumen", "True Semantic", IF($O153="DynaMoth", "True Semantic", IF($O153="FixMiner", "True Pattern", IF($O153="GenProg-A", "Evolutionary Search", IF($O153="Hercules", "Learning Pattern", IF($O153="Jaid", "True Semantic",
IF($O153="Kali-A", "True Search", IF($O153="kPAR", "True Pattern", IF($O153="Nopol", "True Semantic", IF($O153="RSRepair-A", "Evolutionary Search", IF($O153="SequenceR", "Deep Learning", IF($O153="SimFix", "Search Like Pattern", IF($O153="SketchFix", "True Pattern", IF($O153="SOFix", "True Pattern", IF($O153="ssFix", "Search Like Pattern", IF($O153="TBar", "True Pattern", ""))))))))))))))))))))</f>
        <v>True Semantic</v>
      </c>
      <c r="Q153" s="13" t="str">
        <f>IF(NOT(ISERR(SEARCH("*_Buggy",$A153))), "Buggy", IF(NOT(ISERR(SEARCH("*_Fixed",$A153))), "Fixed", IF(NOT(ISERR(SEARCH("*_Repaired",$A153))), "Repaired", "")))</f>
        <v>Buggy</v>
      </c>
      <c r="R153" s="13"/>
      <c r="S153" s="13"/>
      <c r="T153" s="13"/>
      <c r="U153" s="13"/>
      <c r="V153" s="13"/>
      <c r="W153" s="13"/>
    </row>
    <row r="154" spans="1:23" x14ac:dyDescent="0.35">
      <c r="A154" s="7" t="s">
        <v>860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>LEFT($A154,FIND("_",$A154)-1)</f>
        <v>DynaMoth</v>
      </c>
      <c r="P154" s="13" t="str">
        <f>IF($O154="ACS", "True Search", IF($O154="Arja", "Evolutionary Search", IF($O154="AVATAR", "True Pattern", IF($O154="CapGen", "Search Like Pattern", IF($O154="Cardumen", "True Semantic", IF($O154="DynaMoth", "True Semantic", IF($O154="FixMiner", "True Pattern", IF($O154="GenProg-A", "Evolutionary Search", IF($O154="Hercules", "Learning Pattern", IF($O154="Jaid", "True Semantic",
IF($O154="Kali-A", "True Search", IF($O154="kPAR", "True Pattern", IF($O154="Nopol", "True Semantic", IF($O154="RSRepair-A", "Evolutionary Search", IF($O154="SequenceR", "Deep Learning", IF($O154="SimFix", "Search Like Pattern", IF($O154="SketchFix", "True Pattern", IF($O154="SOFix", "True Pattern", IF($O154="ssFix", "Search Like Pattern", IF($O154="TBar", "True Pattern", ""))))))))))))))))))))</f>
        <v>True Semantic</v>
      </c>
      <c r="Q154" s="13" t="str">
        <f>IF(NOT(ISERR(SEARCH("*_Buggy",$A154))), "Buggy", IF(NOT(ISERR(SEARCH("*_Fixed",$A154))), "Fixed", IF(NOT(ISERR(SEARCH("*_Repaired",$A154))), "Repaired", "")))</f>
        <v>Buggy</v>
      </c>
      <c r="R154" s="13"/>
      <c r="S154" s="13"/>
      <c r="T154" s="13"/>
      <c r="U154" s="13"/>
      <c r="V154" s="13"/>
      <c r="W154" s="13"/>
    </row>
    <row r="155" spans="1:23" x14ac:dyDescent="0.35">
      <c r="A155" s="7" t="s">
        <v>675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>LEFT($A155,FIND("_",$A155)-1)</f>
        <v>DynaMoth</v>
      </c>
      <c r="P155" s="13" t="str">
        <f>IF($O155="ACS", "True Search", IF($O155="Arja", "Evolutionary Search", IF($O155="AVATAR", "True Pattern", IF($O155="CapGen", "Search Like Pattern", IF($O155="Cardumen", "True Semantic", IF($O155="DynaMoth", "True Semantic", IF($O155="FixMiner", "True Pattern", IF($O155="GenProg-A", "Evolutionary Search", IF($O155="Hercules", "Learning Pattern", IF($O155="Jaid", "True Semantic",
IF($O155="Kali-A", "True Search", IF($O155="kPAR", "True Pattern", IF($O155="Nopol", "True Semantic", IF($O155="RSRepair-A", "Evolutionary Search", IF($O155="SequenceR", "Deep Learning", IF($O155="SimFix", "Search Like Pattern", IF($O155="SketchFix", "True Pattern", IF($O155="SOFix", "True Pattern", IF($O155="ssFix", "Search Like Pattern", IF($O155="TBar", "True Pattern", ""))))))))))))))))))))</f>
        <v>True Semantic</v>
      </c>
      <c r="Q155" s="13" t="str">
        <f>IF(NOT(ISERR(SEARCH("*_Buggy",$A155))), "Buggy", IF(NOT(ISERR(SEARCH("*_Fixed",$A155))), "Fixed", IF(NOT(ISERR(SEARCH("*_Repaired",$A155))), "Repaired", "")))</f>
        <v>Buggy</v>
      </c>
      <c r="R155" s="13"/>
      <c r="S155" s="13"/>
      <c r="T155" s="13"/>
      <c r="U155" s="13"/>
      <c r="V155" s="13"/>
      <c r="W155" s="13"/>
    </row>
    <row r="156" spans="1:23" x14ac:dyDescent="0.35">
      <c r="A156" s="7" t="s">
        <v>887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>LEFT($A156,FIND("_",$A156)-1)</f>
        <v>DynaMoth</v>
      </c>
      <c r="P156" s="13" t="str">
        <f>IF($O156="ACS", "True Search", IF($O156="Arja", "Evolutionary Search", IF($O156="AVATAR", "True Pattern", IF($O156="CapGen", "Search Like Pattern", IF($O156="Cardumen", "True Semantic", IF($O156="DynaMoth", "True Semantic", IF($O156="FixMiner", "True Pattern", IF($O156="GenProg-A", "Evolutionary Search", IF($O156="Hercules", "Learning Pattern", IF($O156="Jaid", "True Semantic",
IF($O156="Kali-A", "True Search", IF($O156="kPAR", "True Pattern", IF($O156="Nopol", "True Semantic", IF($O156="RSRepair-A", "Evolutionary Search", IF($O156="SequenceR", "Deep Learning", IF($O156="SimFix", "Search Like Pattern", IF($O156="SketchFix", "True Pattern", IF($O156="SOFix", "True Pattern", IF($O156="ssFix", "Search Like Pattern", IF($O156="TBar", "True Pattern", ""))))))))))))))))))))</f>
        <v>True Semantic</v>
      </c>
      <c r="Q156" s="13" t="str">
        <f>IF(NOT(ISERR(SEARCH("*_Buggy",$A156))), "Buggy", IF(NOT(ISERR(SEARCH("*_Fixed",$A156))), "Fixed", IF(NOT(ISERR(SEARCH("*_Repaired",$A156))), "Repaired", "")))</f>
        <v>Buggy</v>
      </c>
      <c r="R156" s="13"/>
      <c r="S156" s="13"/>
      <c r="T156" s="13"/>
      <c r="U156" s="13"/>
      <c r="V156" s="13"/>
      <c r="W156" s="13"/>
    </row>
    <row r="157" spans="1:23" x14ac:dyDescent="0.35">
      <c r="A157" s="7" t="s">
        <v>983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>LEFT($A157,FIND("_",$A157)-1)</f>
        <v>DynaMoth</v>
      </c>
      <c r="P157" s="13" t="str">
        <f>IF($O157="ACS", "True Search", IF($O157="Arja", "Evolutionary Search", IF($O157="AVATAR", "True Pattern", IF($O157="CapGen", "Search Like Pattern", IF($O157="Cardumen", "True Semantic", IF($O157="DynaMoth", "True Semantic", IF($O157="FixMiner", "True Pattern", IF($O157="GenProg-A", "Evolutionary Search", IF($O157="Hercules", "Learning Pattern", IF($O157="Jaid", "True Semantic",
IF($O157="Kali-A", "True Search", IF($O157="kPAR", "True Pattern", IF($O157="Nopol", "True Semantic", IF($O157="RSRepair-A", "Evolutionary Search", IF($O157="SequenceR", "Deep Learning", IF($O157="SimFix", "Search Like Pattern", IF($O157="SketchFix", "True Pattern", IF($O157="SOFix", "True Pattern", IF($O157="ssFix", "Search Like Pattern", IF($O157="TBar", "True Pattern", ""))))))))))))))))))))</f>
        <v>True Semantic</v>
      </c>
      <c r="Q157" s="13" t="str">
        <f>IF(NOT(ISERR(SEARCH("*_Buggy",$A157))), "Buggy", IF(NOT(ISERR(SEARCH("*_Fixed",$A157))), "Fixed", IF(NOT(ISERR(SEARCH("*_Repaired",$A157))), "Repaired", "")))</f>
        <v>Buggy</v>
      </c>
      <c r="R157" s="13"/>
      <c r="S157" s="13"/>
      <c r="T157" s="13"/>
      <c r="U157" s="13"/>
      <c r="V157" s="13"/>
      <c r="W157" s="13"/>
    </row>
    <row r="158" spans="1:23" x14ac:dyDescent="0.35">
      <c r="A158" s="5" t="s">
        <v>35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>LEFT($A158,FIND("_",$A158)-1)</f>
        <v>DynaMoth</v>
      </c>
      <c r="P158" s="13" t="str">
        <f>IF($O158="ACS", "True Search", IF($O158="Arja", "Evolutionary Search", IF($O158="AVATAR", "True Pattern", IF($O158="CapGen", "Search Like Pattern", IF($O158="Cardumen", "True Semantic", IF($O158="DynaMoth", "True Semantic", IF($O158="FixMiner", "True Pattern", IF($O158="GenProg-A", "Evolutionary Search", IF($O158="Hercules", "Learning Pattern", IF($O158="Jaid", "True Semantic",
IF($O158="Kali-A", "True Search", IF($O158="kPAR", "True Pattern", IF($O158="Nopol", "True Semantic", IF($O158="RSRepair-A", "Evolutionary Search", IF($O158="SequenceR", "Deep Learning", IF($O158="SimFix", "Search Like Pattern", IF($O158="SketchFix", "True Pattern", IF($O158="SOFix", "True Pattern", IF($O158="ssFix", "Search Like Pattern", IF($O158="TBar", "True Pattern", ""))))))))))))))))))))</f>
        <v>True Semantic</v>
      </c>
      <c r="Q158" s="13" t="str">
        <f>IF(NOT(ISERR(SEARCH("*_Buggy",$A158))), "Buggy", IF(NOT(ISERR(SEARCH("*_Fixed",$A158))), "Fixed", IF(NOT(ISERR(SEARCH("*_Repaired",$A158))), "Repaired", "")))</f>
        <v>Buggy</v>
      </c>
      <c r="R158" s="13"/>
      <c r="S158" s="13"/>
      <c r="T158" s="13"/>
      <c r="U158" s="13"/>
      <c r="V158" s="13"/>
      <c r="W158" s="13"/>
    </row>
    <row r="159" spans="1:23" x14ac:dyDescent="0.35">
      <c r="A159" s="7" t="s">
        <v>389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>LEFT($A159,FIND("_",$A159)-1)</f>
        <v>DynaMoth</v>
      </c>
      <c r="P159" s="13" t="str">
        <f>IF($O159="ACS", "True Search", IF($O159="Arja", "Evolutionary Search", IF($O159="AVATAR", "True Pattern", IF($O159="CapGen", "Search Like Pattern", IF($O159="Cardumen", "True Semantic", IF($O159="DynaMoth", "True Semantic", IF($O159="FixMiner", "True Pattern", IF($O159="GenProg-A", "Evolutionary Search", IF($O159="Hercules", "Learning Pattern", IF($O159="Jaid", "True Semantic",
IF($O159="Kali-A", "True Search", IF($O159="kPAR", "True Pattern", IF($O159="Nopol", "True Semantic", IF($O159="RSRepair-A", "Evolutionary Search", IF($O159="SequenceR", "Deep Learning", IF($O159="SimFix", "Search Like Pattern", IF($O159="SketchFix", "True Pattern", IF($O159="SOFix", "True Pattern", IF($O159="ssFix", "Search Like Pattern", IF($O159="TBar", "True Pattern", ""))))))))))))))))))))</f>
        <v>True Semantic</v>
      </c>
      <c r="Q159" s="13" t="str">
        <f>IF(NOT(ISERR(SEARCH("*_Buggy",$A159))), "Buggy", IF(NOT(ISERR(SEARCH("*_Fixed",$A159))), "Fixed", IF(NOT(ISERR(SEARCH("*_Repaired",$A159))), "Repaired", "")))</f>
        <v>Buggy</v>
      </c>
      <c r="R159" s="13"/>
      <c r="S159" s="13"/>
      <c r="T159" s="13"/>
      <c r="U159" s="13"/>
      <c r="V159" s="13"/>
      <c r="W159" s="13"/>
    </row>
    <row r="160" spans="1:23" x14ac:dyDescent="0.35">
      <c r="A160" s="5" t="s">
        <v>1161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>LEFT($A160,FIND("_",$A160)-1)</f>
        <v>DynaMoth</v>
      </c>
      <c r="P160" s="13" t="str">
        <f>IF($O160="ACS", "True Search", IF($O160="Arja", "Evolutionary Search", IF($O160="AVATAR", "True Pattern", IF($O160="CapGen", "Search Like Pattern", IF($O160="Cardumen", "True Semantic", IF($O160="DynaMoth", "True Semantic", IF($O160="FixMiner", "True Pattern", IF($O160="GenProg-A", "Evolutionary Search", IF($O160="Hercules", "Learning Pattern", IF($O160="Jaid", "True Semantic",
IF($O160="Kali-A", "True Search", IF($O160="kPAR", "True Pattern", IF($O160="Nopol", "True Semantic", IF($O160="RSRepair-A", "Evolutionary Search", IF($O160="SequenceR", "Deep Learning", IF($O160="SimFix", "Search Like Pattern", IF($O160="SketchFix", "True Pattern", IF($O160="SOFix", "True Pattern", IF($O160="ssFix", "Search Like Pattern", IF($O160="TBar", "True Pattern", ""))))))))))))))))))))</f>
        <v>True Semantic</v>
      </c>
      <c r="Q160" s="13" t="str">
        <f>IF(NOT(ISERR(SEARCH("*_Buggy",$A160))), "Buggy", IF(NOT(ISERR(SEARCH("*_Fixed",$A160))), "Fixed", IF(NOT(ISERR(SEARCH("*_Repaired",$A160))), "Repaired", "")))</f>
        <v>Buggy</v>
      </c>
      <c r="R160" s="13"/>
      <c r="S160" s="13"/>
      <c r="T160" s="13"/>
      <c r="U160" s="13"/>
      <c r="V160" s="13"/>
      <c r="W160" s="13"/>
    </row>
    <row r="161" spans="1:23" x14ac:dyDescent="0.35">
      <c r="A161" s="7" t="s">
        <v>26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>LEFT($A161,FIND("_",$A161)-1)</f>
        <v>FixMiner</v>
      </c>
      <c r="P161" s="13" t="str">
        <f>IF($O161="ACS", "True Search", IF($O161="Arja", "Evolutionary Search", IF($O161="AVATAR", "True Pattern", IF($O161="CapGen", "Search Like Pattern", IF($O161="Cardumen", "True Semantic", IF($O161="DynaMoth", "True Semantic", IF($O161="FixMiner", "True Pattern", IF($O161="GenProg-A", "Evolutionary Search", IF($O161="Hercules", "Learning Pattern", IF($O161="Jaid", "True Semantic",
IF($O161="Kali-A", "True Search", IF($O161="kPAR", "True Pattern", IF($O161="Nopol", "True Semantic", IF($O161="RSRepair-A", "Evolutionary Search", IF($O161="SequenceR", "Deep Learning", IF($O161="SimFix", "Search Like Pattern", IF($O161="SketchFix", "True Pattern", IF($O161="SOFix", "True Pattern", IF($O161="ssFix", "Search Like Pattern", IF($O161="TBar", "True Pattern", ""))))))))))))))))))))</f>
        <v>True Pattern</v>
      </c>
      <c r="Q161" s="13" t="str">
        <f>IF(NOT(ISERR(SEARCH("*_Buggy",$A161))), "Buggy", IF(NOT(ISERR(SEARCH("*_Fixed",$A161))), "Fixed", IF(NOT(ISERR(SEARCH("*_Repaired",$A161))), "Repaired", "")))</f>
        <v>Buggy</v>
      </c>
      <c r="R161" s="13"/>
      <c r="S161" s="13"/>
      <c r="T161" s="13"/>
      <c r="U161" s="13"/>
      <c r="V161" s="13"/>
      <c r="W161" s="13"/>
    </row>
    <row r="162" spans="1:23" x14ac:dyDescent="0.35">
      <c r="A162" s="5" t="s">
        <v>265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>LEFT($A162,FIND("_",$A162)-1)</f>
        <v>FixMiner</v>
      </c>
      <c r="P162" s="13" t="str">
        <f>IF($O162="ACS", "True Search", IF($O162="Arja", "Evolutionary Search", IF($O162="AVATAR", "True Pattern", IF($O162="CapGen", "Search Like Pattern", IF($O162="Cardumen", "True Semantic", IF($O162="DynaMoth", "True Semantic", IF($O162="FixMiner", "True Pattern", IF($O162="GenProg-A", "Evolutionary Search", IF($O162="Hercules", "Learning Pattern", IF($O162="Jaid", "True Semantic",
IF($O162="Kali-A", "True Search", IF($O162="kPAR", "True Pattern", IF($O162="Nopol", "True Semantic", IF($O162="RSRepair-A", "Evolutionary Search", IF($O162="SequenceR", "Deep Learning", IF($O162="SimFix", "Search Like Pattern", IF($O162="SketchFix", "True Pattern", IF($O162="SOFix", "True Pattern", IF($O162="ssFix", "Search Like Pattern", IF($O162="TBar", "True Pattern", ""))))))))))))))))))))</f>
        <v>True Pattern</v>
      </c>
      <c r="Q162" s="13" t="str">
        <f>IF(NOT(ISERR(SEARCH("*_Buggy",$A162))), "Buggy", IF(NOT(ISERR(SEARCH("*_Fixed",$A162))), "Fixed", IF(NOT(ISERR(SEARCH("*_Repaired",$A162))), "Repaired", "")))</f>
        <v>Buggy</v>
      </c>
      <c r="R162" s="13"/>
      <c r="S162" s="13"/>
      <c r="T162" s="13"/>
      <c r="U162" s="13"/>
      <c r="V162" s="13"/>
      <c r="W162" s="13"/>
    </row>
    <row r="163" spans="1:23" x14ac:dyDescent="0.35">
      <c r="A163" s="5" t="s">
        <v>811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>LEFT($A163,FIND("_",$A163)-1)</f>
        <v>FixMiner</v>
      </c>
      <c r="P163" s="13" t="str">
        <f>IF($O163="ACS", "True Search", IF($O163="Arja", "Evolutionary Search", IF($O163="AVATAR", "True Pattern", IF($O163="CapGen", "Search Like Pattern", IF($O163="Cardumen", "True Semantic", IF($O163="DynaMoth", "True Semantic", IF($O163="FixMiner", "True Pattern", IF($O163="GenProg-A", "Evolutionary Search", IF($O163="Hercules", "Learning Pattern", IF($O163="Jaid", "True Semantic",
IF($O163="Kali-A", "True Search", IF($O163="kPAR", "True Pattern", IF($O163="Nopol", "True Semantic", IF($O163="RSRepair-A", "Evolutionary Search", IF($O163="SequenceR", "Deep Learning", IF($O163="SimFix", "Search Like Pattern", IF($O163="SketchFix", "True Pattern", IF($O163="SOFix", "True Pattern", IF($O163="ssFix", "Search Like Pattern", IF($O163="TBar", "True Pattern", ""))))))))))))))))))))</f>
        <v>True Pattern</v>
      </c>
      <c r="Q163" s="13" t="str">
        <f>IF(NOT(ISERR(SEARCH("*_Buggy",$A163))), "Buggy", IF(NOT(ISERR(SEARCH("*_Fixed",$A163))), "Fixed", IF(NOT(ISERR(SEARCH("*_Repaired",$A163))), "Repaired", "")))</f>
        <v>Buggy</v>
      </c>
      <c r="R163" s="13"/>
      <c r="S163" s="13"/>
      <c r="T163" s="13"/>
      <c r="U163" s="13"/>
      <c r="V163" s="13"/>
      <c r="W163" s="13"/>
    </row>
    <row r="164" spans="1:23" x14ac:dyDescent="0.35">
      <c r="A164" s="5" t="s">
        <v>161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>LEFT($A164,FIND("_",$A164)-1)</f>
        <v>FixMiner</v>
      </c>
      <c r="P164" s="13" t="str">
        <f>IF($O164="ACS", "True Search", IF($O164="Arja", "Evolutionary Search", IF($O164="AVATAR", "True Pattern", IF($O164="CapGen", "Search Like Pattern", IF($O164="Cardumen", "True Semantic", IF($O164="DynaMoth", "True Semantic", IF($O164="FixMiner", "True Pattern", IF($O164="GenProg-A", "Evolutionary Search", IF($O164="Hercules", "Learning Pattern", IF($O164="Jaid", "True Semantic",
IF($O164="Kali-A", "True Search", IF($O164="kPAR", "True Pattern", IF($O164="Nopol", "True Semantic", IF($O164="RSRepair-A", "Evolutionary Search", IF($O164="SequenceR", "Deep Learning", IF($O164="SimFix", "Search Like Pattern", IF($O164="SketchFix", "True Pattern", IF($O164="SOFix", "True Pattern", IF($O164="ssFix", "Search Like Pattern", IF($O164="TBar", "True Pattern", ""))))))))))))))))))))</f>
        <v>True Pattern</v>
      </c>
      <c r="Q164" s="13" t="str">
        <f>IF(NOT(ISERR(SEARCH("*_Buggy",$A164))), "Buggy", IF(NOT(ISERR(SEARCH("*_Fixed",$A164))), "Fixed", IF(NOT(ISERR(SEARCH("*_Repaired",$A164))), "Repaired", "")))</f>
        <v>Buggy</v>
      </c>
      <c r="R164" s="13"/>
      <c r="S164" s="13"/>
      <c r="T164" s="13"/>
      <c r="U164" s="13"/>
      <c r="V164" s="13"/>
      <c r="W164" s="13"/>
    </row>
    <row r="165" spans="1:23" x14ac:dyDescent="0.35">
      <c r="A165" s="5" t="s">
        <v>359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>LEFT($A165,FIND("_",$A165)-1)</f>
        <v>FixMiner</v>
      </c>
      <c r="P165" s="13" t="str">
        <f>IF($O165="ACS", "True Search", IF($O165="Arja", "Evolutionary Search", IF($O165="AVATAR", "True Pattern", IF($O165="CapGen", "Search Like Pattern", IF($O165="Cardumen", "True Semantic", IF($O165="DynaMoth", "True Semantic", IF($O165="FixMiner", "True Pattern", IF($O165="GenProg-A", "Evolutionary Search", IF($O165="Hercules", "Learning Pattern", IF($O165="Jaid", "True Semantic",
IF($O165="Kali-A", "True Search", IF($O165="kPAR", "True Pattern", IF($O165="Nopol", "True Semantic", IF($O165="RSRepair-A", "Evolutionary Search", IF($O165="SequenceR", "Deep Learning", IF($O165="SimFix", "Search Like Pattern", IF($O165="SketchFix", "True Pattern", IF($O165="SOFix", "True Pattern", IF($O165="ssFix", "Search Like Pattern", IF($O165="TBar", "True Pattern", ""))))))))))))))))))))</f>
        <v>True Pattern</v>
      </c>
      <c r="Q165" s="13" t="str">
        <f>IF(NOT(ISERR(SEARCH("*_Buggy",$A165))), "Buggy", IF(NOT(ISERR(SEARCH("*_Fixed",$A165))), "Fixed", IF(NOT(ISERR(SEARCH("*_Repaired",$A165))), "Repaired", "")))</f>
        <v>Buggy</v>
      </c>
      <c r="R165" s="13"/>
      <c r="S165" s="13"/>
      <c r="T165" s="13"/>
      <c r="U165" s="13"/>
      <c r="V165" s="13"/>
      <c r="W165" s="13"/>
    </row>
    <row r="166" spans="1:23" x14ac:dyDescent="0.35">
      <c r="A166" s="7" t="s">
        <v>1067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>LEFT($A166,FIND("_",$A166)-1)</f>
        <v>FixMiner</v>
      </c>
      <c r="P166" s="13" t="str">
        <f>IF($O166="ACS", "True Search", IF($O166="Arja", "Evolutionary Search", IF($O166="AVATAR", "True Pattern", IF($O166="CapGen", "Search Like Pattern", IF($O166="Cardumen", "True Semantic", IF($O166="DynaMoth", "True Semantic", IF($O166="FixMiner", "True Pattern", IF($O166="GenProg-A", "Evolutionary Search", IF($O166="Hercules", "Learning Pattern", IF($O166="Jaid", "True Semantic",
IF($O166="Kali-A", "True Search", IF($O166="kPAR", "True Pattern", IF($O166="Nopol", "True Semantic", IF($O166="RSRepair-A", "Evolutionary Search", IF($O166="SequenceR", "Deep Learning", IF($O166="SimFix", "Search Like Pattern", IF($O166="SketchFix", "True Pattern", IF($O166="SOFix", "True Pattern", IF($O166="ssFix", "Search Like Pattern", IF($O166="TBar", "True Pattern", ""))))))))))))))))))))</f>
        <v>True Pattern</v>
      </c>
      <c r="Q166" s="13" t="str">
        <f>IF(NOT(ISERR(SEARCH("*_Buggy",$A166))), "Buggy", IF(NOT(ISERR(SEARCH("*_Fixed",$A166))), "Fixed", IF(NOT(ISERR(SEARCH("*_Repaired",$A166))), "Repaired", "")))</f>
        <v>Buggy</v>
      </c>
      <c r="R166" s="13"/>
      <c r="S166" s="13"/>
      <c r="T166" s="13"/>
      <c r="U166" s="13"/>
      <c r="V166" s="13"/>
      <c r="W166" s="13"/>
    </row>
    <row r="167" spans="1:23" x14ac:dyDescent="0.35">
      <c r="A167" s="5" t="s">
        <v>564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>LEFT($A167,FIND("_",$A167)-1)</f>
        <v>FixMiner</v>
      </c>
      <c r="P167" s="13" t="str">
        <f>IF($O167="ACS", "True Search", IF($O167="Arja", "Evolutionary Search", IF($O167="AVATAR", "True Pattern", IF($O167="CapGen", "Search Like Pattern", IF($O167="Cardumen", "True Semantic", IF($O167="DynaMoth", "True Semantic", IF($O167="FixMiner", "True Pattern", IF($O167="GenProg-A", "Evolutionary Search", IF($O167="Hercules", "Learning Pattern", IF($O167="Jaid", "True Semantic",
IF($O167="Kali-A", "True Search", IF($O167="kPAR", "True Pattern", IF($O167="Nopol", "True Semantic", IF($O167="RSRepair-A", "Evolutionary Search", IF($O167="SequenceR", "Deep Learning", IF($O167="SimFix", "Search Like Pattern", IF($O167="SketchFix", "True Pattern", IF($O167="SOFix", "True Pattern", IF($O167="ssFix", "Search Like Pattern", IF($O167="TBar", "True Pattern", ""))))))))))))))))))))</f>
        <v>True Pattern</v>
      </c>
      <c r="Q167" s="13" t="str">
        <f>IF(NOT(ISERR(SEARCH("*_Buggy",$A167))), "Buggy", IF(NOT(ISERR(SEARCH("*_Fixed",$A167))), "Fixed", IF(NOT(ISERR(SEARCH("*_Repaired",$A167))), "Repaired", "")))</f>
        <v>Buggy</v>
      </c>
      <c r="R167" s="13"/>
      <c r="S167" s="13"/>
      <c r="T167" s="13"/>
      <c r="U167" s="13"/>
      <c r="V167" s="13"/>
      <c r="W167" s="13"/>
    </row>
    <row r="168" spans="1:23" x14ac:dyDescent="0.35">
      <c r="A168" s="7" t="s">
        <v>1229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>LEFT($A168,FIND("_",$A168)-1)</f>
        <v>FixMiner</v>
      </c>
      <c r="P168" s="13" t="str">
        <f>IF($O168="ACS", "True Search", IF($O168="Arja", "Evolutionary Search", IF($O168="AVATAR", "True Pattern", IF($O168="CapGen", "Search Like Pattern", IF($O168="Cardumen", "True Semantic", IF($O168="DynaMoth", "True Semantic", IF($O168="FixMiner", "True Pattern", IF($O168="GenProg-A", "Evolutionary Search", IF($O168="Hercules", "Learning Pattern", IF($O168="Jaid", "True Semantic",
IF($O168="Kali-A", "True Search", IF($O168="kPAR", "True Pattern", IF($O168="Nopol", "True Semantic", IF($O168="RSRepair-A", "Evolutionary Search", IF($O168="SequenceR", "Deep Learning", IF($O168="SimFix", "Search Like Pattern", IF($O168="SketchFix", "True Pattern", IF($O168="SOFix", "True Pattern", IF($O168="ssFix", "Search Like Pattern", IF($O168="TBar", "True Pattern", ""))))))))))))))))))))</f>
        <v>True Pattern</v>
      </c>
      <c r="Q168" s="13" t="str">
        <f>IF(NOT(ISERR(SEARCH("*_Buggy",$A168))), "Buggy", IF(NOT(ISERR(SEARCH("*_Fixed",$A168))), "Fixed", IF(NOT(ISERR(SEARCH("*_Repaired",$A168))), "Repaired", "")))</f>
        <v>Buggy</v>
      </c>
      <c r="R168" s="13"/>
      <c r="S168" s="13"/>
      <c r="T168" s="13"/>
      <c r="U168" s="13"/>
      <c r="V168" s="13"/>
      <c r="W168" s="13"/>
    </row>
    <row r="169" spans="1:23" x14ac:dyDescent="0.35">
      <c r="A169" s="7" t="s">
        <v>915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>LEFT($A169,FIND("_",$A169)-1)</f>
        <v>FixMiner</v>
      </c>
      <c r="P169" s="13" t="str">
        <f>IF($O169="ACS", "True Search", IF($O169="Arja", "Evolutionary Search", IF($O169="AVATAR", "True Pattern", IF($O169="CapGen", "Search Like Pattern", IF($O169="Cardumen", "True Semantic", IF($O169="DynaMoth", "True Semantic", IF($O169="FixMiner", "True Pattern", IF($O169="GenProg-A", "Evolutionary Search", IF($O169="Hercules", "Learning Pattern", IF($O169="Jaid", "True Semantic",
IF($O169="Kali-A", "True Search", IF($O169="kPAR", "True Pattern", IF($O169="Nopol", "True Semantic", IF($O169="RSRepair-A", "Evolutionary Search", IF($O169="SequenceR", "Deep Learning", IF($O169="SimFix", "Search Like Pattern", IF($O169="SketchFix", "True Pattern", IF($O169="SOFix", "True Pattern", IF($O169="ssFix", "Search Like Pattern", IF($O169="TBar", "True Pattern", ""))))))))))))))))))))</f>
        <v>True Pattern</v>
      </c>
      <c r="Q169" s="13" t="str">
        <f>IF(NOT(ISERR(SEARCH("*_Buggy",$A169))), "Buggy", IF(NOT(ISERR(SEARCH("*_Fixed",$A169))), "Fixed", IF(NOT(ISERR(SEARCH("*_Repaired",$A169))), "Repaired", "")))</f>
        <v>Buggy</v>
      </c>
      <c r="R169" s="13"/>
      <c r="S169" s="13"/>
      <c r="T169" s="13"/>
      <c r="U169" s="13"/>
      <c r="V169" s="13"/>
      <c r="W169" s="13"/>
    </row>
    <row r="170" spans="1:23" x14ac:dyDescent="0.35">
      <c r="A170" s="7" t="s">
        <v>387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>LEFT($A170,FIND("_",$A170)-1)</f>
        <v>FixMiner</v>
      </c>
      <c r="P170" s="13" t="str">
        <f>IF($O170="ACS", "True Search", IF($O170="Arja", "Evolutionary Search", IF($O170="AVATAR", "True Pattern", IF($O170="CapGen", "Search Like Pattern", IF($O170="Cardumen", "True Semantic", IF($O170="DynaMoth", "True Semantic", IF($O170="FixMiner", "True Pattern", IF($O170="GenProg-A", "Evolutionary Search", IF($O170="Hercules", "Learning Pattern", IF($O170="Jaid", "True Semantic",
IF($O170="Kali-A", "True Search", IF($O170="kPAR", "True Pattern", IF($O170="Nopol", "True Semantic", IF($O170="RSRepair-A", "Evolutionary Search", IF($O170="SequenceR", "Deep Learning", IF($O170="SimFix", "Search Like Pattern", IF($O170="SketchFix", "True Pattern", IF($O170="SOFix", "True Pattern", IF($O170="ssFix", "Search Like Pattern", IF($O170="TBar", "True Pattern", ""))))))))))))))))))))</f>
        <v>True Pattern</v>
      </c>
      <c r="Q170" s="13" t="str">
        <f>IF(NOT(ISERR(SEARCH("*_Buggy",$A170))), "Buggy", IF(NOT(ISERR(SEARCH("*_Fixed",$A170))), "Fixed", IF(NOT(ISERR(SEARCH("*_Repaired",$A170))), "Repaired", "")))</f>
        <v>Buggy</v>
      </c>
      <c r="R170" s="13"/>
      <c r="S170" s="13"/>
      <c r="T170" s="13"/>
      <c r="U170" s="13"/>
      <c r="V170" s="13"/>
      <c r="W170" s="13"/>
    </row>
    <row r="171" spans="1:23" x14ac:dyDescent="0.35">
      <c r="A171" s="5" t="s">
        <v>1203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>LEFT($A171,FIND("_",$A171)-1)</f>
        <v>FixMiner</v>
      </c>
      <c r="P171" s="13" t="str">
        <f>IF($O171="ACS", "True Search", IF($O171="Arja", "Evolutionary Search", IF($O171="AVATAR", "True Pattern", IF($O171="CapGen", "Search Like Pattern", IF($O171="Cardumen", "True Semantic", IF($O171="DynaMoth", "True Semantic", IF($O171="FixMiner", "True Pattern", IF($O171="GenProg-A", "Evolutionary Search", IF($O171="Hercules", "Learning Pattern", IF($O171="Jaid", "True Semantic",
IF($O171="Kali-A", "True Search", IF($O171="kPAR", "True Pattern", IF($O171="Nopol", "True Semantic", IF($O171="RSRepair-A", "Evolutionary Search", IF($O171="SequenceR", "Deep Learning", IF($O171="SimFix", "Search Like Pattern", IF($O171="SketchFix", "True Pattern", IF($O171="SOFix", "True Pattern", IF($O171="ssFix", "Search Like Pattern", IF($O171="TBar", "True Pattern", ""))))))))))))))))))))</f>
        <v>True Pattern</v>
      </c>
      <c r="Q171" s="13" t="str">
        <f>IF(NOT(ISERR(SEARCH("*_Buggy",$A171))), "Buggy", IF(NOT(ISERR(SEARCH("*_Fixed",$A171))), "Fixed", IF(NOT(ISERR(SEARCH("*_Repaired",$A171))), "Repaired", "")))</f>
        <v>Buggy</v>
      </c>
      <c r="R171" s="13"/>
      <c r="S171" s="13"/>
      <c r="T171" s="13"/>
      <c r="U171" s="13"/>
      <c r="V171" s="13"/>
      <c r="W171" s="13"/>
    </row>
    <row r="172" spans="1:23" x14ac:dyDescent="0.35">
      <c r="A172" s="7" t="s">
        <v>927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>LEFT($A172,FIND("_",$A172)-1)</f>
        <v>FixMiner</v>
      </c>
      <c r="P172" s="13" t="str">
        <f>IF($O172="ACS", "True Search", IF($O172="Arja", "Evolutionary Search", IF($O172="AVATAR", "True Pattern", IF($O172="CapGen", "Search Like Pattern", IF($O172="Cardumen", "True Semantic", IF($O172="DynaMoth", "True Semantic", IF($O172="FixMiner", "True Pattern", IF($O172="GenProg-A", "Evolutionary Search", IF($O172="Hercules", "Learning Pattern", IF($O172="Jaid", "True Semantic",
IF($O172="Kali-A", "True Search", IF($O172="kPAR", "True Pattern", IF($O172="Nopol", "True Semantic", IF($O172="RSRepair-A", "Evolutionary Search", IF($O172="SequenceR", "Deep Learning", IF($O172="SimFix", "Search Like Pattern", IF($O172="SketchFix", "True Pattern", IF($O172="SOFix", "True Pattern", IF($O172="ssFix", "Search Like Pattern", IF($O172="TBar", "True Pattern", ""))))))))))))))))))))</f>
        <v>True Pattern</v>
      </c>
      <c r="Q172" s="13" t="str">
        <f>IF(NOT(ISERR(SEARCH("*_Buggy",$A172))), "Buggy", IF(NOT(ISERR(SEARCH("*_Fixed",$A172))), "Fixed", IF(NOT(ISERR(SEARCH("*_Repaired",$A172))), "Repaired", "")))</f>
        <v>Buggy</v>
      </c>
      <c r="R172" s="13"/>
      <c r="S172" s="13"/>
      <c r="T172" s="13"/>
      <c r="U172" s="13"/>
      <c r="V172" s="13"/>
      <c r="W172" s="13"/>
    </row>
    <row r="173" spans="1:23" x14ac:dyDescent="0.35">
      <c r="A173" s="5" t="s">
        <v>723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>LEFT($A173,FIND("_",$A173)-1)</f>
        <v>FixMiner</v>
      </c>
      <c r="P173" s="13" t="str">
        <f>IF($O173="ACS", "True Search", IF($O173="Arja", "Evolutionary Search", IF($O173="AVATAR", "True Pattern", IF($O173="CapGen", "Search Like Pattern", IF($O173="Cardumen", "True Semantic", IF($O173="DynaMoth", "True Semantic", IF($O173="FixMiner", "True Pattern", IF($O173="GenProg-A", "Evolutionary Search", IF($O173="Hercules", "Learning Pattern", IF($O173="Jaid", "True Semantic",
IF($O173="Kali-A", "True Search", IF($O173="kPAR", "True Pattern", IF($O173="Nopol", "True Semantic", IF($O173="RSRepair-A", "Evolutionary Search", IF($O173="SequenceR", "Deep Learning", IF($O173="SimFix", "Search Like Pattern", IF($O173="SketchFix", "True Pattern", IF($O173="SOFix", "True Pattern", IF($O173="ssFix", "Search Like Pattern", IF($O173="TBar", "True Pattern", ""))))))))))))))))))))</f>
        <v>True Pattern</v>
      </c>
      <c r="Q173" s="13" t="str">
        <f>IF(NOT(ISERR(SEARCH("*_Buggy",$A173))), "Buggy", IF(NOT(ISERR(SEARCH("*_Fixed",$A173))), "Fixed", IF(NOT(ISERR(SEARCH("*_Repaired",$A173))), "Repaired", "")))</f>
        <v>Buggy</v>
      </c>
      <c r="R173" s="13"/>
      <c r="S173" s="13"/>
      <c r="T173" s="13"/>
      <c r="U173" s="13"/>
      <c r="V173" s="13"/>
      <c r="W173" s="13"/>
    </row>
    <row r="174" spans="1:23" x14ac:dyDescent="0.35">
      <c r="A174" s="7" t="s">
        <v>835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>LEFT($A174,FIND("_",$A174)-1)</f>
        <v>FixMiner</v>
      </c>
      <c r="P174" s="13" t="str">
        <f>IF($O174="ACS", "True Search", IF($O174="Arja", "Evolutionary Search", IF($O174="AVATAR", "True Pattern", IF($O174="CapGen", "Search Like Pattern", IF($O174="Cardumen", "True Semantic", IF($O174="DynaMoth", "True Semantic", IF($O174="FixMiner", "True Pattern", IF($O174="GenProg-A", "Evolutionary Search", IF($O174="Hercules", "Learning Pattern", IF($O174="Jaid", "True Semantic",
IF($O174="Kali-A", "True Search", IF($O174="kPAR", "True Pattern", IF($O174="Nopol", "True Semantic", IF($O174="RSRepair-A", "Evolutionary Search", IF($O174="SequenceR", "Deep Learning", IF($O174="SimFix", "Search Like Pattern", IF($O174="SketchFix", "True Pattern", IF($O174="SOFix", "True Pattern", IF($O174="ssFix", "Search Like Pattern", IF($O174="TBar", "True Pattern", ""))))))))))))))))))))</f>
        <v>True Pattern</v>
      </c>
      <c r="Q174" s="13" t="str">
        <f>IF(NOT(ISERR(SEARCH("*_Buggy",$A174))), "Buggy", IF(NOT(ISERR(SEARCH("*_Fixed",$A174))), "Fixed", IF(NOT(ISERR(SEARCH("*_Repaired",$A174))), "Repaired", "")))</f>
        <v>Buggy</v>
      </c>
      <c r="R174" s="13"/>
      <c r="S174" s="13"/>
      <c r="T174" s="13"/>
      <c r="U174" s="13"/>
      <c r="V174" s="13"/>
      <c r="W174" s="13"/>
    </row>
    <row r="175" spans="1:23" x14ac:dyDescent="0.35">
      <c r="A175" s="5" t="s">
        <v>1026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>LEFT($A175,FIND("_",$A175)-1)</f>
        <v>FixMiner</v>
      </c>
      <c r="P175" s="13" t="str">
        <f>IF($O175="ACS", "True Search", IF($O175="Arja", "Evolutionary Search", IF($O175="AVATAR", "True Pattern", IF($O175="CapGen", "Search Like Pattern", IF($O175="Cardumen", "True Semantic", IF($O175="DynaMoth", "True Semantic", IF($O175="FixMiner", "True Pattern", IF($O175="GenProg-A", "Evolutionary Search", IF($O175="Hercules", "Learning Pattern", IF($O175="Jaid", "True Semantic",
IF($O175="Kali-A", "True Search", IF($O175="kPAR", "True Pattern", IF($O175="Nopol", "True Semantic", IF($O175="RSRepair-A", "Evolutionary Search", IF($O175="SequenceR", "Deep Learning", IF($O175="SimFix", "Search Like Pattern", IF($O175="SketchFix", "True Pattern", IF($O175="SOFix", "True Pattern", IF($O175="ssFix", "Search Like Pattern", IF($O175="TBar", "True Pattern", ""))))))))))))))))))))</f>
        <v>True Pattern</v>
      </c>
      <c r="Q175" s="13" t="str">
        <f>IF(NOT(ISERR(SEARCH("*_Buggy",$A175))), "Buggy", IF(NOT(ISERR(SEARCH("*_Fixed",$A175))), "Fixed", IF(NOT(ISERR(SEARCH("*_Repaired",$A175))), "Repaired", "")))</f>
        <v>Buggy</v>
      </c>
      <c r="R175" s="13"/>
      <c r="S175" s="13"/>
      <c r="T175" s="13"/>
      <c r="U175" s="13"/>
      <c r="V175" s="13"/>
      <c r="W175" s="13"/>
    </row>
    <row r="176" spans="1:23" x14ac:dyDescent="0.35">
      <c r="A176" s="5" t="s">
        <v>632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>LEFT($A176,FIND("_",$A176)-1)</f>
        <v>FixMiner</v>
      </c>
      <c r="P176" s="13" t="str">
        <f>IF($O176="ACS", "True Search", IF($O176="Arja", "Evolutionary Search", IF($O176="AVATAR", "True Pattern", IF($O176="CapGen", "Search Like Pattern", IF($O176="Cardumen", "True Semantic", IF($O176="DynaMoth", "True Semantic", IF($O176="FixMiner", "True Pattern", IF($O176="GenProg-A", "Evolutionary Search", IF($O176="Hercules", "Learning Pattern", IF($O176="Jaid", "True Semantic",
IF($O176="Kali-A", "True Search", IF($O176="kPAR", "True Pattern", IF($O176="Nopol", "True Semantic", IF($O176="RSRepair-A", "Evolutionary Search", IF($O176="SequenceR", "Deep Learning", IF($O176="SimFix", "Search Like Pattern", IF($O176="SketchFix", "True Pattern", IF($O176="SOFix", "True Pattern", IF($O176="ssFix", "Search Like Pattern", IF($O176="TBar", "True Pattern", ""))))))))))))))))))))</f>
        <v>True Pattern</v>
      </c>
      <c r="Q176" s="13" t="str">
        <f>IF(NOT(ISERR(SEARCH("*_Buggy",$A176))), "Buggy", IF(NOT(ISERR(SEARCH("*_Fixed",$A176))), "Fixed", IF(NOT(ISERR(SEARCH("*_Repaired",$A176))), "Repaired", "")))</f>
        <v>Buggy</v>
      </c>
      <c r="R176" s="13"/>
      <c r="S176" s="13"/>
      <c r="T176" s="13"/>
      <c r="U176" s="13"/>
      <c r="V176" s="13"/>
      <c r="W176" s="13"/>
    </row>
    <row r="177" spans="1:23" x14ac:dyDescent="0.35">
      <c r="A177" s="5" t="s">
        <v>1016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>LEFT($A177,FIND("_",$A177)-1)</f>
        <v>FixMiner</v>
      </c>
      <c r="P177" s="13" t="str">
        <f>IF($O177="ACS", "True Search", IF($O177="Arja", "Evolutionary Search", IF($O177="AVATAR", "True Pattern", IF($O177="CapGen", "Search Like Pattern", IF($O177="Cardumen", "True Semantic", IF($O177="DynaMoth", "True Semantic", IF($O177="FixMiner", "True Pattern", IF($O177="GenProg-A", "Evolutionary Search", IF($O177="Hercules", "Learning Pattern", IF($O177="Jaid", "True Semantic",
IF($O177="Kali-A", "True Search", IF($O177="kPAR", "True Pattern", IF($O177="Nopol", "True Semantic", IF($O177="RSRepair-A", "Evolutionary Search", IF($O177="SequenceR", "Deep Learning", IF($O177="SimFix", "Search Like Pattern", IF($O177="SketchFix", "True Pattern", IF($O177="SOFix", "True Pattern", IF($O177="ssFix", "Search Like Pattern", IF($O177="TBar", "True Pattern", ""))))))))))))))))))))</f>
        <v>True Pattern</v>
      </c>
      <c r="Q177" s="13" t="str">
        <f>IF(NOT(ISERR(SEARCH("*_Buggy",$A177))), "Buggy", IF(NOT(ISERR(SEARCH("*_Fixed",$A177))), "Fixed", IF(NOT(ISERR(SEARCH("*_Repaired",$A177))), "Repaired", "")))</f>
        <v>Buggy</v>
      </c>
      <c r="R177" s="13"/>
      <c r="S177" s="13"/>
      <c r="T177" s="13"/>
      <c r="U177" s="13"/>
      <c r="V177" s="13"/>
      <c r="W177" s="13"/>
    </row>
    <row r="178" spans="1:23" x14ac:dyDescent="0.35">
      <c r="A178" s="7" t="s">
        <v>399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>LEFT($A178,FIND("_",$A178)-1)</f>
        <v>FixMiner</v>
      </c>
      <c r="P178" s="13" t="str">
        <f>IF($O178="ACS", "True Search", IF($O178="Arja", "Evolutionary Search", IF($O178="AVATAR", "True Pattern", IF($O178="CapGen", "Search Like Pattern", IF($O178="Cardumen", "True Semantic", IF($O178="DynaMoth", "True Semantic", IF($O178="FixMiner", "True Pattern", IF($O178="GenProg-A", "Evolutionary Search", IF($O178="Hercules", "Learning Pattern", IF($O178="Jaid", "True Semantic",
IF($O178="Kali-A", "True Search", IF($O178="kPAR", "True Pattern", IF($O178="Nopol", "True Semantic", IF($O178="RSRepair-A", "Evolutionary Search", IF($O178="SequenceR", "Deep Learning", IF($O178="SimFix", "Search Like Pattern", IF($O178="SketchFix", "True Pattern", IF($O178="SOFix", "True Pattern", IF($O178="ssFix", "Search Like Pattern", IF($O178="TBar", "True Pattern", ""))))))))))))))))))))</f>
        <v>True Pattern</v>
      </c>
      <c r="Q178" s="13" t="str">
        <f>IF(NOT(ISERR(SEARCH("*_Buggy",$A178))), "Buggy", IF(NOT(ISERR(SEARCH("*_Fixed",$A178))), "Fixed", IF(NOT(ISERR(SEARCH("*_Repaired",$A178))), "Repaired", "")))</f>
        <v>Buggy</v>
      </c>
      <c r="R178" s="13"/>
      <c r="S178" s="13"/>
      <c r="T178" s="13"/>
      <c r="U178" s="13"/>
      <c r="V178" s="13"/>
      <c r="W178" s="13"/>
    </row>
    <row r="179" spans="1:23" x14ac:dyDescent="0.35">
      <c r="A179" s="5" t="s">
        <v>1165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>LEFT($A179,FIND("_",$A179)-1)</f>
        <v>FixMiner</v>
      </c>
      <c r="P179" s="13" t="str">
        <f>IF($O179="ACS", "True Search", IF($O179="Arja", "Evolutionary Search", IF($O179="AVATAR", "True Pattern", IF($O179="CapGen", "Search Like Pattern", IF($O179="Cardumen", "True Semantic", IF($O179="DynaMoth", "True Semantic", IF($O179="FixMiner", "True Pattern", IF($O179="GenProg-A", "Evolutionary Search", IF($O179="Hercules", "Learning Pattern", IF($O179="Jaid", "True Semantic",
IF($O179="Kali-A", "True Search", IF($O179="kPAR", "True Pattern", IF($O179="Nopol", "True Semantic", IF($O179="RSRepair-A", "Evolutionary Search", IF($O179="SequenceR", "Deep Learning", IF($O179="SimFix", "Search Like Pattern", IF($O179="SketchFix", "True Pattern", IF($O179="SOFix", "True Pattern", IF($O179="ssFix", "Search Like Pattern", IF($O179="TBar", "True Pattern", ""))))))))))))))))))))</f>
        <v>True Pattern</v>
      </c>
      <c r="Q179" s="13" t="str">
        <f>IF(NOT(ISERR(SEARCH("*_Buggy",$A179))), "Buggy", IF(NOT(ISERR(SEARCH("*_Fixed",$A179))), "Fixed", IF(NOT(ISERR(SEARCH("*_Repaired",$A179))), "Repaired", "")))</f>
        <v>Buggy</v>
      </c>
      <c r="R179" s="13"/>
      <c r="S179" s="13"/>
      <c r="T179" s="13"/>
      <c r="U179" s="13"/>
      <c r="V179" s="13"/>
      <c r="W179" s="13"/>
    </row>
    <row r="180" spans="1:23" x14ac:dyDescent="0.35">
      <c r="A180" s="5" t="s">
        <v>1095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>LEFT($A180,FIND("_",$A180)-1)</f>
        <v>FixMiner</v>
      </c>
      <c r="P180" s="13" t="str">
        <f>IF($O180="ACS", "True Search", IF($O180="Arja", "Evolutionary Search", IF($O180="AVATAR", "True Pattern", IF($O180="CapGen", "Search Like Pattern", IF($O180="Cardumen", "True Semantic", IF($O180="DynaMoth", "True Semantic", IF($O180="FixMiner", "True Pattern", IF($O180="GenProg-A", "Evolutionary Search", IF($O180="Hercules", "Learning Pattern", IF($O180="Jaid", "True Semantic",
IF($O180="Kali-A", "True Search", IF($O180="kPAR", "True Pattern", IF($O180="Nopol", "True Semantic", IF($O180="RSRepair-A", "Evolutionary Search", IF($O180="SequenceR", "Deep Learning", IF($O180="SimFix", "Search Like Pattern", IF($O180="SketchFix", "True Pattern", IF($O180="SOFix", "True Pattern", IF($O180="ssFix", "Search Like Pattern", IF($O180="TBar", "True Pattern", ""))))))))))))))))))))</f>
        <v>True Pattern</v>
      </c>
      <c r="Q180" s="13" t="str">
        <f>IF(NOT(ISERR(SEARCH("*_Buggy",$A180))), "Buggy", IF(NOT(ISERR(SEARCH("*_Fixed",$A180))), "Fixed", IF(NOT(ISERR(SEARCH("*_Repaired",$A180))), "Repaired", "")))</f>
        <v>Buggy</v>
      </c>
      <c r="R180" s="13"/>
      <c r="S180" s="13"/>
      <c r="T180" s="13"/>
      <c r="U180" s="13"/>
      <c r="V180" s="13"/>
      <c r="W180" s="13"/>
    </row>
    <row r="181" spans="1:23" x14ac:dyDescent="0.35">
      <c r="A181" s="5" t="s">
        <v>783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>LEFT($A181,FIND("_",$A181)-1)</f>
        <v>FixMiner</v>
      </c>
      <c r="P181" s="13" t="str">
        <f>IF($O181="ACS", "True Search", IF($O181="Arja", "Evolutionary Search", IF($O181="AVATAR", "True Pattern", IF($O181="CapGen", "Search Like Pattern", IF($O181="Cardumen", "True Semantic", IF($O181="DynaMoth", "True Semantic", IF($O181="FixMiner", "True Pattern", IF($O181="GenProg-A", "Evolutionary Search", IF($O181="Hercules", "Learning Pattern", IF($O181="Jaid", "True Semantic",
IF($O181="Kali-A", "True Search", IF($O181="kPAR", "True Pattern", IF($O181="Nopol", "True Semantic", IF($O181="RSRepair-A", "Evolutionary Search", IF($O181="SequenceR", "Deep Learning", IF($O181="SimFix", "Search Like Pattern", IF($O181="SketchFix", "True Pattern", IF($O181="SOFix", "True Pattern", IF($O181="ssFix", "Search Like Pattern", IF($O181="TBar", "True Pattern", ""))))))))))))))))))))</f>
        <v>True Pattern</v>
      </c>
      <c r="Q181" s="13" t="str">
        <f>IF(NOT(ISERR(SEARCH("*_Buggy",$A181))), "Buggy", IF(NOT(ISERR(SEARCH("*_Fixed",$A181))), "Fixed", IF(NOT(ISERR(SEARCH("*_Repaired",$A181))), "Repaired", "")))</f>
        <v>Buggy</v>
      </c>
      <c r="R181" s="13"/>
      <c r="S181" s="13"/>
      <c r="T181" s="13"/>
      <c r="U181" s="13"/>
      <c r="V181" s="13"/>
      <c r="W181" s="13"/>
    </row>
    <row r="182" spans="1:23" x14ac:dyDescent="0.35">
      <c r="A182" s="7" t="s">
        <v>806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>LEFT($A182,FIND("_",$A182)-1)</f>
        <v>FixMiner</v>
      </c>
      <c r="P182" s="13" t="str">
        <f>IF($O182="ACS", "True Search", IF($O182="Arja", "Evolutionary Search", IF($O182="AVATAR", "True Pattern", IF($O182="CapGen", "Search Like Pattern", IF($O182="Cardumen", "True Semantic", IF($O182="DynaMoth", "True Semantic", IF($O182="FixMiner", "True Pattern", IF($O182="GenProg-A", "Evolutionary Search", IF($O182="Hercules", "Learning Pattern", IF($O182="Jaid", "True Semantic",
IF($O182="Kali-A", "True Search", IF($O182="kPAR", "True Pattern", IF($O182="Nopol", "True Semantic", IF($O182="RSRepair-A", "Evolutionary Search", IF($O182="SequenceR", "Deep Learning", IF($O182="SimFix", "Search Like Pattern", IF($O182="SketchFix", "True Pattern", IF($O182="SOFix", "True Pattern", IF($O182="ssFix", "Search Like Pattern", IF($O182="TBar", "True Pattern", ""))))))))))))))))))))</f>
        <v>True Pattern</v>
      </c>
      <c r="Q182" s="13" t="str">
        <f>IF(NOT(ISERR(SEARCH("*_Buggy",$A182))), "Buggy", IF(NOT(ISERR(SEARCH("*_Fixed",$A182))), "Fixed", IF(NOT(ISERR(SEARCH("*_Repaired",$A182))), "Repaired", "")))</f>
        <v>Buggy</v>
      </c>
      <c r="R182" s="13"/>
      <c r="S182" s="13"/>
      <c r="T182" s="13"/>
      <c r="U182" s="13"/>
      <c r="V182" s="13"/>
      <c r="W182" s="13"/>
    </row>
    <row r="183" spans="1:23" x14ac:dyDescent="0.35">
      <c r="A183" s="7" t="s">
        <v>782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>LEFT($A183,FIND("_",$A183)-1)</f>
        <v>FixMiner</v>
      </c>
      <c r="P183" s="13" t="str">
        <f>IF($O183="ACS", "True Search", IF($O183="Arja", "Evolutionary Search", IF($O183="AVATAR", "True Pattern", IF($O183="CapGen", "Search Like Pattern", IF($O183="Cardumen", "True Semantic", IF($O183="DynaMoth", "True Semantic", IF($O183="FixMiner", "True Pattern", IF($O183="GenProg-A", "Evolutionary Search", IF($O183="Hercules", "Learning Pattern", IF($O183="Jaid", "True Semantic",
IF($O183="Kali-A", "True Search", IF($O183="kPAR", "True Pattern", IF($O183="Nopol", "True Semantic", IF($O183="RSRepair-A", "Evolutionary Search", IF($O183="SequenceR", "Deep Learning", IF($O183="SimFix", "Search Like Pattern", IF($O183="SketchFix", "True Pattern", IF($O183="SOFix", "True Pattern", IF($O183="ssFix", "Search Like Pattern", IF($O183="TBar", "True Pattern", ""))))))))))))))))))))</f>
        <v>True Pattern</v>
      </c>
      <c r="Q183" s="13" t="str">
        <f>IF(NOT(ISERR(SEARCH("*_Buggy",$A183))), "Buggy", IF(NOT(ISERR(SEARCH("*_Fixed",$A183))), "Fixed", IF(NOT(ISERR(SEARCH("*_Repaired",$A183))), "Repaired", "")))</f>
        <v>Buggy</v>
      </c>
      <c r="R183" s="13"/>
      <c r="S183" s="13"/>
      <c r="T183" s="13"/>
      <c r="U183" s="13"/>
      <c r="V183" s="13"/>
      <c r="W183" s="13"/>
    </row>
    <row r="184" spans="1:23" x14ac:dyDescent="0.35">
      <c r="A184" s="7" t="s">
        <v>438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>LEFT($A184,FIND("_",$A184)-1)</f>
        <v>FixMiner</v>
      </c>
      <c r="P184" s="13" t="str">
        <f>IF($O184="ACS", "True Search", IF($O184="Arja", "Evolutionary Search", IF($O184="AVATAR", "True Pattern", IF($O184="CapGen", "Search Like Pattern", IF($O184="Cardumen", "True Semantic", IF($O184="DynaMoth", "True Semantic", IF($O184="FixMiner", "True Pattern", IF($O184="GenProg-A", "Evolutionary Search", IF($O184="Hercules", "Learning Pattern", IF($O184="Jaid", "True Semantic",
IF($O184="Kali-A", "True Search", IF($O184="kPAR", "True Pattern", IF($O184="Nopol", "True Semantic", IF($O184="RSRepair-A", "Evolutionary Search", IF($O184="SequenceR", "Deep Learning", IF($O184="SimFix", "Search Like Pattern", IF($O184="SketchFix", "True Pattern", IF($O184="SOFix", "True Pattern", IF($O184="ssFix", "Search Like Pattern", IF($O184="TBar", "True Pattern", ""))))))))))))))))))))</f>
        <v>True Pattern</v>
      </c>
      <c r="Q184" s="13" t="str">
        <f>IF(NOT(ISERR(SEARCH("*_Buggy",$A184))), "Buggy", IF(NOT(ISERR(SEARCH("*_Fixed",$A184))), "Fixed", IF(NOT(ISERR(SEARCH("*_Repaired",$A184))), "Repaired", "")))</f>
        <v>Buggy</v>
      </c>
      <c r="R184" s="13"/>
      <c r="S184" s="13"/>
      <c r="T184" s="13"/>
      <c r="U184" s="13"/>
      <c r="V184" s="13"/>
      <c r="W184" s="13"/>
    </row>
    <row r="185" spans="1:23" x14ac:dyDescent="0.35">
      <c r="A185" s="5" t="s">
        <v>755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>LEFT($A185,FIND("_",$A185)-1)</f>
        <v>FixMiner</v>
      </c>
      <c r="P185" s="13" t="str">
        <f>IF($O185="ACS", "True Search", IF($O185="Arja", "Evolutionary Search", IF($O185="AVATAR", "True Pattern", IF($O185="CapGen", "Search Like Pattern", IF($O185="Cardumen", "True Semantic", IF($O185="DynaMoth", "True Semantic", IF($O185="FixMiner", "True Pattern", IF($O185="GenProg-A", "Evolutionary Search", IF($O185="Hercules", "Learning Pattern", IF($O185="Jaid", "True Semantic",
IF($O185="Kali-A", "True Search", IF($O185="kPAR", "True Pattern", IF($O185="Nopol", "True Semantic", IF($O185="RSRepair-A", "Evolutionary Search", IF($O185="SequenceR", "Deep Learning", IF($O185="SimFix", "Search Like Pattern", IF($O185="SketchFix", "True Pattern", IF($O185="SOFix", "True Pattern", IF($O185="ssFix", "Search Like Pattern", IF($O185="TBar", "True Pattern", ""))))))))))))))))))))</f>
        <v>True Pattern</v>
      </c>
      <c r="Q185" s="13" t="str">
        <f>IF(NOT(ISERR(SEARCH("*_Buggy",$A185))), "Buggy", IF(NOT(ISERR(SEARCH("*_Fixed",$A185))), "Fixed", IF(NOT(ISERR(SEARCH("*_Repaired",$A185))), "Repaired", "")))</f>
        <v>Buggy</v>
      </c>
      <c r="R185" s="13"/>
      <c r="S185" s="13"/>
      <c r="T185" s="13"/>
      <c r="U185" s="13"/>
      <c r="V185" s="13"/>
      <c r="W185" s="13"/>
    </row>
    <row r="186" spans="1:23" x14ac:dyDescent="0.35">
      <c r="A186" s="7" t="s">
        <v>198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>LEFT($A186,FIND("_",$A186)-1)</f>
        <v>FixMiner</v>
      </c>
      <c r="P186" s="13" t="str">
        <f>IF($O186="ACS", "True Search", IF($O186="Arja", "Evolutionary Search", IF($O186="AVATAR", "True Pattern", IF($O186="CapGen", "Search Like Pattern", IF($O186="Cardumen", "True Semantic", IF($O186="DynaMoth", "True Semantic", IF($O186="FixMiner", "True Pattern", IF($O186="GenProg-A", "Evolutionary Search", IF($O186="Hercules", "Learning Pattern", IF($O186="Jaid", "True Semantic",
IF($O186="Kali-A", "True Search", IF($O186="kPAR", "True Pattern", IF($O186="Nopol", "True Semantic", IF($O186="RSRepair-A", "Evolutionary Search", IF($O186="SequenceR", "Deep Learning", IF($O186="SimFix", "Search Like Pattern", IF($O186="SketchFix", "True Pattern", IF($O186="SOFix", "True Pattern", IF($O186="ssFix", "Search Like Pattern", IF($O186="TBar", "True Pattern", ""))))))))))))))))))))</f>
        <v>True Pattern</v>
      </c>
      <c r="Q186" s="13" t="str">
        <f>IF(NOT(ISERR(SEARCH("*_Buggy",$A186))), "Buggy", IF(NOT(ISERR(SEARCH("*_Fixed",$A186))), "Fixed", IF(NOT(ISERR(SEARCH("*_Repaired",$A186))), "Repaired", "")))</f>
        <v>Buggy</v>
      </c>
      <c r="R186" s="13"/>
      <c r="S186" s="13"/>
      <c r="T186" s="13"/>
      <c r="U186" s="13"/>
      <c r="V186" s="13"/>
      <c r="W186" s="13"/>
    </row>
    <row r="187" spans="1:23" x14ac:dyDescent="0.35">
      <c r="A187" s="7" t="s">
        <v>311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>LEFT($A187,FIND("_",$A187)-1)</f>
        <v>FixMiner</v>
      </c>
      <c r="P187" s="13" t="str">
        <f>IF($O187="ACS", "True Search", IF($O187="Arja", "Evolutionary Search", IF($O187="AVATAR", "True Pattern", IF($O187="CapGen", "Search Like Pattern", IF($O187="Cardumen", "True Semantic", IF($O187="DynaMoth", "True Semantic", IF($O187="FixMiner", "True Pattern", IF($O187="GenProg-A", "Evolutionary Search", IF($O187="Hercules", "Learning Pattern", IF($O187="Jaid", "True Semantic",
IF($O187="Kali-A", "True Search", IF($O187="kPAR", "True Pattern", IF($O187="Nopol", "True Semantic", IF($O187="RSRepair-A", "Evolutionary Search", IF($O187="SequenceR", "Deep Learning", IF($O187="SimFix", "Search Like Pattern", IF($O187="SketchFix", "True Pattern", IF($O187="SOFix", "True Pattern", IF($O187="ssFix", "Search Like Pattern", IF($O187="TBar", "True Pattern", ""))))))))))))))))))))</f>
        <v>True Pattern</v>
      </c>
      <c r="Q187" s="13" t="str">
        <f>IF(NOT(ISERR(SEARCH("*_Buggy",$A187))), "Buggy", IF(NOT(ISERR(SEARCH("*_Fixed",$A187))), "Fixed", IF(NOT(ISERR(SEARCH("*_Repaired",$A187))), "Repaired", "")))</f>
        <v>Buggy</v>
      </c>
      <c r="R187" s="13"/>
      <c r="S187" s="13"/>
      <c r="T187" s="13"/>
      <c r="U187" s="13"/>
      <c r="V187" s="13"/>
      <c r="W187" s="13"/>
    </row>
    <row r="188" spans="1:23" x14ac:dyDescent="0.35">
      <c r="A188" s="7" t="s">
        <v>428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>LEFT($A188,FIND("_",$A188)-1)</f>
        <v>FixMiner</v>
      </c>
      <c r="P188" s="13" t="str">
        <f>IF($O188="ACS", "True Search", IF($O188="Arja", "Evolutionary Search", IF($O188="AVATAR", "True Pattern", IF($O188="CapGen", "Search Like Pattern", IF($O188="Cardumen", "True Semantic", IF($O188="DynaMoth", "True Semantic", IF($O188="FixMiner", "True Pattern", IF($O188="GenProg-A", "Evolutionary Search", IF($O188="Hercules", "Learning Pattern", IF($O188="Jaid", "True Semantic",
IF($O188="Kali-A", "True Search", IF($O188="kPAR", "True Pattern", IF($O188="Nopol", "True Semantic", IF($O188="RSRepair-A", "Evolutionary Search", IF($O188="SequenceR", "Deep Learning", IF($O188="SimFix", "Search Like Pattern", IF($O188="SketchFix", "True Pattern", IF($O188="SOFix", "True Pattern", IF($O188="ssFix", "Search Like Pattern", IF($O188="TBar", "True Pattern", ""))))))))))))))))))))</f>
        <v>True Pattern</v>
      </c>
      <c r="Q188" s="13" t="str">
        <f>IF(NOT(ISERR(SEARCH("*_Buggy",$A188))), "Buggy", IF(NOT(ISERR(SEARCH("*_Fixed",$A188))), "Fixed", IF(NOT(ISERR(SEARCH("*_Repaired",$A188))), "Repaired", "")))</f>
        <v>Buggy</v>
      </c>
      <c r="R188" s="13"/>
      <c r="S188" s="13"/>
      <c r="T188" s="13"/>
      <c r="U188" s="13"/>
      <c r="V188" s="13"/>
      <c r="W188" s="13"/>
    </row>
    <row r="189" spans="1:23" x14ac:dyDescent="0.35">
      <c r="A189" s="7" t="s">
        <v>715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>LEFT($A189,FIND("_",$A189)-1)</f>
        <v>FixMiner</v>
      </c>
      <c r="P189" s="13" t="str">
        <f>IF($O189="ACS", "True Search", IF($O189="Arja", "Evolutionary Search", IF($O189="AVATAR", "True Pattern", IF($O189="CapGen", "Search Like Pattern", IF($O189="Cardumen", "True Semantic", IF($O189="DynaMoth", "True Semantic", IF($O189="FixMiner", "True Pattern", IF($O189="GenProg-A", "Evolutionary Search", IF($O189="Hercules", "Learning Pattern", IF($O189="Jaid", "True Semantic",
IF($O189="Kali-A", "True Search", IF($O189="kPAR", "True Pattern", IF($O189="Nopol", "True Semantic", IF($O189="RSRepair-A", "Evolutionary Search", IF($O189="SequenceR", "Deep Learning", IF($O189="SimFix", "Search Like Pattern", IF($O189="SketchFix", "True Pattern", IF($O189="SOFix", "True Pattern", IF($O189="ssFix", "Search Like Pattern", IF($O189="TBar", "True Pattern", ""))))))))))))))))))))</f>
        <v>True Pattern</v>
      </c>
      <c r="Q189" s="13" t="str">
        <f>IF(NOT(ISERR(SEARCH("*_Buggy",$A189))), "Buggy", IF(NOT(ISERR(SEARCH("*_Fixed",$A189))), "Fixed", IF(NOT(ISERR(SEARCH("*_Repaired",$A189))), "Repaired", "")))</f>
        <v>Buggy</v>
      </c>
      <c r="R189" s="13"/>
      <c r="S189" s="13"/>
      <c r="T189" s="13"/>
      <c r="U189" s="13"/>
      <c r="V189" s="13"/>
      <c r="W189" s="13"/>
    </row>
    <row r="190" spans="1:23" x14ac:dyDescent="0.35">
      <c r="A190" s="7" t="s">
        <v>460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>LEFT($A190,FIND("_",$A190)-1)</f>
        <v>FixMiner</v>
      </c>
      <c r="P190" s="13" t="str">
        <f>IF($O190="ACS", "True Search", IF($O190="Arja", "Evolutionary Search", IF($O190="AVATAR", "True Pattern", IF($O190="CapGen", "Search Like Pattern", IF($O190="Cardumen", "True Semantic", IF($O190="DynaMoth", "True Semantic", IF($O190="FixMiner", "True Pattern", IF($O190="GenProg-A", "Evolutionary Search", IF($O190="Hercules", "Learning Pattern", IF($O190="Jaid", "True Semantic",
IF($O190="Kali-A", "True Search", IF($O190="kPAR", "True Pattern", IF($O190="Nopol", "True Semantic", IF($O190="RSRepair-A", "Evolutionary Search", IF($O190="SequenceR", "Deep Learning", IF($O190="SimFix", "Search Like Pattern", IF($O190="SketchFix", "True Pattern", IF($O190="SOFix", "True Pattern", IF($O190="ssFix", "Search Like Pattern", IF($O190="TBar", "True Pattern", ""))))))))))))))))))))</f>
        <v>True Pattern</v>
      </c>
      <c r="Q190" s="13" t="str">
        <f>IF(NOT(ISERR(SEARCH("*_Buggy",$A190))), "Buggy", IF(NOT(ISERR(SEARCH("*_Fixed",$A190))), "Fixed", IF(NOT(ISERR(SEARCH("*_Repaired",$A190))), "Repaired", "")))</f>
        <v>Buggy</v>
      </c>
      <c r="R190" s="13"/>
      <c r="S190" s="13"/>
      <c r="T190" s="13"/>
      <c r="U190" s="13"/>
      <c r="V190" s="13"/>
      <c r="W190" s="13"/>
    </row>
    <row r="191" spans="1:23" x14ac:dyDescent="0.35">
      <c r="A191" s="7" t="s">
        <v>457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>LEFT($A191,FIND("_",$A191)-1)</f>
        <v>FixMiner</v>
      </c>
      <c r="P191" s="13" t="str">
        <f>IF($O191="ACS", "True Search", IF($O191="Arja", "Evolutionary Search", IF($O191="AVATAR", "True Pattern", IF($O191="CapGen", "Search Like Pattern", IF($O191="Cardumen", "True Semantic", IF($O191="DynaMoth", "True Semantic", IF($O191="FixMiner", "True Pattern", IF($O191="GenProg-A", "Evolutionary Search", IF($O191="Hercules", "Learning Pattern", IF($O191="Jaid", "True Semantic",
IF($O191="Kali-A", "True Search", IF($O191="kPAR", "True Pattern", IF($O191="Nopol", "True Semantic", IF($O191="RSRepair-A", "Evolutionary Search", IF($O191="SequenceR", "Deep Learning", IF($O191="SimFix", "Search Like Pattern", IF($O191="SketchFix", "True Pattern", IF($O191="SOFix", "True Pattern", IF($O191="ssFix", "Search Like Pattern", IF($O191="TBar", "True Pattern", ""))))))))))))))))))))</f>
        <v>True Pattern</v>
      </c>
      <c r="Q191" s="13" t="str">
        <f>IF(NOT(ISERR(SEARCH("*_Buggy",$A191))), "Buggy", IF(NOT(ISERR(SEARCH("*_Fixed",$A191))), "Fixed", IF(NOT(ISERR(SEARCH("*_Repaired",$A191))), "Repaired", "")))</f>
        <v>Buggy</v>
      </c>
      <c r="R191" s="13"/>
      <c r="S191" s="13"/>
      <c r="T191" s="13"/>
      <c r="U191" s="13"/>
      <c r="V191" s="13"/>
      <c r="W191" s="13"/>
    </row>
    <row r="192" spans="1:23" x14ac:dyDescent="0.35">
      <c r="A192" s="5" t="s">
        <v>761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>LEFT($A192,FIND("_",$A192)-1)</f>
        <v>FixMiner</v>
      </c>
      <c r="P192" s="13" t="str">
        <f>IF($O192="ACS", "True Search", IF($O192="Arja", "Evolutionary Search", IF($O192="AVATAR", "True Pattern", IF($O192="CapGen", "Search Like Pattern", IF($O192="Cardumen", "True Semantic", IF($O192="DynaMoth", "True Semantic", IF($O192="FixMiner", "True Pattern", IF($O192="GenProg-A", "Evolutionary Search", IF($O192="Hercules", "Learning Pattern", IF($O192="Jaid", "True Semantic",
IF($O192="Kali-A", "True Search", IF($O192="kPAR", "True Pattern", IF($O192="Nopol", "True Semantic", IF($O192="RSRepair-A", "Evolutionary Search", IF($O192="SequenceR", "Deep Learning", IF($O192="SimFix", "Search Like Pattern", IF($O192="SketchFix", "True Pattern", IF($O192="SOFix", "True Pattern", IF($O192="ssFix", "Search Like Pattern", IF($O192="TBar", "True Pattern", ""))))))))))))))))))))</f>
        <v>True Pattern</v>
      </c>
      <c r="Q192" s="13" t="str">
        <f>IF(NOT(ISERR(SEARCH("*_Buggy",$A192))), "Buggy", IF(NOT(ISERR(SEARCH("*_Fixed",$A192))), "Fixed", IF(NOT(ISERR(SEARCH("*_Repaired",$A192))), "Repaired", "")))</f>
        <v>Buggy</v>
      </c>
      <c r="R192" s="13"/>
      <c r="S192" s="13"/>
      <c r="T192" s="13"/>
      <c r="U192" s="13"/>
      <c r="V192" s="13"/>
      <c r="W192" s="13"/>
    </row>
    <row r="193" spans="1:23" x14ac:dyDescent="0.35">
      <c r="A193" s="7" t="s">
        <v>432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>LEFT($A193,FIND("_",$A193)-1)</f>
        <v>FixMiner</v>
      </c>
      <c r="P193" s="13" t="str">
        <f>IF($O193="ACS", "True Search", IF($O193="Arja", "Evolutionary Search", IF($O193="AVATAR", "True Pattern", IF($O193="CapGen", "Search Like Pattern", IF($O193="Cardumen", "True Semantic", IF($O193="DynaMoth", "True Semantic", IF($O193="FixMiner", "True Pattern", IF($O193="GenProg-A", "Evolutionary Search", IF($O193="Hercules", "Learning Pattern", IF($O193="Jaid", "True Semantic",
IF($O193="Kali-A", "True Search", IF($O193="kPAR", "True Pattern", IF($O193="Nopol", "True Semantic", IF($O193="RSRepair-A", "Evolutionary Search", IF($O193="SequenceR", "Deep Learning", IF($O193="SimFix", "Search Like Pattern", IF($O193="SketchFix", "True Pattern", IF($O193="SOFix", "True Pattern", IF($O193="ssFix", "Search Like Pattern", IF($O193="TBar", "True Pattern", ""))))))))))))))))))))</f>
        <v>True Pattern</v>
      </c>
      <c r="Q193" s="13" t="str">
        <f>IF(NOT(ISERR(SEARCH("*_Buggy",$A193))), "Buggy", IF(NOT(ISERR(SEARCH("*_Fixed",$A193))), "Fixed", IF(NOT(ISERR(SEARCH("*_Repaired",$A193))), "Repaired", "")))</f>
        <v>Buggy</v>
      </c>
      <c r="R193" s="13"/>
      <c r="S193" s="13"/>
      <c r="T193" s="13"/>
      <c r="U193" s="13"/>
      <c r="V193" s="13"/>
      <c r="W193" s="13"/>
    </row>
    <row r="194" spans="1:23" x14ac:dyDescent="0.35">
      <c r="A194" s="7" t="s">
        <v>332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>LEFT($A194,FIND("_",$A194)-1)</f>
        <v>FixMiner</v>
      </c>
      <c r="P194" s="13" t="str">
        <f>IF($O194="ACS", "True Search", IF($O194="Arja", "Evolutionary Search", IF($O194="AVATAR", "True Pattern", IF($O194="CapGen", "Search Like Pattern", IF($O194="Cardumen", "True Semantic", IF($O194="DynaMoth", "True Semantic", IF($O194="FixMiner", "True Pattern", IF($O194="GenProg-A", "Evolutionary Search", IF($O194="Hercules", "Learning Pattern", IF($O194="Jaid", "True Semantic",
IF($O194="Kali-A", "True Search", IF($O194="kPAR", "True Pattern", IF($O194="Nopol", "True Semantic", IF($O194="RSRepair-A", "Evolutionary Search", IF($O194="SequenceR", "Deep Learning", IF($O194="SimFix", "Search Like Pattern", IF($O194="SketchFix", "True Pattern", IF($O194="SOFix", "True Pattern", IF($O194="ssFix", "Search Like Pattern", IF($O194="TBar", "True Pattern", ""))))))))))))))))))))</f>
        <v>True Pattern</v>
      </c>
      <c r="Q194" s="13" t="str">
        <f>IF(NOT(ISERR(SEARCH("*_Buggy",$A194))), "Buggy", IF(NOT(ISERR(SEARCH("*_Fixed",$A194))), "Fixed", IF(NOT(ISERR(SEARCH("*_Repaired",$A194))), "Repaired", "")))</f>
        <v>Buggy</v>
      </c>
      <c r="R194" s="13"/>
      <c r="S194" s="13"/>
      <c r="T194" s="13"/>
      <c r="U194" s="13"/>
      <c r="V194" s="13"/>
      <c r="W194" s="13"/>
    </row>
    <row r="195" spans="1:23" x14ac:dyDescent="0.35">
      <c r="A195" s="7" t="s">
        <v>57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>LEFT($A195,FIND("_",$A195)-1)</f>
        <v>FixMiner</v>
      </c>
      <c r="P195" s="13" t="str">
        <f>IF($O195="ACS", "True Search", IF($O195="Arja", "Evolutionary Search", IF($O195="AVATAR", "True Pattern", IF($O195="CapGen", "Search Like Pattern", IF($O195="Cardumen", "True Semantic", IF($O195="DynaMoth", "True Semantic", IF($O195="FixMiner", "True Pattern", IF($O195="GenProg-A", "Evolutionary Search", IF($O195="Hercules", "Learning Pattern", IF($O195="Jaid", "True Semantic",
IF($O195="Kali-A", "True Search", IF($O195="kPAR", "True Pattern", IF($O195="Nopol", "True Semantic", IF($O195="RSRepair-A", "Evolutionary Search", IF($O195="SequenceR", "Deep Learning", IF($O195="SimFix", "Search Like Pattern", IF($O195="SketchFix", "True Pattern", IF($O195="SOFix", "True Pattern", IF($O195="ssFix", "Search Like Pattern", IF($O195="TBar", "True Pattern", ""))))))))))))))))))))</f>
        <v>True Pattern</v>
      </c>
      <c r="Q195" s="13" t="str">
        <f>IF(NOT(ISERR(SEARCH("*_Buggy",$A195))), "Buggy", IF(NOT(ISERR(SEARCH("*_Fixed",$A195))), "Fixed", IF(NOT(ISERR(SEARCH("*_Repaired",$A195))), "Repaired", "")))</f>
        <v>Buggy</v>
      </c>
      <c r="R195" s="13"/>
      <c r="S195" s="13"/>
      <c r="T195" s="13"/>
      <c r="U195" s="13"/>
      <c r="V195" s="13"/>
      <c r="W195" s="13"/>
    </row>
    <row r="196" spans="1:23" x14ac:dyDescent="0.35">
      <c r="A196" s="5" t="s">
        <v>376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>LEFT($A196,FIND("_",$A196)-1)</f>
        <v>FixMiner</v>
      </c>
      <c r="P196" s="13" t="str">
        <f>IF($O196="ACS", "True Search", IF($O196="Arja", "Evolutionary Search", IF($O196="AVATAR", "True Pattern", IF($O196="CapGen", "Search Like Pattern", IF($O196="Cardumen", "True Semantic", IF($O196="DynaMoth", "True Semantic", IF($O196="FixMiner", "True Pattern", IF($O196="GenProg-A", "Evolutionary Search", IF($O196="Hercules", "Learning Pattern", IF($O196="Jaid", "True Semantic",
IF($O196="Kali-A", "True Search", IF($O196="kPAR", "True Pattern", IF($O196="Nopol", "True Semantic", IF($O196="RSRepair-A", "Evolutionary Search", IF($O196="SequenceR", "Deep Learning", IF($O196="SimFix", "Search Like Pattern", IF($O196="SketchFix", "True Pattern", IF($O196="SOFix", "True Pattern", IF($O196="ssFix", "Search Like Pattern", IF($O196="TBar", "True Pattern", ""))))))))))))))))))))</f>
        <v>True Pattern</v>
      </c>
      <c r="Q196" s="13" t="str">
        <f>IF(NOT(ISERR(SEARCH("*_Buggy",$A196))), "Buggy", IF(NOT(ISERR(SEARCH("*_Fixed",$A196))), "Fixed", IF(NOT(ISERR(SEARCH("*_Repaired",$A196))), "Repaired", "")))</f>
        <v>Buggy</v>
      </c>
      <c r="R196" s="13"/>
      <c r="S196" s="13"/>
      <c r="T196" s="13"/>
      <c r="U196" s="13"/>
      <c r="V196" s="13"/>
      <c r="W196" s="13"/>
    </row>
    <row r="197" spans="1:23" x14ac:dyDescent="0.35">
      <c r="A197" s="7" t="s">
        <v>828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>LEFT($A197,FIND("_",$A197)-1)</f>
        <v>FixMiner</v>
      </c>
      <c r="P197" s="13" t="str">
        <f>IF($O197="ACS", "True Search", IF($O197="Arja", "Evolutionary Search", IF($O197="AVATAR", "True Pattern", IF($O197="CapGen", "Search Like Pattern", IF($O197="Cardumen", "True Semantic", IF($O197="DynaMoth", "True Semantic", IF($O197="FixMiner", "True Pattern", IF($O197="GenProg-A", "Evolutionary Search", IF($O197="Hercules", "Learning Pattern", IF($O197="Jaid", "True Semantic",
IF($O197="Kali-A", "True Search", IF($O197="kPAR", "True Pattern", IF($O197="Nopol", "True Semantic", IF($O197="RSRepair-A", "Evolutionary Search", IF($O197="SequenceR", "Deep Learning", IF($O197="SimFix", "Search Like Pattern", IF($O197="SketchFix", "True Pattern", IF($O197="SOFix", "True Pattern", IF($O197="ssFix", "Search Like Pattern", IF($O197="TBar", "True Pattern", ""))))))))))))))))))))</f>
        <v>True Pattern</v>
      </c>
      <c r="Q197" s="13" t="str">
        <f>IF(NOT(ISERR(SEARCH("*_Buggy",$A197))), "Buggy", IF(NOT(ISERR(SEARCH("*_Fixed",$A197))), "Fixed", IF(NOT(ISERR(SEARCH("*_Repaired",$A197))), "Repaired", "")))</f>
        <v>Buggy</v>
      </c>
      <c r="R197" s="13"/>
      <c r="S197" s="13"/>
      <c r="T197" s="13"/>
      <c r="U197" s="13"/>
      <c r="V197" s="13"/>
      <c r="W197" s="13"/>
    </row>
    <row r="198" spans="1:23" x14ac:dyDescent="0.35">
      <c r="A198" s="7" t="s">
        <v>1211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>LEFT($A198,FIND("_",$A198)-1)</f>
        <v>FixMiner</v>
      </c>
      <c r="P198" s="13" t="str">
        <f>IF($O198="ACS", "True Search", IF($O198="Arja", "Evolutionary Search", IF($O198="AVATAR", "True Pattern", IF($O198="CapGen", "Search Like Pattern", IF($O198="Cardumen", "True Semantic", IF($O198="DynaMoth", "True Semantic", IF($O198="FixMiner", "True Pattern", IF($O198="GenProg-A", "Evolutionary Search", IF($O198="Hercules", "Learning Pattern", IF($O198="Jaid", "True Semantic",
IF($O198="Kali-A", "True Search", IF($O198="kPAR", "True Pattern", IF($O198="Nopol", "True Semantic", IF($O198="RSRepair-A", "Evolutionary Search", IF($O198="SequenceR", "Deep Learning", IF($O198="SimFix", "Search Like Pattern", IF($O198="SketchFix", "True Pattern", IF($O198="SOFix", "True Pattern", IF($O198="ssFix", "Search Like Pattern", IF($O198="TBar", "True Pattern", ""))))))))))))))))))))</f>
        <v>True Pattern</v>
      </c>
      <c r="Q198" s="13" t="str">
        <f>IF(NOT(ISERR(SEARCH("*_Buggy",$A198))), "Buggy", IF(NOT(ISERR(SEARCH("*_Fixed",$A198))), "Fixed", IF(NOT(ISERR(SEARCH("*_Repaired",$A198))), "Repaired", "")))</f>
        <v>Buggy</v>
      </c>
      <c r="R198" s="13"/>
      <c r="S198" s="13"/>
      <c r="T198" s="13"/>
      <c r="U198" s="13"/>
      <c r="V198" s="13"/>
      <c r="W198" s="13"/>
    </row>
    <row r="199" spans="1:23" x14ac:dyDescent="0.35">
      <c r="A199" s="7" t="s">
        <v>1282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>LEFT($A199,FIND("_",$A199)-1)</f>
        <v>FixMiner</v>
      </c>
      <c r="P199" s="13" t="str">
        <f>IF($O199="ACS", "True Search", IF($O199="Arja", "Evolutionary Search", IF($O199="AVATAR", "True Pattern", IF($O199="CapGen", "Search Like Pattern", IF($O199="Cardumen", "True Semantic", IF($O199="DynaMoth", "True Semantic", IF($O199="FixMiner", "True Pattern", IF($O199="GenProg-A", "Evolutionary Search", IF($O199="Hercules", "Learning Pattern", IF($O199="Jaid", "True Semantic",
IF($O199="Kali-A", "True Search", IF($O199="kPAR", "True Pattern", IF($O199="Nopol", "True Semantic", IF($O199="RSRepair-A", "Evolutionary Search", IF($O199="SequenceR", "Deep Learning", IF($O199="SimFix", "Search Like Pattern", IF($O199="SketchFix", "True Pattern", IF($O199="SOFix", "True Pattern", IF($O199="ssFix", "Search Like Pattern", IF($O199="TBar", "True Pattern", ""))))))))))))))))))))</f>
        <v>True Pattern</v>
      </c>
      <c r="Q199" s="13" t="str">
        <f>IF(NOT(ISERR(SEARCH("*_Buggy",$A199))), "Buggy", IF(NOT(ISERR(SEARCH("*_Fixed",$A199))), "Fixed", IF(NOT(ISERR(SEARCH("*_Repaired",$A199))), "Repaired", "")))</f>
        <v>Buggy</v>
      </c>
      <c r="R199" s="13"/>
      <c r="S199" s="13"/>
      <c r="T199" s="13"/>
      <c r="U199" s="13"/>
      <c r="V199" s="13"/>
      <c r="W199" s="13"/>
    </row>
    <row r="200" spans="1:23" x14ac:dyDescent="0.35">
      <c r="A200" s="7" t="s">
        <v>1131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>LEFT($A200,FIND("_",$A200)-1)</f>
        <v>FixMiner</v>
      </c>
      <c r="P200" s="13" t="str">
        <f>IF($O200="ACS", "True Search", IF($O200="Arja", "Evolutionary Search", IF($O200="AVATAR", "True Pattern", IF($O200="CapGen", "Search Like Pattern", IF($O200="Cardumen", "True Semantic", IF($O200="DynaMoth", "True Semantic", IF($O200="FixMiner", "True Pattern", IF($O200="GenProg-A", "Evolutionary Search", IF($O200="Hercules", "Learning Pattern", IF($O200="Jaid", "True Semantic",
IF($O200="Kali-A", "True Search", IF($O200="kPAR", "True Pattern", IF($O200="Nopol", "True Semantic", IF($O200="RSRepair-A", "Evolutionary Search", IF($O200="SequenceR", "Deep Learning", IF($O200="SimFix", "Search Like Pattern", IF($O200="SketchFix", "True Pattern", IF($O200="SOFix", "True Pattern", IF($O200="ssFix", "Search Like Pattern", IF($O200="TBar", "True Pattern", ""))))))))))))))))))))</f>
        <v>True Pattern</v>
      </c>
      <c r="Q200" s="13" t="str">
        <f>IF(NOT(ISERR(SEARCH("*_Buggy",$A200))), "Buggy", IF(NOT(ISERR(SEARCH("*_Fixed",$A200))), "Fixed", IF(NOT(ISERR(SEARCH("*_Repaired",$A200))), "Repaired", "")))</f>
        <v>Buggy</v>
      </c>
      <c r="R200" s="13"/>
      <c r="S200" s="13"/>
      <c r="T200" s="13"/>
      <c r="U200" s="13"/>
      <c r="V200" s="13"/>
      <c r="W200" s="13"/>
    </row>
    <row r="201" spans="1:23" x14ac:dyDescent="0.35">
      <c r="A201" s="7" t="s">
        <v>306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>LEFT($A201,FIND("_",$A201)-1)</f>
        <v>FixMiner</v>
      </c>
      <c r="P201" s="13" t="str">
        <f>IF($O201="ACS", "True Search", IF($O201="Arja", "Evolutionary Search", IF($O201="AVATAR", "True Pattern", IF($O201="CapGen", "Search Like Pattern", IF($O201="Cardumen", "True Semantic", IF($O201="DynaMoth", "True Semantic", IF($O201="FixMiner", "True Pattern", IF($O201="GenProg-A", "Evolutionary Search", IF($O201="Hercules", "Learning Pattern", IF($O201="Jaid", "True Semantic",
IF($O201="Kali-A", "True Search", IF($O201="kPAR", "True Pattern", IF($O201="Nopol", "True Semantic", IF($O201="RSRepair-A", "Evolutionary Search", IF($O201="SequenceR", "Deep Learning", IF($O201="SimFix", "Search Like Pattern", IF($O201="SketchFix", "True Pattern", IF($O201="SOFix", "True Pattern", IF($O201="ssFix", "Search Like Pattern", IF($O201="TBar", "True Pattern", ""))))))))))))))))))))</f>
        <v>True Pattern</v>
      </c>
      <c r="Q201" s="13" t="str">
        <f>IF(NOT(ISERR(SEARCH("*_Buggy",$A201))), "Buggy", IF(NOT(ISERR(SEARCH("*_Fixed",$A201))), "Fixed", IF(NOT(ISERR(SEARCH("*_Repaired",$A201))), "Repaired", "")))</f>
        <v>Buggy</v>
      </c>
      <c r="R201" s="13"/>
      <c r="S201" s="13"/>
      <c r="T201" s="13"/>
      <c r="U201" s="13"/>
      <c r="V201" s="13"/>
      <c r="W201" s="13"/>
    </row>
    <row r="202" spans="1:23" x14ac:dyDescent="0.35">
      <c r="A202" s="7" t="s">
        <v>1012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>LEFT($A202,FIND("_",$A202)-1)</f>
        <v>FixMiner</v>
      </c>
      <c r="P202" s="13" t="str">
        <f>IF($O202="ACS", "True Search", IF($O202="Arja", "Evolutionary Search", IF($O202="AVATAR", "True Pattern", IF($O202="CapGen", "Search Like Pattern", IF($O202="Cardumen", "True Semantic", IF($O202="DynaMoth", "True Semantic", IF($O202="FixMiner", "True Pattern", IF($O202="GenProg-A", "Evolutionary Search", IF($O202="Hercules", "Learning Pattern", IF($O202="Jaid", "True Semantic",
IF($O202="Kali-A", "True Search", IF($O202="kPAR", "True Pattern", IF($O202="Nopol", "True Semantic", IF($O202="RSRepair-A", "Evolutionary Search", IF($O202="SequenceR", "Deep Learning", IF($O202="SimFix", "Search Like Pattern", IF($O202="SketchFix", "True Pattern", IF($O202="SOFix", "True Pattern", IF($O202="ssFix", "Search Like Pattern", IF($O202="TBar", "True Pattern", ""))))))))))))))))))))</f>
        <v>True Pattern</v>
      </c>
      <c r="Q202" s="13" t="str">
        <f>IF(NOT(ISERR(SEARCH("*_Buggy",$A202))), "Buggy", IF(NOT(ISERR(SEARCH("*_Fixed",$A202))), "Fixed", IF(NOT(ISERR(SEARCH("*_Repaired",$A202))), "Repaired", "")))</f>
        <v>Buggy</v>
      </c>
      <c r="R202" s="13"/>
      <c r="S202" s="13"/>
      <c r="T202" s="13"/>
      <c r="U202" s="13"/>
      <c r="V202" s="13"/>
      <c r="W202" s="13"/>
    </row>
    <row r="203" spans="1:23" x14ac:dyDescent="0.35">
      <c r="A203" s="5" t="s">
        <v>125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>LEFT($A203,FIND("_",$A203)-1)</f>
        <v>FixMiner</v>
      </c>
      <c r="P203" s="13" t="str">
        <f>IF($O203="ACS", "True Search", IF($O203="Arja", "Evolutionary Search", IF($O203="AVATAR", "True Pattern", IF($O203="CapGen", "Search Like Pattern", IF($O203="Cardumen", "True Semantic", IF($O203="DynaMoth", "True Semantic", IF($O203="FixMiner", "True Pattern", IF($O203="GenProg-A", "Evolutionary Search", IF($O203="Hercules", "Learning Pattern", IF($O203="Jaid", "True Semantic",
IF($O203="Kali-A", "True Search", IF($O203="kPAR", "True Pattern", IF($O203="Nopol", "True Semantic", IF($O203="RSRepair-A", "Evolutionary Search", IF($O203="SequenceR", "Deep Learning", IF($O203="SimFix", "Search Like Pattern", IF($O203="SketchFix", "True Pattern", IF($O203="SOFix", "True Pattern", IF($O203="ssFix", "Search Like Pattern", IF($O203="TBar", "True Pattern", ""))))))))))))))))))))</f>
        <v>True Pattern</v>
      </c>
      <c r="Q203" s="13" t="str">
        <f>IF(NOT(ISERR(SEARCH("*_Buggy",$A203))), "Buggy", IF(NOT(ISERR(SEARCH("*_Fixed",$A203))), "Fixed", IF(NOT(ISERR(SEARCH("*_Repaired",$A203))), "Repaired", "")))</f>
        <v>Buggy</v>
      </c>
      <c r="R203" s="13"/>
      <c r="S203" s="13"/>
      <c r="T203" s="13"/>
      <c r="U203" s="13"/>
      <c r="V203" s="13"/>
      <c r="W203" s="13"/>
    </row>
    <row r="204" spans="1:23" x14ac:dyDescent="0.35">
      <c r="A204" s="7" t="s">
        <v>1034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>LEFT($A204,FIND("_",$A204)-1)</f>
        <v>FixMiner</v>
      </c>
      <c r="P204" s="13" t="str">
        <f>IF($O204="ACS", "True Search", IF($O204="Arja", "Evolutionary Search", IF($O204="AVATAR", "True Pattern", IF($O204="CapGen", "Search Like Pattern", IF($O204="Cardumen", "True Semantic", IF($O204="DynaMoth", "True Semantic", IF($O204="FixMiner", "True Pattern", IF($O204="GenProg-A", "Evolutionary Search", IF($O204="Hercules", "Learning Pattern", IF($O204="Jaid", "True Semantic",
IF($O204="Kali-A", "True Search", IF($O204="kPAR", "True Pattern", IF($O204="Nopol", "True Semantic", IF($O204="RSRepair-A", "Evolutionary Search", IF($O204="SequenceR", "Deep Learning", IF($O204="SimFix", "Search Like Pattern", IF($O204="SketchFix", "True Pattern", IF($O204="SOFix", "True Pattern", IF($O204="ssFix", "Search Like Pattern", IF($O204="TBar", "True Pattern", ""))))))))))))))))))))</f>
        <v>True Pattern</v>
      </c>
      <c r="Q204" s="13" t="str">
        <f>IF(NOT(ISERR(SEARCH("*_Buggy",$A204))), "Buggy", IF(NOT(ISERR(SEARCH("*_Fixed",$A204))), "Fixed", IF(NOT(ISERR(SEARCH("*_Repaired",$A204))), "Repaired", "")))</f>
        <v>Buggy</v>
      </c>
      <c r="R204" s="13"/>
      <c r="S204" s="13"/>
      <c r="T204" s="13"/>
      <c r="U204" s="13"/>
      <c r="V204" s="13"/>
      <c r="W204" s="13"/>
    </row>
    <row r="205" spans="1:23" x14ac:dyDescent="0.35">
      <c r="A205" s="7" t="s">
        <v>1232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>LEFT($A205,FIND("_",$A205)-1)</f>
        <v>FixMiner</v>
      </c>
      <c r="P205" s="13" t="str">
        <f>IF($O205="ACS", "True Search", IF($O205="Arja", "Evolutionary Search", IF($O205="AVATAR", "True Pattern", IF($O205="CapGen", "Search Like Pattern", IF($O205="Cardumen", "True Semantic", IF($O205="DynaMoth", "True Semantic", IF($O205="FixMiner", "True Pattern", IF($O205="GenProg-A", "Evolutionary Search", IF($O205="Hercules", "Learning Pattern", IF($O205="Jaid", "True Semantic",
IF($O205="Kali-A", "True Search", IF($O205="kPAR", "True Pattern", IF($O205="Nopol", "True Semantic", IF($O205="RSRepair-A", "Evolutionary Search", IF($O205="SequenceR", "Deep Learning", IF($O205="SimFix", "Search Like Pattern", IF($O205="SketchFix", "True Pattern", IF($O205="SOFix", "True Pattern", IF($O205="ssFix", "Search Like Pattern", IF($O205="TBar", "True Pattern", ""))))))))))))))))))))</f>
        <v>True Pattern</v>
      </c>
      <c r="Q205" s="13" t="str">
        <f>IF(NOT(ISERR(SEARCH("*_Buggy",$A205))), "Buggy", IF(NOT(ISERR(SEARCH("*_Fixed",$A205))), "Fixed", IF(NOT(ISERR(SEARCH("*_Repaired",$A205))), "Repaired", "")))</f>
        <v>Buggy</v>
      </c>
      <c r="R205" s="13"/>
      <c r="S205" s="13"/>
      <c r="T205" s="13"/>
      <c r="U205" s="13"/>
      <c r="V205" s="13"/>
      <c r="W205" s="13"/>
    </row>
    <row r="206" spans="1:23" x14ac:dyDescent="0.35">
      <c r="A206" s="7" t="s">
        <v>336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>LEFT($A206,FIND("_",$A206)-1)</f>
        <v>FixMiner</v>
      </c>
      <c r="P206" s="13" t="str">
        <f>IF($O206="ACS", "True Search", IF($O206="Arja", "Evolutionary Search", IF($O206="AVATAR", "True Pattern", IF($O206="CapGen", "Search Like Pattern", IF($O206="Cardumen", "True Semantic", IF($O206="DynaMoth", "True Semantic", IF($O206="FixMiner", "True Pattern", IF($O206="GenProg-A", "Evolutionary Search", IF($O206="Hercules", "Learning Pattern", IF($O206="Jaid", "True Semantic",
IF($O206="Kali-A", "True Search", IF($O206="kPAR", "True Pattern", IF($O206="Nopol", "True Semantic", IF($O206="RSRepair-A", "Evolutionary Search", IF($O206="SequenceR", "Deep Learning", IF($O206="SimFix", "Search Like Pattern", IF($O206="SketchFix", "True Pattern", IF($O206="SOFix", "True Pattern", IF($O206="ssFix", "Search Like Pattern", IF($O206="TBar", "True Pattern", ""))))))))))))))))))))</f>
        <v>True Pattern</v>
      </c>
      <c r="Q206" s="13" t="str">
        <f>IF(NOT(ISERR(SEARCH("*_Buggy",$A206))), "Buggy", IF(NOT(ISERR(SEARCH("*_Fixed",$A206))), "Fixed", IF(NOT(ISERR(SEARCH("*_Repaired",$A206))), "Repaired", "")))</f>
        <v>Buggy</v>
      </c>
      <c r="R206" s="13"/>
      <c r="S206" s="13"/>
      <c r="T206" s="13"/>
      <c r="U206" s="13"/>
      <c r="V206" s="13"/>
      <c r="W206" s="13"/>
    </row>
    <row r="207" spans="1:23" x14ac:dyDescent="0.35">
      <c r="A207" s="5" t="s">
        <v>914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>LEFT($A207,FIND("_",$A207)-1)</f>
        <v>FixMiner</v>
      </c>
      <c r="P207" s="13" t="str">
        <f>IF($O207="ACS", "True Search", IF($O207="Arja", "Evolutionary Search", IF($O207="AVATAR", "True Pattern", IF($O207="CapGen", "Search Like Pattern", IF($O207="Cardumen", "True Semantic", IF($O207="DynaMoth", "True Semantic", IF($O207="FixMiner", "True Pattern", IF($O207="GenProg-A", "Evolutionary Search", IF($O207="Hercules", "Learning Pattern", IF($O207="Jaid", "True Semantic",
IF($O207="Kali-A", "True Search", IF($O207="kPAR", "True Pattern", IF($O207="Nopol", "True Semantic", IF($O207="RSRepair-A", "Evolutionary Search", IF($O207="SequenceR", "Deep Learning", IF($O207="SimFix", "Search Like Pattern", IF($O207="SketchFix", "True Pattern", IF($O207="SOFix", "True Pattern", IF($O207="ssFix", "Search Like Pattern", IF($O207="TBar", "True Pattern", ""))))))))))))))))))))</f>
        <v>True Pattern</v>
      </c>
      <c r="Q207" s="13" t="str">
        <f>IF(NOT(ISERR(SEARCH("*_Buggy",$A207))), "Buggy", IF(NOT(ISERR(SEARCH("*_Fixed",$A207))), "Fixed", IF(NOT(ISERR(SEARCH("*_Repaired",$A207))), "Repaired", "")))</f>
        <v>Buggy</v>
      </c>
      <c r="R207" s="13"/>
      <c r="S207" s="13"/>
      <c r="T207" s="13"/>
      <c r="U207" s="13"/>
      <c r="V207" s="13"/>
      <c r="W207" s="13"/>
    </row>
    <row r="208" spans="1:23" x14ac:dyDescent="0.35">
      <c r="A208" s="5" t="s">
        <v>207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>LEFT($A208,FIND("_",$A208)-1)</f>
        <v>FixMiner</v>
      </c>
      <c r="P208" s="13" t="str">
        <f>IF($O208="ACS", "True Search", IF($O208="Arja", "Evolutionary Search", IF($O208="AVATAR", "True Pattern", IF($O208="CapGen", "Search Like Pattern", IF($O208="Cardumen", "True Semantic", IF($O208="DynaMoth", "True Semantic", IF($O208="FixMiner", "True Pattern", IF($O208="GenProg-A", "Evolutionary Search", IF($O208="Hercules", "Learning Pattern", IF($O208="Jaid", "True Semantic",
IF($O208="Kali-A", "True Search", IF($O208="kPAR", "True Pattern", IF($O208="Nopol", "True Semantic", IF($O208="RSRepair-A", "Evolutionary Search", IF($O208="SequenceR", "Deep Learning", IF($O208="SimFix", "Search Like Pattern", IF($O208="SketchFix", "True Pattern", IF($O208="SOFix", "True Pattern", IF($O208="ssFix", "Search Like Pattern", IF($O208="TBar", "True Pattern", ""))))))))))))))))))))</f>
        <v>True Pattern</v>
      </c>
      <c r="Q208" s="13" t="str">
        <f>IF(NOT(ISERR(SEARCH("*_Buggy",$A208))), "Buggy", IF(NOT(ISERR(SEARCH("*_Fixed",$A208))), "Fixed", IF(NOT(ISERR(SEARCH("*_Repaired",$A208))), "Repaired", "")))</f>
        <v>Buggy</v>
      </c>
      <c r="R208" s="13"/>
      <c r="S208" s="13"/>
      <c r="T208" s="13"/>
      <c r="U208" s="13"/>
      <c r="V208" s="13"/>
      <c r="W208" s="13"/>
    </row>
    <row r="209" spans="1:23" x14ac:dyDescent="0.35">
      <c r="A209" s="5" t="s">
        <v>496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>LEFT($A209,FIND("_",$A209)-1)</f>
        <v>FixMiner</v>
      </c>
      <c r="P209" s="13" t="str">
        <f>IF($O209="ACS", "True Search", IF($O209="Arja", "Evolutionary Search", IF($O209="AVATAR", "True Pattern", IF($O209="CapGen", "Search Like Pattern", IF($O209="Cardumen", "True Semantic", IF($O209="DynaMoth", "True Semantic", IF($O209="FixMiner", "True Pattern", IF($O209="GenProg-A", "Evolutionary Search", IF($O209="Hercules", "Learning Pattern", IF($O209="Jaid", "True Semantic",
IF($O209="Kali-A", "True Search", IF($O209="kPAR", "True Pattern", IF($O209="Nopol", "True Semantic", IF($O209="RSRepair-A", "Evolutionary Search", IF($O209="SequenceR", "Deep Learning", IF($O209="SimFix", "Search Like Pattern", IF($O209="SketchFix", "True Pattern", IF($O209="SOFix", "True Pattern", IF($O209="ssFix", "Search Like Pattern", IF($O209="TBar", "True Pattern", ""))))))))))))))))))))</f>
        <v>True Pattern</v>
      </c>
      <c r="Q209" s="13" t="str">
        <f>IF(NOT(ISERR(SEARCH("*_Buggy",$A209))), "Buggy", IF(NOT(ISERR(SEARCH("*_Fixed",$A209))), "Fixed", IF(NOT(ISERR(SEARCH("*_Repaired",$A209))), "Repaired", "")))</f>
        <v>Buggy</v>
      </c>
      <c r="R209" s="13"/>
      <c r="S209" s="13"/>
      <c r="T209" s="13"/>
      <c r="U209" s="13"/>
      <c r="V209" s="13"/>
      <c r="W209" s="13"/>
    </row>
    <row r="210" spans="1:23" x14ac:dyDescent="0.35">
      <c r="A210" s="7" t="s">
        <v>913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>LEFT($A210,FIND("_",$A210)-1)</f>
        <v>FixMiner</v>
      </c>
      <c r="P210" s="13" t="str">
        <f>IF($O210="ACS", "True Search", IF($O210="Arja", "Evolutionary Search", IF($O210="AVATAR", "True Pattern", IF($O210="CapGen", "Search Like Pattern", IF($O210="Cardumen", "True Semantic", IF($O210="DynaMoth", "True Semantic", IF($O210="FixMiner", "True Pattern", IF($O210="GenProg-A", "Evolutionary Search", IF($O210="Hercules", "Learning Pattern", IF($O210="Jaid", "True Semantic",
IF($O210="Kali-A", "True Search", IF($O210="kPAR", "True Pattern", IF($O210="Nopol", "True Semantic", IF($O210="RSRepair-A", "Evolutionary Search", IF($O210="SequenceR", "Deep Learning", IF($O210="SimFix", "Search Like Pattern", IF($O210="SketchFix", "True Pattern", IF($O210="SOFix", "True Pattern", IF($O210="ssFix", "Search Like Pattern", IF($O210="TBar", "True Pattern", ""))))))))))))))))))))</f>
        <v>True Pattern</v>
      </c>
      <c r="Q210" s="13" t="str">
        <f>IF(NOT(ISERR(SEARCH("*_Buggy",$A210))), "Buggy", IF(NOT(ISERR(SEARCH("*_Fixed",$A210))), "Fixed", IF(NOT(ISERR(SEARCH("*_Repaired",$A210))), "Repaired", "")))</f>
        <v>Buggy</v>
      </c>
      <c r="R210" s="13"/>
      <c r="S210" s="13"/>
      <c r="T210" s="13"/>
      <c r="U210" s="13"/>
      <c r="V210" s="13"/>
      <c r="W210" s="13"/>
    </row>
    <row r="211" spans="1:23" x14ac:dyDescent="0.35">
      <c r="A211" s="7" t="s">
        <v>294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>LEFT($A211,FIND("_",$A211)-1)</f>
        <v>FixMiner</v>
      </c>
      <c r="P211" s="13" t="str">
        <f>IF($O211="ACS", "True Search", IF($O211="Arja", "Evolutionary Search", IF($O211="AVATAR", "True Pattern", IF($O211="CapGen", "Search Like Pattern", IF($O211="Cardumen", "True Semantic", IF($O211="DynaMoth", "True Semantic", IF($O211="FixMiner", "True Pattern", IF($O211="GenProg-A", "Evolutionary Search", IF($O211="Hercules", "Learning Pattern", IF($O211="Jaid", "True Semantic",
IF($O211="Kali-A", "True Search", IF($O211="kPAR", "True Pattern", IF($O211="Nopol", "True Semantic", IF($O211="RSRepair-A", "Evolutionary Search", IF($O211="SequenceR", "Deep Learning", IF($O211="SimFix", "Search Like Pattern", IF($O211="SketchFix", "True Pattern", IF($O211="SOFix", "True Pattern", IF($O211="ssFix", "Search Like Pattern", IF($O211="TBar", "True Pattern", ""))))))))))))))))))))</f>
        <v>True Pattern</v>
      </c>
      <c r="Q211" s="13" t="str">
        <f>IF(NOT(ISERR(SEARCH("*_Buggy",$A211))), "Buggy", IF(NOT(ISERR(SEARCH("*_Fixed",$A211))), "Fixed", IF(NOT(ISERR(SEARCH("*_Repaired",$A211))), "Repaired", "")))</f>
        <v>Buggy</v>
      </c>
      <c r="R211" s="13"/>
      <c r="S211" s="13"/>
      <c r="T211" s="13"/>
      <c r="U211" s="13"/>
      <c r="V211" s="13"/>
      <c r="W211" s="13"/>
    </row>
    <row r="212" spans="1:23" x14ac:dyDescent="0.35">
      <c r="A212" s="5" t="s">
        <v>681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>LEFT($A212,FIND("_",$A212)-1)</f>
        <v>FixMiner</v>
      </c>
      <c r="P212" s="13" t="str">
        <f>IF($O212="ACS", "True Search", IF($O212="Arja", "Evolutionary Search", IF($O212="AVATAR", "True Pattern", IF($O212="CapGen", "Search Like Pattern", IF($O212="Cardumen", "True Semantic", IF($O212="DynaMoth", "True Semantic", IF($O212="FixMiner", "True Pattern", IF($O212="GenProg-A", "Evolutionary Search", IF($O212="Hercules", "Learning Pattern", IF($O212="Jaid", "True Semantic",
IF($O212="Kali-A", "True Search", IF($O212="kPAR", "True Pattern", IF($O212="Nopol", "True Semantic", IF($O212="RSRepair-A", "Evolutionary Search", IF($O212="SequenceR", "Deep Learning", IF($O212="SimFix", "Search Like Pattern", IF($O212="SketchFix", "True Pattern", IF($O212="SOFix", "True Pattern", IF($O212="ssFix", "Search Like Pattern", IF($O212="TBar", "True Pattern", ""))))))))))))))))))))</f>
        <v>True Pattern</v>
      </c>
      <c r="Q212" s="13" t="str">
        <f>IF(NOT(ISERR(SEARCH("*_Buggy",$A212))), "Buggy", IF(NOT(ISERR(SEARCH("*_Fixed",$A212))), "Fixed", IF(NOT(ISERR(SEARCH("*_Repaired",$A212))), "Repaired", "")))</f>
        <v>Buggy</v>
      </c>
      <c r="R212" s="13"/>
      <c r="S212" s="13"/>
      <c r="T212" s="13"/>
      <c r="U212" s="13"/>
      <c r="V212" s="13"/>
      <c r="W212" s="13"/>
    </row>
    <row r="213" spans="1:23" x14ac:dyDescent="0.35">
      <c r="A213" s="5" t="s">
        <v>390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>LEFT($A213,FIND("_",$A213)-1)</f>
        <v>FixMiner</v>
      </c>
      <c r="P213" s="13" t="str">
        <f>IF($O213="ACS", "True Search", IF($O213="Arja", "Evolutionary Search", IF($O213="AVATAR", "True Pattern", IF($O213="CapGen", "Search Like Pattern", IF($O213="Cardumen", "True Semantic", IF($O213="DynaMoth", "True Semantic", IF($O213="FixMiner", "True Pattern", IF($O213="GenProg-A", "Evolutionary Search", IF($O213="Hercules", "Learning Pattern", IF($O213="Jaid", "True Semantic",
IF($O213="Kali-A", "True Search", IF($O213="kPAR", "True Pattern", IF($O213="Nopol", "True Semantic", IF($O213="RSRepair-A", "Evolutionary Search", IF($O213="SequenceR", "Deep Learning", IF($O213="SimFix", "Search Like Pattern", IF($O213="SketchFix", "True Pattern", IF($O213="SOFix", "True Pattern", IF($O213="ssFix", "Search Like Pattern", IF($O213="TBar", "True Pattern", ""))))))))))))))))))))</f>
        <v>True Pattern</v>
      </c>
      <c r="Q213" s="13" t="str">
        <f>IF(NOT(ISERR(SEARCH("*_Buggy",$A213))), "Buggy", IF(NOT(ISERR(SEARCH("*_Fixed",$A213))), "Fixed", IF(NOT(ISERR(SEARCH("*_Repaired",$A213))), "Repaired", "")))</f>
        <v>Buggy</v>
      </c>
      <c r="R213" s="13"/>
      <c r="S213" s="13"/>
      <c r="T213" s="13"/>
      <c r="U213" s="13"/>
      <c r="V213" s="13"/>
      <c r="W213" s="13"/>
    </row>
    <row r="214" spans="1:23" x14ac:dyDescent="0.35">
      <c r="A214" s="5" t="s">
        <v>1340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>LEFT($A214,FIND("_",$A214)-1)</f>
        <v>GenProg-A</v>
      </c>
      <c r="P214" s="13" t="str">
        <f>IF($O214="ACS", "True Search", IF($O214="Arja", "Evolutionary Search", IF($O214="AVATAR", "True Pattern", IF($O214="CapGen", "Search Like Pattern", IF($O214="Cardumen", "True Semantic", IF($O214="DynaMoth", "True Semantic", IF($O214="FixMiner", "True Pattern", IF($O214="GenProg-A", "Evolutionary Search", IF($O214="Hercules", "Learning Pattern", IF($O214="Jaid", "True Semantic",
IF($O214="Kali-A", "True Search", IF($O214="kPAR", "True Pattern", IF($O214="Nopol", "True Semantic", IF($O214="RSRepair-A", "Evolutionary Search", IF($O214="SequenceR", "Deep Learning", IF($O214="SimFix", "Search Like Pattern", IF($O214="SketchFix", "True Pattern", IF($O214="SOFix", "True Pattern", IF($O214="ssFix", "Search Like Pattern", IF($O214="TBar", "True Pattern", ""))))))))))))))))))))</f>
        <v>Evolutionary Search</v>
      </c>
      <c r="Q214" s="13" t="str">
        <f>IF(NOT(ISERR(SEARCH("*_Buggy",$A214))), "Buggy", IF(NOT(ISERR(SEARCH("*_Fixed",$A214))), "Fixed", IF(NOT(ISERR(SEARCH("*_Repaired",$A214))), "Repaired", "")))</f>
        <v>Buggy</v>
      </c>
      <c r="R214" s="13"/>
      <c r="S214" s="13"/>
      <c r="T214" s="13"/>
      <c r="U214" s="13"/>
      <c r="V214" s="13"/>
      <c r="W214" s="13"/>
    </row>
    <row r="215" spans="1:23" x14ac:dyDescent="0.35">
      <c r="A215" s="5" t="s">
        <v>1341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>LEFT($A215,FIND("_",$A215)-1)</f>
        <v>GenProg-A</v>
      </c>
      <c r="P215" s="13" t="str">
        <f>IF($O215="ACS", "True Search", IF($O215="Arja", "Evolutionary Search", IF($O215="AVATAR", "True Pattern", IF($O215="CapGen", "Search Like Pattern", IF($O215="Cardumen", "True Semantic", IF($O215="DynaMoth", "True Semantic", IF($O215="FixMiner", "True Pattern", IF($O215="GenProg-A", "Evolutionary Search", IF($O215="Hercules", "Learning Pattern", IF($O215="Jaid", "True Semantic",
IF($O215="Kali-A", "True Search", IF($O215="kPAR", "True Pattern", IF($O215="Nopol", "True Semantic", IF($O215="RSRepair-A", "Evolutionary Search", IF($O215="SequenceR", "Deep Learning", IF($O215="SimFix", "Search Like Pattern", IF($O215="SketchFix", "True Pattern", IF($O215="SOFix", "True Pattern", IF($O215="ssFix", "Search Like Pattern", IF($O215="TBar", "True Pattern", ""))))))))))))))))))))</f>
        <v>Evolutionary Search</v>
      </c>
      <c r="Q215" s="13" t="str">
        <f>IF(NOT(ISERR(SEARCH("*_Buggy",$A215))), "Buggy", IF(NOT(ISERR(SEARCH("*_Fixed",$A215))), "Fixed", IF(NOT(ISERR(SEARCH("*_Repaired",$A215))), "Repaired", "")))</f>
        <v>Buggy</v>
      </c>
      <c r="R215" s="13"/>
      <c r="S215" s="13"/>
      <c r="T215" s="13"/>
      <c r="U215" s="13"/>
      <c r="V215" s="13"/>
      <c r="W215" s="13"/>
    </row>
    <row r="216" spans="1:23" x14ac:dyDescent="0.35">
      <c r="A216" s="5" t="s">
        <v>1342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>LEFT($A216,FIND("_",$A216)-1)</f>
        <v>GenProg-A</v>
      </c>
      <c r="P216" s="13" t="str">
        <f>IF($O216="ACS", "True Search", IF($O216="Arja", "Evolutionary Search", IF($O216="AVATAR", "True Pattern", IF($O216="CapGen", "Search Like Pattern", IF($O216="Cardumen", "True Semantic", IF($O216="DynaMoth", "True Semantic", IF($O216="FixMiner", "True Pattern", IF($O216="GenProg-A", "Evolutionary Search", IF($O216="Hercules", "Learning Pattern", IF($O216="Jaid", "True Semantic",
IF($O216="Kali-A", "True Search", IF($O216="kPAR", "True Pattern", IF($O216="Nopol", "True Semantic", IF($O216="RSRepair-A", "Evolutionary Search", IF($O216="SequenceR", "Deep Learning", IF($O216="SimFix", "Search Like Pattern", IF($O216="SketchFix", "True Pattern", IF($O216="SOFix", "True Pattern", IF($O216="ssFix", "Search Like Pattern", IF($O216="TBar", "True Pattern", ""))))))))))))))))))))</f>
        <v>Evolutionary Search</v>
      </c>
      <c r="Q216" s="13" t="str">
        <f>IF(NOT(ISERR(SEARCH("*_Buggy",$A216))), "Buggy", IF(NOT(ISERR(SEARCH("*_Fixed",$A216))), "Fixed", IF(NOT(ISERR(SEARCH("*_Repaired",$A216))), "Repaired", "")))</f>
        <v>Buggy</v>
      </c>
      <c r="R216" s="13"/>
      <c r="S216" s="13"/>
      <c r="T216" s="13"/>
      <c r="U216" s="13"/>
      <c r="V216" s="13"/>
      <c r="W216" s="13"/>
    </row>
    <row r="217" spans="1:23" x14ac:dyDescent="0.35">
      <c r="A217" s="7" t="s">
        <v>1343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>LEFT($A217,FIND("_",$A217)-1)</f>
        <v>GenProg-A</v>
      </c>
      <c r="P217" s="13" t="str">
        <f>IF($O217="ACS", "True Search", IF($O217="Arja", "Evolutionary Search", IF($O217="AVATAR", "True Pattern", IF($O217="CapGen", "Search Like Pattern", IF($O217="Cardumen", "True Semantic", IF($O217="DynaMoth", "True Semantic", IF($O217="FixMiner", "True Pattern", IF($O217="GenProg-A", "Evolutionary Search", IF($O217="Hercules", "Learning Pattern", IF($O217="Jaid", "True Semantic",
IF($O217="Kali-A", "True Search", IF($O217="kPAR", "True Pattern", IF($O217="Nopol", "True Semantic", IF($O217="RSRepair-A", "Evolutionary Search", IF($O217="SequenceR", "Deep Learning", IF($O217="SimFix", "Search Like Pattern", IF($O217="SketchFix", "True Pattern", IF($O217="SOFix", "True Pattern", IF($O217="ssFix", "Search Like Pattern", IF($O217="TBar", "True Pattern", ""))))))))))))))))))))</f>
        <v>Evolutionary Search</v>
      </c>
      <c r="Q217" s="13" t="str">
        <f>IF(NOT(ISERR(SEARCH("*_Buggy",$A217))), "Buggy", IF(NOT(ISERR(SEARCH("*_Fixed",$A217))), "Fixed", IF(NOT(ISERR(SEARCH("*_Repaired",$A217))), "Repaired", "")))</f>
        <v>Buggy</v>
      </c>
      <c r="R217" s="13"/>
      <c r="S217" s="13"/>
      <c r="T217" s="13"/>
      <c r="U217" s="13"/>
      <c r="V217" s="13"/>
      <c r="W217" s="13"/>
    </row>
    <row r="218" spans="1:23" x14ac:dyDescent="0.35">
      <c r="A218" s="7" t="s">
        <v>1344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>LEFT($A218,FIND("_",$A218)-1)</f>
        <v>GenProg-A</v>
      </c>
      <c r="P218" s="13" t="str">
        <f>IF($O218="ACS", "True Search", IF($O218="Arja", "Evolutionary Search", IF($O218="AVATAR", "True Pattern", IF($O218="CapGen", "Search Like Pattern", IF($O218="Cardumen", "True Semantic", IF($O218="DynaMoth", "True Semantic", IF($O218="FixMiner", "True Pattern", IF($O218="GenProg-A", "Evolutionary Search", IF($O218="Hercules", "Learning Pattern", IF($O218="Jaid", "True Semantic",
IF($O218="Kali-A", "True Search", IF($O218="kPAR", "True Pattern", IF($O218="Nopol", "True Semantic", IF($O218="RSRepair-A", "Evolutionary Search", IF($O218="SequenceR", "Deep Learning", IF($O218="SimFix", "Search Like Pattern", IF($O218="SketchFix", "True Pattern", IF($O218="SOFix", "True Pattern", IF($O218="ssFix", "Search Like Pattern", IF($O218="TBar", "True Pattern", ""))))))))))))))))))))</f>
        <v>Evolutionary Search</v>
      </c>
      <c r="Q218" s="13" t="str">
        <f>IF(NOT(ISERR(SEARCH("*_Buggy",$A218))), "Buggy", IF(NOT(ISERR(SEARCH("*_Fixed",$A218))), "Fixed", IF(NOT(ISERR(SEARCH("*_Repaired",$A218))), "Repaired", "")))</f>
        <v>Buggy</v>
      </c>
      <c r="R218" s="13"/>
      <c r="S218" s="13"/>
      <c r="T218" s="13"/>
      <c r="U218" s="13"/>
      <c r="V218" s="13"/>
      <c r="W218" s="13"/>
    </row>
    <row r="219" spans="1:23" x14ac:dyDescent="0.35">
      <c r="A219" s="5" t="s">
        <v>1345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>LEFT($A219,FIND("_",$A219)-1)</f>
        <v>GenProg-A</v>
      </c>
      <c r="P219" s="13" t="str">
        <f>IF($O219="ACS", "True Search", IF($O219="Arja", "Evolutionary Search", IF($O219="AVATAR", "True Pattern", IF($O219="CapGen", "Search Like Pattern", IF($O219="Cardumen", "True Semantic", IF($O219="DynaMoth", "True Semantic", IF($O219="FixMiner", "True Pattern", IF($O219="GenProg-A", "Evolutionary Search", IF($O219="Hercules", "Learning Pattern", IF($O219="Jaid", "True Semantic",
IF($O219="Kali-A", "True Search", IF($O219="kPAR", "True Pattern", IF($O219="Nopol", "True Semantic", IF($O219="RSRepair-A", "Evolutionary Search", IF($O219="SequenceR", "Deep Learning", IF($O219="SimFix", "Search Like Pattern", IF($O219="SketchFix", "True Pattern", IF($O219="SOFix", "True Pattern", IF($O219="ssFix", "Search Like Pattern", IF($O219="TBar", "True Pattern", ""))))))))))))))))))))</f>
        <v>Evolutionary Search</v>
      </c>
      <c r="Q219" s="13" t="str">
        <f>IF(NOT(ISERR(SEARCH("*_Buggy",$A219))), "Buggy", IF(NOT(ISERR(SEARCH("*_Fixed",$A219))), "Fixed", IF(NOT(ISERR(SEARCH("*_Repaired",$A219))), "Repaired", "")))</f>
        <v>Buggy</v>
      </c>
      <c r="R219" s="13"/>
      <c r="S219" s="13"/>
      <c r="T219" s="13"/>
      <c r="U219" s="13"/>
      <c r="V219" s="13"/>
      <c r="W219" s="13"/>
    </row>
    <row r="220" spans="1:23" x14ac:dyDescent="0.35">
      <c r="A220" s="5" t="s">
        <v>1346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>LEFT($A220,FIND("_",$A220)-1)</f>
        <v>GenProg-A</v>
      </c>
      <c r="P220" s="13" t="str">
        <f>IF($O220="ACS", "True Search", IF($O220="Arja", "Evolutionary Search", IF($O220="AVATAR", "True Pattern", IF($O220="CapGen", "Search Like Pattern", IF($O220="Cardumen", "True Semantic", IF($O220="DynaMoth", "True Semantic", IF($O220="FixMiner", "True Pattern", IF($O220="GenProg-A", "Evolutionary Search", IF($O220="Hercules", "Learning Pattern", IF($O220="Jaid", "True Semantic",
IF($O220="Kali-A", "True Search", IF($O220="kPAR", "True Pattern", IF($O220="Nopol", "True Semantic", IF($O220="RSRepair-A", "Evolutionary Search", IF($O220="SequenceR", "Deep Learning", IF($O220="SimFix", "Search Like Pattern", IF($O220="SketchFix", "True Pattern", IF($O220="SOFix", "True Pattern", IF($O220="ssFix", "Search Like Pattern", IF($O220="TBar", "True Pattern", ""))))))))))))))))))))</f>
        <v>Evolutionary Search</v>
      </c>
      <c r="Q220" s="13" t="str">
        <f>IF(NOT(ISERR(SEARCH("*_Buggy",$A220))), "Buggy", IF(NOT(ISERR(SEARCH("*_Fixed",$A220))), "Fixed", IF(NOT(ISERR(SEARCH("*_Repaired",$A220))), "Repaired", "")))</f>
        <v>Buggy</v>
      </c>
      <c r="R220" s="13"/>
      <c r="S220" s="13"/>
      <c r="T220" s="13"/>
      <c r="U220" s="13"/>
      <c r="V220" s="13"/>
      <c r="W220" s="13"/>
    </row>
    <row r="221" spans="1:23" x14ac:dyDescent="0.35">
      <c r="A221" s="7" t="s">
        <v>1347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>LEFT($A221,FIND("_",$A221)-1)</f>
        <v>GenProg-A</v>
      </c>
      <c r="P221" s="13" t="str">
        <f>IF($O221="ACS", "True Search", IF($O221="Arja", "Evolutionary Search", IF($O221="AVATAR", "True Pattern", IF($O221="CapGen", "Search Like Pattern", IF($O221="Cardumen", "True Semantic", IF($O221="DynaMoth", "True Semantic", IF($O221="FixMiner", "True Pattern", IF($O221="GenProg-A", "Evolutionary Search", IF($O221="Hercules", "Learning Pattern", IF($O221="Jaid", "True Semantic",
IF($O221="Kali-A", "True Search", IF($O221="kPAR", "True Pattern", IF($O221="Nopol", "True Semantic", IF($O221="RSRepair-A", "Evolutionary Search", IF($O221="SequenceR", "Deep Learning", IF($O221="SimFix", "Search Like Pattern", IF($O221="SketchFix", "True Pattern", IF($O221="SOFix", "True Pattern", IF($O221="ssFix", "Search Like Pattern", IF($O221="TBar", "True Pattern", ""))))))))))))))))))))</f>
        <v>Evolutionary Search</v>
      </c>
      <c r="Q221" s="13" t="str">
        <f>IF(NOT(ISERR(SEARCH("*_Buggy",$A221))), "Buggy", IF(NOT(ISERR(SEARCH("*_Fixed",$A221))), "Fixed", IF(NOT(ISERR(SEARCH("*_Repaired",$A221))), "Repaired", "")))</f>
        <v>Buggy</v>
      </c>
      <c r="R221" s="13"/>
      <c r="S221" s="13"/>
      <c r="T221" s="13"/>
      <c r="U221" s="13"/>
      <c r="V221" s="13"/>
      <c r="W221" s="13"/>
    </row>
    <row r="222" spans="1:23" x14ac:dyDescent="0.35">
      <c r="A222" s="7" t="s">
        <v>1348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>LEFT($A222,FIND("_",$A222)-1)</f>
        <v>GenProg-A</v>
      </c>
      <c r="P222" s="13" t="str">
        <f>IF($O222="ACS", "True Search", IF($O222="Arja", "Evolutionary Search", IF($O222="AVATAR", "True Pattern", IF($O222="CapGen", "Search Like Pattern", IF($O222="Cardumen", "True Semantic", IF($O222="DynaMoth", "True Semantic", IF($O222="FixMiner", "True Pattern", IF($O222="GenProg-A", "Evolutionary Search", IF($O222="Hercules", "Learning Pattern", IF($O222="Jaid", "True Semantic",
IF($O222="Kali-A", "True Search", IF($O222="kPAR", "True Pattern", IF($O222="Nopol", "True Semantic", IF($O222="RSRepair-A", "Evolutionary Search", IF($O222="SequenceR", "Deep Learning", IF($O222="SimFix", "Search Like Pattern", IF($O222="SketchFix", "True Pattern", IF($O222="SOFix", "True Pattern", IF($O222="ssFix", "Search Like Pattern", IF($O222="TBar", "True Pattern", ""))))))))))))))))))))</f>
        <v>Evolutionary Search</v>
      </c>
      <c r="Q222" s="13" t="str">
        <f>IF(NOT(ISERR(SEARCH("*_Buggy",$A222))), "Buggy", IF(NOT(ISERR(SEARCH("*_Fixed",$A222))), "Fixed", IF(NOT(ISERR(SEARCH("*_Repaired",$A222))), "Repaired", "")))</f>
        <v>Buggy</v>
      </c>
      <c r="R222" s="13"/>
      <c r="S222" s="13"/>
      <c r="T222" s="13"/>
      <c r="U222" s="13"/>
      <c r="V222" s="13"/>
      <c r="W222" s="13"/>
    </row>
    <row r="223" spans="1:23" x14ac:dyDescent="0.35">
      <c r="A223" s="7" t="s">
        <v>1349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>LEFT($A223,FIND("_",$A223)-1)</f>
        <v>GenProg-A</v>
      </c>
      <c r="P223" s="13" t="str">
        <f>IF($O223="ACS", "True Search", IF($O223="Arja", "Evolutionary Search", IF($O223="AVATAR", "True Pattern", IF($O223="CapGen", "Search Like Pattern", IF($O223="Cardumen", "True Semantic", IF($O223="DynaMoth", "True Semantic", IF($O223="FixMiner", "True Pattern", IF($O223="GenProg-A", "Evolutionary Search", IF($O223="Hercules", "Learning Pattern", IF($O223="Jaid", "True Semantic",
IF($O223="Kali-A", "True Search", IF($O223="kPAR", "True Pattern", IF($O223="Nopol", "True Semantic", IF($O223="RSRepair-A", "Evolutionary Search", IF($O223="SequenceR", "Deep Learning", IF($O223="SimFix", "Search Like Pattern", IF($O223="SketchFix", "True Pattern", IF($O223="SOFix", "True Pattern", IF($O223="ssFix", "Search Like Pattern", IF($O223="TBar", "True Pattern", ""))))))))))))))))))))</f>
        <v>Evolutionary Search</v>
      </c>
      <c r="Q223" s="13" t="str">
        <f>IF(NOT(ISERR(SEARCH("*_Buggy",$A223))), "Buggy", IF(NOT(ISERR(SEARCH("*_Fixed",$A223))), "Fixed", IF(NOT(ISERR(SEARCH("*_Repaired",$A223))), "Repaired", "")))</f>
        <v>Buggy</v>
      </c>
      <c r="R223" s="13"/>
      <c r="S223" s="13"/>
      <c r="T223" s="13"/>
      <c r="U223" s="13"/>
      <c r="V223" s="13"/>
      <c r="W223" s="13"/>
    </row>
    <row r="224" spans="1:23" x14ac:dyDescent="0.35">
      <c r="A224" s="5" t="s">
        <v>1350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>LEFT($A224,FIND("_",$A224)-1)</f>
        <v>GenProg-A</v>
      </c>
      <c r="P224" s="13" t="str">
        <f>IF($O224="ACS", "True Search", IF($O224="Arja", "Evolutionary Search", IF($O224="AVATAR", "True Pattern", IF($O224="CapGen", "Search Like Pattern", IF($O224="Cardumen", "True Semantic", IF($O224="DynaMoth", "True Semantic", IF($O224="FixMiner", "True Pattern", IF($O224="GenProg-A", "Evolutionary Search", IF($O224="Hercules", "Learning Pattern", IF($O224="Jaid", "True Semantic",
IF($O224="Kali-A", "True Search", IF($O224="kPAR", "True Pattern", IF($O224="Nopol", "True Semantic", IF($O224="RSRepair-A", "Evolutionary Search", IF($O224="SequenceR", "Deep Learning", IF($O224="SimFix", "Search Like Pattern", IF($O224="SketchFix", "True Pattern", IF($O224="SOFix", "True Pattern", IF($O224="ssFix", "Search Like Pattern", IF($O224="TBar", "True Pattern", ""))))))))))))))))))))</f>
        <v>Evolutionary Search</v>
      </c>
      <c r="Q224" s="13" t="str">
        <f>IF(NOT(ISERR(SEARCH("*_Buggy",$A224))), "Buggy", IF(NOT(ISERR(SEARCH("*_Fixed",$A224))), "Fixed", IF(NOT(ISERR(SEARCH("*_Repaired",$A224))), "Repaired", "")))</f>
        <v>Buggy</v>
      </c>
      <c r="R224" s="13"/>
      <c r="S224" s="13"/>
      <c r="T224" s="13"/>
      <c r="U224" s="13"/>
      <c r="V224" s="13"/>
      <c r="W224" s="13"/>
    </row>
    <row r="225" spans="1:23" x14ac:dyDescent="0.35">
      <c r="A225" s="5" t="s">
        <v>1351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>LEFT($A225,FIND("_",$A225)-1)</f>
        <v>GenProg-A</v>
      </c>
      <c r="P225" s="13" t="str">
        <f>IF($O225="ACS", "True Search", IF($O225="Arja", "Evolutionary Search", IF($O225="AVATAR", "True Pattern", IF($O225="CapGen", "Search Like Pattern", IF($O225="Cardumen", "True Semantic", IF($O225="DynaMoth", "True Semantic", IF($O225="FixMiner", "True Pattern", IF($O225="GenProg-A", "Evolutionary Search", IF($O225="Hercules", "Learning Pattern", IF($O225="Jaid", "True Semantic",
IF($O225="Kali-A", "True Search", IF($O225="kPAR", "True Pattern", IF($O225="Nopol", "True Semantic", IF($O225="RSRepair-A", "Evolutionary Search", IF($O225="SequenceR", "Deep Learning", IF($O225="SimFix", "Search Like Pattern", IF($O225="SketchFix", "True Pattern", IF($O225="SOFix", "True Pattern", IF($O225="ssFix", "Search Like Pattern", IF($O225="TBar", "True Pattern", ""))))))))))))))))))))</f>
        <v>Evolutionary Search</v>
      </c>
      <c r="Q225" s="13" t="str">
        <f>IF(NOT(ISERR(SEARCH("*_Buggy",$A225))), "Buggy", IF(NOT(ISERR(SEARCH("*_Fixed",$A225))), "Fixed", IF(NOT(ISERR(SEARCH("*_Repaired",$A225))), "Repaired", "")))</f>
        <v>Buggy</v>
      </c>
      <c r="R225" s="13"/>
      <c r="S225" s="13"/>
      <c r="T225" s="13"/>
      <c r="U225" s="13"/>
      <c r="V225" s="13"/>
      <c r="W225" s="13"/>
    </row>
    <row r="226" spans="1:23" x14ac:dyDescent="0.35">
      <c r="A226" s="7" t="s">
        <v>1352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>LEFT($A226,FIND("_",$A226)-1)</f>
        <v>GenProg-A</v>
      </c>
      <c r="P226" s="13" t="str">
        <f>IF($O226="ACS", "True Search", IF($O226="Arja", "Evolutionary Search", IF($O226="AVATAR", "True Pattern", IF($O226="CapGen", "Search Like Pattern", IF($O226="Cardumen", "True Semantic", IF($O226="DynaMoth", "True Semantic", IF($O226="FixMiner", "True Pattern", IF($O226="GenProg-A", "Evolutionary Search", IF($O226="Hercules", "Learning Pattern", IF($O226="Jaid", "True Semantic",
IF($O226="Kali-A", "True Search", IF($O226="kPAR", "True Pattern", IF($O226="Nopol", "True Semantic", IF($O226="RSRepair-A", "Evolutionary Search", IF($O226="SequenceR", "Deep Learning", IF($O226="SimFix", "Search Like Pattern", IF($O226="SketchFix", "True Pattern", IF($O226="SOFix", "True Pattern", IF($O226="ssFix", "Search Like Pattern", IF($O226="TBar", "True Pattern", ""))))))))))))))))))))</f>
        <v>Evolutionary Search</v>
      </c>
      <c r="Q226" s="13" t="str">
        <f>IF(NOT(ISERR(SEARCH("*_Buggy",$A226))), "Buggy", IF(NOT(ISERR(SEARCH("*_Fixed",$A226))), "Fixed", IF(NOT(ISERR(SEARCH("*_Repaired",$A226))), "Repaired", "")))</f>
        <v>Buggy</v>
      </c>
      <c r="R226" s="13"/>
      <c r="S226" s="13"/>
      <c r="T226" s="13"/>
      <c r="U226" s="13"/>
      <c r="V226" s="13"/>
      <c r="W226" s="13"/>
    </row>
    <row r="227" spans="1:23" x14ac:dyDescent="0.35">
      <c r="A227" s="5" t="s">
        <v>1353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>LEFT($A227,FIND("_",$A227)-1)</f>
        <v>GenProg-A</v>
      </c>
      <c r="P227" s="13" t="str">
        <f>IF($O227="ACS", "True Search", IF($O227="Arja", "Evolutionary Search", IF($O227="AVATAR", "True Pattern", IF($O227="CapGen", "Search Like Pattern", IF($O227="Cardumen", "True Semantic", IF($O227="DynaMoth", "True Semantic", IF($O227="FixMiner", "True Pattern", IF($O227="GenProg-A", "Evolutionary Search", IF($O227="Hercules", "Learning Pattern", IF($O227="Jaid", "True Semantic",
IF($O227="Kali-A", "True Search", IF($O227="kPAR", "True Pattern", IF($O227="Nopol", "True Semantic", IF($O227="RSRepair-A", "Evolutionary Search", IF($O227="SequenceR", "Deep Learning", IF($O227="SimFix", "Search Like Pattern", IF($O227="SketchFix", "True Pattern", IF($O227="SOFix", "True Pattern", IF($O227="ssFix", "Search Like Pattern", IF($O227="TBar", "True Pattern", ""))))))))))))))))))))</f>
        <v>Evolutionary Search</v>
      </c>
      <c r="Q227" s="13" t="str">
        <f>IF(NOT(ISERR(SEARCH("*_Buggy",$A227))), "Buggy", IF(NOT(ISERR(SEARCH("*_Fixed",$A227))), "Fixed", IF(NOT(ISERR(SEARCH("*_Repaired",$A227))), "Repaired", "")))</f>
        <v>Buggy</v>
      </c>
      <c r="R227" s="13"/>
      <c r="S227" s="13"/>
      <c r="T227" s="13"/>
      <c r="U227" s="13"/>
      <c r="V227" s="13"/>
      <c r="W227" s="13"/>
    </row>
    <row r="228" spans="1:23" x14ac:dyDescent="0.35">
      <c r="A228" s="7" t="s">
        <v>1354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>LEFT($A228,FIND("_",$A228)-1)</f>
        <v>GenProg-A</v>
      </c>
      <c r="P228" s="13" t="str">
        <f>IF($O228="ACS", "True Search", IF($O228="Arja", "Evolutionary Search", IF($O228="AVATAR", "True Pattern", IF($O228="CapGen", "Search Like Pattern", IF($O228="Cardumen", "True Semantic", IF($O228="DynaMoth", "True Semantic", IF($O228="FixMiner", "True Pattern", IF($O228="GenProg-A", "Evolutionary Search", IF($O228="Hercules", "Learning Pattern", IF($O228="Jaid", "True Semantic",
IF($O228="Kali-A", "True Search", IF($O228="kPAR", "True Pattern", IF($O228="Nopol", "True Semantic", IF($O228="RSRepair-A", "Evolutionary Search", IF($O228="SequenceR", "Deep Learning", IF($O228="SimFix", "Search Like Pattern", IF($O228="SketchFix", "True Pattern", IF($O228="SOFix", "True Pattern", IF($O228="ssFix", "Search Like Pattern", IF($O228="TBar", "True Pattern", ""))))))))))))))))))))</f>
        <v>Evolutionary Search</v>
      </c>
      <c r="Q228" s="13" t="str">
        <f>IF(NOT(ISERR(SEARCH("*_Buggy",$A228))), "Buggy", IF(NOT(ISERR(SEARCH("*_Fixed",$A228))), "Fixed", IF(NOT(ISERR(SEARCH("*_Repaired",$A228))), "Repaired", "")))</f>
        <v>Buggy</v>
      </c>
      <c r="R228" s="13"/>
      <c r="S228" s="13"/>
      <c r="T228" s="13"/>
      <c r="U228" s="13"/>
      <c r="V228" s="13"/>
      <c r="W228" s="13"/>
    </row>
    <row r="229" spans="1:23" x14ac:dyDescent="0.35">
      <c r="A229" s="5" t="s">
        <v>1355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>LEFT($A229,FIND("_",$A229)-1)</f>
        <v>GenProg-A</v>
      </c>
      <c r="P229" s="13" t="str">
        <f>IF($O229="ACS", "True Search", IF($O229="Arja", "Evolutionary Search", IF($O229="AVATAR", "True Pattern", IF($O229="CapGen", "Search Like Pattern", IF($O229="Cardumen", "True Semantic", IF($O229="DynaMoth", "True Semantic", IF($O229="FixMiner", "True Pattern", IF($O229="GenProg-A", "Evolutionary Search", IF($O229="Hercules", "Learning Pattern", IF($O229="Jaid", "True Semantic",
IF($O229="Kali-A", "True Search", IF($O229="kPAR", "True Pattern", IF($O229="Nopol", "True Semantic", IF($O229="RSRepair-A", "Evolutionary Search", IF($O229="SequenceR", "Deep Learning", IF($O229="SimFix", "Search Like Pattern", IF($O229="SketchFix", "True Pattern", IF($O229="SOFix", "True Pattern", IF($O229="ssFix", "Search Like Pattern", IF($O229="TBar", "True Pattern", ""))))))))))))))))))))</f>
        <v>Evolutionary Search</v>
      </c>
      <c r="Q229" s="13" t="str">
        <f>IF(NOT(ISERR(SEARCH("*_Buggy",$A229))), "Buggy", IF(NOT(ISERR(SEARCH("*_Fixed",$A229))), "Fixed", IF(NOT(ISERR(SEARCH("*_Repaired",$A229))), "Repaired", "")))</f>
        <v>Buggy</v>
      </c>
      <c r="R229" s="13"/>
      <c r="S229" s="13"/>
      <c r="T229" s="13"/>
      <c r="U229" s="13"/>
      <c r="V229" s="13"/>
      <c r="W229" s="13"/>
    </row>
    <row r="230" spans="1:23" x14ac:dyDescent="0.35">
      <c r="A230" s="5" t="s">
        <v>1356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>LEFT($A230,FIND("_",$A230)-1)</f>
        <v>GenProg-A</v>
      </c>
      <c r="P230" s="13" t="str">
        <f>IF($O230="ACS", "True Search", IF($O230="Arja", "Evolutionary Search", IF($O230="AVATAR", "True Pattern", IF($O230="CapGen", "Search Like Pattern", IF($O230="Cardumen", "True Semantic", IF($O230="DynaMoth", "True Semantic", IF($O230="FixMiner", "True Pattern", IF($O230="GenProg-A", "Evolutionary Search", IF($O230="Hercules", "Learning Pattern", IF($O230="Jaid", "True Semantic",
IF($O230="Kali-A", "True Search", IF($O230="kPAR", "True Pattern", IF($O230="Nopol", "True Semantic", IF($O230="RSRepair-A", "Evolutionary Search", IF($O230="SequenceR", "Deep Learning", IF($O230="SimFix", "Search Like Pattern", IF($O230="SketchFix", "True Pattern", IF($O230="SOFix", "True Pattern", IF($O230="ssFix", "Search Like Pattern", IF($O230="TBar", "True Pattern", ""))))))))))))))))))))</f>
        <v>Evolutionary Search</v>
      </c>
      <c r="Q230" s="13" t="str">
        <f>IF(NOT(ISERR(SEARCH("*_Buggy",$A230))), "Buggy", IF(NOT(ISERR(SEARCH("*_Fixed",$A230))), "Fixed", IF(NOT(ISERR(SEARCH("*_Repaired",$A230))), "Repaired", "")))</f>
        <v>Buggy</v>
      </c>
      <c r="R230" s="13"/>
      <c r="S230" s="13"/>
      <c r="T230" s="13"/>
      <c r="U230" s="13"/>
      <c r="V230" s="13"/>
      <c r="W230" s="13"/>
    </row>
    <row r="231" spans="1:23" x14ac:dyDescent="0.35">
      <c r="A231" s="5" t="s">
        <v>1357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>LEFT($A231,FIND("_",$A231)-1)</f>
        <v>GenProg-A</v>
      </c>
      <c r="P231" s="13" t="str">
        <f>IF($O231="ACS", "True Search", IF($O231="Arja", "Evolutionary Search", IF($O231="AVATAR", "True Pattern", IF($O231="CapGen", "Search Like Pattern", IF($O231="Cardumen", "True Semantic", IF($O231="DynaMoth", "True Semantic", IF($O231="FixMiner", "True Pattern", IF($O231="GenProg-A", "Evolutionary Search", IF($O231="Hercules", "Learning Pattern", IF($O231="Jaid", "True Semantic",
IF($O231="Kali-A", "True Search", IF($O231="kPAR", "True Pattern", IF($O231="Nopol", "True Semantic", IF($O231="RSRepair-A", "Evolutionary Search", IF($O231="SequenceR", "Deep Learning", IF($O231="SimFix", "Search Like Pattern", IF($O231="SketchFix", "True Pattern", IF($O231="SOFix", "True Pattern", IF($O231="ssFix", "Search Like Pattern", IF($O231="TBar", "True Pattern", ""))))))))))))))))))))</f>
        <v>Evolutionary Search</v>
      </c>
      <c r="Q231" s="13" t="str">
        <f>IF(NOT(ISERR(SEARCH("*_Buggy",$A231))), "Buggy", IF(NOT(ISERR(SEARCH("*_Fixed",$A231))), "Fixed", IF(NOT(ISERR(SEARCH("*_Repaired",$A231))), "Repaired", "")))</f>
        <v>Buggy</v>
      </c>
      <c r="R231" s="13"/>
      <c r="S231" s="13"/>
      <c r="T231" s="13"/>
      <c r="U231" s="13"/>
      <c r="V231" s="13"/>
      <c r="W231" s="13"/>
    </row>
    <row r="232" spans="1:23" x14ac:dyDescent="0.35">
      <c r="A232" s="7" t="s">
        <v>1358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>LEFT($A232,FIND("_",$A232)-1)</f>
        <v>GenProg-A</v>
      </c>
      <c r="P232" s="13" t="str">
        <f>IF($O232="ACS", "True Search", IF($O232="Arja", "Evolutionary Search", IF($O232="AVATAR", "True Pattern", IF($O232="CapGen", "Search Like Pattern", IF($O232="Cardumen", "True Semantic", IF($O232="DynaMoth", "True Semantic", IF($O232="FixMiner", "True Pattern", IF($O232="GenProg-A", "Evolutionary Search", IF($O232="Hercules", "Learning Pattern", IF($O232="Jaid", "True Semantic",
IF($O232="Kali-A", "True Search", IF($O232="kPAR", "True Pattern", IF($O232="Nopol", "True Semantic", IF($O232="RSRepair-A", "Evolutionary Search", IF($O232="SequenceR", "Deep Learning", IF($O232="SimFix", "Search Like Pattern", IF($O232="SketchFix", "True Pattern", IF($O232="SOFix", "True Pattern", IF($O232="ssFix", "Search Like Pattern", IF($O232="TBar", "True Pattern", ""))))))))))))))))))))</f>
        <v>Evolutionary Search</v>
      </c>
      <c r="Q232" s="13" t="str">
        <f>IF(NOT(ISERR(SEARCH("*_Buggy",$A232))), "Buggy", IF(NOT(ISERR(SEARCH("*_Fixed",$A232))), "Fixed", IF(NOT(ISERR(SEARCH("*_Repaired",$A232))), "Repaired", "")))</f>
        <v>Buggy</v>
      </c>
      <c r="R232" s="13"/>
      <c r="S232" s="13"/>
      <c r="T232" s="13"/>
      <c r="U232" s="13"/>
      <c r="V232" s="13"/>
      <c r="W232" s="13"/>
    </row>
    <row r="233" spans="1:23" x14ac:dyDescent="0.35">
      <c r="A233" s="5" t="s">
        <v>1359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>LEFT($A233,FIND("_",$A233)-1)</f>
        <v>GenProg-A</v>
      </c>
      <c r="P233" s="13" t="str">
        <f>IF($O233="ACS", "True Search", IF($O233="Arja", "Evolutionary Search", IF($O233="AVATAR", "True Pattern", IF($O233="CapGen", "Search Like Pattern", IF($O233="Cardumen", "True Semantic", IF($O233="DynaMoth", "True Semantic", IF($O233="FixMiner", "True Pattern", IF($O233="GenProg-A", "Evolutionary Search", IF($O233="Hercules", "Learning Pattern", IF($O233="Jaid", "True Semantic",
IF($O233="Kali-A", "True Search", IF($O233="kPAR", "True Pattern", IF($O233="Nopol", "True Semantic", IF($O233="RSRepair-A", "Evolutionary Search", IF($O233="SequenceR", "Deep Learning", IF($O233="SimFix", "Search Like Pattern", IF($O233="SketchFix", "True Pattern", IF($O233="SOFix", "True Pattern", IF($O233="ssFix", "Search Like Pattern", IF($O233="TBar", "True Pattern", ""))))))))))))))))))))</f>
        <v>Evolutionary Search</v>
      </c>
      <c r="Q233" s="13" t="str">
        <f>IF(NOT(ISERR(SEARCH("*_Buggy",$A233))), "Buggy", IF(NOT(ISERR(SEARCH("*_Fixed",$A233))), "Fixed", IF(NOT(ISERR(SEARCH("*_Repaired",$A233))), "Repaired", "")))</f>
        <v>Buggy</v>
      </c>
      <c r="R233" s="13"/>
      <c r="S233" s="13"/>
      <c r="T233" s="13"/>
      <c r="U233" s="13"/>
      <c r="V233" s="13"/>
      <c r="W233" s="13"/>
    </row>
    <row r="234" spans="1:23" x14ac:dyDescent="0.35">
      <c r="A234" s="7" t="s">
        <v>1360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>LEFT($A234,FIND("_",$A234)-1)</f>
        <v>GenProg-A</v>
      </c>
      <c r="P234" s="13" t="str">
        <f>IF($O234="ACS", "True Search", IF($O234="Arja", "Evolutionary Search", IF($O234="AVATAR", "True Pattern", IF($O234="CapGen", "Search Like Pattern", IF($O234="Cardumen", "True Semantic", IF($O234="DynaMoth", "True Semantic", IF($O234="FixMiner", "True Pattern", IF($O234="GenProg-A", "Evolutionary Search", IF($O234="Hercules", "Learning Pattern", IF($O234="Jaid", "True Semantic",
IF($O234="Kali-A", "True Search", IF($O234="kPAR", "True Pattern", IF($O234="Nopol", "True Semantic", IF($O234="RSRepair-A", "Evolutionary Search", IF($O234="SequenceR", "Deep Learning", IF($O234="SimFix", "Search Like Pattern", IF($O234="SketchFix", "True Pattern", IF($O234="SOFix", "True Pattern", IF($O234="ssFix", "Search Like Pattern", IF($O234="TBar", "True Pattern", ""))))))))))))))))))))</f>
        <v>Evolutionary Search</v>
      </c>
      <c r="Q234" s="13" t="str">
        <f>IF(NOT(ISERR(SEARCH("*_Buggy",$A234))), "Buggy", IF(NOT(ISERR(SEARCH("*_Fixed",$A234))), "Fixed", IF(NOT(ISERR(SEARCH("*_Repaired",$A234))), "Repaired", "")))</f>
        <v>Buggy</v>
      </c>
      <c r="R234" s="13"/>
      <c r="S234" s="13"/>
      <c r="T234" s="13"/>
      <c r="U234" s="13"/>
      <c r="V234" s="13"/>
      <c r="W234" s="13"/>
    </row>
    <row r="235" spans="1:23" x14ac:dyDescent="0.35">
      <c r="A235" s="7" t="s">
        <v>1361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>LEFT($A235,FIND("_",$A235)-1)</f>
        <v>GenProg-A</v>
      </c>
      <c r="P235" s="13" t="str">
        <f>IF($O235="ACS", "True Search", IF($O235="Arja", "Evolutionary Search", IF($O235="AVATAR", "True Pattern", IF($O235="CapGen", "Search Like Pattern", IF($O235="Cardumen", "True Semantic", IF($O235="DynaMoth", "True Semantic", IF($O235="FixMiner", "True Pattern", IF($O235="GenProg-A", "Evolutionary Search", IF($O235="Hercules", "Learning Pattern", IF($O235="Jaid", "True Semantic",
IF($O235="Kali-A", "True Search", IF($O235="kPAR", "True Pattern", IF($O235="Nopol", "True Semantic", IF($O235="RSRepair-A", "Evolutionary Search", IF($O235="SequenceR", "Deep Learning", IF($O235="SimFix", "Search Like Pattern", IF($O235="SketchFix", "True Pattern", IF($O235="SOFix", "True Pattern", IF($O235="ssFix", "Search Like Pattern", IF($O235="TBar", "True Pattern", ""))))))))))))))))))))</f>
        <v>Evolutionary Search</v>
      </c>
      <c r="Q235" s="13" t="str">
        <f>IF(NOT(ISERR(SEARCH("*_Buggy",$A235))), "Buggy", IF(NOT(ISERR(SEARCH("*_Fixed",$A235))), "Fixed", IF(NOT(ISERR(SEARCH("*_Repaired",$A235))), "Repaired", "")))</f>
        <v>Buggy</v>
      </c>
      <c r="R235" s="13"/>
      <c r="S235" s="13"/>
      <c r="T235" s="13"/>
      <c r="U235" s="13"/>
      <c r="V235" s="13"/>
      <c r="W235" s="13"/>
    </row>
    <row r="236" spans="1:23" x14ac:dyDescent="0.35">
      <c r="A236" s="5" t="s">
        <v>1362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>LEFT($A236,FIND("_",$A236)-1)</f>
        <v>GenProg-A</v>
      </c>
      <c r="P236" s="13" t="str">
        <f>IF($O236="ACS", "True Search", IF($O236="Arja", "Evolutionary Search", IF($O236="AVATAR", "True Pattern", IF($O236="CapGen", "Search Like Pattern", IF($O236="Cardumen", "True Semantic", IF($O236="DynaMoth", "True Semantic", IF($O236="FixMiner", "True Pattern", IF($O236="GenProg-A", "Evolutionary Search", IF($O236="Hercules", "Learning Pattern", IF($O236="Jaid", "True Semantic",
IF($O236="Kali-A", "True Search", IF($O236="kPAR", "True Pattern", IF($O236="Nopol", "True Semantic", IF($O236="RSRepair-A", "Evolutionary Search", IF($O236="SequenceR", "Deep Learning", IF($O236="SimFix", "Search Like Pattern", IF($O236="SketchFix", "True Pattern", IF($O236="SOFix", "True Pattern", IF($O236="ssFix", "Search Like Pattern", IF($O236="TBar", "True Pattern", ""))))))))))))))))))))</f>
        <v>Evolutionary Search</v>
      </c>
      <c r="Q236" s="13" t="str">
        <f>IF(NOT(ISERR(SEARCH("*_Buggy",$A236))), "Buggy", IF(NOT(ISERR(SEARCH("*_Fixed",$A236))), "Fixed", IF(NOT(ISERR(SEARCH("*_Repaired",$A236))), "Repaired", "")))</f>
        <v>Buggy</v>
      </c>
      <c r="R236" s="13"/>
      <c r="S236" s="13"/>
      <c r="T236" s="13"/>
      <c r="U236" s="13"/>
      <c r="V236" s="13"/>
      <c r="W236" s="13"/>
    </row>
    <row r="237" spans="1:23" x14ac:dyDescent="0.35">
      <c r="A237" s="7" t="s">
        <v>1363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>LEFT($A237,FIND("_",$A237)-1)</f>
        <v>GenProg-A</v>
      </c>
      <c r="P237" s="13" t="str">
        <f>IF($O237="ACS", "True Search", IF($O237="Arja", "Evolutionary Search", IF($O237="AVATAR", "True Pattern", IF($O237="CapGen", "Search Like Pattern", IF($O237="Cardumen", "True Semantic", IF($O237="DynaMoth", "True Semantic", IF($O237="FixMiner", "True Pattern", IF($O237="GenProg-A", "Evolutionary Search", IF($O237="Hercules", "Learning Pattern", IF($O237="Jaid", "True Semantic",
IF($O237="Kali-A", "True Search", IF($O237="kPAR", "True Pattern", IF($O237="Nopol", "True Semantic", IF($O237="RSRepair-A", "Evolutionary Search", IF($O237="SequenceR", "Deep Learning", IF($O237="SimFix", "Search Like Pattern", IF($O237="SketchFix", "True Pattern", IF($O237="SOFix", "True Pattern", IF($O237="ssFix", "Search Like Pattern", IF($O237="TBar", "True Pattern", ""))))))))))))))))))))</f>
        <v>Evolutionary Search</v>
      </c>
      <c r="Q237" s="13" t="str">
        <f>IF(NOT(ISERR(SEARCH("*_Buggy",$A237))), "Buggy", IF(NOT(ISERR(SEARCH("*_Fixed",$A237))), "Fixed", IF(NOT(ISERR(SEARCH("*_Repaired",$A237))), "Repaired", "")))</f>
        <v>Buggy</v>
      </c>
      <c r="R237" s="13"/>
      <c r="S237" s="13"/>
      <c r="T237" s="13"/>
      <c r="U237" s="13"/>
      <c r="V237" s="13"/>
      <c r="W237" s="13"/>
    </row>
    <row r="238" spans="1:23" x14ac:dyDescent="0.35">
      <c r="A238" s="7" t="s">
        <v>1364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>LEFT($A238,FIND("_",$A238)-1)</f>
        <v>GenProg-A</v>
      </c>
      <c r="P238" s="13" t="str">
        <f>IF($O238="ACS", "True Search", IF($O238="Arja", "Evolutionary Search", IF($O238="AVATAR", "True Pattern", IF($O238="CapGen", "Search Like Pattern", IF($O238="Cardumen", "True Semantic", IF($O238="DynaMoth", "True Semantic", IF($O238="FixMiner", "True Pattern", IF($O238="GenProg-A", "Evolutionary Search", IF($O238="Hercules", "Learning Pattern", IF($O238="Jaid", "True Semantic",
IF($O238="Kali-A", "True Search", IF($O238="kPAR", "True Pattern", IF($O238="Nopol", "True Semantic", IF($O238="RSRepair-A", "Evolutionary Search", IF($O238="SequenceR", "Deep Learning", IF($O238="SimFix", "Search Like Pattern", IF($O238="SketchFix", "True Pattern", IF($O238="SOFix", "True Pattern", IF($O238="ssFix", "Search Like Pattern", IF($O238="TBar", "True Pattern", ""))))))))))))))))))))</f>
        <v>Evolutionary Search</v>
      </c>
      <c r="Q238" s="13" t="str">
        <f>IF(NOT(ISERR(SEARCH("*_Buggy",$A238))), "Buggy", IF(NOT(ISERR(SEARCH("*_Fixed",$A238))), "Fixed", IF(NOT(ISERR(SEARCH("*_Repaired",$A238))), "Repaired", "")))</f>
        <v>Buggy</v>
      </c>
      <c r="R238" s="13"/>
      <c r="S238" s="13"/>
      <c r="T238" s="13"/>
      <c r="U238" s="13"/>
      <c r="V238" s="13"/>
      <c r="W238" s="13"/>
    </row>
    <row r="239" spans="1:23" x14ac:dyDescent="0.35">
      <c r="A239" s="7" t="s">
        <v>1365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>LEFT($A239,FIND("_",$A239)-1)</f>
        <v>GenProg-A</v>
      </c>
      <c r="P239" s="13" t="str">
        <f>IF($O239="ACS", "True Search", IF($O239="Arja", "Evolutionary Search", IF($O239="AVATAR", "True Pattern", IF($O239="CapGen", "Search Like Pattern", IF($O239="Cardumen", "True Semantic", IF($O239="DynaMoth", "True Semantic", IF($O239="FixMiner", "True Pattern", IF($O239="GenProg-A", "Evolutionary Search", IF($O239="Hercules", "Learning Pattern", IF($O239="Jaid", "True Semantic",
IF($O239="Kali-A", "True Search", IF($O239="kPAR", "True Pattern", IF($O239="Nopol", "True Semantic", IF($O239="RSRepair-A", "Evolutionary Search", IF($O239="SequenceR", "Deep Learning", IF($O239="SimFix", "Search Like Pattern", IF($O239="SketchFix", "True Pattern", IF($O239="SOFix", "True Pattern", IF($O239="ssFix", "Search Like Pattern", IF($O239="TBar", "True Pattern", ""))))))))))))))))))))</f>
        <v>Evolutionary Search</v>
      </c>
      <c r="Q239" s="13" t="str">
        <f>IF(NOT(ISERR(SEARCH("*_Buggy",$A239))), "Buggy", IF(NOT(ISERR(SEARCH("*_Fixed",$A239))), "Fixed", IF(NOT(ISERR(SEARCH("*_Repaired",$A239))), "Repaired", "")))</f>
        <v>Buggy</v>
      </c>
      <c r="R239" s="13"/>
      <c r="S239" s="13"/>
      <c r="T239" s="13"/>
      <c r="U239" s="13"/>
      <c r="V239" s="13"/>
      <c r="W239" s="13"/>
    </row>
    <row r="240" spans="1:23" x14ac:dyDescent="0.35">
      <c r="A240" s="5" t="s">
        <v>1366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>LEFT($A240,FIND("_",$A240)-1)</f>
        <v>GenProg-A</v>
      </c>
      <c r="P240" s="13" t="str">
        <f>IF($O240="ACS", "True Search", IF($O240="Arja", "Evolutionary Search", IF($O240="AVATAR", "True Pattern", IF($O240="CapGen", "Search Like Pattern", IF($O240="Cardumen", "True Semantic", IF($O240="DynaMoth", "True Semantic", IF($O240="FixMiner", "True Pattern", IF($O240="GenProg-A", "Evolutionary Search", IF($O240="Hercules", "Learning Pattern", IF($O240="Jaid", "True Semantic",
IF($O240="Kali-A", "True Search", IF($O240="kPAR", "True Pattern", IF($O240="Nopol", "True Semantic", IF($O240="RSRepair-A", "Evolutionary Search", IF($O240="SequenceR", "Deep Learning", IF($O240="SimFix", "Search Like Pattern", IF($O240="SketchFix", "True Pattern", IF($O240="SOFix", "True Pattern", IF($O240="ssFix", "Search Like Pattern", IF($O240="TBar", "True Pattern", ""))))))))))))))))))))</f>
        <v>Evolutionary Search</v>
      </c>
      <c r="Q240" s="13" t="str">
        <f>IF(NOT(ISERR(SEARCH("*_Buggy",$A240))), "Buggy", IF(NOT(ISERR(SEARCH("*_Fixed",$A240))), "Fixed", IF(NOT(ISERR(SEARCH("*_Repaired",$A240))), "Repaired", "")))</f>
        <v>Buggy</v>
      </c>
      <c r="R240" s="13"/>
      <c r="S240" s="13"/>
      <c r="T240" s="13"/>
      <c r="U240" s="13"/>
      <c r="V240" s="13"/>
      <c r="W240" s="13"/>
    </row>
    <row r="241" spans="1:23" x14ac:dyDescent="0.35">
      <c r="A241" s="7" t="s">
        <v>1367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>LEFT($A241,FIND("_",$A241)-1)</f>
        <v>GenProg-A</v>
      </c>
      <c r="P241" s="13" t="str">
        <f>IF($O241="ACS", "True Search", IF($O241="Arja", "Evolutionary Search", IF($O241="AVATAR", "True Pattern", IF($O241="CapGen", "Search Like Pattern", IF($O241="Cardumen", "True Semantic", IF($O241="DynaMoth", "True Semantic", IF($O241="FixMiner", "True Pattern", IF($O241="GenProg-A", "Evolutionary Search", IF($O241="Hercules", "Learning Pattern", IF($O241="Jaid", "True Semantic",
IF($O241="Kali-A", "True Search", IF($O241="kPAR", "True Pattern", IF($O241="Nopol", "True Semantic", IF($O241="RSRepair-A", "Evolutionary Search", IF($O241="SequenceR", "Deep Learning", IF($O241="SimFix", "Search Like Pattern", IF($O241="SketchFix", "True Pattern", IF($O241="SOFix", "True Pattern", IF($O241="ssFix", "Search Like Pattern", IF($O241="TBar", "True Pattern", ""))))))))))))))))))))</f>
        <v>Evolutionary Search</v>
      </c>
      <c r="Q241" s="13" t="str">
        <f>IF(NOT(ISERR(SEARCH("*_Buggy",$A241))), "Buggy", IF(NOT(ISERR(SEARCH("*_Fixed",$A241))), "Fixed", IF(NOT(ISERR(SEARCH("*_Repaired",$A241))), "Repaired", "")))</f>
        <v>Buggy</v>
      </c>
      <c r="R241" s="13"/>
      <c r="S241" s="13"/>
      <c r="T241" s="13"/>
      <c r="U241" s="13"/>
      <c r="V241" s="13"/>
      <c r="W241" s="13"/>
    </row>
    <row r="242" spans="1:23" x14ac:dyDescent="0.35">
      <c r="A242" s="5" t="s">
        <v>1368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>LEFT($A242,FIND("_",$A242)-1)</f>
        <v>Kali-A</v>
      </c>
      <c r="P242" s="13" t="str">
        <f>IF($O242="ACS", "True Search", IF($O242="Arja", "Evolutionary Search", IF($O242="AVATAR", "True Pattern", IF($O242="CapGen", "Search Like Pattern", IF($O242="Cardumen", "True Semantic", IF($O242="DynaMoth", "True Semantic", IF($O242="FixMiner", "True Pattern", IF($O242="GenProg-A", "Evolutionary Search", IF($O242="Hercules", "Learning Pattern", IF($O242="Jaid", "True Semantic",
IF($O242="Kali-A", "True Search", IF($O242="kPAR", "True Pattern", IF($O242="Nopol", "True Semantic", IF($O242="RSRepair-A", "Evolutionary Search", IF($O242="SequenceR", "Deep Learning", IF($O242="SimFix", "Search Like Pattern", IF($O242="SketchFix", "True Pattern", IF($O242="SOFix", "True Pattern", IF($O242="ssFix", "Search Like Pattern", IF($O242="TBar", "True Pattern", ""))))))))))))))))))))</f>
        <v>True Search</v>
      </c>
      <c r="Q242" s="13" t="str">
        <f>IF(NOT(ISERR(SEARCH("*_Buggy",$A242))), "Buggy", IF(NOT(ISERR(SEARCH("*_Fixed",$A242))), "Fixed", IF(NOT(ISERR(SEARCH("*_Repaired",$A242))), "Repaired", "")))</f>
        <v>Buggy</v>
      </c>
      <c r="R242" s="13"/>
      <c r="S242" s="13"/>
      <c r="T242" s="13"/>
      <c r="U242" s="13"/>
      <c r="V242" s="13"/>
      <c r="W242" s="13"/>
    </row>
    <row r="243" spans="1:23" x14ac:dyDescent="0.35">
      <c r="A243" s="5" t="s">
        <v>1369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>LEFT($A243,FIND("_",$A243)-1)</f>
        <v>Kali-A</v>
      </c>
      <c r="P243" s="13" t="str">
        <f>IF($O243="ACS", "True Search", IF($O243="Arja", "Evolutionary Search", IF($O243="AVATAR", "True Pattern", IF($O243="CapGen", "Search Like Pattern", IF($O243="Cardumen", "True Semantic", IF($O243="DynaMoth", "True Semantic", IF($O243="FixMiner", "True Pattern", IF($O243="GenProg-A", "Evolutionary Search", IF($O243="Hercules", "Learning Pattern", IF($O243="Jaid", "True Semantic",
IF($O243="Kali-A", "True Search", IF($O243="kPAR", "True Pattern", IF($O243="Nopol", "True Semantic", IF($O243="RSRepair-A", "Evolutionary Search", IF($O243="SequenceR", "Deep Learning", IF($O243="SimFix", "Search Like Pattern", IF($O243="SketchFix", "True Pattern", IF($O243="SOFix", "True Pattern", IF($O243="ssFix", "Search Like Pattern", IF($O243="TBar", "True Pattern", ""))))))))))))))))))))</f>
        <v>True Search</v>
      </c>
      <c r="Q243" s="13" t="str">
        <f>IF(NOT(ISERR(SEARCH("*_Buggy",$A243))), "Buggy", IF(NOT(ISERR(SEARCH("*_Fixed",$A243))), "Fixed", IF(NOT(ISERR(SEARCH("*_Repaired",$A243))), "Repaired", "")))</f>
        <v>Buggy</v>
      </c>
      <c r="R243" s="13"/>
      <c r="S243" s="13"/>
      <c r="T243" s="13"/>
      <c r="U243" s="13"/>
      <c r="V243" s="13"/>
      <c r="W243" s="13"/>
    </row>
    <row r="244" spans="1:23" x14ac:dyDescent="0.35">
      <c r="A244" s="7" t="s">
        <v>1370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>LEFT($A244,FIND("_",$A244)-1)</f>
        <v>Kali-A</v>
      </c>
      <c r="P244" s="13" t="str">
        <f>IF($O244="ACS", "True Search", IF($O244="Arja", "Evolutionary Search", IF($O244="AVATAR", "True Pattern", IF($O244="CapGen", "Search Like Pattern", IF($O244="Cardumen", "True Semantic", IF($O244="DynaMoth", "True Semantic", IF($O244="FixMiner", "True Pattern", IF($O244="GenProg-A", "Evolutionary Search", IF($O244="Hercules", "Learning Pattern", IF($O244="Jaid", "True Semantic",
IF($O244="Kali-A", "True Search", IF($O244="kPAR", "True Pattern", IF($O244="Nopol", "True Semantic", IF($O244="RSRepair-A", "Evolutionary Search", IF($O244="SequenceR", "Deep Learning", IF($O244="SimFix", "Search Like Pattern", IF($O244="SketchFix", "True Pattern", IF($O244="SOFix", "True Pattern", IF($O244="ssFix", "Search Like Pattern", IF($O244="TBar", "True Pattern", ""))))))))))))))))))))</f>
        <v>True Search</v>
      </c>
      <c r="Q244" s="13" t="str">
        <f>IF(NOT(ISERR(SEARCH("*_Buggy",$A244))), "Buggy", IF(NOT(ISERR(SEARCH("*_Fixed",$A244))), "Fixed", IF(NOT(ISERR(SEARCH("*_Repaired",$A244))), "Repaired", "")))</f>
        <v>Buggy</v>
      </c>
      <c r="R244" s="13"/>
      <c r="S244" s="13"/>
      <c r="T244" s="13"/>
      <c r="U244" s="13"/>
      <c r="V244" s="13"/>
      <c r="W244" s="13"/>
    </row>
    <row r="245" spans="1:23" x14ac:dyDescent="0.35">
      <c r="A245" s="7" t="s">
        <v>1371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>LEFT($A245,FIND("_",$A245)-1)</f>
        <v>Kali-A</v>
      </c>
      <c r="P245" s="13" t="str">
        <f>IF($O245="ACS", "True Search", IF($O245="Arja", "Evolutionary Search", IF($O245="AVATAR", "True Pattern", IF($O245="CapGen", "Search Like Pattern", IF($O245="Cardumen", "True Semantic", IF($O245="DynaMoth", "True Semantic", IF($O245="FixMiner", "True Pattern", IF($O245="GenProg-A", "Evolutionary Search", IF($O245="Hercules", "Learning Pattern", IF($O245="Jaid", "True Semantic",
IF($O245="Kali-A", "True Search", IF($O245="kPAR", "True Pattern", IF($O245="Nopol", "True Semantic", IF($O245="RSRepair-A", "Evolutionary Search", IF($O245="SequenceR", "Deep Learning", IF($O245="SimFix", "Search Like Pattern", IF($O245="SketchFix", "True Pattern", IF($O245="SOFix", "True Pattern", IF($O245="ssFix", "Search Like Pattern", IF($O245="TBar", "True Pattern", ""))))))))))))))))))))</f>
        <v>True Search</v>
      </c>
      <c r="Q245" s="13" t="str">
        <f>IF(NOT(ISERR(SEARCH("*_Buggy",$A245))), "Buggy", IF(NOT(ISERR(SEARCH("*_Fixed",$A245))), "Fixed", IF(NOT(ISERR(SEARCH("*_Repaired",$A245))), "Repaired", "")))</f>
        <v>Buggy</v>
      </c>
      <c r="R245" s="13"/>
      <c r="S245" s="13"/>
      <c r="T245" s="13"/>
      <c r="U245" s="13"/>
      <c r="V245" s="13"/>
      <c r="W245" s="13"/>
    </row>
    <row r="246" spans="1:23" x14ac:dyDescent="0.35">
      <c r="A246" s="5" t="s">
        <v>1372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>LEFT($A246,FIND("_",$A246)-1)</f>
        <v>Kali-A</v>
      </c>
      <c r="P246" s="13" t="str">
        <f>IF($O246="ACS", "True Search", IF($O246="Arja", "Evolutionary Search", IF($O246="AVATAR", "True Pattern", IF($O246="CapGen", "Search Like Pattern", IF($O246="Cardumen", "True Semantic", IF($O246="DynaMoth", "True Semantic", IF($O246="FixMiner", "True Pattern", IF($O246="GenProg-A", "Evolutionary Search", IF($O246="Hercules", "Learning Pattern", IF($O246="Jaid", "True Semantic",
IF($O246="Kali-A", "True Search", IF($O246="kPAR", "True Pattern", IF($O246="Nopol", "True Semantic", IF($O246="RSRepair-A", "Evolutionary Search", IF($O246="SequenceR", "Deep Learning", IF($O246="SimFix", "Search Like Pattern", IF($O246="SketchFix", "True Pattern", IF($O246="SOFix", "True Pattern", IF($O246="ssFix", "Search Like Pattern", IF($O246="TBar", "True Pattern", ""))))))))))))))))))))</f>
        <v>True Search</v>
      </c>
      <c r="Q246" s="13" t="str">
        <f>IF(NOT(ISERR(SEARCH("*_Buggy",$A246))), "Buggy", IF(NOT(ISERR(SEARCH("*_Fixed",$A246))), "Fixed", IF(NOT(ISERR(SEARCH("*_Repaired",$A246))), "Repaired", "")))</f>
        <v>Buggy</v>
      </c>
      <c r="R246" s="13"/>
      <c r="S246" s="13"/>
      <c r="T246" s="13"/>
      <c r="U246" s="13"/>
      <c r="V246" s="13"/>
      <c r="W246" s="13"/>
    </row>
    <row r="247" spans="1:23" x14ac:dyDescent="0.35">
      <c r="A247" s="7" t="s">
        <v>1373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>LEFT($A247,FIND("_",$A247)-1)</f>
        <v>Kali-A</v>
      </c>
      <c r="P247" s="13" t="str">
        <f>IF($O247="ACS", "True Search", IF($O247="Arja", "Evolutionary Search", IF($O247="AVATAR", "True Pattern", IF($O247="CapGen", "Search Like Pattern", IF($O247="Cardumen", "True Semantic", IF($O247="DynaMoth", "True Semantic", IF($O247="FixMiner", "True Pattern", IF($O247="GenProg-A", "Evolutionary Search", IF($O247="Hercules", "Learning Pattern", IF($O247="Jaid", "True Semantic",
IF($O247="Kali-A", "True Search", IF($O247="kPAR", "True Pattern", IF($O247="Nopol", "True Semantic", IF($O247="RSRepair-A", "Evolutionary Search", IF($O247="SequenceR", "Deep Learning", IF($O247="SimFix", "Search Like Pattern", IF($O247="SketchFix", "True Pattern", IF($O247="SOFix", "True Pattern", IF($O247="ssFix", "Search Like Pattern", IF($O247="TBar", "True Pattern", ""))))))))))))))))))))</f>
        <v>True Search</v>
      </c>
      <c r="Q247" s="13" t="str">
        <f>IF(NOT(ISERR(SEARCH("*_Buggy",$A247))), "Buggy", IF(NOT(ISERR(SEARCH("*_Fixed",$A247))), "Fixed", IF(NOT(ISERR(SEARCH("*_Repaired",$A247))), "Repaired", "")))</f>
        <v>Buggy</v>
      </c>
      <c r="R247" s="13"/>
      <c r="S247" s="13"/>
      <c r="T247" s="13"/>
      <c r="U247" s="13"/>
      <c r="V247" s="13"/>
      <c r="W247" s="13"/>
    </row>
    <row r="248" spans="1:23" x14ac:dyDescent="0.35">
      <c r="A248" s="5" t="s">
        <v>1374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>LEFT($A248,FIND("_",$A248)-1)</f>
        <v>Kali-A</v>
      </c>
      <c r="P248" s="13" t="str">
        <f>IF($O248="ACS", "True Search", IF($O248="Arja", "Evolutionary Search", IF($O248="AVATAR", "True Pattern", IF($O248="CapGen", "Search Like Pattern", IF($O248="Cardumen", "True Semantic", IF($O248="DynaMoth", "True Semantic", IF($O248="FixMiner", "True Pattern", IF($O248="GenProg-A", "Evolutionary Search", IF($O248="Hercules", "Learning Pattern", IF($O248="Jaid", "True Semantic",
IF($O248="Kali-A", "True Search", IF($O248="kPAR", "True Pattern", IF($O248="Nopol", "True Semantic", IF($O248="RSRepair-A", "Evolutionary Search", IF($O248="SequenceR", "Deep Learning", IF($O248="SimFix", "Search Like Pattern", IF($O248="SketchFix", "True Pattern", IF($O248="SOFix", "True Pattern", IF($O248="ssFix", "Search Like Pattern", IF($O248="TBar", "True Pattern", ""))))))))))))))))))))</f>
        <v>True Search</v>
      </c>
      <c r="Q248" s="13" t="str">
        <f>IF(NOT(ISERR(SEARCH("*_Buggy",$A248))), "Buggy", IF(NOT(ISERR(SEARCH("*_Fixed",$A248))), "Fixed", IF(NOT(ISERR(SEARCH("*_Repaired",$A248))), "Repaired", "")))</f>
        <v>Buggy</v>
      </c>
      <c r="R248" s="13"/>
      <c r="S248" s="13"/>
      <c r="T248" s="13"/>
      <c r="U248" s="13"/>
      <c r="V248" s="13"/>
      <c r="W248" s="13"/>
    </row>
    <row r="249" spans="1:23" x14ac:dyDescent="0.35">
      <c r="A249" s="7" t="s">
        <v>1375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>LEFT($A249,FIND("_",$A249)-1)</f>
        <v>Kali-A</v>
      </c>
      <c r="P249" s="13" t="str">
        <f>IF($O249="ACS", "True Search", IF($O249="Arja", "Evolutionary Search", IF($O249="AVATAR", "True Pattern", IF($O249="CapGen", "Search Like Pattern", IF($O249="Cardumen", "True Semantic", IF($O249="DynaMoth", "True Semantic", IF($O249="FixMiner", "True Pattern", IF($O249="GenProg-A", "Evolutionary Search", IF($O249="Hercules", "Learning Pattern", IF($O249="Jaid", "True Semantic",
IF($O249="Kali-A", "True Search", IF($O249="kPAR", "True Pattern", IF($O249="Nopol", "True Semantic", IF($O249="RSRepair-A", "Evolutionary Search", IF($O249="SequenceR", "Deep Learning", IF($O249="SimFix", "Search Like Pattern", IF($O249="SketchFix", "True Pattern", IF($O249="SOFix", "True Pattern", IF($O249="ssFix", "Search Like Pattern", IF($O249="TBar", "True Pattern", ""))))))))))))))))))))</f>
        <v>True Search</v>
      </c>
      <c r="Q249" s="13" t="str">
        <f>IF(NOT(ISERR(SEARCH("*_Buggy",$A249))), "Buggy", IF(NOT(ISERR(SEARCH("*_Fixed",$A249))), "Fixed", IF(NOT(ISERR(SEARCH("*_Repaired",$A249))), "Repaired", "")))</f>
        <v>Buggy</v>
      </c>
      <c r="R249" s="13"/>
      <c r="S249" s="13"/>
      <c r="T249" s="13"/>
      <c r="U249" s="13"/>
      <c r="V249" s="13"/>
      <c r="W249" s="13"/>
    </row>
    <row r="250" spans="1:23" x14ac:dyDescent="0.35">
      <c r="A250" s="7" t="s">
        <v>1376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>LEFT($A250,FIND("_",$A250)-1)</f>
        <v>Kali-A</v>
      </c>
      <c r="P250" s="13" t="str">
        <f>IF($O250="ACS", "True Search", IF($O250="Arja", "Evolutionary Search", IF($O250="AVATAR", "True Pattern", IF($O250="CapGen", "Search Like Pattern", IF($O250="Cardumen", "True Semantic", IF($O250="DynaMoth", "True Semantic", IF($O250="FixMiner", "True Pattern", IF($O250="GenProg-A", "Evolutionary Search", IF($O250="Hercules", "Learning Pattern", IF($O250="Jaid", "True Semantic",
IF($O250="Kali-A", "True Search", IF($O250="kPAR", "True Pattern", IF($O250="Nopol", "True Semantic", IF($O250="RSRepair-A", "Evolutionary Search", IF($O250="SequenceR", "Deep Learning", IF($O250="SimFix", "Search Like Pattern", IF($O250="SketchFix", "True Pattern", IF($O250="SOFix", "True Pattern", IF($O250="ssFix", "Search Like Pattern", IF($O250="TBar", "True Pattern", ""))))))))))))))))))))</f>
        <v>True Search</v>
      </c>
      <c r="Q250" s="13" t="str">
        <f>IF(NOT(ISERR(SEARCH("*_Buggy",$A250))), "Buggy", IF(NOT(ISERR(SEARCH("*_Fixed",$A250))), "Fixed", IF(NOT(ISERR(SEARCH("*_Repaired",$A250))), "Repaired", "")))</f>
        <v>Buggy</v>
      </c>
      <c r="R250" s="13"/>
      <c r="S250" s="13"/>
      <c r="T250" s="13"/>
      <c r="U250" s="13"/>
      <c r="V250" s="13"/>
      <c r="W250" s="13"/>
    </row>
    <row r="251" spans="1:23" x14ac:dyDescent="0.35">
      <c r="A251" s="7" t="s">
        <v>1377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>LEFT($A251,FIND("_",$A251)-1)</f>
        <v>Kali-A</v>
      </c>
      <c r="P251" s="13" t="str">
        <f>IF($O251="ACS", "True Search", IF($O251="Arja", "Evolutionary Search", IF($O251="AVATAR", "True Pattern", IF($O251="CapGen", "Search Like Pattern", IF($O251="Cardumen", "True Semantic", IF($O251="DynaMoth", "True Semantic", IF($O251="FixMiner", "True Pattern", IF($O251="GenProg-A", "Evolutionary Search", IF($O251="Hercules", "Learning Pattern", IF($O251="Jaid", "True Semantic",
IF($O251="Kali-A", "True Search", IF($O251="kPAR", "True Pattern", IF($O251="Nopol", "True Semantic", IF($O251="RSRepair-A", "Evolutionary Search", IF($O251="SequenceR", "Deep Learning", IF($O251="SimFix", "Search Like Pattern", IF($O251="SketchFix", "True Pattern", IF($O251="SOFix", "True Pattern", IF($O251="ssFix", "Search Like Pattern", IF($O251="TBar", "True Pattern", ""))))))))))))))))))))</f>
        <v>True Search</v>
      </c>
      <c r="Q251" s="13" t="str">
        <f>IF(NOT(ISERR(SEARCH("*_Buggy",$A251))), "Buggy", IF(NOT(ISERR(SEARCH("*_Fixed",$A251))), "Fixed", IF(NOT(ISERR(SEARCH("*_Repaired",$A251))), "Repaired", "")))</f>
        <v>Buggy</v>
      </c>
      <c r="R251" s="13"/>
      <c r="S251" s="13"/>
      <c r="T251" s="13"/>
      <c r="U251" s="13"/>
      <c r="V251" s="13"/>
      <c r="W251" s="13"/>
    </row>
    <row r="252" spans="1:23" x14ac:dyDescent="0.35">
      <c r="A252" s="5" t="s">
        <v>1378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>LEFT($A252,FIND("_",$A252)-1)</f>
        <v>Kali-A</v>
      </c>
      <c r="P252" s="13" t="str">
        <f>IF($O252="ACS", "True Search", IF($O252="Arja", "Evolutionary Search", IF($O252="AVATAR", "True Pattern", IF($O252="CapGen", "Search Like Pattern", IF($O252="Cardumen", "True Semantic", IF($O252="DynaMoth", "True Semantic", IF($O252="FixMiner", "True Pattern", IF($O252="GenProg-A", "Evolutionary Search", IF($O252="Hercules", "Learning Pattern", IF($O252="Jaid", "True Semantic",
IF($O252="Kali-A", "True Search", IF($O252="kPAR", "True Pattern", IF($O252="Nopol", "True Semantic", IF($O252="RSRepair-A", "Evolutionary Search", IF($O252="SequenceR", "Deep Learning", IF($O252="SimFix", "Search Like Pattern", IF($O252="SketchFix", "True Pattern", IF($O252="SOFix", "True Pattern", IF($O252="ssFix", "Search Like Pattern", IF($O252="TBar", "True Pattern", ""))))))))))))))))))))</f>
        <v>True Search</v>
      </c>
      <c r="Q252" s="13" t="str">
        <f>IF(NOT(ISERR(SEARCH("*_Buggy",$A252))), "Buggy", IF(NOT(ISERR(SEARCH("*_Fixed",$A252))), "Fixed", IF(NOT(ISERR(SEARCH("*_Repaired",$A252))), "Repaired", "")))</f>
        <v>Buggy</v>
      </c>
      <c r="R252" s="13"/>
      <c r="S252" s="13"/>
      <c r="T252" s="13"/>
      <c r="U252" s="13"/>
      <c r="V252" s="13"/>
      <c r="W252" s="13"/>
    </row>
    <row r="253" spans="1:23" x14ac:dyDescent="0.35">
      <c r="A253" s="7" t="s">
        <v>1379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>LEFT($A253,FIND("_",$A253)-1)</f>
        <v>Kali-A</v>
      </c>
      <c r="P253" s="13" t="str">
        <f>IF($O253="ACS", "True Search", IF($O253="Arja", "Evolutionary Search", IF($O253="AVATAR", "True Pattern", IF($O253="CapGen", "Search Like Pattern", IF($O253="Cardumen", "True Semantic", IF($O253="DynaMoth", "True Semantic", IF($O253="FixMiner", "True Pattern", IF($O253="GenProg-A", "Evolutionary Search", IF($O253="Hercules", "Learning Pattern", IF($O253="Jaid", "True Semantic",
IF($O253="Kali-A", "True Search", IF($O253="kPAR", "True Pattern", IF($O253="Nopol", "True Semantic", IF($O253="RSRepair-A", "Evolutionary Search", IF($O253="SequenceR", "Deep Learning", IF($O253="SimFix", "Search Like Pattern", IF($O253="SketchFix", "True Pattern", IF($O253="SOFix", "True Pattern", IF($O253="ssFix", "Search Like Pattern", IF($O253="TBar", "True Pattern", ""))))))))))))))))))))</f>
        <v>True Search</v>
      </c>
      <c r="Q253" s="13" t="str">
        <f>IF(NOT(ISERR(SEARCH("*_Buggy",$A253))), "Buggy", IF(NOT(ISERR(SEARCH("*_Fixed",$A253))), "Fixed", IF(NOT(ISERR(SEARCH("*_Repaired",$A253))), "Repaired", "")))</f>
        <v>Buggy</v>
      </c>
      <c r="R253" s="13"/>
      <c r="S253" s="13"/>
      <c r="T253" s="13"/>
      <c r="U253" s="13"/>
      <c r="V253" s="13"/>
      <c r="W253" s="13"/>
    </row>
    <row r="254" spans="1:23" x14ac:dyDescent="0.35">
      <c r="A254" s="5" t="s">
        <v>1380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>LEFT($A254,FIND("_",$A254)-1)</f>
        <v>Kali-A</v>
      </c>
      <c r="P254" s="13" t="str">
        <f>IF($O254="ACS", "True Search", IF($O254="Arja", "Evolutionary Search", IF($O254="AVATAR", "True Pattern", IF($O254="CapGen", "Search Like Pattern", IF($O254="Cardumen", "True Semantic", IF($O254="DynaMoth", "True Semantic", IF($O254="FixMiner", "True Pattern", IF($O254="GenProg-A", "Evolutionary Search", IF($O254="Hercules", "Learning Pattern", IF($O254="Jaid", "True Semantic",
IF($O254="Kali-A", "True Search", IF($O254="kPAR", "True Pattern", IF($O254="Nopol", "True Semantic", IF($O254="RSRepair-A", "Evolutionary Search", IF($O254="SequenceR", "Deep Learning", IF($O254="SimFix", "Search Like Pattern", IF($O254="SketchFix", "True Pattern", IF($O254="SOFix", "True Pattern", IF($O254="ssFix", "Search Like Pattern", IF($O254="TBar", "True Pattern", ""))))))))))))))))))))</f>
        <v>True Search</v>
      </c>
      <c r="Q254" s="13" t="str">
        <f>IF(NOT(ISERR(SEARCH("*_Buggy",$A254))), "Buggy", IF(NOT(ISERR(SEARCH("*_Fixed",$A254))), "Fixed", IF(NOT(ISERR(SEARCH("*_Repaired",$A254))), "Repaired", "")))</f>
        <v>Buggy</v>
      </c>
      <c r="R254" s="13"/>
      <c r="S254" s="13"/>
      <c r="T254" s="13"/>
      <c r="U254" s="13"/>
      <c r="V254" s="13"/>
      <c r="W254" s="13"/>
    </row>
    <row r="255" spans="1:23" x14ac:dyDescent="0.35">
      <c r="A255" s="7" t="s">
        <v>1381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>LEFT($A255,FIND("_",$A255)-1)</f>
        <v>Kali-A</v>
      </c>
      <c r="P255" s="13" t="str">
        <f>IF($O255="ACS", "True Search", IF($O255="Arja", "Evolutionary Search", IF($O255="AVATAR", "True Pattern", IF($O255="CapGen", "Search Like Pattern", IF($O255="Cardumen", "True Semantic", IF($O255="DynaMoth", "True Semantic", IF($O255="FixMiner", "True Pattern", IF($O255="GenProg-A", "Evolutionary Search", IF($O255="Hercules", "Learning Pattern", IF($O255="Jaid", "True Semantic",
IF($O255="Kali-A", "True Search", IF($O255="kPAR", "True Pattern", IF($O255="Nopol", "True Semantic", IF($O255="RSRepair-A", "Evolutionary Search", IF($O255="SequenceR", "Deep Learning", IF($O255="SimFix", "Search Like Pattern", IF($O255="SketchFix", "True Pattern", IF($O255="SOFix", "True Pattern", IF($O255="ssFix", "Search Like Pattern", IF($O255="TBar", "True Pattern", ""))))))))))))))))))))</f>
        <v>True Search</v>
      </c>
      <c r="Q255" s="13" t="str">
        <f>IF(NOT(ISERR(SEARCH("*_Buggy",$A255))), "Buggy", IF(NOT(ISERR(SEARCH("*_Fixed",$A255))), "Fixed", IF(NOT(ISERR(SEARCH("*_Repaired",$A255))), "Repaired", "")))</f>
        <v>Buggy</v>
      </c>
      <c r="R255" s="13"/>
      <c r="S255" s="13"/>
      <c r="T255" s="13"/>
      <c r="U255" s="13"/>
      <c r="V255" s="13"/>
      <c r="W255" s="13"/>
    </row>
    <row r="256" spans="1:23" x14ac:dyDescent="0.35">
      <c r="A256" s="7" t="s">
        <v>1382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>LEFT($A256,FIND("_",$A256)-1)</f>
        <v>Kali-A</v>
      </c>
      <c r="P256" s="13" t="str">
        <f>IF($O256="ACS", "True Search", IF($O256="Arja", "Evolutionary Search", IF($O256="AVATAR", "True Pattern", IF($O256="CapGen", "Search Like Pattern", IF($O256="Cardumen", "True Semantic", IF($O256="DynaMoth", "True Semantic", IF($O256="FixMiner", "True Pattern", IF($O256="GenProg-A", "Evolutionary Search", IF($O256="Hercules", "Learning Pattern", IF($O256="Jaid", "True Semantic",
IF($O256="Kali-A", "True Search", IF($O256="kPAR", "True Pattern", IF($O256="Nopol", "True Semantic", IF($O256="RSRepair-A", "Evolutionary Search", IF($O256="SequenceR", "Deep Learning", IF($O256="SimFix", "Search Like Pattern", IF($O256="SketchFix", "True Pattern", IF($O256="SOFix", "True Pattern", IF($O256="ssFix", "Search Like Pattern", IF($O256="TBar", "True Pattern", ""))))))))))))))))))))</f>
        <v>True Search</v>
      </c>
      <c r="Q256" s="13" t="str">
        <f>IF(NOT(ISERR(SEARCH("*_Buggy",$A256))), "Buggy", IF(NOT(ISERR(SEARCH("*_Fixed",$A256))), "Fixed", IF(NOT(ISERR(SEARCH("*_Repaired",$A256))), "Repaired", "")))</f>
        <v>Buggy</v>
      </c>
      <c r="R256" s="13"/>
      <c r="S256" s="13"/>
      <c r="T256" s="13"/>
      <c r="U256" s="13"/>
      <c r="V256" s="13"/>
      <c r="W256" s="13"/>
    </row>
    <row r="257" spans="1:23" x14ac:dyDescent="0.35">
      <c r="A257" s="5" t="s">
        <v>1383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>LEFT($A257,FIND("_",$A257)-1)</f>
        <v>Kali-A</v>
      </c>
      <c r="P257" s="13" t="str">
        <f>IF($O257="ACS", "True Search", IF($O257="Arja", "Evolutionary Search", IF($O257="AVATAR", "True Pattern", IF($O257="CapGen", "Search Like Pattern", IF($O257="Cardumen", "True Semantic", IF($O257="DynaMoth", "True Semantic", IF($O257="FixMiner", "True Pattern", IF($O257="GenProg-A", "Evolutionary Search", IF($O257="Hercules", "Learning Pattern", IF($O257="Jaid", "True Semantic",
IF($O257="Kali-A", "True Search", IF($O257="kPAR", "True Pattern", IF($O257="Nopol", "True Semantic", IF($O257="RSRepair-A", "Evolutionary Search", IF($O257="SequenceR", "Deep Learning", IF($O257="SimFix", "Search Like Pattern", IF($O257="SketchFix", "True Pattern", IF($O257="SOFix", "True Pattern", IF($O257="ssFix", "Search Like Pattern", IF($O257="TBar", "True Pattern", ""))))))))))))))))))))</f>
        <v>True Search</v>
      </c>
      <c r="Q257" s="13" t="str">
        <f>IF(NOT(ISERR(SEARCH("*_Buggy",$A257))), "Buggy", IF(NOT(ISERR(SEARCH("*_Fixed",$A257))), "Fixed", IF(NOT(ISERR(SEARCH("*_Repaired",$A257))), "Repaired", "")))</f>
        <v>Buggy</v>
      </c>
      <c r="R257" s="13"/>
      <c r="S257" s="13"/>
      <c r="T257" s="13"/>
      <c r="U257" s="13"/>
      <c r="V257" s="13"/>
      <c r="W257" s="13"/>
    </row>
    <row r="258" spans="1:23" x14ac:dyDescent="0.35">
      <c r="A258" s="5" t="s">
        <v>1384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>LEFT($A258,FIND("_",$A258)-1)</f>
        <v>Kali-A</v>
      </c>
      <c r="P258" s="13" t="str">
        <f>IF($O258="ACS", "True Search", IF($O258="Arja", "Evolutionary Search", IF($O258="AVATAR", "True Pattern", IF($O258="CapGen", "Search Like Pattern", IF($O258="Cardumen", "True Semantic", IF($O258="DynaMoth", "True Semantic", IF($O258="FixMiner", "True Pattern", IF($O258="GenProg-A", "Evolutionary Search", IF($O258="Hercules", "Learning Pattern", IF($O258="Jaid", "True Semantic",
IF($O258="Kali-A", "True Search", IF($O258="kPAR", "True Pattern", IF($O258="Nopol", "True Semantic", IF($O258="RSRepair-A", "Evolutionary Search", IF($O258="SequenceR", "Deep Learning", IF($O258="SimFix", "Search Like Pattern", IF($O258="SketchFix", "True Pattern", IF($O258="SOFix", "True Pattern", IF($O258="ssFix", "Search Like Pattern", IF($O258="TBar", "True Pattern", ""))))))))))))))))))))</f>
        <v>True Search</v>
      </c>
      <c r="Q258" s="13" t="str">
        <f>IF(NOT(ISERR(SEARCH("*_Buggy",$A258))), "Buggy", IF(NOT(ISERR(SEARCH("*_Fixed",$A258))), "Fixed", IF(NOT(ISERR(SEARCH("*_Repaired",$A258))), "Repaired", "")))</f>
        <v>Buggy</v>
      </c>
      <c r="R258" s="13"/>
      <c r="S258" s="13"/>
      <c r="T258" s="13"/>
      <c r="U258" s="13"/>
      <c r="V258" s="13"/>
      <c r="W258" s="13"/>
    </row>
    <row r="259" spans="1:23" x14ac:dyDescent="0.35">
      <c r="A259" s="7" t="s">
        <v>1385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>LEFT($A259,FIND("_",$A259)-1)</f>
        <v>Kali-A</v>
      </c>
      <c r="P259" s="13" t="str">
        <f>IF($O259="ACS", "True Search", IF($O259="Arja", "Evolutionary Search", IF($O259="AVATAR", "True Pattern", IF($O259="CapGen", "Search Like Pattern", IF($O259="Cardumen", "True Semantic", IF($O259="DynaMoth", "True Semantic", IF($O259="FixMiner", "True Pattern", IF($O259="GenProg-A", "Evolutionary Search", IF($O259="Hercules", "Learning Pattern", IF($O259="Jaid", "True Semantic",
IF($O259="Kali-A", "True Search", IF($O259="kPAR", "True Pattern", IF($O259="Nopol", "True Semantic", IF($O259="RSRepair-A", "Evolutionary Search", IF($O259="SequenceR", "Deep Learning", IF($O259="SimFix", "Search Like Pattern", IF($O259="SketchFix", "True Pattern", IF($O259="SOFix", "True Pattern", IF($O259="ssFix", "Search Like Pattern", IF($O259="TBar", "True Pattern", ""))))))))))))))))))))</f>
        <v>True Search</v>
      </c>
      <c r="Q259" s="13" t="str">
        <f>IF(NOT(ISERR(SEARCH("*_Buggy",$A259))), "Buggy", IF(NOT(ISERR(SEARCH("*_Fixed",$A259))), "Fixed", IF(NOT(ISERR(SEARCH("*_Repaired",$A259))), "Repaired", "")))</f>
        <v>Buggy</v>
      </c>
      <c r="R259" s="13"/>
      <c r="S259" s="13"/>
      <c r="T259" s="13"/>
      <c r="U259" s="13"/>
      <c r="V259" s="13"/>
      <c r="W259" s="13"/>
    </row>
    <row r="260" spans="1:23" x14ac:dyDescent="0.35">
      <c r="A260" s="7" t="s">
        <v>1386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>LEFT($A260,FIND("_",$A260)-1)</f>
        <v>Kali-A</v>
      </c>
      <c r="P260" s="13" t="str">
        <f>IF($O260="ACS", "True Search", IF($O260="Arja", "Evolutionary Search", IF($O260="AVATAR", "True Pattern", IF($O260="CapGen", "Search Like Pattern", IF($O260="Cardumen", "True Semantic", IF($O260="DynaMoth", "True Semantic", IF($O260="FixMiner", "True Pattern", IF($O260="GenProg-A", "Evolutionary Search", IF($O260="Hercules", "Learning Pattern", IF($O260="Jaid", "True Semantic",
IF($O260="Kali-A", "True Search", IF($O260="kPAR", "True Pattern", IF($O260="Nopol", "True Semantic", IF($O260="RSRepair-A", "Evolutionary Search", IF($O260="SequenceR", "Deep Learning", IF($O260="SimFix", "Search Like Pattern", IF($O260="SketchFix", "True Pattern", IF($O260="SOFix", "True Pattern", IF($O260="ssFix", "Search Like Pattern", IF($O260="TBar", "True Pattern", ""))))))))))))))))))))</f>
        <v>True Search</v>
      </c>
      <c r="Q260" s="13" t="str">
        <f>IF(NOT(ISERR(SEARCH("*_Buggy",$A260))), "Buggy", IF(NOT(ISERR(SEARCH("*_Fixed",$A260))), "Fixed", IF(NOT(ISERR(SEARCH("*_Repaired",$A260))), "Repaired", "")))</f>
        <v>Buggy</v>
      </c>
      <c r="R260" s="13"/>
      <c r="S260" s="13"/>
      <c r="T260" s="13"/>
      <c r="U260" s="13"/>
      <c r="V260" s="13"/>
      <c r="W260" s="13"/>
    </row>
    <row r="261" spans="1:23" x14ac:dyDescent="0.35">
      <c r="A261" s="7" t="s">
        <v>1387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>LEFT($A261,FIND("_",$A261)-1)</f>
        <v>Kali-A</v>
      </c>
      <c r="P261" s="13" t="str">
        <f>IF($O261="ACS", "True Search", IF($O261="Arja", "Evolutionary Search", IF($O261="AVATAR", "True Pattern", IF($O261="CapGen", "Search Like Pattern", IF($O261="Cardumen", "True Semantic", IF($O261="DynaMoth", "True Semantic", IF($O261="FixMiner", "True Pattern", IF($O261="GenProg-A", "Evolutionary Search", IF($O261="Hercules", "Learning Pattern", IF($O261="Jaid", "True Semantic",
IF($O261="Kali-A", "True Search", IF($O261="kPAR", "True Pattern", IF($O261="Nopol", "True Semantic", IF($O261="RSRepair-A", "Evolutionary Search", IF($O261="SequenceR", "Deep Learning", IF($O261="SimFix", "Search Like Pattern", IF($O261="SketchFix", "True Pattern", IF($O261="SOFix", "True Pattern", IF($O261="ssFix", "Search Like Pattern", IF($O261="TBar", "True Pattern", ""))))))))))))))))))))</f>
        <v>True Search</v>
      </c>
      <c r="Q261" s="13" t="str">
        <f>IF(NOT(ISERR(SEARCH("*_Buggy",$A261))), "Buggy", IF(NOT(ISERR(SEARCH("*_Fixed",$A261))), "Fixed", IF(NOT(ISERR(SEARCH("*_Repaired",$A261))), "Repaired", "")))</f>
        <v>Buggy</v>
      </c>
      <c r="R261" s="13"/>
      <c r="S261" s="13"/>
      <c r="T261" s="13"/>
      <c r="U261" s="13"/>
      <c r="V261" s="13"/>
      <c r="W261" s="13"/>
    </row>
    <row r="262" spans="1:23" x14ac:dyDescent="0.35">
      <c r="A262" s="7" t="s">
        <v>1388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>LEFT($A262,FIND("_",$A262)-1)</f>
        <v>Kali-A</v>
      </c>
      <c r="P262" s="13" t="str">
        <f>IF($O262="ACS", "True Search", IF($O262="Arja", "Evolutionary Search", IF($O262="AVATAR", "True Pattern", IF($O262="CapGen", "Search Like Pattern", IF($O262="Cardumen", "True Semantic", IF($O262="DynaMoth", "True Semantic", IF($O262="FixMiner", "True Pattern", IF($O262="GenProg-A", "Evolutionary Search", IF($O262="Hercules", "Learning Pattern", IF($O262="Jaid", "True Semantic",
IF($O262="Kali-A", "True Search", IF($O262="kPAR", "True Pattern", IF($O262="Nopol", "True Semantic", IF($O262="RSRepair-A", "Evolutionary Search", IF($O262="SequenceR", "Deep Learning", IF($O262="SimFix", "Search Like Pattern", IF($O262="SketchFix", "True Pattern", IF($O262="SOFix", "True Pattern", IF($O262="ssFix", "Search Like Pattern", IF($O262="TBar", "True Pattern", ""))))))))))))))))))))</f>
        <v>True Search</v>
      </c>
      <c r="Q262" s="13" t="str">
        <f>IF(NOT(ISERR(SEARCH("*_Buggy",$A262))), "Buggy", IF(NOT(ISERR(SEARCH("*_Fixed",$A262))), "Fixed", IF(NOT(ISERR(SEARCH("*_Repaired",$A262))), "Repaired", "")))</f>
        <v>Buggy</v>
      </c>
      <c r="R262" s="13"/>
      <c r="S262" s="13"/>
      <c r="T262" s="13"/>
      <c r="U262" s="13"/>
      <c r="V262" s="13"/>
      <c r="W262" s="13"/>
    </row>
    <row r="263" spans="1:23" x14ac:dyDescent="0.35">
      <c r="A263" s="7" t="s">
        <v>1389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>LEFT($A263,FIND("_",$A263)-1)</f>
        <v>Kali-A</v>
      </c>
      <c r="P263" s="13" t="str">
        <f>IF($O263="ACS", "True Search", IF($O263="Arja", "Evolutionary Search", IF($O263="AVATAR", "True Pattern", IF($O263="CapGen", "Search Like Pattern", IF($O263="Cardumen", "True Semantic", IF($O263="DynaMoth", "True Semantic", IF($O263="FixMiner", "True Pattern", IF($O263="GenProg-A", "Evolutionary Search", IF($O263="Hercules", "Learning Pattern", IF($O263="Jaid", "True Semantic",
IF($O263="Kali-A", "True Search", IF($O263="kPAR", "True Pattern", IF($O263="Nopol", "True Semantic", IF($O263="RSRepair-A", "Evolutionary Search", IF($O263="SequenceR", "Deep Learning", IF($O263="SimFix", "Search Like Pattern", IF($O263="SketchFix", "True Pattern", IF($O263="SOFix", "True Pattern", IF($O263="ssFix", "Search Like Pattern", IF($O263="TBar", "True Pattern", ""))))))))))))))))))))</f>
        <v>True Search</v>
      </c>
      <c r="Q263" s="13" t="str">
        <f>IF(NOT(ISERR(SEARCH("*_Buggy",$A263))), "Buggy", IF(NOT(ISERR(SEARCH("*_Fixed",$A263))), "Fixed", IF(NOT(ISERR(SEARCH("*_Repaired",$A263))), "Repaired", "")))</f>
        <v>Buggy</v>
      </c>
      <c r="R263" s="13"/>
      <c r="S263" s="13"/>
      <c r="T263" s="13"/>
      <c r="U263" s="13"/>
      <c r="V263" s="13"/>
      <c r="W263" s="13"/>
    </row>
    <row r="264" spans="1:23" x14ac:dyDescent="0.35">
      <c r="A264" s="5" t="s">
        <v>1390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>LEFT($A264,FIND("_",$A264)-1)</f>
        <v>Kali-A</v>
      </c>
      <c r="P264" s="13" t="str">
        <f>IF($O264="ACS", "True Search", IF($O264="Arja", "Evolutionary Search", IF($O264="AVATAR", "True Pattern", IF($O264="CapGen", "Search Like Pattern", IF($O264="Cardumen", "True Semantic", IF($O264="DynaMoth", "True Semantic", IF($O264="FixMiner", "True Pattern", IF($O264="GenProg-A", "Evolutionary Search", IF($O264="Hercules", "Learning Pattern", IF($O264="Jaid", "True Semantic",
IF($O264="Kali-A", "True Search", IF($O264="kPAR", "True Pattern", IF($O264="Nopol", "True Semantic", IF($O264="RSRepair-A", "Evolutionary Search", IF($O264="SequenceR", "Deep Learning", IF($O264="SimFix", "Search Like Pattern", IF($O264="SketchFix", "True Pattern", IF($O264="SOFix", "True Pattern", IF($O264="ssFix", "Search Like Pattern", IF($O264="TBar", "True Pattern", ""))))))))))))))))))))</f>
        <v>True Search</v>
      </c>
      <c r="Q264" s="13" t="str">
        <f>IF(NOT(ISERR(SEARCH("*_Buggy",$A264))), "Buggy", IF(NOT(ISERR(SEARCH("*_Fixed",$A264))), "Fixed", IF(NOT(ISERR(SEARCH("*_Repaired",$A264))), "Repaired", "")))</f>
        <v>Buggy</v>
      </c>
      <c r="R264" s="13"/>
      <c r="S264" s="13"/>
      <c r="T264" s="13"/>
      <c r="U264" s="13"/>
      <c r="V264" s="13"/>
      <c r="W264" s="13"/>
    </row>
    <row r="265" spans="1:23" x14ac:dyDescent="0.35">
      <c r="A265" s="7" t="s">
        <v>1391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>LEFT($A265,FIND("_",$A265)-1)</f>
        <v>Kali-A</v>
      </c>
      <c r="P265" s="13" t="str">
        <f>IF($O265="ACS", "True Search", IF($O265="Arja", "Evolutionary Search", IF($O265="AVATAR", "True Pattern", IF($O265="CapGen", "Search Like Pattern", IF($O265="Cardumen", "True Semantic", IF($O265="DynaMoth", "True Semantic", IF($O265="FixMiner", "True Pattern", IF($O265="GenProg-A", "Evolutionary Search", IF($O265="Hercules", "Learning Pattern", IF($O265="Jaid", "True Semantic",
IF($O265="Kali-A", "True Search", IF($O265="kPAR", "True Pattern", IF($O265="Nopol", "True Semantic", IF($O265="RSRepair-A", "Evolutionary Search", IF($O265="SequenceR", "Deep Learning", IF($O265="SimFix", "Search Like Pattern", IF($O265="SketchFix", "True Pattern", IF($O265="SOFix", "True Pattern", IF($O265="ssFix", "Search Like Pattern", IF($O265="TBar", "True Pattern", ""))))))))))))))))))))</f>
        <v>True Search</v>
      </c>
      <c r="Q265" s="13" t="str">
        <f>IF(NOT(ISERR(SEARCH("*_Buggy",$A265))), "Buggy", IF(NOT(ISERR(SEARCH("*_Fixed",$A265))), "Fixed", IF(NOT(ISERR(SEARCH("*_Repaired",$A265))), "Repaired", "")))</f>
        <v>Buggy</v>
      </c>
      <c r="R265" s="13"/>
      <c r="S265" s="13"/>
      <c r="T265" s="13"/>
      <c r="U265" s="13"/>
      <c r="V265" s="13"/>
      <c r="W265" s="13"/>
    </row>
    <row r="266" spans="1:23" x14ac:dyDescent="0.35">
      <c r="A266" s="5" t="s">
        <v>1392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>LEFT($A266,FIND("_",$A266)-1)</f>
        <v>Kali-A</v>
      </c>
      <c r="P266" s="13" t="str">
        <f>IF($O266="ACS", "True Search", IF($O266="Arja", "Evolutionary Search", IF($O266="AVATAR", "True Pattern", IF($O266="CapGen", "Search Like Pattern", IF($O266="Cardumen", "True Semantic", IF($O266="DynaMoth", "True Semantic", IF($O266="FixMiner", "True Pattern", IF($O266="GenProg-A", "Evolutionary Search", IF($O266="Hercules", "Learning Pattern", IF($O266="Jaid", "True Semantic",
IF($O266="Kali-A", "True Search", IF($O266="kPAR", "True Pattern", IF($O266="Nopol", "True Semantic", IF($O266="RSRepair-A", "Evolutionary Search", IF($O266="SequenceR", "Deep Learning", IF($O266="SimFix", "Search Like Pattern", IF($O266="SketchFix", "True Pattern", IF($O266="SOFix", "True Pattern", IF($O266="ssFix", "Search Like Pattern", IF($O266="TBar", "True Pattern", ""))))))))))))))))))))</f>
        <v>True Search</v>
      </c>
      <c r="Q266" s="13" t="str">
        <f>IF(NOT(ISERR(SEARCH("*_Buggy",$A266))), "Buggy", IF(NOT(ISERR(SEARCH("*_Fixed",$A266))), "Fixed", IF(NOT(ISERR(SEARCH("*_Repaired",$A266))), "Repaired", "")))</f>
        <v>Buggy</v>
      </c>
      <c r="R266" s="13"/>
      <c r="S266" s="13"/>
      <c r="T266" s="13"/>
      <c r="U266" s="13"/>
      <c r="V266" s="13"/>
      <c r="W266" s="13"/>
    </row>
    <row r="267" spans="1:23" x14ac:dyDescent="0.35">
      <c r="A267" s="5" t="s">
        <v>1393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>LEFT($A267,FIND("_",$A267)-1)</f>
        <v>Kali-A</v>
      </c>
      <c r="P267" s="13" t="str">
        <f>IF($O267="ACS", "True Search", IF($O267="Arja", "Evolutionary Search", IF($O267="AVATAR", "True Pattern", IF($O267="CapGen", "Search Like Pattern", IF($O267="Cardumen", "True Semantic", IF($O267="DynaMoth", "True Semantic", IF($O267="FixMiner", "True Pattern", IF($O267="GenProg-A", "Evolutionary Search", IF($O267="Hercules", "Learning Pattern", IF($O267="Jaid", "True Semantic",
IF($O267="Kali-A", "True Search", IF($O267="kPAR", "True Pattern", IF($O267="Nopol", "True Semantic", IF($O267="RSRepair-A", "Evolutionary Search", IF($O267="SequenceR", "Deep Learning", IF($O267="SimFix", "Search Like Pattern", IF($O267="SketchFix", "True Pattern", IF($O267="SOFix", "True Pattern", IF($O267="ssFix", "Search Like Pattern", IF($O267="TBar", "True Pattern", ""))))))))))))))))))))</f>
        <v>True Search</v>
      </c>
      <c r="Q267" s="13" t="str">
        <f>IF(NOT(ISERR(SEARCH("*_Buggy",$A267))), "Buggy", IF(NOT(ISERR(SEARCH("*_Fixed",$A267))), "Fixed", IF(NOT(ISERR(SEARCH("*_Repaired",$A267))), "Repaired", "")))</f>
        <v>Buggy</v>
      </c>
      <c r="R267" s="13"/>
      <c r="S267" s="13"/>
      <c r="T267" s="13"/>
      <c r="U267" s="13"/>
      <c r="V267" s="13"/>
      <c r="W267" s="13"/>
    </row>
    <row r="268" spans="1:23" x14ac:dyDescent="0.35">
      <c r="A268" s="5" t="s">
        <v>1394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>LEFT($A268,FIND("_",$A268)-1)</f>
        <v>Kali-A</v>
      </c>
      <c r="P268" s="13" t="str">
        <f>IF($O268="ACS", "True Search", IF($O268="Arja", "Evolutionary Search", IF($O268="AVATAR", "True Pattern", IF($O268="CapGen", "Search Like Pattern", IF($O268="Cardumen", "True Semantic", IF($O268="DynaMoth", "True Semantic", IF($O268="FixMiner", "True Pattern", IF($O268="GenProg-A", "Evolutionary Search", IF($O268="Hercules", "Learning Pattern", IF($O268="Jaid", "True Semantic",
IF($O268="Kali-A", "True Search", IF($O268="kPAR", "True Pattern", IF($O268="Nopol", "True Semantic", IF($O268="RSRepair-A", "Evolutionary Search", IF($O268="SequenceR", "Deep Learning", IF($O268="SimFix", "Search Like Pattern", IF($O268="SketchFix", "True Pattern", IF($O268="SOFix", "True Pattern", IF($O268="ssFix", "Search Like Pattern", IF($O268="TBar", "True Pattern", ""))))))))))))))))))))</f>
        <v>True Search</v>
      </c>
      <c r="Q268" s="13" t="str">
        <f>IF(NOT(ISERR(SEARCH("*_Buggy",$A268))), "Buggy", IF(NOT(ISERR(SEARCH("*_Fixed",$A268))), "Fixed", IF(NOT(ISERR(SEARCH("*_Repaired",$A268))), "Repaired", "")))</f>
        <v>Buggy</v>
      </c>
      <c r="R268" s="13"/>
      <c r="S268" s="13"/>
      <c r="T268" s="13"/>
      <c r="U268" s="13"/>
      <c r="V268" s="13"/>
      <c r="W268" s="13"/>
    </row>
    <row r="269" spans="1:23" x14ac:dyDescent="0.35">
      <c r="A269" s="7" t="s">
        <v>1395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>LEFT($A269,FIND("_",$A269)-1)</f>
        <v>Kali-A</v>
      </c>
      <c r="P269" s="13" t="str">
        <f>IF($O269="ACS", "True Search", IF($O269="Arja", "Evolutionary Search", IF($O269="AVATAR", "True Pattern", IF($O269="CapGen", "Search Like Pattern", IF($O269="Cardumen", "True Semantic", IF($O269="DynaMoth", "True Semantic", IF($O269="FixMiner", "True Pattern", IF($O269="GenProg-A", "Evolutionary Search", IF($O269="Hercules", "Learning Pattern", IF($O269="Jaid", "True Semantic",
IF($O269="Kali-A", "True Search", IF($O269="kPAR", "True Pattern", IF($O269="Nopol", "True Semantic", IF($O269="RSRepair-A", "Evolutionary Search", IF($O269="SequenceR", "Deep Learning", IF($O269="SimFix", "Search Like Pattern", IF($O269="SketchFix", "True Pattern", IF($O269="SOFix", "True Pattern", IF($O269="ssFix", "Search Like Pattern", IF($O269="TBar", "True Pattern", ""))))))))))))))))))))</f>
        <v>True Search</v>
      </c>
      <c r="Q269" s="13" t="str">
        <f>IF(NOT(ISERR(SEARCH("*_Buggy",$A269))), "Buggy", IF(NOT(ISERR(SEARCH("*_Fixed",$A269))), "Fixed", IF(NOT(ISERR(SEARCH("*_Repaired",$A269))), "Repaired", "")))</f>
        <v>Buggy</v>
      </c>
      <c r="R269" s="13"/>
      <c r="S269" s="13"/>
      <c r="T269" s="13"/>
      <c r="U269" s="13"/>
      <c r="V269" s="13"/>
      <c r="W269" s="13"/>
    </row>
    <row r="270" spans="1:23" x14ac:dyDescent="0.35">
      <c r="A270" s="7" t="s">
        <v>1396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>LEFT($A270,FIND("_",$A270)-1)</f>
        <v>Kali-A</v>
      </c>
      <c r="P270" s="13" t="str">
        <f>IF($O270="ACS", "True Search", IF($O270="Arja", "Evolutionary Search", IF($O270="AVATAR", "True Pattern", IF($O270="CapGen", "Search Like Pattern", IF($O270="Cardumen", "True Semantic", IF($O270="DynaMoth", "True Semantic", IF($O270="FixMiner", "True Pattern", IF($O270="GenProg-A", "Evolutionary Search", IF($O270="Hercules", "Learning Pattern", IF($O270="Jaid", "True Semantic",
IF($O270="Kali-A", "True Search", IF($O270="kPAR", "True Pattern", IF($O270="Nopol", "True Semantic", IF($O270="RSRepair-A", "Evolutionary Search", IF($O270="SequenceR", "Deep Learning", IF($O270="SimFix", "Search Like Pattern", IF($O270="SketchFix", "True Pattern", IF($O270="SOFix", "True Pattern", IF($O270="ssFix", "Search Like Pattern", IF($O270="TBar", "True Pattern", ""))))))))))))))))))))</f>
        <v>True Search</v>
      </c>
      <c r="Q270" s="13" t="str">
        <f>IF(NOT(ISERR(SEARCH("*_Buggy",$A270))), "Buggy", IF(NOT(ISERR(SEARCH("*_Fixed",$A270))), "Fixed", IF(NOT(ISERR(SEARCH("*_Repaired",$A270))), "Repaired", "")))</f>
        <v>Buggy</v>
      </c>
      <c r="R270" s="13"/>
      <c r="S270" s="13"/>
      <c r="T270" s="13"/>
      <c r="U270" s="13"/>
      <c r="V270" s="13"/>
      <c r="W270" s="13"/>
    </row>
    <row r="271" spans="1:23" x14ac:dyDescent="0.35">
      <c r="A271" s="7" t="s">
        <v>1397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>LEFT($A271,FIND("_",$A271)-1)</f>
        <v>Kali-A</v>
      </c>
      <c r="P271" s="13" t="str">
        <f>IF($O271="ACS", "True Search", IF($O271="Arja", "Evolutionary Search", IF($O271="AVATAR", "True Pattern", IF($O271="CapGen", "Search Like Pattern", IF($O271="Cardumen", "True Semantic", IF($O271="DynaMoth", "True Semantic", IF($O271="FixMiner", "True Pattern", IF($O271="GenProg-A", "Evolutionary Search", IF($O271="Hercules", "Learning Pattern", IF($O271="Jaid", "True Semantic",
IF($O271="Kali-A", "True Search", IF($O271="kPAR", "True Pattern", IF($O271="Nopol", "True Semantic", IF($O271="RSRepair-A", "Evolutionary Search", IF($O271="SequenceR", "Deep Learning", IF($O271="SimFix", "Search Like Pattern", IF($O271="SketchFix", "True Pattern", IF($O271="SOFix", "True Pattern", IF($O271="ssFix", "Search Like Pattern", IF($O271="TBar", "True Pattern", ""))))))))))))))))))))</f>
        <v>True Search</v>
      </c>
      <c r="Q271" s="13" t="str">
        <f>IF(NOT(ISERR(SEARCH("*_Buggy",$A271))), "Buggy", IF(NOT(ISERR(SEARCH("*_Fixed",$A271))), "Fixed", IF(NOT(ISERR(SEARCH("*_Repaired",$A271))), "Repaired", "")))</f>
        <v>Buggy</v>
      </c>
      <c r="R271" s="13"/>
      <c r="S271" s="13"/>
      <c r="T271" s="13"/>
      <c r="U271" s="13"/>
      <c r="V271" s="13"/>
      <c r="W271" s="13"/>
    </row>
    <row r="272" spans="1:23" x14ac:dyDescent="0.35">
      <c r="A272" s="7" t="s">
        <v>1398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>LEFT($A272,FIND("_",$A272)-1)</f>
        <v>Kali-A</v>
      </c>
      <c r="P272" s="13" t="str">
        <f>IF($O272="ACS", "True Search", IF($O272="Arja", "Evolutionary Search", IF($O272="AVATAR", "True Pattern", IF($O272="CapGen", "Search Like Pattern", IF($O272="Cardumen", "True Semantic", IF($O272="DynaMoth", "True Semantic", IF($O272="FixMiner", "True Pattern", IF($O272="GenProg-A", "Evolutionary Search", IF($O272="Hercules", "Learning Pattern", IF($O272="Jaid", "True Semantic",
IF($O272="Kali-A", "True Search", IF($O272="kPAR", "True Pattern", IF($O272="Nopol", "True Semantic", IF($O272="RSRepair-A", "Evolutionary Search", IF($O272="SequenceR", "Deep Learning", IF($O272="SimFix", "Search Like Pattern", IF($O272="SketchFix", "True Pattern", IF($O272="SOFix", "True Pattern", IF($O272="ssFix", "Search Like Pattern", IF($O272="TBar", "True Pattern", ""))))))))))))))))))))</f>
        <v>True Search</v>
      </c>
      <c r="Q272" s="13" t="str">
        <f>IF(NOT(ISERR(SEARCH("*_Buggy",$A272))), "Buggy", IF(NOT(ISERR(SEARCH("*_Fixed",$A272))), "Fixed", IF(NOT(ISERR(SEARCH("*_Repaired",$A272))), "Repaired", "")))</f>
        <v>Buggy</v>
      </c>
      <c r="R272" s="13"/>
      <c r="S272" s="13"/>
      <c r="T272" s="13"/>
      <c r="U272" s="13"/>
      <c r="V272" s="13"/>
      <c r="W272" s="13"/>
    </row>
    <row r="273" spans="1:23" x14ac:dyDescent="0.35">
      <c r="A273" s="7" t="s">
        <v>1399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>LEFT($A273,FIND("_",$A273)-1)</f>
        <v>Kali-A</v>
      </c>
      <c r="P273" s="13" t="str">
        <f>IF($O273="ACS", "True Search", IF($O273="Arja", "Evolutionary Search", IF($O273="AVATAR", "True Pattern", IF($O273="CapGen", "Search Like Pattern", IF($O273="Cardumen", "True Semantic", IF($O273="DynaMoth", "True Semantic", IF($O273="FixMiner", "True Pattern", IF($O273="GenProg-A", "Evolutionary Search", IF($O273="Hercules", "Learning Pattern", IF($O273="Jaid", "True Semantic",
IF($O273="Kali-A", "True Search", IF($O273="kPAR", "True Pattern", IF($O273="Nopol", "True Semantic", IF($O273="RSRepair-A", "Evolutionary Search", IF($O273="SequenceR", "Deep Learning", IF($O273="SimFix", "Search Like Pattern", IF($O273="SketchFix", "True Pattern", IF($O273="SOFix", "True Pattern", IF($O273="ssFix", "Search Like Pattern", IF($O273="TBar", "True Pattern", ""))))))))))))))))))))</f>
        <v>True Search</v>
      </c>
      <c r="Q273" s="13" t="str">
        <f>IF(NOT(ISERR(SEARCH("*_Buggy",$A273))), "Buggy", IF(NOT(ISERR(SEARCH("*_Fixed",$A273))), "Fixed", IF(NOT(ISERR(SEARCH("*_Repaired",$A273))), "Repaired", "")))</f>
        <v>Buggy</v>
      </c>
      <c r="R273" s="13"/>
      <c r="S273" s="13"/>
      <c r="T273" s="13"/>
      <c r="U273" s="13"/>
      <c r="V273" s="13"/>
      <c r="W273" s="13"/>
    </row>
    <row r="274" spans="1:23" x14ac:dyDescent="0.35">
      <c r="A274" s="7" t="s">
        <v>1400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>LEFT($A274,FIND("_",$A274)-1)</f>
        <v>Kali-A</v>
      </c>
      <c r="P274" s="13" t="str">
        <f>IF($O274="ACS", "True Search", IF($O274="Arja", "Evolutionary Search", IF($O274="AVATAR", "True Pattern", IF($O274="CapGen", "Search Like Pattern", IF($O274="Cardumen", "True Semantic", IF($O274="DynaMoth", "True Semantic", IF($O274="FixMiner", "True Pattern", IF($O274="GenProg-A", "Evolutionary Search", IF($O274="Hercules", "Learning Pattern", IF($O274="Jaid", "True Semantic",
IF($O274="Kali-A", "True Search", IF($O274="kPAR", "True Pattern", IF($O274="Nopol", "True Semantic", IF($O274="RSRepair-A", "Evolutionary Search", IF($O274="SequenceR", "Deep Learning", IF($O274="SimFix", "Search Like Pattern", IF($O274="SketchFix", "True Pattern", IF($O274="SOFix", "True Pattern", IF($O274="ssFix", "Search Like Pattern", IF($O274="TBar", "True Pattern", ""))))))))))))))))))))</f>
        <v>True Search</v>
      </c>
      <c r="Q274" s="13" t="str">
        <f>IF(NOT(ISERR(SEARCH("*_Buggy",$A274))), "Buggy", IF(NOT(ISERR(SEARCH("*_Fixed",$A274))), "Fixed", IF(NOT(ISERR(SEARCH("*_Repaired",$A274))), "Repaired", "")))</f>
        <v>Buggy</v>
      </c>
      <c r="R274" s="13"/>
      <c r="S274" s="13"/>
      <c r="T274" s="13"/>
      <c r="U274" s="13"/>
      <c r="V274" s="13"/>
      <c r="W274" s="13"/>
    </row>
    <row r="275" spans="1:23" x14ac:dyDescent="0.35">
      <c r="A275" s="5" t="s">
        <v>1401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>LEFT($A275,FIND("_",$A275)-1)</f>
        <v>Kali-A</v>
      </c>
      <c r="P275" s="13" t="str">
        <f>IF($O275="ACS", "True Search", IF($O275="Arja", "Evolutionary Search", IF($O275="AVATAR", "True Pattern", IF($O275="CapGen", "Search Like Pattern", IF($O275="Cardumen", "True Semantic", IF($O275="DynaMoth", "True Semantic", IF($O275="FixMiner", "True Pattern", IF($O275="GenProg-A", "Evolutionary Search", IF($O275="Hercules", "Learning Pattern", IF($O275="Jaid", "True Semantic",
IF($O275="Kali-A", "True Search", IF($O275="kPAR", "True Pattern", IF($O275="Nopol", "True Semantic", IF($O275="RSRepair-A", "Evolutionary Search", IF($O275="SequenceR", "Deep Learning", IF($O275="SimFix", "Search Like Pattern", IF($O275="SketchFix", "True Pattern", IF($O275="SOFix", "True Pattern", IF($O275="ssFix", "Search Like Pattern", IF($O275="TBar", "True Pattern", ""))))))))))))))))))))</f>
        <v>True Search</v>
      </c>
      <c r="Q275" s="13" t="str">
        <f>IF(NOT(ISERR(SEARCH("*_Buggy",$A275))), "Buggy", IF(NOT(ISERR(SEARCH("*_Fixed",$A275))), "Fixed", IF(NOT(ISERR(SEARCH("*_Repaired",$A275))), "Repaired", "")))</f>
        <v>Buggy</v>
      </c>
      <c r="R275" s="13"/>
      <c r="S275" s="13"/>
      <c r="T275" s="13"/>
      <c r="U275" s="13"/>
      <c r="V275" s="13"/>
      <c r="W275" s="13"/>
    </row>
    <row r="276" spans="1:23" x14ac:dyDescent="0.35">
      <c r="A276" s="7" t="s">
        <v>1402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>LEFT($A276,FIND("_",$A276)-1)</f>
        <v>Kali-A</v>
      </c>
      <c r="P276" s="13" t="str">
        <f>IF($O276="ACS", "True Search", IF($O276="Arja", "Evolutionary Search", IF($O276="AVATAR", "True Pattern", IF($O276="CapGen", "Search Like Pattern", IF($O276="Cardumen", "True Semantic", IF($O276="DynaMoth", "True Semantic", IF($O276="FixMiner", "True Pattern", IF($O276="GenProg-A", "Evolutionary Search", IF($O276="Hercules", "Learning Pattern", IF($O276="Jaid", "True Semantic",
IF($O276="Kali-A", "True Search", IF($O276="kPAR", "True Pattern", IF($O276="Nopol", "True Semantic", IF($O276="RSRepair-A", "Evolutionary Search", IF($O276="SequenceR", "Deep Learning", IF($O276="SimFix", "Search Like Pattern", IF($O276="SketchFix", "True Pattern", IF($O276="SOFix", "True Pattern", IF($O276="ssFix", "Search Like Pattern", IF($O276="TBar", "True Pattern", ""))))))))))))))))))))</f>
        <v>True Search</v>
      </c>
      <c r="Q276" s="13" t="str">
        <f>IF(NOT(ISERR(SEARCH("*_Buggy",$A276))), "Buggy", IF(NOT(ISERR(SEARCH("*_Fixed",$A276))), "Fixed", IF(NOT(ISERR(SEARCH("*_Repaired",$A276))), "Repaired", "")))</f>
        <v>Buggy</v>
      </c>
      <c r="R276" s="13"/>
      <c r="S276" s="13"/>
      <c r="T276" s="13"/>
      <c r="U276" s="13"/>
      <c r="V276" s="13"/>
      <c r="W276" s="13"/>
    </row>
    <row r="277" spans="1:23" x14ac:dyDescent="0.35">
      <c r="A277" s="7" t="s">
        <v>935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>LEFT($A277,FIND("_",$A277)-1)</f>
        <v>kPAR</v>
      </c>
      <c r="P277" s="13" t="str">
        <f>IF($O277="ACS", "True Search", IF($O277="Arja", "Evolutionary Search", IF($O277="AVATAR", "True Pattern", IF($O277="CapGen", "Search Like Pattern", IF($O277="Cardumen", "True Semantic", IF($O277="DynaMoth", "True Semantic", IF($O277="FixMiner", "True Pattern", IF($O277="GenProg-A", "Evolutionary Search", IF($O277="Hercules", "Learning Pattern", IF($O277="Jaid", "True Semantic",
IF($O277="Kali-A", "True Search", IF($O277="kPAR", "True Pattern", IF($O277="Nopol", "True Semantic", IF($O277="RSRepair-A", "Evolutionary Search", IF($O277="SequenceR", "Deep Learning", IF($O277="SimFix", "Search Like Pattern", IF($O277="SketchFix", "True Pattern", IF($O277="SOFix", "True Pattern", IF($O277="ssFix", "Search Like Pattern", IF($O277="TBar", "True Pattern", ""))))))))))))))))))))</f>
        <v>True Pattern</v>
      </c>
      <c r="Q277" s="13" t="str">
        <f>IF(NOT(ISERR(SEARCH("*_Buggy",$A277))), "Buggy", IF(NOT(ISERR(SEARCH("*_Fixed",$A277))), "Fixed", IF(NOT(ISERR(SEARCH("*_Repaired",$A277))), "Repaired", "")))</f>
        <v>Buggy</v>
      </c>
      <c r="R277" s="13"/>
      <c r="S277" s="13"/>
      <c r="T277" s="13"/>
      <c r="U277" s="13"/>
      <c r="V277" s="13"/>
      <c r="W277" s="13"/>
    </row>
    <row r="278" spans="1:23" x14ac:dyDescent="0.35">
      <c r="A278" s="7" t="s">
        <v>184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>LEFT($A278,FIND("_",$A278)-1)</f>
        <v>kPAR</v>
      </c>
      <c r="P278" s="13" t="str">
        <f>IF($O278="ACS", "True Search", IF($O278="Arja", "Evolutionary Search", IF($O278="AVATAR", "True Pattern", IF($O278="CapGen", "Search Like Pattern", IF($O278="Cardumen", "True Semantic", IF($O278="DynaMoth", "True Semantic", IF($O278="FixMiner", "True Pattern", IF($O278="GenProg-A", "Evolutionary Search", IF($O278="Hercules", "Learning Pattern", IF($O278="Jaid", "True Semantic",
IF($O278="Kali-A", "True Search", IF($O278="kPAR", "True Pattern", IF($O278="Nopol", "True Semantic", IF($O278="RSRepair-A", "Evolutionary Search", IF($O278="SequenceR", "Deep Learning", IF($O278="SimFix", "Search Like Pattern", IF($O278="SketchFix", "True Pattern", IF($O278="SOFix", "True Pattern", IF($O278="ssFix", "Search Like Pattern", IF($O278="TBar", "True Pattern", ""))))))))))))))))))))</f>
        <v>True Pattern</v>
      </c>
      <c r="Q278" s="13" t="str">
        <f>IF(NOT(ISERR(SEARCH("*_Buggy",$A278))), "Buggy", IF(NOT(ISERR(SEARCH("*_Fixed",$A278))), "Fixed", IF(NOT(ISERR(SEARCH("*_Repaired",$A278))), "Repaired", "")))</f>
        <v>Buggy</v>
      </c>
      <c r="R278" s="13"/>
      <c r="S278" s="13"/>
      <c r="T278" s="13"/>
      <c r="U278" s="13"/>
      <c r="V278" s="13"/>
      <c r="W278" s="13"/>
    </row>
    <row r="279" spans="1:23" x14ac:dyDescent="0.35">
      <c r="A279" s="5" t="s">
        <v>177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>LEFT($A279,FIND("_",$A279)-1)</f>
        <v>kPAR</v>
      </c>
      <c r="P279" s="13" t="str">
        <f>IF($O279="ACS", "True Search", IF($O279="Arja", "Evolutionary Search", IF($O279="AVATAR", "True Pattern", IF($O279="CapGen", "Search Like Pattern", IF($O279="Cardumen", "True Semantic", IF($O279="DynaMoth", "True Semantic", IF($O279="FixMiner", "True Pattern", IF($O279="GenProg-A", "Evolutionary Search", IF($O279="Hercules", "Learning Pattern", IF($O279="Jaid", "True Semantic",
IF($O279="Kali-A", "True Search", IF($O279="kPAR", "True Pattern", IF($O279="Nopol", "True Semantic", IF($O279="RSRepair-A", "Evolutionary Search", IF($O279="SequenceR", "Deep Learning", IF($O279="SimFix", "Search Like Pattern", IF($O279="SketchFix", "True Pattern", IF($O279="SOFix", "True Pattern", IF($O279="ssFix", "Search Like Pattern", IF($O279="TBar", "True Pattern", ""))))))))))))))))))))</f>
        <v>True Pattern</v>
      </c>
      <c r="Q279" s="13" t="str">
        <f>IF(NOT(ISERR(SEARCH("*_Buggy",$A279))), "Buggy", IF(NOT(ISERR(SEARCH("*_Fixed",$A279))), "Fixed", IF(NOT(ISERR(SEARCH("*_Repaired",$A279))), "Repaired", "")))</f>
        <v>Buggy</v>
      </c>
      <c r="R279" s="13"/>
      <c r="S279" s="13"/>
      <c r="T279" s="13"/>
      <c r="U279" s="13"/>
      <c r="V279" s="13"/>
      <c r="W279" s="13"/>
    </row>
    <row r="280" spans="1:23" x14ac:dyDescent="0.35">
      <c r="A280" s="7" t="s">
        <v>192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>LEFT($A280,FIND("_",$A280)-1)</f>
        <v>kPAR</v>
      </c>
      <c r="P280" s="13" t="str">
        <f>IF($O280="ACS", "True Search", IF($O280="Arja", "Evolutionary Search", IF($O280="AVATAR", "True Pattern", IF($O280="CapGen", "Search Like Pattern", IF($O280="Cardumen", "True Semantic", IF($O280="DynaMoth", "True Semantic", IF($O280="FixMiner", "True Pattern", IF($O280="GenProg-A", "Evolutionary Search", IF($O280="Hercules", "Learning Pattern", IF($O280="Jaid", "True Semantic",
IF($O280="Kali-A", "True Search", IF($O280="kPAR", "True Pattern", IF($O280="Nopol", "True Semantic", IF($O280="RSRepair-A", "Evolutionary Search", IF($O280="SequenceR", "Deep Learning", IF($O280="SimFix", "Search Like Pattern", IF($O280="SketchFix", "True Pattern", IF($O280="SOFix", "True Pattern", IF($O280="ssFix", "Search Like Pattern", IF($O280="TBar", "True Pattern", ""))))))))))))))))))))</f>
        <v>True Pattern</v>
      </c>
      <c r="Q280" s="13" t="str">
        <f>IF(NOT(ISERR(SEARCH("*_Buggy",$A280))), "Buggy", IF(NOT(ISERR(SEARCH("*_Fixed",$A280))), "Fixed", IF(NOT(ISERR(SEARCH("*_Repaired",$A280))), "Repaired", "")))</f>
        <v>Buggy</v>
      </c>
      <c r="R280" s="13"/>
      <c r="S280" s="13"/>
      <c r="T280" s="13"/>
      <c r="U280" s="13"/>
      <c r="V280" s="13"/>
      <c r="W280" s="13"/>
    </row>
    <row r="281" spans="1:23" x14ac:dyDescent="0.35">
      <c r="A281" s="5" t="s">
        <v>535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>LEFT($A281,FIND("_",$A281)-1)</f>
        <v>kPAR</v>
      </c>
      <c r="P281" s="13" t="str">
        <f>IF($O281="ACS", "True Search", IF($O281="Arja", "Evolutionary Search", IF($O281="AVATAR", "True Pattern", IF($O281="CapGen", "Search Like Pattern", IF($O281="Cardumen", "True Semantic", IF($O281="DynaMoth", "True Semantic", IF($O281="FixMiner", "True Pattern", IF($O281="GenProg-A", "Evolutionary Search", IF($O281="Hercules", "Learning Pattern", IF($O281="Jaid", "True Semantic",
IF($O281="Kali-A", "True Search", IF($O281="kPAR", "True Pattern", IF($O281="Nopol", "True Semantic", IF($O281="RSRepair-A", "Evolutionary Search", IF($O281="SequenceR", "Deep Learning", IF($O281="SimFix", "Search Like Pattern", IF($O281="SketchFix", "True Pattern", IF($O281="SOFix", "True Pattern", IF($O281="ssFix", "Search Like Pattern", IF($O281="TBar", "True Pattern", ""))))))))))))))))))))</f>
        <v>True Pattern</v>
      </c>
      <c r="Q281" s="13" t="str">
        <f>IF(NOT(ISERR(SEARCH("*_Buggy",$A281))), "Buggy", IF(NOT(ISERR(SEARCH("*_Fixed",$A281))), "Fixed", IF(NOT(ISERR(SEARCH("*_Repaired",$A281))), "Repaired", "")))</f>
        <v>Buggy</v>
      </c>
      <c r="R281" s="13"/>
      <c r="S281" s="13"/>
      <c r="T281" s="13"/>
      <c r="U281" s="13"/>
      <c r="V281" s="13"/>
      <c r="W281" s="13"/>
    </row>
    <row r="282" spans="1:23" x14ac:dyDescent="0.35">
      <c r="A282" s="5" t="s">
        <v>709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>LEFT($A282,FIND("_",$A282)-1)</f>
        <v>kPAR</v>
      </c>
      <c r="P282" s="13" t="str">
        <f>IF($O282="ACS", "True Search", IF($O282="Arja", "Evolutionary Search", IF($O282="AVATAR", "True Pattern", IF($O282="CapGen", "Search Like Pattern", IF($O282="Cardumen", "True Semantic", IF($O282="DynaMoth", "True Semantic", IF($O282="FixMiner", "True Pattern", IF($O282="GenProg-A", "Evolutionary Search", IF($O282="Hercules", "Learning Pattern", IF($O282="Jaid", "True Semantic",
IF($O282="Kali-A", "True Search", IF($O282="kPAR", "True Pattern", IF($O282="Nopol", "True Semantic", IF($O282="RSRepair-A", "Evolutionary Search", IF($O282="SequenceR", "Deep Learning", IF($O282="SimFix", "Search Like Pattern", IF($O282="SketchFix", "True Pattern", IF($O282="SOFix", "True Pattern", IF($O282="ssFix", "Search Like Pattern", IF($O282="TBar", "True Pattern", ""))))))))))))))))))))</f>
        <v>True Pattern</v>
      </c>
      <c r="Q282" s="13" t="str">
        <f>IF(NOT(ISERR(SEARCH("*_Buggy",$A282))), "Buggy", IF(NOT(ISERR(SEARCH("*_Fixed",$A282))), "Fixed", IF(NOT(ISERR(SEARCH("*_Repaired",$A282))), "Repaired", "")))</f>
        <v>Buggy</v>
      </c>
      <c r="R282" s="13"/>
      <c r="S282" s="13"/>
      <c r="T282" s="13"/>
      <c r="U282" s="13"/>
      <c r="V282" s="13"/>
      <c r="W282" s="13"/>
    </row>
    <row r="283" spans="1:23" x14ac:dyDescent="0.35">
      <c r="A283" s="5" t="s">
        <v>176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>LEFT($A283,FIND("_",$A283)-1)</f>
        <v>kPAR</v>
      </c>
      <c r="P283" s="13" t="str">
        <f>IF($O283="ACS", "True Search", IF($O283="Arja", "Evolutionary Search", IF($O283="AVATAR", "True Pattern", IF($O283="CapGen", "Search Like Pattern", IF($O283="Cardumen", "True Semantic", IF($O283="DynaMoth", "True Semantic", IF($O283="FixMiner", "True Pattern", IF($O283="GenProg-A", "Evolutionary Search", IF($O283="Hercules", "Learning Pattern", IF($O283="Jaid", "True Semantic",
IF($O283="Kali-A", "True Search", IF($O283="kPAR", "True Pattern", IF($O283="Nopol", "True Semantic", IF($O283="RSRepair-A", "Evolutionary Search", IF($O283="SequenceR", "Deep Learning", IF($O283="SimFix", "Search Like Pattern", IF($O283="SketchFix", "True Pattern", IF($O283="SOFix", "True Pattern", IF($O283="ssFix", "Search Like Pattern", IF($O283="TBar", "True Pattern", ""))))))))))))))))))))</f>
        <v>True Pattern</v>
      </c>
      <c r="Q283" s="13" t="str">
        <f>IF(NOT(ISERR(SEARCH("*_Buggy",$A283))), "Buggy", IF(NOT(ISERR(SEARCH("*_Fixed",$A283))), "Fixed", IF(NOT(ISERR(SEARCH("*_Repaired",$A283))), "Repaired", "")))</f>
        <v>Buggy</v>
      </c>
      <c r="R283" s="13"/>
      <c r="S283" s="13"/>
      <c r="T283" s="13"/>
      <c r="U283" s="13"/>
      <c r="V283" s="13"/>
      <c r="W283" s="13"/>
    </row>
    <row r="284" spans="1:23" x14ac:dyDescent="0.35">
      <c r="A284" s="5" t="s">
        <v>37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>LEFT($A284,FIND("_",$A284)-1)</f>
        <v>kPAR</v>
      </c>
      <c r="P284" s="13" t="str">
        <f>IF($O284="ACS", "True Search", IF($O284="Arja", "Evolutionary Search", IF($O284="AVATAR", "True Pattern", IF($O284="CapGen", "Search Like Pattern", IF($O284="Cardumen", "True Semantic", IF($O284="DynaMoth", "True Semantic", IF($O284="FixMiner", "True Pattern", IF($O284="GenProg-A", "Evolutionary Search", IF($O284="Hercules", "Learning Pattern", IF($O284="Jaid", "True Semantic",
IF($O284="Kali-A", "True Search", IF($O284="kPAR", "True Pattern", IF($O284="Nopol", "True Semantic", IF($O284="RSRepair-A", "Evolutionary Search", IF($O284="SequenceR", "Deep Learning", IF($O284="SimFix", "Search Like Pattern", IF($O284="SketchFix", "True Pattern", IF($O284="SOFix", "True Pattern", IF($O284="ssFix", "Search Like Pattern", IF($O284="TBar", "True Pattern", ""))))))))))))))))))))</f>
        <v>True Pattern</v>
      </c>
      <c r="Q284" s="13" t="str">
        <f>IF(NOT(ISERR(SEARCH("*_Buggy",$A284))), "Buggy", IF(NOT(ISERR(SEARCH("*_Fixed",$A284))), "Fixed", IF(NOT(ISERR(SEARCH("*_Repaired",$A284))), "Repaired", "")))</f>
        <v>Buggy</v>
      </c>
      <c r="R284" s="13"/>
      <c r="S284" s="13"/>
      <c r="T284" s="13"/>
      <c r="U284" s="13"/>
      <c r="V284" s="13"/>
      <c r="W284" s="13"/>
    </row>
    <row r="285" spans="1:23" x14ac:dyDescent="0.35">
      <c r="A285" s="5" t="s">
        <v>712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>LEFT($A285,FIND("_",$A285)-1)</f>
        <v>kPAR</v>
      </c>
      <c r="P285" s="13" t="str">
        <f>IF($O285="ACS", "True Search", IF($O285="Arja", "Evolutionary Search", IF($O285="AVATAR", "True Pattern", IF($O285="CapGen", "Search Like Pattern", IF($O285="Cardumen", "True Semantic", IF($O285="DynaMoth", "True Semantic", IF($O285="FixMiner", "True Pattern", IF($O285="GenProg-A", "Evolutionary Search", IF($O285="Hercules", "Learning Pattern", IF($O285="Jaid", "True Semantic",
IF($O285="Kali-A", "True Search", IF($O285="kPAR", "True Pattern", IF($O285="Nopol", "True Semantic", IF($O285="RSRepair-A", "Evolutionary Search", IF($O285="SequenceR", "Deep Learning", IF($O285="SimFix", "Search Like Pattern", IF($O285="SketchFix", "True Pattern", IF($O285="SOFix", "True Pattern", IF($O285="ssFix", "Search Like Pattern", IF($O285="TBar", "True Pattern", ""))))))))))))))))))))</f>
        <v>True Pattern</v>
      </c>
      <c r="Q285" s="13" t="str">
        <f>IF(NOT(ISERR(SEARCH("*_Buggy",$A285))), "Buggy", IF(NOT(ISERR(SEARCH("*_Fixed",$A285))), "Fixed", IF(NOT(ISERR(SEARCH("*_Repaired",$A285))), "Repaired", "")))</f>
        <v>Buggy</v>
      </c>
      <c r="R285" s="13"/>
      <c r="S285" s="13"/>
      <c r="T285" s="13"/>
      <c r="U285" s="13"/>
      <c r="V285" s="13"/>
      <c r="W285" s="13"/>
    </row>
    <row r="286" spans="1:23" x14ac:dyDescent="0.35">
      <c r="A286" s="7" t="s">
        <v>173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>LEFT($A286,FIND("_",$A286)-1)</f>
        <v>kPAR</v>
      </c>
      <c r="P286" s="13" t="str">
        <f>IF($O286="ACS", "True Search", IF($O286="Arja", "Evolutionary Search", IF($O286="AVATAR", "True Pattern", IF($O286="CapGen", "Search Like Pattern", IF($O286="Cardumen", "True Semantic", IF($O286="DynaMoth", "True Semantic", IF($O286="FixMiner", "True Pattern", IF($O286="GenProg-A", "Evolutionary Search", IF($O286="Hercules", "Learning Pattern", IF($O286="Jaid", "True Semantic",
IF($O286="Kali-A", "True Search", IF($O286="kPAR", "True Pattern", IF($O286="Nopol", "True Semantic", IF($O286="RSRepair-A", "Evolutionary Search", IF($O286="SequenceR", "Deep Learning", IF($O286="SimFix", "Search Like Pattern", IF($O286="SketchFix", "True Pattern", IF($O286="SOFix", "True Pattern", IF($O286="ssFix", "Search Like Pattern", IF($O286="TBar", "True Pattern", ""))))))))))))))))))))</f>
        <v>True Pattern</v>
      </c>
      <c r="Q286" s="13" t="str">
        <f>IF(NOT(ISERR(SEARCH("*_Buggy",$A286))), "Buggy", IF(NOT(ISERR(SEARCH("*_Fixed",$A286))), "Fixed", IF(NOT(ISERR(SEARCH("*_Repaired",$A286))), "Repaired", "")))</f>
        <v>Buggy</v>
      </c>
      <c r="R286" s="13"/>
      <c r="S286" s="13"/>
      <c r="T286" s="13"/>
      <c r="U286" s="13"/>
      <c r="V286" s="13"/>
      <c r="W286" s="13"/>
    </row>
    <row r="287" spans="1:23" x14ac:dyDescent="0.35">
      <c r="A287" s="5" t="s">
        <v>223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>LEFT($A287,FIND("_",$A287)-1)</f>
        <v>kPAR</v>
      </c>
      <c r="P287" s="13" t="str">
        <f>IF($O287="ACS", "True Search", IF($O287="Arja", "Evolutionary Search", IF($O287="AVATAR", "True Pattern", IF($O287="CapGen", "Search Like Pattern", IF($O287="Cardumen", "True Semantic", IF($O287="DynaMoth", "True Semantic", IF($O287="FixMiner", "True Pattern", IF($O287="GenProg-A", "Evolutionary Search", IF($O287="Hercules", "Learning Pattern", IF($O287="Jaid", "True Semantic",
IF($O287="Kali-A", "True Search", IF($O287="kPAR", "True Pattern", IF($O287="Nopol", "True Semantic", IF($O287="RSRepair-A", "Evolutionary Search", IF($O287="SequenceR", "Deep Learning", IF($O287="SimFix", "Search Like Pattern", IF($O287="SketchFix", "True Pattern", IF($O287="SOFix", "True Pattern", IF($O287="ssFix", "Search Like Pattern", IF($O287="TBar", "True Pattern", ""))))))))))))))))))))</f>
        <v>True Pattern</v>
      </c>
      <c r="Q287" s="13" t="str">
        <f>IF(NOT(ISERR(SEARCH("*_Buggy",$A287))), "Buggy", IF(NOT(ISERR(SEARCH("*_Fixed",$A287))), "Fixed", IF(NOT(ISERR(SEARCH("*_Repaired",$A287))), "Repaired", "")))</f>
        <v>Buggy</v>
      </c>
      <c r="R287" s="13"/>
      <c r="S287" s="13"/>
      <c r="T287" s="13"/>
      <c r="U287" s="13"/>
      <c r="V287" s="13"/>
      <c r="W287" s="13"/>
    </row>
    <row r="288" spans="1:23" x14ac:dyDescent="0.35">
      <c r="A288" s="7" t="s">
        <v>810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>LEFT($A288,FIND("_",$A288)-1)</f>
        <v>kPAR</v>
      </c>
      <c r="P288" s="13" t="str">
        <f>IF($O288="ACS", "True Search", IF($O288="Arja", "Evolutionary Search", IF($O288="AVATAR", "True Pattern", IF($O288="CapGen", "Search Like Pattern", IF($O288="Cardumen", "True Semantic", IF($O288="DynaMoth", "True Semantic", IF($O288="FixMiner", "True Pattern", IF($O288="GenProg-A", "Evolutionary Search", IF($O288="Hercules", "Learning Pattern", IF($O288="Jaid", "True Semantic",
IF($O288="Kali-A", "True Search", IF($O288="kPAR", "True Pattern", IF($O288="Nopol", "True Semantic", IF($O288="RSRepair-A", "Evolutionary Search", IF($O288="SequenceR", "Deep Learning", IF($O288="SimFix", "Search Like Pattern", IF($O288="SketchFix", "True Pattern", IF($O288="SOFix", "True Pattern", IF($O288="ssFix", "Search Like Pattern", IF($O288="TBar", "True Pattern", ""))))))))))))))))))))</f>
        <v>True Pattern</v>
      </c>
      <c r="Q288" s="13" t="str">
        <f>IF(NOT(ISERR(SEARCH("*_Buggy",$A288))), "Buggy", IF(NOT(ISERR(SEARCH("*_Fixed",$A288))), "Fixed", IF(NOT(ISERR(SEARCH("*_Repaired",$A288))), "Repaired", "")))</f>
        <v>Buggy</v>
      </c>
      <c r="R288" s="13"/>
      <c r="S288" s="13"/>
      <c r="T288" s="13"/>
      <c r="U288" s="13"/>
      <c r="V288" s="13"/>
      <c r="W288" s="13"/>
    </row>
    <row r="289" spans="1:23" x14ac:dyDescent="0.35">
      <c r="A289" s="7" t="s">
        <v>1004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>LEFT($A289,FIND("_",$A289)-1)</f>
        <v>kPAR</v>
      </c>
      <c r="P289" s="13" t="str">
        <f>IF($O289="ACS", "True Search", IF($O289="Arja", "Evolutionary Search", IF($O289="AVATAR", "True Pattern", IF($O289="CapGen", "Search Like Pattern", IF($O289="Cardumen", "True Semantic", IF($O289="DynaMoth", "True Semantic", IF($O289="FixMiner", "True Pattern", IF($O289="GenProg-A", "Evolutionary Search", IF($O289="Hercules", "Learning Pattern", IF($O289="Jaid", "True Semantic",
IF($O289="Kali-A", "True Search", IF($O289="kPAR", "True Pattern", IF($O289="Nopol", "True Semantic", IF($O289="RSRepair-A", "Evolutionary Search", IF($O289="SequenceR", "Deep Learning", IF($O289="SimFix", "Search Like Pattern", IF($O289="SketchFix", "True Pattern", IF($O289="SOFix", "True Pattern", IF($O289="ssFix", "Search Like Pattern", IF($O289="TBar", "True Pattern", ""))))))))))))))))))))</f>
        <v>True Pattern</v>
      </c>
      <c r="Q289" s="13" t="str">
        <f>IF(NOT(ISERR(SEARCH("*_Buggy",$A289))), "Buggy", IF(NOT(ISERR(SEARCH("*_Fixed",$A289))), "Fixed", IF(NOT(ISERR(SEARCH("*_Repaired",$A289))), "Repaired", "")))</f>
        <v>Buggy</v>
      </c>
      <c r="R289" s="13"/>
      <c r="S289" s="13"/>
      <c r="T289" s="13"/>
      <c r="U289" s="13"/>
      <c r="V289" s="13"/>
      <c r="W289" s="13"/>
    </row>
    <row r="290" spans="1:23" x14ac:dyDescent="0.35">
      <c r="A290" s="5" t="s">
        <v>284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>LEFT($A290,FIND("_",$A290)-1)</f>
        <v>kPAR</v>
      </c>
      <c r="P290" s="13" t="str">
        <f>IF($O290="ACS", "True Search", IF($O290="Arja", "Evolutionary Search", IF($O290="AVATAR", "True Pattern", IF($O290="CapGen", "Search Like Pattern", IF($O290="Cardumen", "True Semantic", IF($O290="DynaMoth", "True Semantic", IF($O290="FixMiner", "True Pattern", IF($O290="GenProg-A", "Evolutionary Search", IF($O290="Hercules", "Learning Pattern", IF($O290="Jaid", "True Semantic",
IF($O290="Kali-A", "True Search", IF($O290="kPAR", "True Pattern", IF($O290="Nopol", "True Semantic", IF($O290="RSRepair-A", "Evolutionary Search", IF($O290="SequenceR", "Deep Learning", IF($O290="SimFix", "Search Like Pattern", IF($O290="SketchFix", "True Pattern", IF($O290="SOFix", "True Pattern", IF($O290="ssFix", "Search Like Pattern", IF($O290="TBar", "True Pattern", ""))))))))))))))))))))</f>
        <v>True Pattern</v>
      </c>
      <c r="Q290" s="13" t="str">
        <f>IF(NOT(ISERR(SEARCH("*_Buggy",$A290))), "Buggy", IF(NOT(ISERR(SEARCH("*_Fixed",$A290))), "Fixed", IF(NOT(ISERR(SEARCH("*_Repaired",$A290))), "Repaired", "")))</f>
        <v>Buggy</v>
      </c>
      <c r="R290" s="13"/>
      <c r="S290" s="13"/>
      <c r="T290" s="13"/>
      <c r="U290" s="13"/>
      <c r="V290" s="13"/>
      <c r="W290" s="13"/>
    </row>
    <row r="291" spans="1:23" x14ac:dyDescent="0.35">
      <c r="A291" s="7" t="s">
        <v>1168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>LEFT($A291,FIND("_",$A291)-1)</f>
        <v>kPAR</v>
      </c>
      <c r="P291" s="13" t="str">
        <f>IF($O291="ACS", "True Search", IF($O291="Arja", "Evolutionary Search", IF($O291="AVATAR", "True Pattern", IF($O291="CapGen", "Search Like Pattern", IF($O291="Cardumen", "True Semantic", IF($O291="DynaMoth", "True Semantic", IF($O291="FixMiner", "True Pattern", IF($O291="GenProg-A", "Evolutionary Search", IF($O291="Hercules", "Learning Pattern", IF($O291="Jaid", "True Semantic",
IF($O291="Kali-A", "True Search", IF($O291="kPAR", "True Pattern", IF($O291="Nopol", "True Semantic", IF($O291="RSRepair-A", "Evolutionary Search", IF($O291="SequenceR", "Deep Learning", IF($O291="SimFix", "Search Like Pattern", IF($O291="SketchFix", "True Pattern", IF($O291="SOFix", "True Pattern", IF($O291="ssFix", "Search Like Pattern", IF($O291="TBar", "True Pattern", ""))))))))))))))))))))</f>
        <v>True Pattern</v>
      </c>
      <c r="Q291" s="13" t="str">
        <f>IF(NOT(ISERR(SEARCH("*_Buggy",$A291))), "Buggy", IF(NOT(ISERR(SEARCH("*_Fixed",$A291))), "Fixed", IF(NOT(ISERR(SEARCH("*_Repaired",$A291))), "Repaired", "")))</f>
        <v>Buggy</v>
      </c>
      <c r="R291" s="13"/>
      <c r="S291" s="13"/>
      <c r="T291" s="13"/>
      <c r="U291" s="13"/>
      <c r="V291" s="13"/>
      <c r="W291" s="13"/>
    </row>
    <row r="292" spans="1:23" x14ac:dyDescent="0.35">
      <c r="A292" s="7" t="s">
        <v>1200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>LEFT($A292,FIND("_",$A292)-1)</f>
        <v>kPAR</v>
      </c>
      <c r="P292" s="13" t="str">
        <f>IF($O292="ACS", "True Search", IF($O292="Arja", "Evolutionary Search", IF($O292="AVATAR", "True Pattern", IF($O292="CapGen", "Search Like Pattern", IF($O292="Cardumen", "True Semantic", IF($O292="DynaMoth", "True Semantic", IF($O292="FixMiner", "True Pattern", IF($O292="GenProg-A", "Evolutionary Search", IF($O292="Hercules", "Learning Pattern", IF($O292="Jaid", "True Semantic",
IF($O292="Kali-A", "True Search", IF($O292="kPAR", "True Pattern", IF($O292="Nopol", "True Semantic", IF($O292="RSRepair-A", "Evolutionary Search", IF($O292="SequenceR", "Deep Learning", IF($O292="SimFix", "Search Like Pattern", IF($O292="SketchFix", "True Pattern", IF($O292="SOFix", "True Pattern", IF($O292="ssFix", "Search Like Pattern", IF($O292="TBar", "True Pattern", ""))))))))))))))))))))</f>
        <v>True Pattern</v>
      </c>
      <c r="Q292" s="13" t="str">
        <f>IF(NOT(ISERR(SEARCH("*_Buggy",$A292))), "Buggy", IF(NOT(ISERR(SEARCH("*_Fixed",$A292))), "Fixed", IF(NOT(ISERR(SEARCH("*_Repaired",$A292))), "Repaired", "")))</f>
        <v>Buggy</v>
      </c>
      <c r="R292" s="13"/>
      <c r="S292" s="13"/>
      <c r="T292" s="13"/>
      <c r="U292" s="13"/>
      <c r="V292" s="13"/>
      <c r="W292" s="13"/>
    </row>
    <row r="293" spans="1:23" x14ac:dyDescent="0.35">
      <c r="A293" s="5" t="s">
        <v>307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>LEFT($A293,FIND("_",$A293)-1)</f>
        <v>kPAR</v>
      </c>
      <c r="P293" s="13" t="str">
        <f>IF($O293="ACS", "True Search", IF($O293="Arja", "Evolutionary Search", IF($O293="AVATAR", "True Pattern", IF($O293="CapGen", "Search Like Pattern", IF($O293="Cardumen", "True Semantic", IF($O293="DynaMoth", "True Semantic", IF($O293="FixMiner", "True Pattern", IF($O293="GenProg-A", "Evolutionary Search", IF($O293="Hercules", "Learning Pattern", IF($O293="Jaid", "True Semantic",
IF($O293="Kali-A", "True Search", IF($O293="kPAR", "True Pattern", IF($O293="Nopol", "True Semantic", IF($O293="RSRepair-A", "Evolutionary Search", IF($O293="SequenceR", "Deep Learning", IF($O293="SimFix", "Search Like Pattern", IF($O293="SketchFix", "True Pattern", IF($O293="SOFix", "True Pattern", IF($O293="ssFix", "Search Like Pattern", IF($O293="TBar", "True Pattern", ""))))))))))))))))))))</f>
        <v>True Pattern</v>
      </c>
      <c r="Q293" s="13" t="str">
        <f>IF(NOT(ISERR(SEARCH("*_Buggy",$A293))), "Buggy", IF(NOT(ISERR(SEARCH("*_Fixed",$A293))), "Fixed", IF(NOT(ISERR(SEARCH("*_Repaired",$A293))), "Repaired", "")))</f>
        <v>Buggy</v>
      </c>
      <c r="R293" s="13"/>
      <c r="S293" s="13"/>
      <c r="T293" s="13"/>
      <c r="U293" s="13"/>
      <c r="V293" s="13"/>
      <c r="W293" s="13"/>
    </row>
    <row r="294" spans="1:23" x14ac:dyDescent="0.35">
      <c r="A294" s="5" t="s">
        <v>249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>LEFT($A294,FIND("_",$A294)-1)</f>
        <v>kPAR</v>
      </c>
      <c r="P294" s="13" t="str">
        <f>IF($O294="ACS", "True Search", IF($O294="Arja", "Evolutionary Search", IF($O294="AVATAR", "True Pattern", IF($O294="CapGen", "Search Like Pattern", IF($O294="Cardumen", "True Semantic", IF($O294="DynaMoth", "True Semantic", IF($O294="FixMiner", "True Pattern", IF($O294="GenProg-A", "Evolutionary Search", IF($O294="Hercules", "Learning Pattern", IF($O294="Jaid", "True Semantic",
IF($O294="Kali-A", "True Search", IF($O294="kPAR", "True Pattern", IF($O294="Nopol", "True Semantic", IF($O294="RSRepair-A", "Evolutionary Search", IF($O294="SequenceR", "Deep Learning", IF($O294="SimFix", "Search Like Pattern", IF($O294="SketchFix", "True Pattern", IF($O294="SOFix", "True Pattern", IF($O294="ssFix", "Search Like Pattern", IF($O294="TBar", "True Pattern", ""))))))))))))))))))))</f>
        <v>True Pattern</v>
      </c>
      <c r="Q294" s="13" t="str">
        <f>IF(NOT(ISERR(SEARCH("*_Buggy",$A294))), "Buggy", IF(NOT(ISERR(SEARCH("*_Fixed",$A294))), "Fixed", IF(NOT(ISERR(SEARCH("*_Repaired",$A294))), "Repaired", "")))</f>
        <v>Buggy</v>
      </c>
      <c r="R294" s="13"/>
      <c r="S294" s="13"/>
      <c r="T294" s="13"/>
      <c r="U294" s="13"/>
      <c r="V294" s="13"/>
      <c r="W294" s="13"/>
    </row>
    <row r="295" spans="1:23" x14ac:dyDescent="0.35">
      <c r="A295" s="5" t="s">
        <v>1214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>LEFT($A295,FIND("_",$A295)-1)</f>
        <v>kPAR</v>
      </c>
      <c r="P295" s="13" t="str">
        <f>IF($O295="ACS", "True Search", IF($O295="Arja", "Evolutionary Search", IF($O295="AVATAR", "True Pattern", IF($O295="CapGen", "Search Like Pattern", IF($O295="Cardumen", "True Semantic", IF($O295="DynaMoth", "True Semantic", IF($O295="FixMiner", "True Pattern", IF($O295="GenProg-A", "Evolutionary Search", IF($O295="Hercules", "Learning Pattern", IF($O295="Jaid", "True Semantic",
IF($O295="Kali-A", "True Search", IF($O295="kPAR", "True Pattern", IF($O295="Nopol", "True Semantic", IF($O295="RSRepair-A", "Evolutionary Search", IF($O295="SequenceR", "Deep Learning", IF($O295="SimFix", "Search Like Pattern", IF($O295="SketchFix", "True Pattern", IF($O295="SOFix", "True Pattern", IF($O295="ssFix", "Search Like Pattern", IF($O295="TBar", "True Pattern", ""))))))))))))))))))))</f>
        <v>True Pattern</v>
      </c>
      <c r="Q295" s="13" t="str">
        <f>IF(NOT(ISERR(SEARCH("*_Buggy",$A295))), "Buggy", IF(NOT(ISERR(SEARCH("*_Fixed",$A295))), "Fixed", IF(NOT(ISERR(SEARCH("*_Repaired",$A295))), "Repaired", "")))</f>
        <v>Buggy</v>
      </c>
      <c r="R295" s="13"/>
      <c r="S295" s="13"/>
      <c r="T295" s="13"/>
      <c r="U295" s="13"/>
      <c r="V295" s="13"/>
      <c r="W295" s="13"/>
    </row>
    <row r="296" spans="1:23" x14ac:dyDescent="0.35">
      <c r="A296" s="7" t="s">
        <v>813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>LEFT($A296,FIND("_",$A296)-1)</f>
        <v>kPAR</v>
      </c>
      <c r="P296" s="13" t="str">
        <f>IF($O296="ACS", "True Search", IF($O296="Arja", "Evolutionary Search", IF($O296="AVATAR", "True Pattern", IF($O296="CapGen", "Search Like Pattern", IF($O296="Cardumen", "True Semantic", IF($O296="DynaMoth", "True Semantic", IF($O296="FixMiner", "True Pattern", IF($O296="GenProg-A", "Evolutionary Search", IF($O296="Hercules", "Learning Pattern", IF($O296="Jaid", "True Semantic",
IF($O296="Kali-A", "True Search", IF($O296="kPAR", "True Pattern", IF($O296="Nopol", "True Semantic", IF($O296="RSRepair-A", "Evolutionary Search", IF($O296="SequenceR", "Deep Learning", IF($O296="SimFix", "Search Like Pattern", IF($O296="SketchFix", "True Pattern", IF($O296="SOFix", "True Pattern", IF($O296="ssFix", "Search Like Pattern", IF($O296="TBar", "True Pattern", ""))))))))))))))))))))</f>
        <v>True Pattern</v>
      </c>
      <c r="Q296" s="13" t="str">
        <f>IF(NOT(ISERR(SEARCH("*_Buggy",$A296))), "Buggy", IF(NOT(ISERR(SEARCH("*_Fixed",$A296))), "Fixed", IF(NOT(ISERR(SEARCH("*_Repaired",$A296))), "Repaired", "")))</f>
        <v>Buggy</v>
      </c>
      <c r="R296" s="13"/>
      <c r="S296" s="13"/>
      <c r="T296" s="13"/>
      <c r="U296" s="13"/>
      <c r="V296" s="13"/>
      <c r="W296" s="13"/>
    </row>
    <row r="297" spans="1:23" x14ac:dyDescent="0.35">
      <c r="A297" s="7" t="s">
        <v>325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>LEFT($A297,FIND("_",$A297)-1)</f>
        <v>kPAR</v>
      </c>
      <c r="P297" s="13" t="str">
        <f>IF($O297="ACS", "True Search", IF($O297="Arja", "Evolutionary Search", IF($O297="AVATAR", "True Pattern", IF($O297="CapGen", "Search Like Pattern", IF($O297="Cardumen", "True Semantic", IF($O297="DynaMoth", "True Semantic", IF($O297="FixMiner", "True Pattern", IF($O297="GenProg-A", "Evolutionary Search", IF($O297="Hercules", "Learning Pattern", IF($O297="Jaid", "True Semantic",
IF($O297="Kali-A", "True Search", IF($O297="kPAR", "True Pattern", IF($O297="Nopol", "True Semantic", IF($O297="RSRepair-A", "Evolutionary Search", IF($O297="SequenceR", "Deep Learning", IF($O297="SimFix", "Search Like Pattern", IF($O297="SketchFix", "True Pattern", IF($O297="SOFix", "True Pattern", IF($O297="ssFix", "Search Like Pattern", IF($O297="TBar", "True Pattern", ""))))))))))))))))))))</f>
        <v>True Pattern</v>
      </c>
      <c r="Q297" s="13" t="str">
        <f>IF(NOT(ISERR(SEARCH("*_Buggy",$A297))), "Buggy", IF(NOT(ISERR(SEARCH("*_Fixed",$A297))), "Fixed", IF(NOT(ISERR(SEARCH("*_Repaired",$A297))), "Repaired", "")))</f>
        <v>Buggy</v>
      </c>
      <c r="R297" s="13"/>
      <c r="S297" s="13"/>
      <c r="T297" s="13"/>
      <c r="U297" s="13"/>
      <c r="V297" s="13"/>
      <c r="W297" s="13"/>
    </row>
    <row r="298" spans="1:23" x14ac:dyDescent="0.35">
      <c r="A298" s="7" t="s">
        <v>178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>LEFT($A298,FIND("_",$A298)-1)</f>
        <v>kPAR</v>
      </c>
      <c r="P298" s="13" t="str">
        <f>IF($O298="ACS", "True Search", IF($O298="Arja", "Evolutionary Search", IF($O298="AVATAR", "True Pattern", IF($O298="CapGen", "Search Like Pattern", IF($O298="Cardumen", "True Semantic", IF($O298="DynaMoth", "True Semantic", IF($O298="FixMiner", "True Pattern", IF($O298="GenProg-A", "Evolutionary Search", IF($O298="Hercules", "Learning Pattern", IF($O298="Jaid", "True Semantic",
IF($O298="Kali-A", "True Search", IF($O298="kPAR", "True Pattern", IF($O298="Nopol", "True Semantic", IF($O298="RSRepair-A", "Evolutionary Search", IF($O298="SequenceR", "Deep Learning", IF($O298="SimFix", "Search Like Pattern", IF($O298="SketchFix", "True Pattern", IF($O298="SOFix", "True Pattern", IF($O298="ssFix", "Search Like Pattern", IF($O298="TBar", "True Pattern", ""))))))))))))))))))))</f>
        <v>True Pattern</v>
      </c>
      <c r="Q298" s="13" t="str">
        <f>IF(NOT(ISERR(SEARCH("*_Buggy",$A298))), "Buggy", IF(NOT(ISERR(SEARCH("*_Fixed",$A298))), "Fixed", IF(NOT(ISERR(SEARCH("*_Repaired",$A298))), "Repaired", "")))</f>
        <v>Buggy</v>
      </c>
      <c r="R298" s="13"/>
      <c r="S298" s="13"/>
      <c r="T298" s="13"/>
      <c r="U298" s="13"/>
      <c r="V298" s="13"/>
      <c r="W298" s="13"/>
    </row>
    <row r="299" spans="1:23" x14ac:dyDescent="0.35">
      <c r="A299" s="7" t="s">
        <v>1220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>LEFT($A299,FIND("_",$A299)-1)</f>
        <v>kPAR</v>
      </c>
      <c r="P299" s="13" t="str">
        <f>IF($O299="ACS", "True Search", IF($O299="Arja", "Evolutionary Search", IF($O299="AVATAR", "True Pattern", IF($O299="CapGen", "Search Like Pattern", IF($O299="Cardumen", "True Semantic", IF($O299="DynaMoth", "True Semantic", IF($O299="FixMiner", "True Pattern", IF($O299="GenProg-A", "Evolutionary Search", IF($O299="Hercules", "Learning Pattern", IF($O299="Jaid", "True Semantic",
IF($O299="Kali-A", "True Search", IF($O299="kPAR", "True Pattern", IF($O299="Nopol", "True Semantic", IF($O299="RSRepair-A", "Evolutionary Search", IF($O299="SequenceR", "Deep Learning", IF($O299="SimFix", "Search Like Pattern", IF($O299="SketchFix", "True Pattern", IF($O299="SOFix", "True Pattern", IF($O299="ssFix", "Search Like Pattern", IF($O299="TBar", "True Pattern", ""))))))))))))))))))))</f>
        <v>True Pattern</v>
      </c>
      <c r="Q299" s="13" t="str">
        <f>IF(NOT(ISERR(SEARCH("*_Buggy",$A299))), "Buggy", IF(NOT(ISERR(SEARCH("*_Fixed",$A299))), "Fixed", IF(NOT(ISERR(SEARCH("*_Repaired",$A299))), "Repaired", "")))</f>
        <v>Buggy</v>
      </c>
      <c r="R299" s="13"/>
      <c r="S299" s="13"/>
      <c r="T299" s="13"/>
      <c r="U299" s="13"/>
      <c r="V299" s="13"/>
      <c r="W299" s="13"/>
    </row>
    <row r="300" spans="1:23" x14ac:dyDescent="0.35">
      <c r="A300" s="7" t="s">
        <v>583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>LEFT($A300,FIND("_",$A300)-1)</f>
        <v>kPAR</v>
      </c>
      <c r="P300" s="13" t="str">
        <f>IF($O300="ACS", "True Search", IF($O300="Arja", "Evolutionary Search", IF($O300="AVATAR", "True Pattern", IF($O300="CapGen", "Search Like Pattern", IF($O300="Cardumen", "True Semantic", IF($O300="DynaMoth", "True Semantic", IF($O300="FixMiner", "True Pattern", IF($O300="GenProg-A", "Evolutionary Search", IF($O300="Hercules", "Learning Pattern", IF($O300="Jaid", "True Semantic",
IF($O300="Kali-A", "True Search", IF($O300="kPAR", "True Pattern", IF($O300="Nopol", "True Semantic", IF($O300="RSRepair-A", "Evolutionary Search", IF($O300="SequenceR", "Deep Learning", IF($O300="SimFix", "Search Like Pattern", IF($O300="SketchFix", "True Pattern", IF($O300="SOFix", "True Pattern", IF($O300="ssFix", "Search Like Pattern", IF($O300="TBar", "True Pattern", ""))))))))))))))))))))</f>
        <v>True Pattern</v>
      </c>
      <c r="Q300" s="13" t="str">
        <f>IF(NOT(ISERR(SEARCH("*_Buggy",$A300))), "Buggy", IF(NOT(ISERR(SEARCH("*_Fixed",$A300))), "Fixed", IF(NOT(ISERR(SEARCH("*_Repaired",$A300))), "Repaired", "")))</f>
        <v>Buggy</v>
      </c>
      <c r="R300" s="13"/>
      <c r="S300" s="13"/>
      <c r="T300" s="13"/>
      <c r="U300" s="13"/>
      <c r="V300" s="13"/>
      <c r="W300" s="13"/>
    </row>
    <row r="301" spans="1:23" x14ac:dyDescent="0.35">
      <c r="A301" s="5" t="s">
        <v>896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>LEFT($A301,FIND("_",$A301)-1)</f>
        <v>kPAR</v>
      </c>
      <c r="P301" s="13" t="str">
        <f>IF($O301="ACS", "True Search", IF($O301="Arja", "Evolutionary Search", IF($O301="AVATAR", "True Pattern", IF($O301="CapGen", "Search Like Pattern", IF($O301="Cardumen", "True Semantic", IF($O301="DynaMoth", "True Semantic", IF($O301="FixMiner", "True Pattern", IF($O301="GenProg-A", "Evolutionary Search", IF($O301="Hercules", "Learning Pattern", IF($O301="Jaid", "True Semantic",
IF($O301="Kali-A", "True Search", IF($O301="kPAR", "True Pattern", IF($O301="Nopol", "True Semantic", IF($O301="RSRepair-A", "Evolutionary Search", IF($O301="SequenceR", "Deep Learning", IF($O301="SimFix", "Search Like Pattern", IF($O301="SketchFix", "True Pattern", IF($O301="SOFix", "True Pattern", IF($O301="ssFix", "Search Like Pattern", IF($O301="TBar", "True Pattern", ""))))))))))))))))))))</f>
        <v>True Pattern</v>
      </c>
      <c r="Q301" s="13" t="str">
        <f>IF(NOT(ISERR(SEARCH("*_Buggy",$A301))), "Buggy", IF(NOT(ISERR(SEARCH("*_Fixed",$A301))), "Fixed", IF(NOT(ISERR(SEARCH("*_Repaired",$A301))), "Repaired", "")))</f>
        <v>Buggy</v>
      </c>
      <c r="R301" s="13"/>
      <c r="S301" s="13"/>
      <c r="T301" s="13"/>
      <c r="U301" s="13"/>
      <c r="V301" s="13"/>
      <c r="W301" s="13"/>
    </row>
    <row r="302" spans="1:23" x14ac:dyDescent="0.35">
      <c r="A302" s="5" t="s">
        <v>565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>LEFT($A302,FIND("_",$A302)-1)</f>
        <v>kPAR</v>
      </c>
      <c r="P302" s="13" t="str">
        <f>IF($O302="ACS", "True Search", IF($O302="Arja", "Evolutionary Search", IF($O302="AVATAR", "True Pattern", IF($O302="CapGen", "Search Like Pattern", IF($O302="Cardumen", "True Semantic", IF($O302="DynaMoth", "True Semantic", IF($O302="FixMiner", "True Pattern", IF($O302="GenProg-A", "Evolutionary Search", IF($O302="Hercules", "Learning Pattern", IF($O302="Jaid", "True Semantic",
IF($O302="Kali-A", "True Search", IF($O302="kPAR", "True Pattern", IF($O302="Nopol", "True Semantic", IF($O302="RSRepair-A", "Evolutionary Search", IF($O302="SequenceR", "Deep Learning", IF($O302="SimFix", "Search Like Pattern", IF($O302="SketchFix", "True Pattern", IF($O302="SOFix", "True Pattern", IF($O302="ssFix", "Search Like Pattern", IF($O302="TBar", "True Pattern", ""))))))))))))))))))))</f>
        <v>True Pattern</v>
      </c>
      <c r="Q302" s="13" t="str">
        <f>IF(NOT(ISERR(SEARCH("*_Buggy",$A302))), "Buggy", IF(NOT(ISERR(SEARCH("*_Fixed",$A302))), "Fixed", IF(NOT(ISERR(SEARCH("*_Repaired",$A302))), "Repaired", "")))</f>
        <v>Buggy</v>
      </c>
      <c r="R302" s="13"/>
      <c r="S302" s="13"/>
      <c r="T302" s="13"/>
      <c r="U302" s="13"/>
      <c r="V302" s="13"/>
      <c r="W302" s="13"/>
    </row>
    <row r="303" spans="1:23" x14ac:dyDescent="0.35">
      <c r="A303" s="7" t="s">
        <v>804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>LEFT($A303,FIND("_",$A303)-1)</f>
        <v>kPAR</v>
      </c>
      <c r="P303" s="13" t="str">
        <f>IF($O303="ACS", "True Search", IF($O303="Arja", "Evolutionary Search", IF($O303="AVATAR", "True Pattern", IF($O303="CapGen", "Search Like Pattern", IF($O303="Cardumen", "True Semantic", IF($O303="DynaMoth", "True Semantic", IF($O303="FixMiner", "True Pattern", IF($O303="GenProg-A", "Evolutionary Search", IF($O303="Hercules", "Learning Pattern", IF($O303="Jaid", "True Semantic",
IF($O303="Kali-A", "True Search", IF($O303="kPAR", "True Pattern", IF($O303="Nopol", "True Semantic", IF($O303="RSRepair-A", "Evolutionary Search", IF($O303="SequenceR", "Deep Learning", IF($O303="SimFix", "Search Like Pattern", IF($O303="SketchFix", "True Pattern", IF($O303="SOFix", "True Pattern", IF($O303="ssFix", "Search Like Pattern", IF($O303="TBar", "True Pattern", ""))))))))))))))))))))</f>
        <v>True Pattern</v>
      </c>
      <c r="Q303" s="13" t="str">
        <f>IF(NOT(ISERR(SEARCH("*_Buggy",$A303))), "Buggy", IF(NOT(ISERR(SEARCH("*_Fixed",$A303))), "Fixed", IF(NOT(ISERR(SEARCH("*_Repaired",$A303))), "Repaired", "")))</f>
        <v>Buggy</v>
      </c>
      <c r="R303" s="13"/>
      <c r="S303" s="13"/>
      <c r="T303" s="13"/>
      <c r="U303" s="13"/>
      <c r="V303" s="13"/>
      <c r="W303" s="13"/>
    </row>
    <row r="304" spans="1:23" x14ac:dyDescent="0.35">
      <c r="A304" s="5" t="s">
        <v>48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>LEFT($A304,FIND("_",$A304)-1)</f>
        <v>kPAR</v>
      </c>
      <c r="P304" s="13" t="str">
        <f>IF($O304="ACS", "True Search", IF($O304="Arja", "Evolutionary Search", IF($O304="AVATAR", "True Pattern", IF($O304="CapGen", "Search Like Pattern", IF($O304="Cardumen", "True Semantic", IF($O304="DynaMoth", "True Semantic", IF($O304="FixMiner", "True Pattern", IF($O304="GenProg-A", "Evolutionary Search", IF($O304="Hercules", "Learning Pattern", IF($O304="Jaid", "True Semantic",
IF($O304="Kali-A", "True Search", IF($O304="kPAR", "True Pattern", IF($O304="Nopol", "True Semantic", IF($O304="RSRepair-A", "Evolutionary Search", IF($O304="SequenceR", "Deep Learning", IF($O304="SimFix", "Search Like Pattern", IF($O304="SketchFix", "True Pattern", IF($O304="SOFix", "True Pattern", IF($O304="ssFix", "Search Like Pattern", IF($O304="TBar", "True Pattern", ""))))))))))))))))))))</f>
        <v>True Pattern</v>
      </c>
      <c r="Q304" s="13" t="str">
        <f>IF(NOT(ISERR(SEARCH("*_Buggy",$A304))), "Buggy", IF(NOT(ISERR(SEARCH("*_Fixed",$A304))), "Fixed", IF(NOT(ISERR(SEARCH("*_Repaired",$A304))), "Repaired", "")))</f>
        <v>Buggy</v>
      </c>
      <c r="R304" s="13"/>
      <c r="S304" s="13"/>
      <c r="T304" s="13"/>
      <c r="U304" s="13"/>
      <c r="V304" s="13"/>
      <c r="W304" s="13"/>
    </row>
    <row r="305" spans="1:23" x14ac:dyDescent="0.35">
      <c r="A305" s="5" t="s">
        <v>181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>LEFT($A305,FIND("_",$A305)-1)</f>
        <v>kPAR</v>
      </c>
      <c r="P305" s="13" t="str">
        <f>IF($O305="ACS", "True Search", IF($O305="Arja", "Evolutionary Search", IF($O305="AVATAR", "True Pattern", IF($O305="CapGen", "Search Like Pattern", IF($O305="Cardumen", "True Semantic", IF($O305="DynaMoth", "True Semantic", IF($O305="FixMiner", "True Pattern", IF($O305="GenProg-A", "Evolutionary Search", IF($O305="Hercules", "Learning Pattern", IF($O305="Jaid", "True Semantic",
IF($O305="Kali-A", "True Search", IF($O305="kPAR", "True Pattern", IF($O305="Nopol", "True Semantic", IF($O305="RSRepair-A", "Evolutionary Search", IF($O305="SequenceR", "Deep Learning", IF($O305="SimFix", "Search Like Pattern", IF($O305="SketchFix", "True Pattern", IF($O305="SOFix", "True Pattern", IF($O305="ssFix", "Search Like Pattern", IF($O305="TBar", "True Pattern", ""))))))))))))))))))))</f>
        <v>True Pattern</v>
      </c>
      <c r="Q305" s="13" t="str">
        <f>IF(NOT(ISERR(SEARCH("*_Buggy",$A305))), "Buggy", IF(NOT(ISERR(SEARCH("*_Fixed",$A305))), "Fixed", IF(NOT(ISERR(SEARCH("*_Repaired",$A305))), "Repaired", "")))</f>
        <v>Buggy</v>
      </c>
      <c r="R305" s="13"/>
      <c r="S305" s="13"/>
      <c r="T305" s="13"/>
      <c r="U305" s="13"/>
      <c r="V305" s="13"/>
      <c r="W305" s="13"/>
    </row>
    <row r="306" spans="1:23" x14ac:dyDescent="0.35">
      <c r="A306" s="5" t="s">
        <v>409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>LEFT($A306,FIND("_",$A306)-1)</f>
        <v>kPAR</v>
      </c>
      <c r="P306" s="13" t="str">
        <f>IF($O306="ACS", "True Search", IF($O306="Arja", "Evolutionary Search", IF($O306="AVATAR", "True Pattern", IF($O306="CapGen", "Search Like Pattern", IF($O306="Cardumen", "True Semantic", IF($O306="DynaMoth", "True Semantic", IF($O306="FixMiner", "True Pattern", IF($O306="GenProg-A", "Evolutionary Search", IF($O306="Hercules", "Learning Pattern", IF($O306="Jaid", "True Semantic",
IF($O306="Kali-A", "True Search", IF($O306="kPAR", "True Pattern", IF($O306="Nopol", "True Semantic", IF($O306="RSRepair-A", "Evolutionary Search", IF($O306="SequenceR", "Deep Learning", IF($O306="SimFix", "Search Like Pattern", IF($O306="SketchFix", "True Pattern", IF($O306="SOFix", "True Pattern", IF($O306="ssFix", "Search Like Pattern", IF($O306="TBar", "True Pattern", ""))))))))))))))))))))</f>
        <v>True Pattern</v>
      </c>
      <c r="Q306" s="13" t="str">
        <f>IF(NOT(ISERR(SEARCH("*_Buggy",$A306))), "Buggy", IF(NOT(ISERR(SEARCH("*_Fixed",$A306))), "Fixed", IF(NOT(ISERR(SEARCH("*_Repaired",$A306))), "Repaired", "")))</f>
        <v>Buggy</v>
      </c>
      <c r="R306" s="13"/>
      <c r="S306" s="13"/>
      <c r="T306" s="13"/>
      <c r="U306" s="13"/>
      <c r="V306" s="13"/>
      <c r="W306" s="13"/>
    </row>
    <row r="307" spans="1:23" x14ac:dyDescent="0.35">
      <c r="A307" s="5" t="s">
        <v>153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>LEFT($A307,FIND("_",$A307)-1)</f>
        <v>kPAR</v>
      </c>
      <c r="P307" s="13" t="str">
        <f>IF($O307="ACS", "True Search", IF($O307="Arja", "Evolutionary Search", IF($O307="AVATAR", "True Pattern", IF($O307="CapGen", "Search Like Pattern", IF($O307="Cardumen", "True Semantic", IF($O307="DynaMoth", "True Semantic", IF($O307="FixMiner", "True Pattern", IF($O307="GenProg-A", "Evolutionary Search", IF($O307="Hercules", "Learning Pattern", IF($O307="Jaid", "True Semantic",
IF($O307="Kali-A", "True Search", IF($O307="kPAR", "True Pattern", IF($O307="Nopol", "True Semantic", IF($O307="RSRepair-A", "Evolutionary Search", IF($O307="SequenceR", "Deep Learning", IF($O307="SimFix", "Search Like Pattern", IF($O307="SketchFix", "True Pattern", IF($O307="SOFix", "True Pattern", IF($O307="ssFix", "Search Like Pattern", IF($O307="TBar", "True Pattern", ""))))))))))))))))))))</f>
        <v>True Pattern</v>
      </c>
      <c r="Q307" s="13" t="str">
        <f>IF(NOT(ISERR(SEARCH("*_Buggy",$A307))), "Buggy", IF(NOT(ISERR(SEARCH("*_Fixed",$A307))), "Fixed", IF(NOT(ISERR(SEARCH("*_Repaired",$A307))), "Repaired", "")))</f>
        <v>Buggy</v>
      </c>
      <c r="R307" s="13"/>
      <c r="S307" s="13"/>
      <c r="T307" s="13"/>
      <c r="U307" s="13"/>
      <c r="V307" s="13"/>
      <c r="W307" s="13"/>
    </row>
    <row r="308" spans="1:23" x14ac:dyDescent="0.35">
      <c r="A308" s="5" t="s">
        <v>908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>LEFT($A308,FIND("_",$A308)-1)</f>
        <v>kPAR</v>
      </c>
      <c r="P308" s="13" t="str">
        <f>IF($O308="ACS", "True Search", IF($O308="Arja", "Evolutionary Search", IF($O308="AVATAR", "True Pattern", IF($O308="CapGen", "Search Like Pattern", IF($O308="Cardumen", "True Semantic", IF($O308="DynaMoth", "True Semantic", IF($O308="FixMiner", "True Pattern", IF($O308="GenProg-A", "Evolutionary Search", IF($O308="Hercules", "Learning Pattern", IF($O308="Jaid", "True Semantic",
IF($O308="Kali-A", "True Search", IF($O308="kPAR", "True Pattern", IF($O308="Nopol", "True Semantic", IF($O308="RSRepair-A", "Evolutionary Search", IF($O308="SequenceR", "Deep Learning", IF($O308="SimFix", "Search Like Pattern", IF($O308="SketchFix", "True Pattern", IF($O308="SOFix", "True Pattern", IF($O308="ssFix", "Search Like Pattern", IF($O308="TBar", "True Pattern", ""))))))))))))))))))))</f>
        <v>True Pattern</v>
      </c>
      <c r="Q308" s="13" t="str">
        <f>IF(NOT(ISERR(SEARCH("*_Buggy",$A308))), "Buggy", IF(NOT(ISERR(SEARCH("*_Fixed",$A308))), "Fixed", IF(NOT(ISERR(SEARCH("*_Repaired",$A308))), "Repaired", "")))</f>
        <v>Buggy</v>
      </c>
      <c r="R308" s="13"/>
      <c r="S308" s="13"/>
      <c r="T308" s="13"/>
      <c r="U308" s="13"/>
      <c r="V308" s="13"/>
      <c r="W308" s="13"/>
    </row>
    <row r="309" spans="1:23" x14ac:dyDescent="0.35">
      <c r="A309" s="7" t="s">
        <v>348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>LEFT($A309,FIND("_",$A309)-1)</f>
        <v>kPAR</v>
      </c>
      <c r="P309" s="13" t="str">
        <f>IF($O309="ACS", "True Search", IF($O309="Arja", "Evolutionary Search", IF($O309="AVATAR", "True Pattern", IF($O309="CapGen", "Search Like Pattern", IF($O309="Cardumen", "True Semantic", IF($O309="DynaMoth", "True Semantic", IF($O309="FixMiner", "True Pattern", IF($O309="GenProg-A", "Evolutionary Search", IF($O309="Hercules", "Learning Pattern", IF($O309="Jaid", "True Semantic",
IF($O309="Kali-A", "True Search", IF($O309="kPAR", "True Pattern", IF($O309="Nopol", "True Semantic", IF($O309="RSRepair-A", "Evolutionary Search", IF($O309="SequenceR", "Deep Learning", IF($O309="SimFix", "Search Like Pattern", IF($O309="SketchFix", "True Pattern", IF($O309="SOFix", "True Pattern", IF($O309="ssFix", "Search Like Pattern", IF($O309="TBar", "True Pattern", ""))))))))))))))))))))</f>
        <v>True Pattern</v>
      </c>
      <c r="Q309" s="13" t="str">
        <f>IF(NOT(ISERR(SEARCH("*_Buggy",$A309))), "Buggy", IF(NOT(ISERR(SEARCH("*_Fixed",$A309))), "Fixed", IF(NOT(ISERR(SEARCH("*_Repaired",$A309))), "Repaired", "")))</f>
        <v>Buggy</v>
      </c>
      <c r="R309" s="13"/>
      <c r="S309" s="13"/>
      <c r="T309" s="13"/>
      <c r="U309" s="13"/>
      <c r="V309" s="13"/>
      <c r="W309" s="13"/>
    </row>
    <row r="310" spans="1:23" x14ac:dyDescent="0.35">
      <c r="A310" s="5" t="s">
        <v>659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>LEFT($A310,FIND("_",$A310)-1)</f>
        <v>kPAR</v>
      </c>
      <c r="P310" s="13" t="str">
        <f>IF($O310="ACS", "True Search", IF($O310="Arja", "Evolutionary Search", IF($O310="AVATAR", "True Pattern", IF($O310="CapGen", "Search Like Pattern", IF($O310="Cardumen", "True Semantic", IF($O310="DynaMoth", "True Semantic", IF($O310="FixMiner", "True Pattern", IF($O310="GenProg-A", "Evolutionary Search", IF($O310="Hercules", "Learning Pattern", IF($O310="Jaid", "True Semantic",
IF($O310="Kali-A", "True Search", IF($O310="kPAR", "True Pattern", IF($O310="Nopol", "True Semantic", IF($O310="RSRepair-A", "Evolutionary Search", IF($O310="SequenceR", "Deep Learning", IF($O310="SimFix", "Search Like Pattern", IF($O310="SketchFix", "True Pattern", IF($O310="SOFix", "True Pattern", IF($O310="ssFix", "Search Like Pattern", IF($O310="TBar", "True Pattern", ""))))))))))))))))))))</f>
        <v>True Pattern</v>
      </c>
      <c r="Q310" s="13" t="str">
        <f>IF(NOT(ISERR(SEARCH("*_Buggy",$A310))), "Buggy", IF(NOT(ISERR(SEARCH("*_Fixed",$A310))), "Fixed", IF(NOT(ISERR(SEARCH("*_Repaired",$A310))), "Repaired", "")))</f>
        <v>Buggy</v>
      </c>
      <c r="R310" s="13"/>
      <c r="S310" s="13"/>
      <c r="T310" s="13"/>
      <c r="U310" s="13"/>
      <c r="V310" s="13"/>
      <c r="W310" s="13"/>
    </row>
    <row r="311" spans="1:23" x14ac:dyDescent="0.35">
      <c r="A311" s="7" t="s">
        <v>584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>LEFT($A311,FIND("_",$A311)-1)</f>
        <v>kPAR</v>
      </c>
      <c r="P311" s="13" t="str">
        <f>IF($O311="ACS", "True Search", IF($O311="Arja", "Evolutionary Search", IF($O311="AVATAR", "True Pattern", IF($O311="CapGen", "Search Like Pattern", IF($O311="Cardumen", "True Semantic", IF($O311="DynaMoth", "True Semantic", IF($O311="FixMiner", "True Pattern", IF($O311="GenProg-A", "Evolutionary Search", IF($O311="Hercules", "Learning Pattern", IF($O311="Jaid", "True Semantic",
IF($O311="Kali-A", "True Search", IF($O311="kPAR", "True Pattern", IF($O311="Nopol", "True Semantic", IF($O311="RSRepair-A", "Evolutionary Search", IF($O311="SequenceR", "Deep Learning", IF($O311="SimFix", "Search Like Pattern", IF($O311="SketchFix", "True Pattern", IF($O311="SOFix", "True Pattern", IF($O311="ssFix", "Search Like Pattern", IF($O311="TBar", "True Pattern", ""))))))))))))))))))))</f>
        <v>True Pattern</v>
      </c>
      <c r="Q311" s="13" t="str">
        <f>IF(NOT(ISERR(SEARCH("*_Buggy",$A311))), "Buggy", IF(NOT(ISERR(SEARCH("*_Fixed",$A311))), "Fixed", IF(NOT(ISERR(SEARCH("*_Repaired",$A311))), "Repaired", "")))</f>
        <v>Buggy</v>
      </c>
      <c r="R311" s="13"/>
      <c r="S311" s="13"/>
      <c r="T311" s="13"/>
      <c r="U311" s="13"/>
      <c r="V311" s="13"/>
      <c r="W311" s="13"/>
    </row>
    <row r="312" spans="1:23" x14ac:dyDescent="0.35">
      <c r="A312" s="7" t="s">
        <v>466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>LEFT($A312,FIND("_",$A312)-1)</f>
        <v>kPAR</v>
      </c>
      <c r="P312" s="13" t="str">
        <f>IF($O312="ACS", "True Search", IF($O312="Arja", "Evolutionary Search", IF($O312="AVATAR", "True Pattern", IF($O312="CapGen", "Search Like Pattern", IF($O312="Cardumen", "True Semantic", IF($O312="DynaMoth", "True Semantic", IF($O312="FixMiner", "True Pattern", IF($O312="GenProg-A", "Evolutionary Search", IF($O312="Hercules", "Learning Pattern", IF($O312="Jaid", "True Semantic",
IF($O312="Kali-A", "True Search", IF($O312="kPAR", "True Pattern", IF($O312="Nopol", "True Semantic", IF($O312="RSRepair-A", "Evolutionary Search", IF($O312="SequenceR", "Deep Learning", IF($O312="SimFix", "Search Like Pattern", IF($O312="SketchFix", "True Pattern", IF($O312="SOFix", "True Pattern", IF($O312="ssFix", "Search Like Pattern", IF($O312="TBar", "True Pattern", ""))))))))))))))))))))</f>
        <v>True Pattern</v>
      </c>
      <c r="Q312" s="13" t="str">
        <f>IF(NOT(ISERR(SEARCH("*_Buggy",$A312))), "Buggy", IF(NOT(ISERR(SEARCH("*_Fixed",$A312))), "Fixed", IF(NOT(ISERR(SEARCH("*_Repaired",$A312))), "Repaired", "")))</f>
        <v>Buggy</v>
      </c>
      <c r="R312" s="13"/>
      <c r="S312" s="13"/>
      <c r="T312" s="13"/>
      <c r="U312" s="13"/>
      <c r="V312" s="13"/>
      <c r="W312" s="13"/>
    </row>
    <row r="313" spans="1:23" x14ac:dyDescent="0.35">
      <c r="A313" s="5" t="s">
        <v>247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>LEFT($A313,FIND("_",$A313)-1)</f>
        <v>kPAR</v>
      </c>
      <c r="P313" s="13" t="str">
        <f>IF($O313="ACS", "True Search", IF($O313="Arja", "Evolutionary Search", IF($O313="AVATAR", "True Pattern", IF($O313="CapGen", "Search Like Pattern", IF($O313="Cardumen", "True Semantic", IF($O313="DynaMoth", "True Semantic", IF($O313="FixMiner", "True Pattern", IF($O313="GenProg-A", "Evolutionary Search", IF($O313="Hercules", "Learning Pattern", IF($O313="Jaid", "True Semantic",
IF($O313="Kali-A", "True Search", IF($O313="kPAR", "True Pattern", IF($O313="Nopol", "True Semantic", IF($O313="RSRepair-A", "Evolutionary Search", IF($O313="SequenceR", "Deep Learning", IF($O313="SimFix", "Search Like Pattern", IF($O313="SketchFix", "True Pattern", IF($O313="SOFix", "True Pattern", IF($O313="ssFix", "Search Like Pattern", IF($O313="TBar", "True Pattern", ""))))))))))))))))))))</f>
        <v>True Pattern</v>
      </c>
      <c r="Q313" s="13" t="str">
        <f>IF(NOT(ISERR(SEARCH("*_Buggy",$A313))), "Buggy", IF(NOT(ISERR(SEARCH("*_Fixed",$A313))), "Fixed", IF(NOT(ISERR(SEARCH("*_Repaired",$A313))), "Repaired", "")))</f>
        <v>Buggy</v>
      </c>
      <c r="R313" s="13"/>
      <c r="S313" s="13"/>
      <c r="T313" s="13"/>
      <c r="U313" s="13"/>
      <c r="V313" s="13"/>
      <c r="W313" s="13"/>
    </row>
    <row r="314" spans="1:23" x14ac:dyDescent="0.35">
      <c r="A314" s="5" t="s">
        <v>157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>LEFT($A314,FIND("_",$A314)-1)</f>
        <v>kPAR</v>
      </c>
      <c r="P314" s="13" t="str">
        <f>IF($O314="ACS", "True Search", IF($O314="Arja", "Evolutionary Search", IF($O314="AVATAR", "True Pattern", IF($O314="CapGen", "Search Like Pattern", IF($O314="Cardumen", "True Semantic", IF($O314="DynaMoth", "True Semantic", IF($O314="FixMiner", "True Pattern", IF($O314="GenProg-A", "Evolutionary Search", IF($O314="Hercules", "Learning Pattern", IF($O314="Jaid", "True Semantic",
IF($O314="Kali-A", "True Search", IF($O314="kPAR", "True Pattern", IF($O314="Nopol", "True Semantic", IF($O314="RSRepair-A", "Evolutionary Search", IF($O314="SequenceR", "Deep Learning", IF($O314="SimFix", "Search Like Pattern", IF($O314="SketchFix", "True Pattern", IF($O314="SOFix", "True Pattern", IF($O314="ssFix", "Search Like Pattern", IF($O314="TBar", "True Pattern", ""))))))))))))))))))))</f>
        <v>True Pattern</v>
      </c>
      <c r="Q314" s="13" t="str">
        <f>IF(NOT(ISERR(SEARCH("*_Buggy",$A314))), "Buggy", IF(NOT(ISERR(SEARCH("*_Fixed",$A314))), "Fixed", IF(NOT(ISERR(SEARCH("*_Repaired",$A314))), "Repaired", "")))</f>
        <v>Buggy</v>
      </c>
      <c r="R314" s="13"/>
      <c r="S314" s="13"/>
      <c r="T314" s="13"/>
      <c r="U314" s="13"/>
      <c r="V314" s="13"/>
      <c r="W314" s="13"/>
    </row>
    <row r="315" spans="1:23" x14ac:dyDescent="0.35">
      <c r="A315" s="5" t="s">
        <v>1183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>LEFT($A315,FIND("_",$A315)-1)</f>
        <v>kPAR</v>
      </c>
      <c r="P315" s="13" t="str">
        <f>IF($O315="ACS", "True Search", IF($O315="Arja", "Evolutionary Search", IF($O315="AVATAR", "True Pattern", IF($O315="CapGen", "Search Like Pattern", IF($O315="Cardumen", "True Semantic", IF($O315="DynaMoth", "True Semantic", IF($O315="FixMiner", "True Pattern", IF($O315="GenProg-A", "Evolutionary Search", IF($O315="Hercules", "Learning Pattern", IF($O315="Jaid", "True Semantic",
IF($O315="Kali-A", "True Search", IF($O315="kPAR", "True Pattern", IF($O315="Nopol", "True Semantic", IF($O315="RSRepair-A", "Evolutionary Search", IF($O315="SequenceR", "Deep Learning", IF($O315="SimFix", "Search Like Pattern", IF($O315="SketchFix", "True Pattern", IF($O315="SOFix", "True Pattern", IF($O315="ssFix", "Search Like Pattern", IF($O315="TBar", "True Pattern", ""))))))))))))))))))))</f>
        <v>True Pattern</v>
      </c>
      <c r="Q315" s="13" t="str">
        <f>IF(NOT(ISERR(SEARCH("*_Buggy",$A315))), "Buggy", IF(NOT(ISERR(SEARCH("*_Fixed",$A315))), "Fixed", IF(NOT(ISERR(SEARCH("*_Repaired",$A315))), "Repaired", "")))</f>
        <v>Buggy</v>
      </c>
      <c r="R315" s="13"/>
      <c r="S315" s="13"/>
      <c r="T315" s="13"/>
      <c r="U315" s="13"/>
      <c r="V315" s="13"/>
      <c r="W315" s="13"/>
    </row>
    <row r="316" spans="1:23" x14ac:dyDescent="0.35">
      <c r="A316" s="7" t="s">
        <v>415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>LEFT($A316,FIND("_",$A316)-1)</f>
        <v>kPAR</v>
      </c>
      <c r="P316" s="13" t="str">
        <f>IF($O316="ACS", "True Search", IF($O316="Arja", "Evolutionary Search", IF($O316="AVATAR", "True Pattern", IF($O316="CapGen", "Search Like Pattern", IF($O316="Cardumen", "True Semantic", IF($O316="DynaMoth", "True Semantic", IF($O316="FixMiner", "True Pattern", IF($O316="GenProg-A", "Evolutionary Search", IF($O316="Hercules", "Learning Pattern", IF($O316="Jaid", "True Semantic",
IF($O316="Kali-A", "True Search", IF($O316="kPAR", "True Pattern", IF($O316="Nopol", "True Semantic", IF($O316="RSRepair-A", "Evolutionary Search", IF($O316="SequenceR", "Deep Learning", IF($O316="SimFix", "Search Like Pattern", IF($O316="SketchFix", "True Pattern", IF($O316="SOFix", "True Pattern", IF($O316="ssFix", "Search Like Pattern", IF($O316="TBar", "True Pattern", ""))))))))))))))))))))</f>
        <v>True Pattern</v>
      </c>
      <c r="Q316" s="13" t="str">
        <f>IF(NOT(ISERR(SEARCH("*_Buggy",$A316))), "Buggy", IF(NOT(ISERR(SEARCH("*_Fixed",$A316))), "Fixed", IF(NOT(ISERR(SEARCH("*_Repaired",$A316))), "Repaired", "")))</f>
        <v>Buggy</v>
      </c>
      <c r="R316" s="13"/>
      <c r="S316" s="13"/>
      <c r="T316" s="13"/>
      <c r="U316" s="13"/>
      <c r="V316" s="13"/>
      <c r="W316" s="13"/>
    </row>
    <row r="317" spans="1:23" x14ac:dyDescent="0.35">
      <c r="A317" s="7" t="s">
        <v>791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>LEFT($A317,FIND("_",$A317)-1)</f>
        <v>kPAR</v>
      </c>
      <c r="P317" s="13" t="str">
        <f>IF($O317="ACS", "True Search", IF($O317="Arja", "Evolutionary Search", IF($O317="AVATAR", "True Pattern", IF($O317="CapGen", "Search Like Pattern", IF($O317="Cardumen", "True Semantic", IF($O317="DynaMoth", "True Semantic", IF($O317="FixMiner", "True Pattern", IF($O317="GenProg-A", "Evolutionary Search", IF($O317="Hercules", "Learning Pattern", IF($O317="Jaid", "True Semantic",
IF($O317="Kali-A", "True Search", IF($O317="kPAR", "True Pattern", IF($O317="Nopol", "True Semantic", IF($O317="RSRepair-A", "Evolutionary Search", IF($O317="SequenceR", "Deep Learning", IF($O317="SimFix", "Search Like Pattern", IF($O317="SketchFix", "True Pattern", IF($O317="SOFix", "True Pattern", IF($O317="ssFix", "Search Like Pattern", IF($O317="TBar", "True Pattern", ""))))))))))))))))))))</f>
        <v>True Pattern</v>
      </c>
      <c r="Q317" s="13" t="str">
        <f>IF(NOT(ISERR(SEARCH("*_Buggy",$A317))), "Buggy", IF(NOT(ISERR(SEARCH("*_Fixed",$A317))), "Fixed", IF(NOT(ISERR(SEARCH("*_Repaired",$A317))), "Repaired", "")))</f>
        <v>Buggy</v>
      </c>
      <c r="R317" s="13"/>
      <c r="S317" s="13"/>
      <c r="T317" s="13"/>
      <c r="U317" s="13"/>
      <c r="V317" s="13"/>
      <c r="W317" s="13"/>
    </row>
    <row r="318" spans="1:23" x14ac:dyDescent="0.35">
      <c r="A318" s="7" t="s">
        <v>1166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>LEFT($A318,FIND("_",$A318)-1)</f>
        <v>kPAR</v>
      </c>
      <c r="P318" s="13" t="str">
        <f>IF($O318="ACS", "True Search", IF($O318="Arja", "Evolutionary Search", IF($O318="AVATAR", "True Pattern", IF($O318="CapGen", "Search Like Pattern", IF($O318="Cardumen", "True Semantic", IF($O318="DynaMoth", "True Semantic", IF($O318="FixMiner", "True Pattern", IF($O318="GenProg-A", "Evolutionary Search", IF($O318="Hercules", "Learning Pattern", IF($O318="Jaid", "True Semantic",
IF($O318="Kali-A", "True Search", IF($O318="kPAR", "True Pattern", IF($O318="Nopol", "True Semantic", IF($O318="RSRepair-A", "Evolutionary Search", IF($O318="SequenceR", "Deep Learning", IF($O318="SimFix", "Search Like Pattern", IF($O318="SketchFix", "True Pattern", IF($O318="SOFix", "True Pattern", IF($O318="ssFix", "Search Like Pattern", IF($O318="TBar", "True Pattern", ""))))))))))))))))))))</f>
        <v>True Pattern</v>
      </c>
      <c r="Q318" s="13" t="str">
        <f>IF(NOT(ISERR(SEARCH("*_Buggy",$A318))), "Buggy", IF(NOT(ISERR(SEARCH("*_Fixed",$A318))), "Fixed", IF(NOT(ISERR(SEARCH("*_Repaired",$A318))), "Repaired", "")))</f>
        <v>Buggy</v>
      </c>
      <c r="R318" s="13"/>
      <c r="S318" s="13"/>
      <c r="T318" s="13"/>
      <c r="U318" s="13"/>
      <c r="V318" s="13"/>
      <c r="W318" s="13"/>
    </row>
    <row r="319" spans="1:23" x14ac:dyDescent="0.35">
      <c r="A319" s="7" t="s">
        <v>1218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>LEFT($A319,FIND("_",$A319)-1)</f>
        <v>kPAR</v>
      </c>
      <c r="P319" s="13" t="str">
        <f>IF($O319="ACS", "True Search", IF($O319="Arja", "Evolutionary Search", IF($O319="AVATAR", "True Pattern", IF($O319="CapGen", "Search Like Pattern", IF($O319="Cardumen", "True Semantic", IF($O319="DynaMoth", "True Semantic", IF($O319="FixMiner", "True Pattern", IF($O319="GenProg-A", "Evolutionary Search", IF($O319="Hercules", "Learning Pattern", IF($O319="Jaid", "True Semantic",
IF($O319="Kali-A", "True Search", IF($O319="kPAR", "True Pattern", IF($O319="Nopol", "True Semantic", IF($O319="RSRepair-A", "Evolutionary Search", IF($O319="SequenceR", "Deep Learning", IF($O319="SimFix", "Search Like Pattern", IF($O319="SketchFix", "True Pattern", IF($O319="SOFix", "True Pattern", IF($O319="ssFix", "Search Like Pattern", IF($O319="TBar", "True Pattern", ""))))))))))))))))))))</f>
        <v>True Pattern</v>
      </c>
      <c r="Q319" s="13" t="str">
        <f>IF(NOT(ISERR(SEARCH("*_Buggy",$A319))), "Buggy", IF(NOT(ISERR(SEARCH("*_Fixed",$A319))), "Fixed", IF(NOT(ISERR(SEARCH("*_Repaired",$A319))), "Repaired", "")))</f>
        <v>Buggy</v>
      </c>
      <c r="R319" s="13"/>
      <c r="S319" s="13"/>
      <c r="T319" s="13"/>
      <c r="U319" s="13"/>
      <c r="V319" s="13"/>
      <c r="W319" s="13"/>
    </row>
    <row r="320" spans="1:23" x14ac:dyDescent="0.35">
      <c r="A320" s="5" t="s">
        <v>60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>LEFT($A320,FIND("_",$A320)-1)</f>
        <v>kPAR</v>
      </c>
      <c r="P320" s="13" t="str">
        <f>IF($O320="ACS", "True Search", IF($O320="Arja", "Evolutionary Search", IF($O320="AVATAR", "True Pattern", IF($O320="CapGen", "Search Like Pattern", IF($O320="Cardumen", "True Semantic", IF($O320="DynaMoth", "True Semantic", IF($O320="FixMiner", "True Pattern", IF($O320="GenProg-A", "Evolutionary Search", IF($O320="Hercules", "Learning Pattern", IF($O320="Jaid", "True Semantic",
IF($O320="Kali-A", "True Search", IF($O320="kPAR", "True Pattern", IF($O320="Nopol", "True Semantic", IF($O320="RSRepair-A", "Evolutionary Search", IF($O320="SequenceR", "Deep Learning", IF($O320="SimFix", "Search Like Pattern", IF($O320="SketchFix", "True Pattern", IF($O320="SOFix", "True Pattern", IF($O320="ssFix", "Search Like Pattern", IF($O320="TBar", "True Pattern", ""))))))))))))))))))))</f>
        <v>True Pattern</v>
      </c>
      <c r="Q320" s="13" t="str">
        <f>IF(NOT(ISERR(SEARCH("*_Buggy",$A320))), "Buggy", IF(NOT(ISERR(SEARCH("*_Fixed",$A320))), "Fixed", IF(NOT(ISERR(SEARCH("*_Repaired",$A320))), "Repaired", "")))</f>
        <v>Buggy</v>
      </c>
      <c r="R320" s="13"/>
      <c r="S320" s="13"/>
      <c r="T320" s="13"/>
      <c r="U320" s="13"/>
      <c r="V320" s="13"/>
      <c r="W320" s="13"/>
    </row>
    <row r="321" spans="1:23" x14ac:dyDescent="0.35">
      <c r="A321" s="5" t="s">
        <v>1022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>LEFT($A321,FIND("_",$A321)-1)</f>
        <v>kPAR</v>
      </c>
      <c r="P321" s="13" t="str">
        <f>IF($O321="ACS", "True Search", IF($O321="Arja", "Evolutionary Search", IF($O321="AVATAR", "True Pattern", IF($O321="CapGen", "Search Like Pattern", IF($O321="Cardumen", "True Semantic", IF($O321="DynaMoth", "True Semantic", IF($O321="FixMiner", "True Pattern", IF($O321="GenProg-A", "Evolutionary Search", IF($O321="Hercules", "Learning Pattern", IF($O321="Jaid", "True Semantic",
IF($O321="Kali-A", "True Search", IF($O321="kPAR", "True Pattern", IF($O321="Nopol", "True Semantic", IF($O321="RSRepair-A", "Evolutionary Search", IF($O321="SequenceR", "Deep Learning", IF($O321="SimFix", "Search Like Pattern", IF($O321="SketchFix", "True Pattern", IF($O321="SOFix", "True Pattern", IF($O321="ssFix", "Search Like Pattern", IF($O321="TBar", "True Pattern", ""))))))))))))))))))))</f>
        <v>True Pattern</v>
      </c>
      <c r="Q321" s="13" t="str">
        <f>IF(NOT(ISERR(SEARCH("*_Buggy",$A321))), "Buggy", IF(NOT(ISERR(SEARCH("*_Fixed",$A321))), "Fixed", IF(NOT(ISERR(SEARCH("*_Repaired",$A321))), "Repaired", "")))</f>
        <v>Buggy</v>
      </c>
      <c r="R321" s="13"/>
      <c r="S321" s="13"/>
      <c r="T321" s="13"/>
      <c r="U321" s="13"/>
      <c r="V321" s="13"/>
      <c r="W321" s="13"/>
    </row>
    <row r="322" spans="1:23" x14ac:dyDescent="0.35">
      <c r="A322" s="7" t="s">
        <v>821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>LEFT($A322,FIND("_",$A322)-1)</f>
        <v>kPAR</v>
      </c>
      <c r="P322" s="13" t="str">
        <f>IF($O322="ACS", "True Search", IF($O322="Arja", "Evolutionary Search", IF($O322="AVATAR", "True Pattern", IF($O322="CapGen", "Search Like Pattern", IF($O322="Cardumen", "True Semantic", IF($O322="DynaMoth", "True Semantic", IF($O322="FixMiner", "True Pattern", IF($O322="GenProg-A", "Evolutionary Search", IF($O322="Hercules", "Learning Pattern", IF($O322="Jaid", "True Semantic",
IF($O322="Kali-A", "True Search", IF($O322="kPAR", "True Pattern", IF($O322="Nopol", "True Semantic", IF($O322="RSRepair-A", "Evolutionary Search", IF($O322="SequenceR", "Deep Learning", IF($O322="SimFix", "Search Like Pattern", IF($O322="SketchFix", "True Pattern", IF($O322="SOFix", "True Pattern", IF($O322="ssFix", "Search Like Pattern", IF($O322="TBar", "True Pattern", ""))))))))))))))))))))</f>
        <v>True Pattern</v>
      </c>
      <c r="Q322" s="13" t="str">
        <f>IF(NOT(ISERR(SEARCH("*_Buggy",$A322))), "Buggy", IF(NOT(ISERR(SEARCH("*_Fixed",$A322))), "Fixed", IF(NOT(ISERR(SEARCH("*_Repaired",$A322))), "Repaired", "")))</f>
        <v>Buggy</v>
      </c>
      <c r="R322" s="13"/>
      <c r="S322" s="13"/>
      <c r="T322" s="13"/>
      <c r="U322" s="13"/>
      <c r="V322" s="13"/>
      <c r="W322" s="13"/>
    </row>
    <row r="323" spans="1:23" x14ac:dyDescent="0.35">
      <c r="A323" s="7" t="s">
        <v>1248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>LEFT($A323,FIND("_",$A323)-1)</f>
        <v>kPAR</v>
      </c>
      <c r="P323" s="13" t="str">
        <f>IF($O323="ACS", "True Search", IF($O323="Arja", "Evolutionary Search", IF($O323="AVATAR", "True Pattern", IF($O323="CapGen", "Search Like Pattern", IF($O323="Cardumen", "True Semantic", IF($O323="DynaMoth", "True Semantic", IF($O323="FixMiner", "True Pattern", IF($O323="GenProg-A", "Evolutionary Search", IF($O323="Hercules", "Learning Pattern", IF($O323="Jaid", "True Semantic",
IF($O323="Kali-A", "True Search", IF($O323="kPAR", "True Pattern", IF($O323="Nopol", "True Semantic", IF($O323="RSRepair-A", "Evolutionary Search", IF($O323="SequenceR", "Deep Learning", IF($O323="SimFix", "Search Like Pattern", IF($O323="SketchFix", "True Pattern", IF($O323="SOFix", "True Pattern", IF($O323="ssFix", "Search Like Pattern", IF($O323="TBar", "True Pattern", ""))))))))))))))))))))</f>
        <v>True Pattern</v>
      </c>
      <c r="Q323" s="13" t="str">
        <f>IF(NOT(ISERR(SEARCH("*_Buggy",$A323))), "Buggy", IF(NOT(ISERR(SEARCH("*_Fixed",$A323))), "Fixed", IF(NOT(ISERR(SEARCH("*_Repaired",$A323))), "Repaired", "")))</f>
        <v>Buggy</v>
      </c>
      <c r="R323" s="13"/>
      <c r="S323" s="13"/>
      <c r="T323" s="13"/>
      <c r="U323" s="13"/>
      <c r="V323" s="13"/>
      <c r="W323" s="13"/>
    </row>
    <row r="324" spans="1:23" x14ac:dyDescent="0.35">
      <c r="A324" s="7" t="s">
        <v>772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>LEFT($A324,FIND("_",$A324)-1)</f>
        <v>kPAR</v>
      </c>
      <c r="P324" s="13" t="str">
        <f>IF($O324="ACS", "True Search", IF($O324="Arja", "Evolutionary Search", IF($O324="AVATAR", "True Pattern", IF($O324="CapGen", "Search Like Pattern", IF($O324="Cardumen", "True Semantic", IF($O324="DynaMoth", "True Semantic", IF($O324="FixMiner", "True Pattern", IF($O324="GenProg-A", "Evolutionary Search", IF($O324="Hercules", "Learning Pattern", IF($O324="Jaid", "True Semantic",
IF($O324="Kali-A", "True Search", IF($O324="kPAR", "True Pattern", IF($O324="Nopol", "True Semantic", IF($O324="RSRepair-A", "Evolutionary Search", IF($O324="SequenceR", "Deep Learning", IF($O324="SimFix", "Search Like Pattern", IF($O324="SketchFix", "True Pattern", IF($O324="SOFix", "True Pattern", IF($O324="ssFix", "Search Like Pattern", IF($O324="TBar", "True Pattern", ""))))))))))))))))))))</f>
        <v>True Pattern</v>
      </c>
      <c r="Q324" s="13" t="str">
        <f>IF(NOT(ISERR(SEARCH("*_Buggy",$A324))), "Buggy", IF(NOT(ISERR(SEARCH("*_Fixed",$A324))), "Fixed", IF(NOT(ISERR(SEARCH("*_Repaired",$A324))), "Repaired", "")))</f>
        <v>Buggy</v>
      </c>
      <c r="R324" s="13"/>
      <c r="S324" s="13"/>
      <c r="T324" s="13"/>
      <c r="U324" s="13"/>
      <c r="V324" s="13"/>
      <c r="W324" s="13"/>
    </row>
    <row r="325" spans="1:23" x14ac:dyDescent="0.35">
      <c r="A325" s="7" t="s">
        <v>442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>LEFT($A325,FIND("_",$A325)-1)</f>
        <v>kPAR</v>
      </c>
      <c r="P325" s="13" t="str">
        <f>IF($O325="ACS", "True Search", IF($O325="Arja", "Evolutionary Search", IF($O325="AVATAR", "True Pattern", IF($O325="CapGen", "Search Like Pattern", IF($O325="Cardumen", "True Semantic", IF($O325="DynaMoth", "True Semantic", IF($O325="FixMiner", "True Pattern", IF($O325="GenProg-A", "Evolutionary Search", IF($O325="Hercules", "Learning Pattern", IF($O325="Jaid", "True Semantic",
IF($O325="Kali-A", "True Search", IF($O325="kPAR", "True Pattern", IF($O325="Nopol", "True Semantic", IF($O325="RSRepair-A", "Evolutionary Search", IF($O325="SequenceR", "Deep Learning", IF($O325="SimFix", "Search Like Pattern", IF($O325="SketchFix", "True Pattern", IF($O325="SOFix", "True Pattern", IF($O325="ssFix", "Search Like Pattern", IF($O325="TBar", "True Pattern", ""))))))))))))))))))))</f>
        <v>True Pattern</v>
      </c>
      <c r="Q325" s="13" t="str">
        <f>IF(NOT(ISERR(SEARCH("*_Buggy",$A325))), "Buggy", IF(NOT(ISERR(SEARCH("*_Fixed",$A325))), "Fixed", IF(NOT(ISERR(SEARCH("*_Repaired",$A325))), "Repaired", "")))</f>
        <v>Buggy</v>
      </c>
      <c r="R325" s="13"/>
      <c r="S325" s="13"/>
      <c r="T325" s="13"/>
      <c r="U325" s="13"/>
      <c r="V325" s="13"/>
      <c r="W325" s="13"/>
    </row>
    <row r="326" spans="1:23" x14ac:dyDescent="0.35">
      <c r="A326" s="5" t="s">
        <v>1011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>LEFT($A326,FIND("_",$A326)-1)</f>
        <v>kPAR</v>
      </c>
      <c r="P326" s="13" t="str">
        <f>IF($O326="ACS", "True Search", IF($O326="Arja", "Evolutionary Search", IF($O326="AVATAR", "True Pattern", IF($O326="CapGen", "Search Like Pattern", IF($O326="Cardumen", "True Semantic", IF($O326="DynaMoth", "True Semantic", IF($O326="FixMiner", "True Pattern", IF($O326="GenProg-A", "Evolutionary Search", IF($O326="Hercules", "Learning Pattern", IF($O326="Jaid", "True Semantic",
IF($O326="Kali-A", "True Search", IF($O326="kPAR", "True Pattern", IF($O326="Nopol", "True Semantic", IF($O326="RSRepair-A", "Evolutionary Search", IF($O326="SequenceR", "Deep Learning", IF($O326="SimFix", "Search Like Pattern", IF($O326="SketchFix", "True Pattern", IF($O326="SOFix", "True Pattern", IF($O326="ssFix", "Search Like Pattern", IF($O326="TBar", "True Pattern", ""))))))))))))))))))))</f>
        <v>True Pattern</v>
      </c>
      <c r="Q326" s="13" t="str">
        <f>IF(NOT(ISERR(SEARCH("*_Buggy",$A326))), "Buggy", IF(NOT(ISERR(SEARCH("*_Fixed",$A326))), "Fixed", IF(NOT(ISERR(SEARCH("*_Repaired",$A326))), "Repaired", "")))</f>
        <v>Buggy</v>
      </c>
      <c r="R326" s="13"/>
      <c r="S326" s="13"/>
      <c r="T326" s="13"/>
      <c r="U326" s="13"/>
      <c r="V326" s="13"/>
      <c r="W326" s="13"/>
    </row>
    <row r="327" spans="1:23" x14ac:dyDescent="0.35">
      <c r="A327" s="7" t="s">
        <v>93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>LEFT($A327,FIND("_",$A327)-1)</f>
        <v>kPAR</v>
      </c>
      <c r="P327" s="13" t="str">
        <f>IF($O327="ACS", "True Search", IF($O327="Arja", "Evolutionary Search", IF($O327="AVATAR", "True Pattern", IF($O327="CapGen", "Search Like Pattern", IF($O327="Cardumen", "True Semantic", IF($O327="DynaMoth", "True Semantic", IF($O327="FixMiner", "True Pattern", IF($O327="GenProg-A", "Evolutionary Search", IF($O327="Hercules", "Learning Pattern", IF($O327="Jaid", "True Semantic",
IF($O327="Kali-A", "True Search", IF($O327="kPAR", "True Pattern", IF($O327="Nopol", "True Semantic", IF($O327="RSRepair-A", "Evolutionary Search", IF($O327="SequenceR", "Deep Learning", IF($O327="SimFix", "Search Like Pattern", IF($O327="SketchFix", "True Pattern", IF($O327="SOFix", "True Pattern", IF($O327="ssFix", "Search Like Pattern", IF($O327="TBar", "True Pattern", ""))))))))))))))))))))</f>
        <v>True Pattern</v>
      </c>
      <c r="Q327" s="13" t="str">
        <f>IF(NOT(ISERR(SEARCH("*_Buggy",$A327))), "Buggy", IF(NOT(ISERR(SEARCH("*_Fixed",$A327))), "Fixed", IF(NOT(ISERR(SEARCH("*_Repaired",$A327))), "Repaired", "")))</f>
        <v>Buggy</v>
      </c>
      <c r="R327" s="13"/>
      <c r="S327" s="13"/>
      <c r="T327" s="13"/>
      <c r="U327" s="13"/>
      <c r="V327" s="13"/>
      <c r="W327" s="13"/>
    </row>
    <row r="328" spans="1:23" x14ac:dyDescent="0.35">
      <c r="A328" s="7" t="s">
        <v>454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>LEFT($A328,FIND("_",$A328)-1)</f>
        <v>kPAR</v>
      </c>
      <c r="P328" s="13" t="str">
        <f>IF($O328="ACS", "True Search", IF($O328="Arja", "Evolutionary Search", IF($O328="AVATAR", "True Pattern", IF($O328="CapGen", "Search Like Pattern", IF($O328="Cardumen", "True Semantic", IF($O328="DynaMoth", "True Semantic", IF($O328="FixMiner", "True Pattern", IF($O328="GenProg-A", "Evolutionary Search", IF($O328="Hercules", "Learning Pattern", IF($O328="Jaid", "True Semantic",
IF($O328="Kali-A", "True Search", IF($O328="kPAR", "True Pattern", IF($O328="Nopol", "True Semantic", IF($O328="RSRepair-A", "Evolutionary Search", IF($O328="SequenceR", "Deep Learning", IF($O328="SimFix", "Search Like Pattern", IF($O328="SketchFix", "True Pattern", IF($O328="SOFix", "True Pattern", IF($O328="ssFix", "Search Like Pattern", IF($O328="TBar", "True Pattern", ""))))))))))))))))))))</f>
        <v>True Pattern</v>
      </c>
      <c r="Q328" s="13" t="str">
        <f>IF(NOT(ISERR(SEARCH("*_Buggy",$A328))), "Buggy", IF(NOT(ISERR(SEARCH("*_Fixed",$A328))), "Fixed", IF(NOT(ISERR(SEARCH("*_Repaired",$A328))), "Repaired", "")))</f>
        <v>Buggy</v>
      </c>
      <c r="R328" s="13"/>
      <c r="S328" s="13"/>
      <c r="T328" s="13"/>
      <c r="U328" s="13"/>
      <c r="V328" s="13"/>
      <c r="W328" s="13"/>
    </row>
    <row r="329" spans="1:23" x14ac:dyDescent="0.35">
      <c r="A329" s="7" t="s">
        <v>1140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>LEFT($A329,FIND("_",$A329)-1)</f>
        <v>kPAR</v>
      </c>
      <c r="P329" s="13" t="str">
        <f>IF($O329="ACS", "True Search", IF($O329="Arja", "Evolutionary Search", IF($O329="AVATAR", "True Pattern", IF($O329="CapGen", "Search Like Pattern", IF($O329="Cardumen", "True Semantic", IF($O329="DynaMoth", "True Semantic", IF($O329="FixMiner", "True Pattern", IF($O329="GenProg-A", "Evolutionary Search", IF($O329="Hercules", "Learning Pattern", IF($O329="Jaid", "True Semantic",
IF($O329="Kali-A", "True Search", IF($O329="kPAR", "True Pattern", IF($O329="Nopol", "True Semantic", IF($O329="RSRepair-A", "Evolutionary Search", IF($O329="SequenceR", "Deep Learning", IF($O329="SimFix", "Search Like Pattern", IF($O329="SketchFix", "True Pattern", IF($O329="SOFix", "True Pattern", IF($O329="ssFix", "Search Like Pattern", IF($O329="TBar", "True Pattern", ""))))))))))))))))))))</f>
        <v>True Pattern</v>
      </c>
      <c r="Q329" s="13" t="str">
        <f>IF(NOT(ISERR(SEARCH("*_Buggy",$A329))), "Buggy", IF(NOT(ISERR(SEARCH("*_Fixed",$A329))), "Fixed", IF(NOT(ISERR(SEARCH("*_Repaired",$A329))), "Repaired", "")))</f>
        <v>Buggy</v>
      </c>
      <c r="R329" s="13"/>
      <c r="S329" s="13"/>
      <c r="T329" s="13"/>
      <c r="U329" s="13"/>
      <c r="V329" s="13"/>
      <c r="W329" s="13"/>
    </row>
    <row r="330" spans="1:23" x14ac:dyDescent="0.35">
      <c r="A330" s="5" t="s">
        <v>609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>LEFT($A330,FIND("_",$A330)-1)</f>
        <v>kPAR</v>
      </c>
      <c r="P330" s="13" t="str">
        <f>IF($O330="ACS", "True Search", IF($O330="Arja", "Evolutionary Search", IF($O330="AVATAR", "True Pattern", IF($O330="CapGen", "Search Like Pattern", IF($O330="Cardumen", "True Semantic", IF($O330="DynaMoth", "True Semantic", IF($O330="FixMiner", "True Pattern", IF($O330="GenProg-A", "Evolutionary Search", IF($O330="Hercules", "Learning Pattern", IF($O330="Jaid", "True Semantic",
IF($O330="Kali-A", "True Search", IF($O330="kPAR", "True Pattern", IF($O330="Nopol", "True Semantic", IF($O330="RSRepair-A", "Evolutionary Search", IF($O330="SequenceR", "Deep Learning", IF($O330="SimFix", "Search Like Pattern", IF($O330="SketchFix", "True Pattern", IF($O330="SOFix", "True Pattern", IF($O330="ssFix", "Search Like Pattern", IF($O330="TBar", "True Pattern", ""))))))))))))))))))))</f>
        <v>True Pattern</v>
      </c>
      <c r="Q330" s="13" t="str">
        <f>IF(NOT(ISERR(SEARCH("*_Buggy",$A330))), "Buggy", IF(NOT(ISERR(SEARCH("*_Fixed",$A330))), "Fixed", IF(NOT(ISERR(SEARCH("*_Repaired",$A330))), "Repaired", "")))</f>
        <v>Buggy</v>
      </c>
      <c r="R330" s="13"/>
      <c r="S330" s="13"/>
      <c r="T330" s="13"/>
      <c r="U330" s="13"/>
      <c r="V330" s="13"/>
      <c r="W330" s="13"/>
    </row>
    <row r="331" spans="1:23" x14ac:dyDescent="0.35">
      <c r="A331" s="5" t="s">
        <v>233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>LEFT($A331,FIND("_",$A331)-1)</f>
        <v>kPAR</v>
      </c>
      <c r="P331" s="13" t="str">
        <f>IF($O331="ACS", "True Search", IF($O331="Arja", "Evolutionary Search", IF($O331="AVATAR", "True Pattern", IF($O331="CapGen", "Search Like Pattern", IF($O331="Cardumen", "True Semantic", IF($O331="DynaMoth", "True Semantic", IF($O331="FixMiner", "True Pattern", IF($O331="GenProg-A", "Evolutionary Search", IF($O331="Hercules", "Learning Pattern", IF($O331="Jaid", "True Semantic",
IF($O331="Kali-A", "True Search", IF($O331="kPAR", "True Pattern", IF($O331="Nopol", "True Semantic", IF($O331="RSRepair-A", "Evolutionary Search", IF($O331="SequenceR", "Deep Learning", IF($O331="SimFix", "Search Like Pattern", IF($O331="SketchFix", "True Pattern", IF($O331="SOFix", "True Pattern", IF($O331="ssFix", "Search Like Pattern", IF($O331="TBar", "True Pattern", ""))))))))))))))))))))</f>
        <v>True Pattern</v>
      </c>
      <c r="Q331" s="13" t="str">
        <f>IF(NOT(ISERR(SEARCH("*_Buggy",$A331))), "Buggy", IF(NOT(ISERR(SEARCH("*_Fixed",$A331))), "Fixed", IF(NOT(ISERR(SEARCH("*_Repaired",$A331))), "Repaired", "")))</f>
        <v>Buggy</v>
      </c>
      <c r="R331" s="13"/>
      <c r="S331" s="13"/>
      <c r="T331" s="13"/>
      <c r="U331" s="13"/>
      <c r="V331" s="13"/>
      <c r="W331" s="13"/>
    </row>
    <row r="332" spans="1:23" x14ac:dyDescent="0.35">
      <c r="A332" s="5" t="s">
        <v>117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>LEFT($A332,FIND("_",$A332)-1)</f>
        <v>kPAR</v>
      </c>
      <c r="P332" s="13" t="str">
        <f>IF($O332="ACS", "True Search", IF($O332="Arja", "Evolutionary Search", IF($O332="AVATAR", "True Pattern", IF($O332="CapGen", "Search Like Pattern", IF($O332="Cardumen", "True Semantic", IF($O332="DynaMoth", "True Semantic", IF($O332="FixMiner", "True Pattern", IF($O332="GenProg-A", "Evolutionary Search", IF($O332="Hercules", "Learning Pattern", IF($O332="Jaid", "True Semantic",
IF($O332="Kali-A", "True Search", IF($O332="kPAR", "True Pattern", IF($O332="Nopol", "True Semantic", IF($O332="RSRepair-A", "Evolutionary Search", IF($O332="SequenceR", "Deep Learning", IF($O332="SimFix", "Search Like Pattern", IF($O332="SketchFix", "True Pattern", IF($O332="SOFix", "True Pattern", IF($O332="ssFix", "Search Like Pattern", IF($O332="TBar", "True Pattern", ""))))))))))))))))))))</f>
        <v>True Pattern</v>
      </c>
      <c r="Q332" s="13" t="str">
        <f>IF(NOT(ISERR(SEARCH("*_Buggy",$A332))), "Buggy", IF(NOT(ISERR(SEARCH("*_Fixed",$A332))), "Fixed", IF(NOT(ISERR(SEARCH("*_Repaired",$A332))), "Repaired", "")))</f>
        <v>Buggy</v>
      </c>
      <c r="R332" s="13"/>
      <c r="S332" s="13"/>
      <c r="T332" s="13"/>
      <c r="U332" s="13"/>
      <c r="V332" s="13"/>
      <c r="W332" s="13"/>
    </row>
    <row r="333" spans="1:23" x14ac:dyDescent="0.35">
      <c r="A333" s="7" t="s">
        <v>1090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>LEFT($A333,FIND("_",$A333)-1)</f>
        <v>kPAR</v>
      </c>
      <c r="P333" s="13" t="str">
        <f>IF($O333="ACS", "True Search", IF($O333="Arja", "Evolutionary Search", IF($O333="AVATAR", "True Pattern", IF($O333="CapGen", "Search Like Pattern", IF($O333="Cardumen", "True Semantic", IF($O333="DynaMoth", "True Semantic", IF($O333="FixMiner", "True Pattern", IF($O333="GenProg-A", "Evolutionary Search", IF($O333="Hercules", "Learning Pattern", IF($O333="Jaid", "True Semantic",
IF($O333="Kali-A", "True Search", IF($O333="kPAR", "True Pattern", IF($O333="Nopol", "True Semantic", IF($O333="RSRepair-A", "Evolutionary Search", IF($O333="SequenceR", "Deep Learning", IF($O333="SimFix", "Search Like Pattern", IF($O333="SketchFix", "True Pattern", IF($O333="SOFix", "True Pattern", IF($O333="ssFix", "Search Like Pattern", IF($O333="TBar", "True Pattern", ""))))))))))))))))))))</f>
        <v>True Pattern</v>
      </c>
      <c r="Q333" s="13" t="str">
        <f>IF(NOT(ISERR(SEARCH("*_Buggy",$A333))), "Buggy", IF(NOT(ISERR(SEARCH("*_Fixed",$A333))), "Fixed", IF(NOT(ISERR(SEARCH("*_Repaired",$A333))), "Repaired", "")))</f>
        <v>Buggy</v>
      </c>
      <c r="R333" s="13"/>
      <c r="S333" s="13"/>
      <c r="T333" s="13"/>
      <c r="U333" s="13"/>
      <c r="V333" s="13"/>
      <c r="W333" s="13"/>
    </row>
    <row r="334" spans="1:23" x14ac:dyDescent="0.35">
      <c r="A334" s="7" t="s">
        <v>434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>LEFT($A334,FIND("_",$A334)-1)</f>
        <v>kPAR</v>
      </c>
      <c r="P334" s="13" t="str">
        <f>IF($O334="ACS", "True Search", IF($O334="Arja", "Evolutionary Search", IF($O334="AVATAR", "True Pattern", IF($O334="CapGen", "Search Like Pattern", IF($O334="Cardumen", "True Semantic", IF($O334="DynaMoth", "True Semantic", IF($O334="FixMiner", "True Pattern", IF($O334="GenProg-A", "Evolutionary Search", IF($O334="Hercules", "Learning Pattern", IF($O334="Jaid", "True Semantic",
IF($O334="Kali-A", "True Search", IF($O334="kPAR", "True Pattern", IF($O334="Nopol", "True Semantic", IF($O334="RSRepair-A", "Evolutionary Search", IF($O334="SequenceR", "Deep Learning", IF($O334="SimFix", "Search Like Pattern", IF($O334="SketchFix", "True Pattern", IF($O334="SOFix", "True Pattern", IF($O334="ssFix", "Search Like Pattern", IF($O334="TBar", "True Pattern", ""))))))))))))))))))))</f>
        <v>True Pattern</v>
      </c>
      <c r="Q334" s="13" t="str">
        <f>IF(NOT(ISERR(SEARCH("*_Buggy",$A334))), "Buggy", IF(NOT(ISERR(SEARCH("*_Fixed",$A334))), "Fixed", IF(NOT(ISERR(SEARCH("*_Repaired",$A334))), "Repaired", "")))</f>
        <v>Buggy</v>
      </c>
      <c r="R334" s="13"/>
      <c r="S334" s="13"/>
      <c r="T334" s="13"/>
      <c r="U334" s="13"/>
      <c r="V334" s="13"/>
      <c r="W334" s="13"/>
    </row>
    <row r="335" spans="1:23" x14ac:dyDescent="0.35">
      <c r="A335" s="5" t="s">
        <v>1283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>LEFT($A335,FIND("_",$A335)-1)</f>
        <v>kPAR</v>
      </c>
      <c r="P335" s="13" t="str">
        <f>IF($O335="ACS", "True Search", IF($O335="Arja", "Evolutionary Search", IF($O335="AVATAR", "True Pattern", IF($O335="CapGen", "Search Like Pattern", IF($O335="Cardumen", "True Semantic", IF($O335="DynaMoth", "True Semantic", IF($O335="FixMiner", "True Pattern", IF($O335="GenProg-A", "Evolutionary Search", IF($O335="Hercules", "Learning Pattern", IF($O335="Jaid", "True Semantic",
IF($O335="Kali-A", "True Search", IF($O335="kPAR", "True Pattern", IF($O335="Nopol", "True Semantic", IF($O335="RSRepair-A", "Evolutionary Search", IF($O335="SequenceR", "Deep Learning", IF($O335="SimFix", "Search Like Pattern", IF($O335="SketchFix", "True Pattern", IF($O335="SOFix", "True Pattern", IF($O335="ssFix", "Search Like Pattern", IF($O335="TBar", "True Pattern", ""))))))))))))))))))))</f>
        <v>True Pattern</v>
      </c>
      <c r="Q335" s="13" t="str">
        <f>IF(NOT(ISERR(SEARCH("*_Buggy",$A335))), "Buggy", IF(NOT(ISERR(SEARCH("*_Fixed",$A335))), "Fixed", IF(NOT(ISERR(SEARCH("*_Repaired",$A335))), "Repaired", "")))</f>
        <v>Buggy</v>
      </c>
      <c r="R335" s="13"/>
      <c r="S335" s="13"/>
      <c r="T335" s="13"/>
      <c r="U335" s="13"/>
      <c r="V335" s="13"/>
      <c r="W335" s="13"/>
    </row>
    <row r="336" spans="1:23" x14ac:dyDescent="0.35">
      <c r="A336" s="5" t="s">
        <v>1106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>LEFT($A336,FIND("_",$A336)-1)</f>
        <v>kPAR</v>
      </c>
      <c r="P336" s="13" t="str">
        <f>IF($O336="ACS", "True Search", IF($O336="Arja", "Evolutionary Search", IF($O336="AVATAR", "True Pattern", IF($O336="CapGen", "Search Like Pattern", IF($O336="Cardumen", "True Semantic", IF($O336="DynaMoth", "True Semantic", IF($O336="FixMiner", "True Pattern", IF($O336="GenProg-A", "Evolutionary Search", IF($O336="Hercules", "Learning Pattern", IF($O336="Jaid", "True Semantic",
IF($O336="Kali-A", "True Search", IF($O336="kPAR", "True Pattern", IF($O336="Nopol", "True Semantic", IF($O336="RSRepair-A", "Evolutionary Search", IF($O336="SequenceR", "Deep Learning", IF($O336="SimFix", "Search Like Pattern", IF($O336="SketchFix", "True Pattern", IF($O336="SOFix", "True Pattern", IF($O336="ssFix", "Search Like Pattern", IF($O336="TBar", "True Pattern", ""))))))))))))))))))))</f>
        <v>True Pattern</v>
      </c>
      <c r="Q336" s="13" t="str">
        <f>IF(NOT(ISERR(SEARCH("*_Buggy",$A336))), "Buggy", IF(NOT(ISERR(SEARCH("*_Fixed",$A336))), "Fixed", IF(NOT(ISERR(SEARCH("*_Repaired",$A336))), "Repaired", "")))</f>
        <v>Buggy</v>
      </c>
      <c r="R336" s="13"/>
      <c r="S336" s="13"/>
      <c r="T336" s="13"/>
      <c r="U336" s="13"/>
      <c r="V336" s="13"/>
      <c r="W336" s="13"/>
    </row>
    <row r="337" spans="1:23" x14ac:dyDescent="0.35">
      <c r="A337" s="5" t="s">
        <v>309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>LEFT($A337,FIND("_",$A337)-1)</f>
        <v>kPAR</v>
      </c>
      <c r="P337" s="13" t="str">
        <f>IF($O337="ACS", "True Search", IF($O337="Arja", "Evolutionary Search", IF($O337="AVATAR", "True Pattern", IF($O337="CapGen", "Search Like Pattern", IF($O337="Cardumen", "True Semantic", IF($O337="DynaMoth", "True Semantic", IF($O337="FixMiner", "True Pattern", IF($O337="GenProg-A", "Evolutionary Search", IF($O337="Hercules", "Learning Pattern", IF($O337="Jaid", "True Semantic",
IF($O337="Kali-A", "True Search", IF($O337="kPAR", "True Pattern", IF($O337="Nopol", "True Semantic", IF($O337="RSRepair-A", "Evolutionary Search", IF($O337="SequenceR", "Deep Learning", IF($O337="SimFix", "Search Like Pattern", IF($O337="SketchFix", "True Pattern", IF($O337="SOFix", "True Pattern", IF($O337="ssFix", "Search Like Pattern", IF($O337="TBar", "True Pattern", ""))))))))))))))))))))</f>
        <v>True Pattern</v>
      </c>
      <c r="Q337" s="13" t="str">
        <f>IF(NOT(ISERR(SEARCH("*_Buggy",$A337))), "Buggy", IF(NOT(ISERR(SEARCH("*_Fixed",$A337))), "Fixed", IF(NOT(ISERR(SEARCH("*_Repaired",$A337))), "Repaired", "")))</f>
        <v>Buggy</v>
      </c>
      <c r="R337" s="13"/>
      <c r="S337" s="13"/>
      <c r="T337" s="13"/>
      <c r="U337" s="13"/>
      <c r="V337" s="13"/>
      <c r="W337" s="13"/>
    </row>
    <row r="338" spans="1:23" x14ac:dyDescent="0.35">
      <c r="A338" s="5" t="s">
        <v>141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>LEFT($A338,FIND("_",$A338)-1)</f>
        <v>kPAR</v>
      </c>
      <c r="P338" s="13" t="str">
        <f>IF($O338="ACS", "True Search", IF($O338="Arja", "Evolutionary Search", IF($O338="AVATAR", "True Pattern", IF($O338="CapGen", "Search Like Pattern", IF($O338="Cardumen", "True Semantic", IF($O338="DynaMoth", "True Semantic", IF($O338="FixMiner", "True Pattern", IF($O338="GenProg-A", "Evolutionary Search", IF($O338="Hercules", "Learning Pattern", IF($O338="Jaid", "True Semantic",
IF($O338="Kali-A", "True Search", IF($O338="kPAR", "True Pattern", IF($O338="Nopol", "True Semantic", IF($O338="RSRepair-A", "Evolutionary Search", IF($O338="SequenceR", "Deep Learning", IF($O338="SimFix", "Search Like Pattern", IF($O338="SketchFix", "True Pattern", IF($O338="SOFix", "True Pattern", IF($O338="ssFix", "Search Like Pattern", IF($O338="TBar", "True Pattern", ""))))))))))))))))))))</f>
        <v>True Pattern</v>
      </c>
      <c r="Q338" s="13" t="str">
        <f>IF(NOT(ISERR(SEARCH("*_Buggy",$A338))), "Buggy", IF(NOT(ISERR(SEARCH("*_Fixed",$A338))), "Fixed", IF(NOT(ISERR(SEARCH("*_Repaired",$A338))), "Repaired", "")))</f>
        <v>Buggy</v>
      </c>
      <c r="R338" s="13"/>
      <c r="S338" s="13"/>
      <c r="T338" s="13"/>
      <c r="U338" s="13"/>
      <c r="V338" s="13"/>
      <c r="W338" s="13"/>
    </row>
    <row r="339" spans="1:23" x14ac:dyDescent="0.35">
      <c r="A339" s="7" t="s">
        <v>897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>LEFT($A339,FIND("_",$A339)-1)</f>
        <v>kPAR</v>
      </c>
      <c r="P339" s="13" t="str">
        <f>IF($O339="ACS", "True Search", IF($O339="Arja", "Evolutionary Search", IF($O339="AVATAR", "True Pattern", IF($O339="CapGen", "Search Like Pattern", IF($O339="Cardumen", "True Semantic", IF($O339="DynaMoth", "True Semantic", IF($O339="FixMiner", "True Pattern", IF($O339="GenProg-A", "Evolutionary Search", IF($O339="Hercules", "Learning Pattern", IF($O339="Jaid", "True Semantic",
IF($O339="Kali-A", "True Search", IF($O339="kPAR", "True Pattern", IF($O339="Nopol", "True Semantic", IF($O339="RSRepair-A", "Evolutionary Search", IF($O339="SequenceR", "Deep Learning", IF($O339="SimFix", "Search Like Pattern", IF($O339="SketchFix", "True Pattern", IF($O339="SOFix", "True Pattern", IF($O339="ssFix", "Search Like Pattern", IF($O339="TBar", "True Pattern", ""))))))))))))))))))))</f>
        <v>True Pattern</v>
      </c>
      <c r="Q339" s="13" t="str">
        <f>IF(NOT(ISERR(SEARCH("*_Buggy",$A339))), "Buggy", IF(NOT(ISERR(SEARCH("*_Fixed",$A339))), "Fixed", IF(NOT(ISERR(SEARCH("*_Repaired",$A339))), "Repaired", "")))</f>
        <v>Buggy</v>
      </c>
      <c r="R339" s="13"/>
      <c r="S339" s="13"/>
      <c r="T339" s="13"/>
      <c r="U339" s="13"/>
      <c r="V339" s="13"/>
      <c r="W339" s="13"/>
    </row>
    <row r="340" spans="1:23" x14ac:dyDescent="0.35">
      <c r="A340" s="7" t="s">
        <v>718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>LEFT($A340,FIND("_",$A340)-1)</f>
        <v>kPAR</v>
      </c>
      <c r="P340" s="13" t="str">
        <f>IF($O340="ACS", "True Search", IF($O340="Arja", "Evolutionary Search", IF($O340="AVATAR", "True Pattern", IF($O340="CapGen", "Search Like Pattern", IF($O340="Cardumen", "True Semantic", IF($O340="DynaMoth", "True Semantic", IF($O340="FixMiner", "True Pattern", IF($O340="GenProg-A", "Evolutionary Search", IF($O340="Hercules", "Learning Pattern", IF($O340="Jaid", "True Semantic",
IF($O340="Kali-A", "True Search", IF($O340="kPAR", "True Pattern", IF($O340="Nopol", "True Semantic", IF($O340="RSRepair-A", "Evolutionary Search", IF($O340="SequenceR", "Deep Learning", IF($O340="SimFix", "Search Like Pattern", IF($O340="SketchFix", "True Pattern", IF($O340="SOFix", "True Pattern", IF($O340="ssFix", "Search Like Pattern", IF($O340="TBar", "True Pattern", ""))))))))))))))))))))</f>
        <v>True Pattern</v>
      </c>
      <c r="Q340" s="13" t="str">
        <f>IF(NOT(ISERR(SEARCH("*_Buggy",$A340))), "Buggy", IF(NOT(ISERR(SEARCH("*_Fixed",$A340))), "Fixed", IF(NOT(ISERR(SEARCH("*_Repaired",$A340))), "Repaired", "")))</f>
        <v>Buggy</v>
      </c>
      <c r="R340" s="13"/>
      <c r="S340" s="13"/>
      <c r="T340" s="13"/>
      <c r="U340" s="13"/>
      <c r="V340" s="13"/>
      <c r="W340" s="13"/>
    </row>
    <row r="341" spans="1:23" x14ac:dyDescent="0.35">
      <c r="A341" s="5" t="s">
        <v>547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>LEFT($A341,FIND("_",$A341)-1)</f>
        <v>kPAR</v>
      </c>
      <c r="P341" s="13" t="str">
        <f>IF($O341="ACS", "True Search", IF($O341="Arja", "Evolutionary Search", IF($O341="AVATAR", "True Pattern", IF($O341="CapGen", "Search Like Pattern", IF($O341="Cardumen", "True Semantic", IF($O341="DynaMoth", "True Semantic", IF($O341="FixMiner", "True Pattern", IF($O341="GenProg-A", "Evolutionary Search", IF($O341="Hercules", "Learning Pattern", IF($O341="Jaid", "True Semantic",
IF($O341="Kali-A", "True Search", IF($O341="kPAR", "True Pattern", IF($O341="Nopol", "True Semantic", IF($O341="RSRepair-A", "Evolutionary Search", IF($O341="SequenceR", "Deep Learning", IF($O341="SimFix", "Search Like Pattern", IF($O341="SketchFix", "True Pattern", IF($O341="SOFix", "True Pattern", IF($O341="ssFix", "Search Like Pattern", IF($O341="TBar", "True Pattern", ""))))))))))))))))))))</f>
        <v>True Pattern</v>
      </c>
      <c r="Q341" s="13" t="str">
        <f>IF(NOT(ISERR(SEARCH("*_Buggy",$A341))), "Buggy", IF(NOT(ISERR(SEARCH("*_Fixed",$A341))), "Fixed", IF(NOT(ISERR(SEARCH("*_Repaired",$A341))), "Repaired", "")))</f>
        <v>Buggy</v>
      </c>
      <c r="R341" s="13"/>
      <c r="S341" s="13"/>
      <c r="T341" s="13"/>
      <c r="U341" s="13"/>
      <c r="V341" s="13"/>
      <c r="W341" s="13"/>
    </row>
    <row r="342" spans="1:23" x14ac:dyDescent="0.35">
      <c r="A342" s="7" t="s">
        <v>486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>LEFT($A342,FIND("_",$A342)-1)</f>
        <v>Nopol</v>
      </c>
      <c r="P342" s="13" t="str">
        <f>IF($O342="ACS", "True Search", IF($O342="Arja", "Evolutionary Search", IF($O342="AVATAR", "True Pattern", IF($O342="CapGen", "Search Like Pattern", IF($O342="Cardumen", "True Semantic", IF($O342="DynaMoth", "True Semantic", IF($O342="FixMiner", "True Pattern", IF($O342="GenProg-A", "Evolutionary Search", IF($O342="Hercules", "Learning Pattern", IF($O342="Jaid", "True Semantic",
IF($O342="Kali-A", "True Search", IF($O342="kPAR", "True Pattern", IF($O342="Nopol", "True Semantic", IF($O342="RSRepair-A", "Evolutionary Search", IF($O342="SequenceR", "Deep Learning", IF($O342="SimFix", "Search Like Pattern", IF($O342="SketchFix", "True Pattern", IF($O342="SOFix", "True Pattern", IF($O342="ssFix", "Search Like Pattern", IF($O342="TBar", "True Pattern", ""))))))))))))))))))))</f>
        <v>True Semantic</v>
      </c>
      <c r="Q342" s="13" t="str">
        <f>IF(NOT(ISERR(SEARCH("*_Buggy",$A342))), "Buggy", IF(NOT(ISERR(SEARCH("*_Fixed",$A342))), "Fixed", IF(NOT(ISERR(SEARCH("*_Repaired",$A342))), "Repaired", "")))</f>
        <v>Buggy</v>
      </c>
      <c r="R342" s="13"/>
      <c r="S342" s="13"/>
      <c r="T342" s="13"/>
      <c r="U342" s="13"/>
      <c r="V342" s="13"/>
      <c r="W342" s="13"/>
    </row>
    <row r="343" spans="1:23" x14ac:dyDescent="0.35">
      <c r="A343" s="5" t="s">
        <v>1169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>LEFT($A343,FIND("_",$A343)-1)</f>
        <v>Nopol</v>
      </c>
      <c r="P343" s="13" t="str">
        <f>IF($O343="ACS", "True Search", IF($O343="Arja", "Evolutionary Search", IF($O343="AVATAR", "True Pattern", IF($O343="CapGen", "Search Like Pattern", IF($O343="Cardumen", "True Semantic", IF($O343="DynaMoth", "True Semantic", IF($O343="FixMiner", "True Pattern", IF($O343="GenProg-A", "Evolutionary Search", IF($O343="Hercules", "Learning Pattern", IF($O343="Jaid", "True Semantic",
IF($O343="Kali-A", "True Search", IF($O343="kPAR", "True Pattern", IF($O343="Nopol", "True Semantic", IF($O343="RSRepair-A", "Evolutionary Search", IF($O343="SequenceR", "Deep Learning", IF($O343="SimFix", "Search Like Pattern", IF($O343="SketchFix", "True Pattern", IF($O343="SOFix", "True Pattern", IF($O343="ssFix", "Search Like Pattern", IF($O343="TBar", "True Pattern", ""))))))))))))))))))))</f>
        <v>True Semantic</v>
      </c>
      <c r="Q343" s="13" t="str">
        <f>IF(NOT(ISERR(SEARCH("*_Buggy",$A343))), "Buggy", IF(NOT(ISERR(SEARCH("*_Fixed",$A343))), "Fixed", IF(NOT(ISERR(SEARCH("*_Repaired",$A343))), "Repaired", "")))</f>
        <v>Buggy</v>
      </c>
      <c r="R343" s="13"/>
      <c r="S343" s="13"/>
      <c r="T343" s="13"/>
      <c r="U343" s="13"/>
      <c r="V343" s="13"/>
      <c r="W343" s="13"/>
    </row>
    <row r="344" spans="1:23" x14ac:dyDescent="0.35">
      <c r="A344" s="5" t="s">
        <v>877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>LEFT($A344,FIND("_",$A344)-1)</f>
        <v>Nopol</v>
      </c>
      <c r="P344" s="13" t="str">
        <f>IF($O344="ACS", "True Search", IF($O344="Arja", "Evolutionary Search", IF($O344="AVATAR", "True Pattern", IF($O344="CapGen", "Search Like Pattern", IF($O344="Cardumen", "True Semantic", IF($O344="DynaMoth", "True Semantic", IF($O344="FixMiner", "True Pattern", IF($O344="GenProg-A", "Evolutionary Search", IF($O344="Hercules", "Learning Pattern", IF($O344="Jaid", "True Semantic",
IF($O344="Kali-A", "True Search", IF($O344="kPAR", "True Pattern", IF($O344="Nopol", "True Semantic", IF($O344="RSRepair-A", "Evolutionary Search", IF($O344="SequenceR", "Deep Learning", IF($O344="SimFix", "Search Like Pattern", IF($O344="SketchFix", "True Pattern", IF($O344="SOFix", "True Pattern", IF($O344="ssFix", "Search Like Pattern", IF($O344="TBar", "True Pattern", ""))))))))))))))))))))</f>
        <v>True Semantic</v>
      </c>
      <c r="Q344" s="13" t="str">
        <f>IF(NOT(ISERR(SEARCH("*_Buggy",$A344))), "Buggy", IF(NOT(ISERR(SEARCH("*_Fixed",$A344))), "Fixed", IF(NOT(ISERR(SEARCH("*_Repaired",$A344))), "Repaired", "")))</f>
        <v>Buggy</v>
      </c>
      <c r="R344" s="13"/>
      <c r="S344" s="13"/>
      <c r="T344" s="13"/>
      <c r="U344" s="13"/>
      <c r="V344" s="13"/>
      <c r="W344" s="13"/>
    </row>
    <row r="345" spans="1:23" x14ac:dyDescent="0.35">
      <c r="A345" s="7" t="s">
        <v>1025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>LEFT($A345,FIND("_",$A345)-1)</f>
        <v>Nopol</v>
      </c>
      <c r="P345" s="13" t="str">
        <f>IF($O345="ACS", "True Search", IF($O345="Arja", "Evolutionary Search", IF($O345="AVATAR", "True Pattern", IF($O345="CapGen", "Search Like Pattern", IF($O345="Cardumen", "True Semantic", IF($O345="DynaMoth", "True Semantic", IF($O345="FixMiner", "True Pattern", IF($O345="GenProg-A", "Evolutionary Search", IF($O345="Hercules", "Learning Pattern", IF($O345="Jaid", "True Semantic",
IF($O345="Kali-A", "True Search", IF($O345="kPAR", "True Pattern", IF($O345="Nopol", "True Semantic", IF($O345="RSRepair-A", "Evolutionary Search", IF($O345="SequenceR", "Deep Learning", IF($O345="SimFix", "Search Like Pattern", IF($O345="SketchFix", "True Pattern", IF($O345="SOFix", "True Pattern", IF($O345="ssFix", "Search Like Pattern", IF($O345="TBar", "True Pattern", ""))))))))))))))))))))</f>
        <v>True Semantic</v>
      </c>
      <c r="Q345" s="13" t="str">
        <f>IF(NOT(ISERR(SEARCH("*_Buggy",$A345))), "Buggy", IF(NOT(ISERR(SEARCH("*_Fixed",$A345))), "Fixed", IF(NOT(ISERR(SEARCH("*_Repaired",$A345))), "Repaired", "")))</f>
        <v>Buggy</v>
      </c>
      <c r="R345" s="13"/>
      <c r="S345" s="13"/>
      <c r="T345" s="13"/>
      <c r="U345" s="13"/>
      <c r="V345" s="13"/>
      <c r="W345" s="13"/>
    </row>
    <row r="346" spans="1:23" x14ac:dyDescent="0.35">
      <c r="A346" s="5" t="s">
        <v>898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>LEFT($A346,FIND("_",$A346)-1)</f>
        <v>Nopol</v>
      </c>
      <c r="P346" s="13" t="str">
        <f>IF($O346="ACS", "True Search", IF($O346="Arja", "Evolutionary Search", IF($O346="AVATAR", "True Pattern", IF($O346="CapGen", "Search Like Pattern", IF($O346="Cardumen", "True Semantic", IF($O346="DynaMoth", "True Semantic", IF($O346="FixMiner", "True Pattern", IF($O346="GenProg-A", "Evolutionary Search", IF($O346="Hercules", "Learning Pattern", IF($O346="Jaid", "True Semantic",
IF($O346="Kali-A", "True Search", IF($O346="kPAR", "True Pattern", IF($O346="Nopol", "True Semantic", IF($O346="RSRepair-A", "Evolutionary Search", IF($O346="SequenceR", "Deep Learning", IF($O346="SimFix", "Search Like Pattern", IF($O346="SketchFix", "True Pattern", IF($O346="SOFix", "True Pattern", IF($O346="ssFix", "Search Like Pattern", IF($O346="TBar", "True Pattern", ""))))))))))))))))))))</f>
        <v>True Semantic</v>
      </c>
      <c r="Q346" s="13" t="str">
        <f>IF(NOT(ISERR(SEARCH("*_Buggy",$A346))), "Buggy", IF(NOT(ISERR(SEARCH("*_Fixed",$A346))), "Fixed", IF(NOT(ISERR(SEARCH("*_Repaired",$A346))), "Repaired", "")))</f>
        <v>Buggy</v>
      </c>
      <c r="R346" s="13"/>
      <c r="S346" s="13"/>
      <c r="T346" s="13"/>
      <c r="U346" s="13"/>
      <c r="V346" s="13"/>
      <c r="W346" s="13"/>
    </row>
    <row r="347" spans="1:23" x14ac:dyDescent="0.35">
      <c r="A347" s="5" t="s">
        <v>68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>LEFT($A347,FIND("_",$A347)-1)</f>
        <v>Nopol</v>
      </c>
      <c r="P347" s="13" t="str">
        <f>IF($O347="ACS", "True Search", IF($O347="Arja", "Evolutionary Search", IF($O347="AVATAR", "True Pattern", IF($O347="CapGen", "Search Like Pattern", IF($O347="Cardumen", "True Semantic", IF($O347="DynaMoth", "True Semantic", IF($O347="FixMiner", "True Pattern", IF($O347="GenProg-A", "Evolutionary Search", IF($O347="Hercules", "Learning Pattern", IF($O347="Jaid", "True Semantic",
IF($O347="Kali-A", "True Search", IF($O347="kPAR", "True Pattern", IF($O347="Nopol", "True Semantic", IF($O347="RSRepair-A", "Evolutionary Search", IF($O347="SequenceR", "Deep Learning", IF($O347="SimFix", "Search Like Pattern", IF($O347="SketchFix", "True Pattern", IF($O347="SOFix", "True Pattern", IF($O347="ssFix", "Search Like Pattern", IF($O347="TBar", "True Pattern", ""))))))))))))))))))))</f>
        <v>True Semantic</v>
      </c>
      <c r="Q347" s="13" t="str">
        <f>IF(NOT(ISERR(SEARCH("*_Buggy",$A347))), "Buggy", IF(NOT(ISERR(SEARCH("*_Fixed",$A347))), "Fixed", IF(NOT(ISERR(SEARCH("*_Repaired",$A347))), "Repaired", "")))</f>
        <v>Buggy</v>
      </c>
      <c r="R347" s="13"/>
      <c r="S347" s="13"/>
      <c r="T347" s="13"/>
      <c r="U347" s="13"/>
      <c r="V347" s="13"/>
      <c r="W347" s="13"/>
    </row>
    <row r="348" spans="1:23" x14ac:dyDescent="0.35">
      <c r="A348" s="5" t="s">
        <v>851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>LEFT($A348,FIND("_",$A348)-1)</f>
        <v>Nopol</v>
      </c>
      <c r="P348" s="13" t="str">
        <f>IF($O348="ACS", "True Search", IF($O348="Arja", "Evolutionary Search", IF($O348="AVATAR", "True Pattern", IF($O348="CapGen", "Search Like Pattern", IF($O348="Cardumen", "True Semantic", IF($O348="DynaMoth", "True Semantic", IF($O348="FixMiner", "True Pattern", IF($O348="GenProg-A", "Evolutionary Search", IF($O348="Hercules", "Learning Pattern", IF($O348="Jaid", "True Semantic",
IF($O348="Kali-A", "True Search", IF($O348="kPAR", "True Pattern", IF($O348="Nopol", "True Semantic", IF($O348="RSRepair-A", "Evolutionary Search", IF($O348="SequenceR", "Deep Learning", IF($O348="SimFix", "Search Like Pattern", IF($O348="SketchFix", "True Pattern", IF($O348="SOFix", "True Pattern", IF($O348="ssFix", "Search Like Pattern", IF($O348="TBar", "True Pattern", ""))))))))))))))))))))</f>
        <v>True Semantic</v>
      </c>
      <c r="Q348" s="13" t="str">
        <f>IF(NOT(ISERR(SEARCH("*_Buggy",$A348))), "Buggy", IF(NOT(ISERR(SEARCH("*_Fixed",$A348))), "Fixed", IF(NOT(ISERR(SEARCH("*_Repaired",$A348))), "Repaired", "")))</f>
        <v>Buggy</v>
      </c>
      <c r="R348" s="13"/>
      <c r="S348" s="13"/>
      <c r="T348" s="13"/>
      <c r="U348" s="13"/>
      <c r="V348" s="13"/>
      <c r="W348" s="13"/>
    </row>
    <row r="349" spans="1:23" x14ac:dyDescent="0.35">
      <c r="A349" s="7" t="s">
        <v>1043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>LEFT($A349,FIND("_",$A349)-1)</f>
        <v>Nopol</v>
      </c>
      <c r="P349" s="13" t="str">
        <f>IF($O349="ACS", "True Search", IF($O349="Arja", "Evolutionary Search", IF($O349="AVATAR", "True Pattern", IF($O349="CapGen", "Search Like Pattern", IF($O349="Cardumen", "True Semantic", IF($O349="DynaMoth", "True Semantic", IF($O349="FixMiner", "True Pattern", IF($O349="GenProg-A", "Evolutionary Search", IF($O349="Hercules", "Learning Pattern", IF($O349="Jaid", "True Semantic",
IF($O349="Kali-A", "True Search", IF($O349="kPAR", "True Pattern", IF($O349="Nopol", "True Semantic", IF($O349="RSRepair-A", "Evolutionary Search", IF($O349="SequenceR", "Deep Learning", IF($O349="SimFix", "Search Like Pattern", IF($O349="SketchFix", "True Pattern", IF($O349="SOFix", "True Pattern", IF($O349="ssFix", "Search Like Pattern", IF($O349="TBar", "True Pattern", ""))))))))))))))))))))</f>
        <v>True Semantic</v>
      </c>
      <c r="Q349" s="13" t="str">
        <f>IF(NOT(ISERR(SEARCH("*_Buggy",$A349))), "Buggy", IF(NOT(ISERR(SEARCH("*_Fixed",$A349))), "Fixed", IF(NOT(ISERR(SEARCH("*_Repaired",$A349))), "Repaired", "")))</f>
        <v>Buggy</v>
      </c>
      <c r="R349" s="13"/>
      <c r="S349" s="13"/>
      <c r="T349" s="13"/>
      <c r="U349" s="13"/>
      <c r="V349" s="13"/>
      <c r="W349" s="13"/>
    </row>
    <row r="350" spans="1:23" x14ac:dyDescent="0.35">
      <c r="A350" s="7" t="s">
        <v>1031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>LEFT($A350,FIND("_",$A350)-1)</f>
        <v>Nopol</v>
      </c>
      <c r="P350" s="13" t="str">
        <f>IF($O350="ACS", "True Search", IF($O350="Arja", "Evolutionary Search", IF($O350="AVATAR", "True Pattern", IF($O350="CapGen", "Search Like Pattern", IF($O350="Cardumen", "True Semantic", IF($O350="DynaMoth", "True Semantic", IF($O350="FixMiner", "True Pattern", IF($O350="GenProg-A", "Evolutionary Search", IF($O350="Hercules", "Learning Pattern", IF($O350="Jaid", "True Semantic",
IF($O350="Kali-A", "True Search", IF($O350="kPAR", "True Pattern", IF($O350="Nopol", "True Semantic", IF($O350="RSRepair-A", "Evolutionary Search", IF($O350="SequenceR", "Deep Learning", IF($O350="SimFix", "Search Like Pattern", IF($O350="SketchFix", "True Pattern", IF($O350="SOFix", "True Pattern", IF($O350="ssFix", "Search Like Pattern", IF($O350="TBar", "True Pattern", ""))))))))))))))))))))</f>
        <v>True Semantic</v>
      </c>
      <c r="Q350" s="13" t="str">
        <f>IF(NOT(ISERR(SEARCH("*_Buggy",$A350))), "Buggy", IF(NOT(ISERR(SEARCH("*_Fixed",$A350))), "Fixed", IF(NOT(ISERR(SEARCH("*_Repaired",$A350))), "Repaired", "")))</f>
        <v>Buggy</v>
      </c>
      <c r="R350" s="13"/>
      <c r="S350" s="13"/>
      <c r="T350" s="13"/>
      <c r="U350" s="13"/>
      <c r="V350" s="13"/>
      <c r="W350" s="13"/>
    </row>
    <row r="351" spans="1:23" x14ac:dyDescent="0.35">
      <c r="A351" s="5" t="s">
        <v>1029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>LEFT($A351,FIND("_",$A351)-1)</f>
        <v>Nopol</v>
      </c>
      <c r="P351" s="13" t="str">
        <f>IF($O351="ACS", "True Search", IF($O351="Arja", "Evolutionary Search", IF($O351="AVATAR", "True Pattern", IF($O351="CapGen", "Search Like Pattern", IF($O351="Cardumen", "True Semantic", IF($O351="DynaMoth", "True Semantic", IF($O351="FixMiner", "True Pattern", IF($O351="GenProg-A", "Evolutionary Search", IF($O351="Hercules", "Learning Pattern", IF($O351="Jaid", "True Semantic",
IF($O351="Kali-A", "True Search", IF($O351="kPAR", "True Pattern", IF($O351="Nopol", "True Semantic", IF($O351="RSRepair-A", "Evolutionary Search", IF($O351="SequenceR", "Deep Learning", IF($O351="SimFix", "Search Like Pattern", IF($O351="SketchFix", "True Pattern", IF($O351="SOFix", "True Pattern", IF($O351="ssFix", "Search Like Pattern", IF($O351="TBar", "True Pattern", ""))))))))))))))))))))</f>
        <v>True Semantic</v>
      </c>
      <c r="Q351" s="13" t="str">
        <f>IF(NOT(ISERR(SEARCH("*_Buggy",$A351))), "Buggy", IF(NOT(ISERR(SEARCH("*_Fixed",$A351))), "Fixed", IF(NOT(ISERR(SEARCH("*_Repaired",$A351))), "Repaired", "")))</f>
        <v>Buggy</v>
      </c>
      <c r="R351" s="13"/>
      <c r="S351" s="13"/>
      <c r="T351" s="13"/>
      <c r="U351" s="13"/>
      <c r="V351" s="13"/>
      <c r="W351" s="13"/>
    </row>
    <row r="352" spans="1:23" x14ac:dyDescent="0.35">
      <c r="A352" s="7" t="s">
        <v>629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>LEFT($A352,FIND("_",$A352)-1)</f>
        <v>Nopol</v>
      </c>
      <c r="P352" s="13" t="str">
        <f>IF($O352="ACS", "True Search", IF($O352="Arja", "Evolutionary Search", IF($O352="AVATAR", "True Pattern", IF($O352="CapGen", "Search Like Pattern", IF($O352="Cardumen", "True Semantic", IF($O352="DynaMoth", "True Semantic", IF($O352="FixMiner", "True Pattern", IF($O352="GenProg-A", "Evolutionary Search", IF($O352="Hercules", "Learning Pattern", IF($O352="Jaid", "True Semantic",
IF($O352="Kali-A", "True Search", IF($O352="kPAR", "True Pattern", IF($O352="Nopol", "True Semantic", IF($O352="RSRepair-A", "Evolutionary Search", IF($O352="SequenceR", "Deep Learning", IF($O352="SimFix", "Search Like Pattern", IF($O352="SketchFix", "True Pattern", IF($O352="SOFix", "True Pattern", IF($O352="ssFix", "Search Like Pattern", IF($O352="TBar", "True Pattern", ""))))))))))))))))))))</f>
        <v>True Semantic</v>
      </c>
      <c r="Q352" s="13" t="str">
        <f>IF(NOT(ISERR(SEARCH("*_Buggy",$A352))), "Buggy", IF(NOT(ISERR(SEARCH("*_Fixed",$A352))), "Fixed", IF(NOT(ISERR(SEARCH("*_Repaired",$A352))), "Repaired", "")))</f>
        <v>Buggy</v>
      </c>
      <c r="R352" s="13"/>
      <c r="S352" s="13"/>
      <c r="T352" s="13"/>
      <c r="U352" s="13"/>
      <c r="V352" s="13"/>
      <c r="W352" s="13"/>
    </row>
    <row r="353" spans="1:23" x14ac:dyDescent="0.35">
      <c r="A353" s="5" t="s">
        <v>1277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>LEFT($A353,FIND("_",$A353)-1)</f>
        <v>Nopol</v>
      </c>
      <c r="P353" s="13" t="str">
        <f>IF($O353="ACS", "True Search", IF($O353="Arja", "Evolutionary Search", IF($O353="AVATAR", "True Pattern", IF($O353="CapGen", "Search Like Pattern", IF($O353="Cardumen", "True Semantic", IF($O353="DynaMoth", "True Semantic", IF($O353="FixMiner", "True Pattern", IF($O353="GenProg-A", "Evolutionary Search", IF($O353="Hercules", "Learning Pattern", IF($O353="Jaid", "True Semantic",
IF($O353="Kali-A", "True Search", IF($O353="kPAR", "True Pattern", IF($O353="Nopol", "True Semantic", IF($O353="RSRepair-A", "Evolutionary Search", IF($O353="SequenceR", "Deep Learning", IF($O353="SimFix", "Search Like Pattern", IF($O353="SketchFix", "True Pattern", IF($O353="SOFix", "True Pattern", IF($O353="ssFix", "Search Like Pattern", IF($O353="TBar", "True Pattern", ""))))))))))))))))))))</f>
        <v>True Semantic</v>
      </c>
      <c r="Q353" s="13" t="str">
        <f>IF(NOT(ISERR(SEARCH("*_Buggy",$A353))), "Buggy", IF(NOT(ISERR(SEARCH("*_Fixed",$A353))), "Fixed", IF(NOT(ISERR(SEARCH("*_Repaired",$A353))), "Repaired", "")))</f>
        <v>Buggy</v>
      </c>
      <c r="R353" s="13"/>
      <c r="S353" s="13"/>
      <c r="T353" s="13"/>
      <c r="U353" s="13"/>
      <c r="V353" s="13"/>
      <c r="W353" s="13"/>
    </row>
    <row r="354" spans="1:23" x14ac:dyDescent="0.35">
      <c r="A354" s="7" t="s">
        <v>386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>LEFT($A354,FIND("_",$A354)-1)</f>
        <v>Nopol</v>
      </c>
      <c r="P354" s="13" t="str">
        <f>IF($O354="ACS", "True Search", IF($O354="Arja", "Evolutionary Search", IF($O354="AVATAR", "True Pattern", IF($O354="CapGen", "Search Like Pattern", IF($O354="Cardumen", "True Semantic", IF($O354="DynaMoth", "True Semantic", IF($O354="FixMiner", "True Pattern", IF($O354="GenProg-A", "Evolutionary Search", IF($O354="Hercules", "Learning Pattern", IF($O354="Jaid", "True Semantic",
IF($O354="Kali-A", "True Search", IF($O354="kPAR", "True Pattern", IF($O354="Nopol", "True Semantic", IF($O354="RSRepair-A", "Evolutionary Search", IF($O354="SequenceR", "Deep Learning", IF($O354="SimFix", "Search Like Pattern", IF($O354="SketchFix", "True Pattern", IF($O354="SOFix", "True Pattern", IF($O354="ssFix", "Search Like Pattern", IF($O354="TBar", "True Pattern", ""))))))))))))))))))))</f>
        <v>True Semantic</v>
      </c>
      <c r="Q354" s="13" t="str">
        <f>IF(NOT(ISERR(SEARCH("*_Buggy",$A354))), "Buggy", IF(NOT(ISERR(SEARCH("*_Fixed",$A354))), "Fixed", IF(NOT(ISERR(SEARCH("*_Repaired",$A354))), "Repaired", "")))</f>
        <v>Buggy</v>
      </c>
      <c r="R354" s="13"/>
      <c r="S354" s="13"/>
      <c r="T354" s="13"/>
      <c r="U354" s="13"/>
      <c r="V354" s="13"/>
      <c r="W354" s="13"/>
    </row>
    <row r="355" spans="1:23" x14ac:dyDescent="0.35">
      <c r="A355" s="7" t="s">
        <v>477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>LEFT($A355,FIND("_",$A355)-1)</f>
        <v>Nopol</v>
      </c>
      <c r="P355" s="13" t="str">
        <f>IF($O355="ACS", "True Search", IF($O355="Arja", "Evolutionary Search", IF($O355="AVATAR", "True Pattern", IF($O355="CapGen", "Search Like Pattern", IF($O355="Cardumen", "True Semantic", IF($O355="DynaMoth", "True Semantic", IF($O355="FixMiner", "True Pattern", IF($O355="GenProg-A", "Evolutionary Search", IF($O355="Hercules", "Learning Pattern", IF($O355="Jaid", "True Semantic",
IF($O355="Kali-A", "True Search", IF($O355="kPAR", "True Pattern", IF($O355="Nopol", "True Semantic", IF($O355="RSRepair-A", "Evolutionary Search", IF($O355="SequenceR", "Deep Learning", IF($O355="SimFix", "Search Like Pattern", IF($O355="SketchFix", "True Pattern", IF($O355="SOFix", "True Pattern", IF($O355="ssFix", "Search Like Pattern", IF($O355="TBar", "True Pattern", ""))))))))))))))))))))</f>
        <v>True Semantic</v>
      </c>
      <c r="Q355" s="13" t="str">
        <f>IF(NOT(ISERR(SEARCH("*_Buggy",$A355))), "Buggy", IF(NOT(ISERR(SEARCH("*_Fixed",$A355))), "Fixed", IF(NOT(ISERR(SEARCH("*_Repaired",$A355))), "Repaired", "")))</f>
        <v>Buggy</v>
      </c>
      <c r="R355" s="13"/>
      <c r="S355" s="13"/>
      <c r="T355" s="13"/>
      <c r="U355" s="13"/>
      <c r="V355" s="13"/>
      <c r="W355" s="13"/>
    </row>
    <row r="356" spans="1:23" x14ac:dyDescent="0.35">
      <c r="A356" s="5" t="s">
        <v>707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>LEFT($A356,FIND("_",$A356)-1)</f>
        <v>Nopol</v>
      </c>
      <c r="P356" s="13" t="str">
        <f>IF($O356="ACS", "True Search", IF($O356="Arja", "Evolutionary Search", IF($O356="AVATAR", "True Pattern", IF($O356="CapGen", "Search Like Pattern", IF($O356="Cardumen", "True Semantic", IF($O356="DynaMoth", "True Semantic", IF($O356="FixMiner", "True Pattern", IF($O356="GenProg-A", "Evolutionary Search", IF($O356="Hercules", "Learning Pattern", IF($O356="Jaid", "True Semantic",
IF($O356="Kali-A", "True Search", IF($O356="kPAR", "True Pattern", IF($O356="Nopol", "True Semantic", IF($O356="RSRepair-A", "Evolutionary Search", IF($O356="SequenceR", "Deep Learning", IF($O356="SimFix", "Search Like Pattern", IF($O356="SketchFix", "True Pattern", IF($O356="SOFix", "True Pattern", IF($O356="ssFix", "Search Like Pattern", IF($O356="TBar", "True Pattern", ""))))))))))))))))))))</f>
        <v>True Semantic</v>
      </c>
      <c r="Q356" s="13" t="str">
        <f>IF(NOT(ISERR(SEARCH("*_Buggy",$A356))), "Buggy", IF(NOT(ISERR(SEARCH("*_Fixed",$A356))), "Fixed", IF(NOT(ISERR(SEARCH("*_Repaired",$A356))), "Repaired", "")))</f>
        <v>Buggy</v>
      </c>
      <c r="R356" s="13"/>
      <c r="S356" s="13"/>
      <c r="T356" s="13"/>
      <c r="U356" s="13"/>
      <c r="V356" s="13"/>
      <c r="W356" s="13"/>
    </row>
    <row r="357" spans="1:23" x14ac:dyDescent="0.35">
      <c r="A357" s="7" t="s">
        <v>410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>LEFT($A357,FIND("_",$A357)-1)</f>
        <v>Nopol</v>
      </c>
      <c r="P357" s="13" t="str">
        <f>IF($O357="ACS", "True Search", IF($O357="Arja", "Evolutionary Search", IF($O357="AVATAR", "True Pattern", IF($O357="CapGen", "Search Like Pattern", IF($O357="Cardumen", "True Semantic", IF($O357="DynaMoth", "True Semantic", IF($O357="FixMiner", "True Pattern", IF($O357="GenProg-A", "Evolutionary Search", IF($O357="Hercules", "Learning Pattern", IF($O357="Jaid", "True Semantic",
IF($O357="Kali-A", "True Search", IF($O357="kPAR", "True Pattern", IF($O357="Nopol", "True Semantic", IF($O357="RSRepair-A", "Evolutionary Search", IF($O357="SequenceR", "Deep Learning", IF($O357="SimFix", "Search Like Pattern", IF($O357="SketchFix", "True Pattern", IF($O357="SOFix", "True Pattern", IF($O357="ssFix", "Search Like Pattern", IF($O357="TBar", "True Pattern", ""))))))))))))))))))))</f>
        <v>True Semantic</v>
      </c>
      <c r="Q357" s="13" t="str">
        <f>IF(NOT(ISERR(SEARCH("*_Buggy",$A357))), "Buggy", IF(NOT(ISERR(SEARCH("*_Fixed",$A357))), "Fixed", IF(NOT(ISERR(SEARCH("*_Repaired",$A357))), "Repaired", "")))</f>
        <v>Buggy</v>
      </c>
      <c r="R357" s="13"/>
      <c r="S357" s="13"/>
      <c r="T357" s="13"/>
      <c r="U357" s="13"/>
      <c r="V357" s="13"/>
      <c r="W357" s="13"/>
    </row>
    <row r="358" spans="1:23" x14ac:dyDescent="0.35">
      <c r="A358" s="7" t="s">
        <v>690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>LEFT($A358,FIND("_",$A358)-1)</f>
        <v>Nopol</v>
      </c>
      <c r="P358" s="13" t="str">
        <f>IF($O358="ACS", "True Search", IF($O358="Arja", "Evolutionary Search", IF($O358="AVATAR", "True Pattern", IF($O358="CapGen", "Search Like Pattern", IF($O358="Cardumen", "True Semantic", IF($O358="DynaMoth", "True Semantic", IF($O358="FixMiner", "True Pattern", IF($O358="GenProg-A", "Evolutionary Search", IF($O358="Hercules", "Learning Pattern", IF($O358="Jaid", "True Semantic",
IF($O358="Kali-A", "True Search", IF($O358="kPAR", "True Pattern", IF($O358="Nopol", "True Semantic", IF($O358="RSRepair-A", "Evolutionary Search", IF($O358="SequenceR", "Deep Learning", IF($O358="SimFix", "Search Like Pattern", IF($O358="SketchFix", "True Pattern", IF($O358="SOFix", "True Pattern", IF($O358="ssFix", "Search Like Pattern", IF($O358="TBar", "True Pattern", ""))))))))))))))))))))</f>
        <v>True Semantic</v>
      </c>
      <c r="Q358" s="13" t="str">
        <f>IF(NOT(ISERR(SEARCH("*_Buggy",$A358))), "Buggy", IF(NOT(ISERR(SEARCH("*_Fixed",$A358))), "Fixed", IF(NOT(ISERR(SEARCH("*_Repaired",$A358))), "Repaired", "")))</f>
        <v>Buggy</v>
      </c>
      <c r="R358" s="13"/>
      <c r="S358" s="13"/>
      <c r="T358" s="13"/>
      <c r="U358" s="13"/>
      <c r="V358" s="13"/>
      <c r="W358" s="13"/>
    </row>
    <row r="359" spans="1:23" x14ac:dyDescent="0.35">
      <c r="A359" s="7" t="s">
        <v>260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>LEFT($A359,FIND("_",$A359)-1)</f>
        <v>Nopol</v>
      </c>
      <c r="P359" s="13" t="str">
        <f>IF($O359="ACS", "True Search", IF($O359="Arja", "Evolutionary Search", IF($O359="AVATAR", "True Pattern", IF($O359="CapGen", "Search Like Pattern", IF($O359="Cardumen", "True Semantic", IF($O359="DynaMoth", "True Semantic", IF($O359="FixMiner", "True Pattern", IF($O359="GenProg-A", "Evolutionary Search", IF($O359="Hercules", "Learning Pattern", IF($O359="Jaid", "True Semantic",
IF($O359="Kali-A", "True Search", IF($O359="kPAR", "True Pattern", IF($O359="Nopol", "True Semantic", IF($O359="RSRepair-A", "Evolutionary Search", IF($O359="SequenceR", "Deep Learning", IF($O359="SimFix", "Search Like Pattern", IF($O359="SketchFix", "True Pattern", IF($O359="SOFix", "True Pattern", IF($O359="ssFix", "Search Like Pattern", IF($O359="TBar", "True Pattern", ""))))))))))))))))))))</f>
        <v>True Semantic</v>
      </c>
      <c r="Q359" s="13" t="str">
        <f>IF(NOT(ISERR(SEARCH("*_Buggy",$A359))), "Buggy", IF(NOT(ISERR(SEARCH("*_Fixed",$A359))), "Fixed", IF(NOT(ISERR(SEARCH("*_Repaired",$A359))), "Repaired", "")))</f>
        <v>Buggy</v>
      </c>
      <c r="R359" s="13"/>
      <c r="S359" s="13"/>
      <c r="T359" s="13"/>
      <c r="U359" s="13"/>
      <c r="V359" s="13"/>
      <c r="W359" s="13"/>
    </row>
    <row r="360" spans="1:23" x14ac:dyDescent="0.35">
      <c r="A360" s="7" t="s">
        <v>1144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>LEFT($A360,FIND("_",$A360)-1)</f>
        <v>Nopol</v>
      </c>
      <c r="P360" s="13" t="str">
        <f>IF($O360="ACS", "True Search", IF($O360="Arja", "Evolutionary Search", IF($O360="AVATAR", "True Pattern", IF($O360="CapGen", "Search Like Pattern", IF($O360="Cardumen", "True Semantic", IF($O360="DynaMoth", "True Semantic", IF($O360="FixMiner", "True Pattern", IF($O360="GenProg-A", "Evolutionary Search", IF($O360="Hercules", "Learning Pattern", IF($O360="Jaid", "True Semantic",
IF($O360="Kali-A", "True Search", IF($O360="kPAR", "True Pattern", IF($O360="Nopol", "True Semantic", IF($O360="RSRepair-A", "Evolutionary Search", IF($O360="SequenceR", "Deep Learning", IF($O360="SimFix", "Search Like Pattern", IF($O360="SketchFix", "True Pattern", IF($O360="SOFix", "True Pattern", IF($O360="ssFix", "Search Like Pattern", IF($O360="TBar", "True Pattern", ""))))))))))))))))))))</f>
        <v>True Semantic</v>
      </c>
      <c r="Q360" s="13" t="str">
        <f>IF(NOT(ISERR(SEARCH("*_Buggy",$A360))), "Buggy", IF(NOT(ISERR(SEARCH("*_Fixed",$A360))), "Fixed", IF(NOT(ISERR(SEARCH("*_Repaired",$A360))), "Repaired", "")))</f>
        <v>Buggy</v>
      </c>
      <c r="R360" s="13"/>
      <c r="S360" s="13"/>
      <c r="T360" s="13"/>
      <c r="U360" s="13"/>
      <c r="V360" s="13"/>
      <c r="W360" s="13"/>
    </row>
    <row r="361" spans="1:23" x14ac:dyDescent="0.35">
      <c r="A361" s="7" t="s">
        <v>1107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>LEFT($A361,FIND("_",$A361)-1)</f>
        <v>Nopol</v>
      </c>
      <c r="P361" s="13" t="str">
        <f>IF($O361="ACS", "True Search", IF($O361="Arja", "Evolutionary Search", IF($O361="AVATAR", "True Pattern", IF($O361="CapGen", "Search Like Pattern", IF($O361="Cardumen", "True Semantic", IF($O361="DynaMoth", "True Semantic", IF($O361="FixMiner", "True Pattern", IF($O361="GenProg-A", "Evolutionary Search", IF($O361="Hercules", "Learning Pattern", IF($O361="Jaid", "True Semantic",
IF($O361="Kali-A", "True Search", IF($O361="kPAR", "True Pattern", IF($O361="Nopol", "True Semantic", IF($O361="RSRepair-A", "Evolutionary Search", IF($O361="SequenceR", "Deep Learning", IF($O361="SimFix", "Search Like Pattern", IF($O361="SketchFix", "True Pattern", IF($O361="SOFix", "True Pattern", IF($O361="ssFix", "Search Like Pattern", IF($O361="TBar", "True Pattern", ""))))))))))))))))))))</f>
        <v>True Semantic</v>
      </c>
      <c r="Q361" s="13" t="str">
        <f>IF(NOT(ISERR(SEARCH("*_Buggy",$A361))), "Buggy", IF(NOT(ISERR(SEARCH("*_Fixed",$A361))), "Fixed", IF(NOT(ISERR(SEARCH("*_Repaired",$A361))), "Repaired", "")))</f>
        <v>Buggy</v>
      </c>
      <c r="R361" s="13"/>
      <c r="S361" s="13"/>
      <c r="T361" s="13"/>
      <c r="U361" s="13"/>
      <c r="V361" s="13"/>
      <c r="W361" s="13"/>
    </row>
    <row r="362" spans="1:23" x14ac:dyDescent="0.35">
      <c r="A362" s="7" t="s">
        <v>969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>LEFT($A362,FIND("_",$A362)-1)</f>
        <v>Nopol</v>
      </c>
      <c r="P362" s="13" t="str">
        <f>IF($O362="ACS", "True Search", IF($O362="Arja", "Evolutionary Search", IF($O362="AVATAR", "True Pattern", IF($O362="CapGen", "Search Like Pattern", IF($O362="Cardumen", "True Semantic", IF($O362="DynaMoth", "True Semantic", IF($O362="FixMiner", "True Pattern", IF($O362="GenProg-A", "Evolutionary Search", IF($O362="Hercules", "Learning Pattern", IF($O362="Jaid", "True Semantic",
IF($O362="Kali-A", "True Search", IF($O362="kPAR", "True Pattern", IF($O362="Nopol", "True Semantic", IF($O362="RSRepair-A", "Evolutionary Search", IF($O362="SequenceR", "Deep Learning", IF($O362="SimFix", "Search Like Pattern", IF($O362="SketchFix", "True Pattern", IF($O362="SOFix", "True Pattern", IF($O362="ssFix", "Search Like Pattern", IF($O362="TBar", "True Pattern", ""))))))))))))))))))))</f>
        <v>True Semantic</v>
      </c>
      <c r="Q362" s="13" t="str">
        <f>IF(NOT(ISERR(SEARCH("*_Buggy",$A362))), "Buggy", IF(NOT(ISERR(SEARCH("*_Fixed",$A362))), "Fixed", IF(NOT(ISERR(SEARCH("*_Repaired",$A362))), "Repaired", "")))</f>
        <v>Buggy</v>
      </c>
      <c r="R362" s="13"/>
      <c r="S362" s="13"/>
      <c r="T362" s="13"/>
      <c r="U362" s="13"/>
      <c r="V362" s="13"/>
      <c r="W362" s="13"/>
    </row>
    <row r="363" spans="1:23" x14ac:dyDescent="0.35">
      <c r="A363" s="7" t="s">
        <v>275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>LEFT($A363,FIND("_",$A363)-1)</f>
        <v>Nopol</v>
      </c>
      <c r="P363" s="13" t="str">
        <f>IF($O363="ACS", "True Search", IF($O363="Arja", "Evolutionary Search", IF($O363="AVATAR", "True Pattern", IF($O363="CapGen", "Search Like Pattern", IF($O363="Cardumen", "True Semantic", IF($O363="DynaMoth", "True Semantic", IF($O363="FixMiner", "True Pattern", IF($O363="GenProg-A", "Evolutionary Search", IF($O363="Hercules", "Learning Pattern", IF($O363="Jaid", "True Semantic",
IF($O363="Kali-A", "True Search", IF($O363="kPAR", "True Pattern", IF($O363="Nopol", "True Semantic", IF($O363="RSRepair-A", "Evolutionary Search", IF($O363="SequenceR", "Deep Learning", IF($O363="SimFix", "Search Like Pattern", IF($O363="SketchFix", "True Pattern", IF($O363="SOFix", "True Pattern", IF($O363="ssFix", "Search Like Pattern", IF($O363="TBar", "True Pattern", ""))))))))))))))))))))</f>
        <v>True Semantic</v>
      </c>
      <c r="Q363" s="13" t="str">
        <f>IF(NOT(ISERR(SEARCH("*_Buggy",$A363))), "Buggy", IF(NOT(ISERR(SEARCH("*_Fixed",$A363))), "Fixed", IF(NOT(ISERR(SEARCH("*_Repaired",$A363))), "Repaired", "")))</f>
        <v>Buggy</v>
      </c>
      <c r="R363" s="13"/>
      <c r="S363" s="13"/>
      <c r="T363" s="13"/>
      <c r="U363" s="13"/>
      <c r="V363" s="13"/>
      <c r="W363" s="13"/>
    </row>
    <row r="364" spans="1:23" x14ac:dyDescent="0.35">
      <c r="A364" s="7" t="s">
        <v>951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>LEFT($A364,FIND("_",$A364)-1)</f>
        <v>Nopol</v>
      </c>
      <c r="P364" s="13" t="str">
        <f>IF($O364="ACS", "True Search", IF($O364="Arja", "Evolutionary Search", IF($O364="AVATAR", "True Pattern", IF($O364="CapGen", "Search Like Pattern", IF($O364="Cardumen", "True Semantic", IF($O364="DynaMoth", "True Semantic", IF($O364="FixMiner", "True Pattern", IF($O364="GenProg-A", "Evolutionary Search", IF($O364="Hercules", "Learning Pattern", IF($O364="Jaid", "True Semantic",
IF($O364="Kali-A", "True Search", IF($O364="kPAR", "True Pattern", IF($O364="Nopol", "True Semantic", IF($O364="RSRepair-A", "Evolutionary Search", IF($O364="SequenceR", "Deep Learning", IF($O364="SimFix", "Search Like Pattern", IF($O364="SketchFix", "True Pattern", IF($O364="SOFix", "True Pattern", IF($O364="ssFix", "Search Like Pattern", IF($O364="TBar", "True Pattern", ""))))))))))))))))))))</f>
        <v>True Semantic</v>
      </c>
      <c r="Q364" s="13" t="str">
        <f>IF(NOT(ISERR(SEARCH("*_Buggy",$A364))), "Buggy", IF(NOT(ISERR(SEARCH("*_Fixed",$A364))), "Fixed", IF(NOT(ISERR(SEARCH("*_Repaired",$A364))), "Repaired", "")))</f>
        <v>Buggy</v>
      </c>
      <c r="R364" s="13"/>
      <c r="S364" s="13"/>
      <c r="T364" s="13"/>
      <c r="U364" s="13"/>
      <c r="V364" s="13"/>
      <c r="W364" s="13"/>
    </row>
    <row r="365" spans="1:23" x14ac:dyDescent="0.35">
      <c r="A365" s="5" t="s">
        <v>849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>LEFT($A365,FIND("_",$A365)-1)</f>
        <v>Nopol</v>
      </c>
      <c r="P365" s="13" t="str">
        <f>IF($O365="ACS", "True Search", IF($O365="Arja", "Evolutionary Search", IF($O365="AVATAR", "True Pattern", IF($O365="CapGen", "Search Like Pattern", IF($O365="Cardumen", "True Semantic", IF($O365="DynaMoth", "True Semantic", IF($O365="FixMiner", "True Pattern", IF($O365="GenProg-A", "Evolutionary Search", IF($O365="Hercules", "Learning Pattern", IF($O365="Jaid", "True Semantic",
IF($O365="Kali-A", "True Search", IF($O365="kPAR", "True Pattern", IF($O365="Nopol", "True Semantic", IF($O365="RSRepair-A", "Evolutionary Search", IF($O365="SequenceR", "Deep Learning", IF($O365="SimFix", "Search Like Pattern", IF($O365="SketchFix", "True Pattern", IF($O365="SOFix", "True Pattern", IF($O365="ssFix", "Search Like Pattern", IF($O365="TBar", "True Pattern", ""))))))))))))))))))))</f>
        <v>True Semantic</v>
      </c>
      <c r="Q365" s="13" t="str">
        <f>IF(NOT(ISERR(SEARCH("*_Buggy",$A365))), "Buggy", IF(NOT(ISERR(SEARCH("*_Fixed",$A365))), "Fixed", IF(NOT(ISERR(SEARCH("*_Repaired",$A365))), "Repaired", "")))</f>
        <v>Buggy</v>
      </c>
      <c r="R365" s="13"/>
      <c r="S365" s="13"/>
      <c r="T365" s="13"/>
      <c r="U365" s="13"/>
      <c r="V365" s="13"/>
      <c r="W365" s="13"/>
    </row>
    <row r="366" spans="1:23" x14ac:dyDescent="0.35">
      <c r="A366" s="7" t="s">
        <v>30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>LEFT($A366,FIND("_",$A366)-1)</f>
        <v>Nopol</v>
      </c>
      <c r="P366" s="13" t="str">
        <f>IF($O366="ACS", "True Search", IF($O366="Arja", "Evolutionary Search", IF($O366="AVATAR", "True Pattern", IF($O366="CapGen", "Search Like Pattern", IF($O366="Cardumen", "True Semantic", IF($O366="DynaMoth", "True Semantic", IF($O366="FixMiner", "True Pattern", IF($O366="GenProg-A", "Evolutionary Search", IF($O366="Hercules", "Learning Pattern", IF($O366="Jaid", "True Semantic",
IF($O366="Kali-A", "True Search", IF($O366="kPAR", "True Pattern", IF($O366="Nopol", "True Semantic", IF($O366="RSRepair-A", "Evolutionary Search", IF($O366="SequenceR", "Deep Learning", IF($O366="SimFix", "Search Like Pattern", IF($O366="SketchFix", "True Pattern", IF($O366="SOFix", "True Pattern", IF($O366="ssFix", "Search Like Pattern", IF($O366="TBar", "True Pattern", ""))))))))))))))))))))</f>
        <v>True Semantic</v>
      </c>
      <c r="Q366" s="13" t="str">
        <f>IF(NOT(ISERR(SEARCH("*_Buggy",$A366))), "Buggy", IF(NOT(ISERR(SEARCH("*_Fixed",$A366))), "Fixed", IF(NOT(ISERR(SEARCH("*_Repaired",$A366))), "Repaired", "")))</f>
        <v>Buggy</v>
      </c>
      <c r="R366" s="13"/>
      <c r="S366" s="13"/>
      <c r="T366" s="13"/>
      <c r="U366" s="13"/>
      <c r="V366" s="13"/>
      <c r="W366" s="13"/>
    </row>
    <row r="367" spans="1:23" x14ac:dyDescent="0.35">
      <c r="A367" s="5" t="s">
        <v>102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>LEFT($A367,FIND("_",$A367)-1)</f>
        <v>Nopol</v>
      </c>
      <c r="P367" s="13" t="str">
        <f>IF($O367="ACS", "True Search", IF($O367="Arja", "Evolutionary Search", IF($O367="AVATAR", "True Pattern", IF($O367="CapGen", "Search Like Pattern", IF($O367="Cardumen", "True Semantic", IF($O367="DynaMoth", "True Semantic", IF($O367="FixMiner", "True Pattern", IF($O367="GenProg-A", "Evolutionary Search", IF($O367="Hercules", "Learning Pattern", IF($O367="Jaid", "True Semantic",
IF($O367="Kali-A", "True Search", IF($O367="kPAR", "True Pattern", IF($O367="Nopol", "True Semantic", IF($O367="RSRepair-A", "Evolutionary Search", IF($O367="SequenceR", "Deep Learning", IF($O367="SimFix", "Search Like Pattern", IF($O367="SketchFix", "True Pattern", IF($O367="SOFix", "True Pattern", IF($O367="ssFix", "Search Like Pattern", IF($O367="TBar", "True Pattern", ""))))))))))))))))))))</f>
        <v>True Semantic</v>
      </c>
      <c r="Q367" s="13" t="str">
        <f>IF(NOT(ISERR(SEARCH("*_Buggy",$A367))), "Buggy", IF(NOT(ISERR(SEARCH("*_Fixed",$A367))), "Fixed", IF(NOT(ISERR(SEARCH("*_Repaired",$A367))), "Repaired", "")))</f>
        <v>Buggy</v>
      </c>
      <c r="R367" s="13"/>
      <c r="S367" s="13"/>
      <c r="T367" s="13"/>
      <c r="U367" s="13"/>
      <c r="V367" s="13"/>
      <c r="W367" s="13"/>
    </row>
    <row r="368" spans="1:23" x14ac:dyDescent="0.35">
      <c r="A368" s="5" t="s">
        <v>540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>LEFT($A368,FIND("_",$A368)-1)</f>
        <v>Nopol</v>
      </c>
      <c r="P368" s="13" t="str">
        <f>IF($O368="ACS", "True Search", IF($O368="Arja", "Evolutionary Search", IF($O368="AVATAR", "True Pattern", IF($O368="CapGen", "Search Like Pattern", IF($O368="Cardumen", "True Semantic", IF($O368="DynaMoth", "True Semantic", IF($O368="FixMiner", "True Pattern", IF($O368="GenProg-A", "Evolutionary Search", IF($O368="Hercules", "Learning Pattern", IF($O368="Jaid", "True Semantic",
IF($O368="Kali-A", "True Search", IF($O368="kPAR", "True Pattern", IF($O368="Nopol", "True Semantic", IF($O368="RSRepair-A", "Evolutionary Search", IF($O368="SequenceR", "Deep Learning", IF($O368="SimFix", "Search Like Pattern", IF($O368="SketchFix", "True Pattern", IF($O368="SOFix", "True Pattern", IF($O368="ssFix", "Search Like Pattern", IF($O368="TBar", "True Pattern", ""))))))))))))))))))))</f>
        <v>True Semantic</v>
      </c>
      <c r="Q368" s="13" t="str">
        <f>IF(NOT(ISERR(SEARCH("*_Buggy",$A368))), "Buggy", IF(NOT(ISERR(SEARCH("*_Fixed",$A368))), "Fixed", IF(NOT(ISERR(SEARCH("*_Repaired",$A368))), "Repaired", "")))</f>
        <v>Buggy</v>
      </c>
      <c r="R368" s="13"/>
      <c r="S368" s="13"/>
      <c r="T368" s="13"/>
      <c r="U368" s="13"/>
      <c r="V368" s="13"/>
      <c r="W368" s="13"/>
    </row>
    <row r="369" spans="1:23" x14ac:dyDescent="0.35">
      <c r="A369" s="5" t="s">
        <v>1403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>LEFT($A369,FIND("_",$A369)-1)</f>
        <v>RSRepair-A</v>
      </c>
      <c r="P369" s="13" t="str">
        <f>IF($O369="ACS", "True Search", IF($O369="Arja", "Evolutionary Search", IF($O369="AVATAR", "True Pattern", IF($O369="CapGen", "Search Like Pattern", IF($O369="Cardumen", "True Semantic", IF($O369="DynaMoth", "True Semantic", IF($O369="FixMiner", "True Pattern", IF($O369="GenProg-A", "Evolutionary Search", IF($O369="Hercules", "Learning Pattern", IF($O369="Jaid", "True Semantic",
IF($O369="Kali-A", "True Search", IF($O369="kPAR", "True Pattern", IF($O369="Nopol", "True Semantic", IF($O369="RSRepair-A", "Evolutionary Search", IF($O369="SequenceR", "Deep Learning", IF($O369="SimFix", "Search Like Pattern", IF($O369="SketchFix", "True Pattern", IF($O369="SOFix", "True Pattern", IF($O369="ssFix", "Search Like Pattern", IF($O369="TBar", "True Pattern", ""))))))))))))))))))))</f>
        <v>Evolutionary Search</v>
      </c>
      <c r="Q369" s="13" t="str">
        <f>IF(NOT(ISERR(SEARCH("*_Buggy",$A369))), "Buggy", IF(NOT(ISERR(SEARCH("*_Fixed",$A369))), "Fixed", IF(NOT(ISERR(SEARCH("*_Repaired",$A369))), "Repaired", "")))</f>
        <v>Buggy</v>
      </c>
      <c r="R369" s="13"/>
      <c r="S369" s="13"/>
      <c r="T369" s="13"/>
      <c r="U369" s="13"/>
      <c r="V369" s="13"/>
      <c r="W369" s="13"/>
    </row>
    <row r="370" spans="1:23" x14ac:dyDescent="0.35">
      <c r="A370" s="7" t="s">
        <v>1404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>LEFT($A370,FIND("_",$A370)-1)</f>
        <v>RSRepair-A</v>
      </c>
      <c r="P370" s="13" t="str">
        <f>IF($O370="ACS", "True Search", IF($O370="Arja", "Evolutionary Search", IF($O370="AVATAR", "True Pattern", IF($O370="CapGen", "Search Like Pattern", IF($O370="Cardumen", "True Semantic", IF($O370="DynaMoth", "True Semantic", IF($O370="FixMiner", "True Pattern", IF($O370="GenProg-A", "Evolutionary Search", IF($O370="Hercules", "Learning Pattern", IF($O370="Jaid", "True Semantic",
IF($O370="Kali-A", "True Search", IF($O370="kPAR", "True Pattern", IF($O370="Nopol", "True Semantic", IF($O370="RSRepair-A", "Evolutionary Search", IF($O370="SequenceR", "Deep Learning", IF($O370="SimFix", "Search Like Pattern", IF($O370="SketchFix", "True Pattern", IF($O370="SOFix", "True Pattern", IF($O370="ssFix", "Search Like Pattern", IF($O370="TBar", "True Pattern", ""))))))))))))))))))))</f>
        <v>Evolutionary Search</v>
      </c>
      <c r="Q370" s="13" t="str">
        <f>IF(NOT(ISERR(SEARCH("*_Buggy",$A370))), "Buggy", IF(NOT(ISERR(SEARCH("*_Fixed",$A370))), "Fixed", IF(NOT(ISERR(SEARCH("*_Repaired",$A370))), "Repaired", "")))</f>
        <v>Buggy</v>
      </c>
      <c r="R370" s="13"/>
      <c r="S370" s="13"/>
      <c r="T370" s="13"/>
      <c r="U370" s="13"/>
      <c r="V370" s="13"/>
      <c r="W370" s="13"/>
    </row>
    <row r="371" spans="1:23" x14ac:dyDescent="0.35">
      <c r="A371" s="7" t="s">
        <v>1405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>LEFT($A371,FIND("_",$A371)-1)</f>
        <v>RSRepair-A</v>
      </c>
      <c r="P371" s="13" t="str">
        <f>IF($O371="ACS", "True Search", IF($O371="Arja", "Evolutionary Search", IF($O371="AVATAR", "True Pattern", IF($O371="CapGen", "Search Like Pattern", IF($O371="Cardumen", "True Semantic", IF($O371="DynaMoth", "True Semantic", IF($O371="FixMiner", "True Pattern", IF($O371="GenProg-A", "Evolutionary Search", IF($O371="Hercules", "Learning Pattern", IF($O371="Jaid", "True Semantic",
IF($O371="Kali-A", "True Search", IF($O371="kPAR", "True Pattern", IF($O371="Nopol", "True Semantic", IF($O371="RSRepair-A", "Evolutionary Search", IF($O371="SequenceR", "Deep Learning", IF($O371="SimFix", "Search Like Pattern", IF($O371="SketchFix", "True Pattern", IF($O371="SOFix", "True Pattern", IF($O371="ssFix", "Search Like Pattern", IF($O371="TBar", "True Pattern", ""))))))))))))))))))))</f>
        <v>Evolutionary Search</v>
      </c>
      <c r="Q371" s="13" t="str">
        <f>IF(NOT(ISERR(SEARCH("*_Buggy",$A371))), "Buggy", IF(NOT(ISERR(SEARCH("*_Fixed",$A371))), "Fixed", IF(NOT(ISERR(SEARCH("*_Repaired",$A371))), "Repaired", "")))</f>
        <v>Buggy</v>
      </c>
      <c r="R371" s="13"/>
      <c r="S371" s="13"/>
      <c r="T371" s="13"/>
      <c r="U371" s="13"/>
      <c r="V371" s="13"/>
      <c r="W371" s="13"/>
    </row>
    <row r="372" spans="1:23" x14ac:dyDescent="0.35">
      <c r="A372" s="7" t="s">
        <v>1406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>LEFT($A372,FIND("_",$A372)-1)</f>
        <v>RSRepair-A</v>
      </c>
      <c r="P372" s="13" t="str">
        <f>IF($O372="ACS", "True Search", IF($O372="Arja", "Evolutionary Search", IF($O372="AVATAR", "True Pattern", IF($O372="CapGen", "Search Like Pattern", IF($O372="Cardumen", "True Semantic", IF($O372="DynaMoth", "True Semantic", IF($O372="FixMiner", "True Pattern", IF($O372="GenProg-A", "Evolutionary Search", IF($O372="Hercules", "Learning Pattern", IF($O372="Jaid", "True Semantic",
IF($O372="Kali-A", "True Search", IF($O372="kPAR", "True Pattern", IF($O372="Nopol", "True Semantic", IF($O372="RSRepair-A", "Evolutionary Search", IF($O372="SequenceR", "Deep Learning", IF($O372="SimFix", "Search Like Pattern", IF($O372="SketchFix", "True Pattern", IF($O372="SOFix", "True Pattern", IF($O372="ssFix", "Search Like Pattern", IF($O372="TBar", "True Pattern", ""))))))))))))))))))))</f>
        <v>Evolutionary Search</v>
      </c>
      <c r="Q372" s="13" t="str">
        <f>IF(NOT(ISERR(SEARCH("*_Buggy",$A372))), "Buggy", IF(NOT(ISERR(SEARCH("*_Fixed",$A372))), "Fixed", IF(NOT(ISERR(SEARCH("*_Repaired",$A372))), "Repaired", "")))</f>
        <v>Buggy</v>
      </c>
      <c r="R372" s="13"/>
      <c r="S372" s="13"/>
      <c r="T372" s="13"/>
      <c r="U372" s="13"/>
      <c r="V372" s="13"/>
      <c r="W372" s="13"/>
    </row>
    <row r="373" spans="1:23" x14ac:dyDescent="0.35">
      <c r="A373" s="5" t="s">
        <v>1407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>LEFT($A373,FIND("_",$A373)-1)</f>
        <v>RSRepair-A</v>
      </c>
      <c r="P373" s="13" t="str">
        <f>IF($O373="ACS", "True Search", IF($O373="Arja", "Evolutionary Search", IF($O373="AVATAR", "True Pattern", IF($O373="CapGen", "Search Like Pattern", IF($O373="Cardumen", "True Semantic", IF($O373="DynaMoth", "True Semantic", IF($O373="FixMiner", "True Pattern", IF($O373="GenProg-A", "Evolutionary Search", IF($O373="Hercules", "Learning Pattern", IF($O373="Jaid", "True Semantic",
IF($O373="Kali-A", "True Search", IF($O373="kPAR", "True Pattern", IF($O373="Nopol", "True Semantic", IF($O373="RSRepair-A", "Evolutionary Search", IF($O373="SequenceR", "Deep Learning", IF($O373="SimFix", "Search Like Pattern", IF($O373="SketchFix", "True Pattern", IF($O373="SOFix", "True Pattern", IF($O373="ssFix", "Search Like Pattern", IF($O373="TBar", "True Pattern", ""))))))))))))))))))))</f>
        <v>Evolutionary Search</v>
      </c>
      <c r="Q373" s="13" t="str">
        <f>IF(NOT(ISERR(SEARCH("*_Buggy",$A373))), "Buggy", IF(NOT(ISERR(SEARCH("*_Fixed",$A373))), "Fixed", IF(NOT(ISERR(SEARCH("*_Repaired",$A373))), "Repaired", "")))</f>
        <v>Buggy</v>
      </c>
      <c r="R373" s="13"/>
      <c r="S373" s="13"/>
      <c r="T373" s="13"/>
      <c r="U373" s="13"/>
      <c r="V373" s="13"/>
      <c r="W373" s="13"/>
    </row>
    <row r="374" spans="1:23" x14ac:dyDescent="0.35">
      <c r="A374" s="5" t="s">
        <v>1408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>LEFT($A374,FIND("_",$A374)-1)</f>
        <v>RSRepair-A</v>
      </c>
      <c r="P374" s="13" t="str">
        <f>IF($O374="ACS", "True Search", IF($O374="Arja", "Evolutionary Search", IF($O374="AVATAR", "True Pattern", IF($O374="CapGen", "Search Like Pattern", IF($O374="Cardumen", "True Semantic", IF($O374="DynaMoth", "True Semantic", IF($O374="FixMiner", "True Pattern", IF($O374="GenProg-A", "Evolutionary Search", IF($O374="Hercules", "Learning Pattern", IF($O374="Jaid", "True Semantic",
IF($O374="Kali-A", "True Search", IF($O374="kPAR", "True Pattern", IF($O374="Nopol", "True Semantic", IF($O374="RSRepair-A", "Evolutionary Search", IF($O374="SequenceR", "Deep Learning", IF($O374="SimFix", "Search Like Pattern", IF($O374="SketchFix", "True Pattern", IF($O374="SOFix", "True Pattern", IF($O374="ssFix", "Search Like Pattern", IF($O374="TBar", "True Pattern", ""))))))))))))))))))))</f>
        <v>Evolutionary Search</v>
      </c>
      <c r="Q374" s="13" t="str">
        <f>IF(NOT(ISERR(SEARCH("*_Buggy",$A374))), "Buggy", IF(NOT(ISERR(SEARCH("*_Fixed",$A374))), "Fixed", IF(NOT(ISERR(SEARCH("*_Repaired",$A374))), "Repaired", "")))</f>
        <v>Buggy</v>
      </c>
      <c r="R374" s="13"/>
      <c r="S374" s="13"/>
      <c r="T374" s="13"/>
      <c r="U374" s="13"/>
      <c r="V374" s="13"/>
      <c r="W374" s="13"/>
    </row>
    <row r="375" spans="1:23" x14ac:dyDescent="0.35">
      <c r="A375" s="5" t="s">
        <v>1409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>LEFT($A375,FIND("_",$A375)-1)</f>
        <v>RSRepair-A</v>
      </c>
      <c r="P375" s="13" t="str">
        <f>IF($O375="ACS", "True Search", IF($O375="Arja", "Evolutionary Search", IF($O375="AVATAR", "True Pattern", IF($O375="CapGen", "Search Like Pattern", IF($O375="Cardumen", "True Semantic", IF($O375="DynaMoth", "True Semantic", IF($O375="FixMiner", "True Pattern", IF($O375="GenProg-A", "Evolutionary Search", IF($O375="Hercules", "Learning Pattern", IF($O375="Jaid", "True Semantic",
IF($O375="Kali-A", "True Search", IF($O375="kPAR", "True Pattern", IF($O375="Nopol", "True Semantic", IF($O375="RSRepair-A", "Evolutionary Search", IF($O375="SequenceR", "Deep Learning", IF($O375="SimFix", "Search Like Pattern", IF($O375="SketchFix", "True Pattern", IF($O375="SOFix", "True Pattern", IF($O375="ssFix", "Search Like Pattern", IF($O375="TBar", "True Pattern", ""))))))))))))))))))))</f>
        <v>Evolutionary Search</v>
      </c>
      <c r="Q375" s="13" t="str">
        <f>IF(NOT(ISERR(SEARCH("*_Buggy",$A375))), "Buggy", IF(NOT(ISERR(SEARCH("*_Fixed",$A375))), "Fixed", IF(NOT(ISERR(SEARCH("*_Repaired",$A375))), "Repaired", "")))</f>
        <v>Buggy</v>
      </c>
      <c r="R375" s="13"/>
      <c r="S375" s="13"/>
      <c r="T375" s="13"/>
      <c r="U375" s="13"/>
      <c r="V375" s="13"/>
      <c r="W375" s="13"/>
    </row>
    <row r="376" spans="1:23" x14ac:dyDescent="0.35">
      <c r="A376" s="7" t="s">
        <v>1410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>LEFT($A376,FIND("_",$A376)-1)</f>
        <v>RSRepair-A</v>
      </c>
      <c r="P376" s="13" t="str">
        <f>IF($O376="ACS", "True Search", IF($O376="Arja", "Evolutionary Search", IF($O376="AVATAR", "True Pattern", IF($O376="CapGen", "Search Like Pattern", IF($O376="Cardumen", "True Semantic", IF($O376="DynaMoth", "True Semantic", IF($O376="FixMiner", "True Pattern", IF($O376="GenProg-A", "Evolutionary Search", IF($O376="Hercules", "Learning Pattern", IF($O376="Jaid", "True Semantic",
IF($O376="Kali-A", "True Search", IF($O376="kPAR", "True Pattern", IF($O376="Nopol", "True Semantic", IF($O376="RSRepair-A", "Evolutionary Search", IF($O376="SequenceR", "Deep Learning", IF($O376="SimFix", "Search Like Pattern", IF($O376="SketchFix", "True Pattern", IF($O376="SOFix", "True Pattern", IF($O376="ssFix", "Search Like Pattern", IF($O376="TBar", "True Pattern", ""))))))))))))))))))))</f>
        <v>Evolutionary Search</v>
      </c>
      <c r="Q376" s="13" t="str">
        <f>IF(NOT(ISERR(SEARCH("*_Buggy",$A376))), "Buggy", IF(NOT(ISERR(SEARCH("*_Fixed",$A376))), "Fixed", IF(NOT(ISERR(SEARCH("*_Repaired",$A376))), "Repaired", "")))</f>
        <v>Buggy</v>
      </c>
      <c r="R376" s="13"/>
      <c r="S376" s="13"/>
      <c r="T376" s="13"/>
      <c r="U376" s="13"/>
      <c r="V376" s="13"/>
      <c r="W376" s="13"/>
    </row>
    <row r="377" spans="1:23" x14ac:dyDescent="0.35">
      <c r="A377" s="7" t="s">
        <v>1411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>LEFT($A377,FIND("_",$A377)-1)</f>
        <v>RSRepair-A</v>
      </c>
      <c r="P377" s="13" t="str">
        <f>IF($O377="ACS", "True Search", IF($O377="Arja", "Evolutionary Search", IF($O377="AVATAR", "True Pattern", IF($O377="CapGen", "Search Like Pattern", IF($O377="Cardumen", "True Semantic", IF($O377="DynaMoth", "True Semantic", IF($O377="FixMiner", "True Pattern", IF($O377="GenProg-A", "Evolutionary Search", IF($O377="Hercules", "Learning Pattern", IF($O377="Jaid", "True Semantic",
IF($O377="Kali-A", "True Search", IF($O377="kPAR", "True Pattern", IF($O377="Nopol", "True Semantic", IF($O377="RSRepair-A", "Evolutionary Search", IF($O377="SequenceR", "Deep Learning", IF($O377="SimFix", "Search Like Pattern", IF($O377="SketchFix", "True Pattern", IF($O377="SOFix", "True Pattern", IF($O377="ssFix", "Search Like Pattern", IF($O377="TBar", "True Pattern", ""))))))))))))))))))))</f>
        <v>Evolutionary Search</v>
      </c>
      <c r="Q377" s="13" t="str">
        <f>IF(NOT(ISERR(SEARCH("*_Buggy",$A377))), "Buggy", IF(NOT(ISERR(SEARCH("*_Fixed",$A377))), "Fixed", IF(NOT(ISERR(SEARCH("*_Repaired",$A377))), "Repaired", "")))</f>
        <v>Buggy</v>
      </c>
      <c r="R377" s="13"/>
      <c r="S377" s="13"/>
      <c r="T377" s="13"/>
      <c r="U377" s="13"/>
      <c r="V377" s="13"/>
      <c r="W377" s="13"/>
    </row>
    <row r="378" spans="1:23" x14ac:dyDescent="0.35">
      <c r="A378" s="5" t="s">
        <v>1412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>LEFT($A378,FIND("_",$A378)-1)</f>
        <v>RSRepair-A</v>
      </c>
      <c r="P378" s="13" t="str">
        <f>IF($O378="ACS", "True Search", IF($O378="Arja", "Evolutionary Search", IF($O378="AVATAR", "True Pattern", IF($O378="CapGen", "Search Like Pattern", IF($O378="Cardumen", "True Semantic", IF($O378="DynaMoth", "True Semantic", IF($O378="FixMiner", "True Pattern", IF($O378="GenProg-A", "Evolutionary Search", IF($O378="Hercules", "Learning Pattern", IF($O378="Jaid", "True Semantic",
IF($O378="Kali-A", "True Search", IF($O378="kPAR", "True Pattern", IF($O378="Nopol", "True Semantic", IF($O378="RSRepair-A", "Evolutionary Search", IF($O378="SequenceR", "Deep Learning", IF($O378="SimFix", "Search Like Pattern", IF($O378="SketchFix", "True Pattern", IF($O378="SOFix", "True Pattern", IF($O378="ssFix", "Search Like Pattern", IF($O378="TBar", "True Pattern", ""))))))))))))))))))))</f>
        <v>Evolutionary Search</v>
      </c>
      <c r="Q378" s="13" t="str">
        <f>IF(NOT(ISERR(SEARCH("*_Buggy",$A378))), "Buggy", IF(NOT(ISERR(SEARCH("*_Fixed",$A378))), "Fixed", IF(NOT(ISERR(SEARCH("*_Repaired",$A378))), "Repaired", "")))</f>
        <v>Buggy</v>
      </c>
      <c r="R378" s="13"/>
      <c r="S378" s="13"/>
      <c r="T378" s="13"/>
      <c r="U378" s="13"/>
      <c r="V378" s="13"/>
      <c r="W378" s="13"/>
    </row>
    <row r="379" spans="1:23" x14ac:dyDescent="0.35">
      <c r="A379" s="5" t="s">
        <v>1413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>LEFT($A379,FIND("_",$A379)-1)</f>
        <v>RSRepair-A</v>
      </c>
      <c r="P379" s="13" t="str">
        <f>IF($O379="ACS", "True Search", IF($O379="Arja", "Evolutionary Search", IF($O379="AVATAR", "True Pattern", IF($O379="CapGen", "Search Like Pattern", IF($O379="Cardumen", "True Semantic", IF($O379="DynaMoth", "True Semantic", IF($O379="FixMiner", "True Pattern", IF($O379="GenProg-A", "Evolutionary Search", IF($O379="Hercules", "Learning Pattern", IF($O379="Jaid", "True Semantic",
IF($O379="Kali-A", "True Search", IF($O379="kPAR", "True Pattern", IF($O379="Nopol", "True Semantic", IF($O379="RSRepair-A", "Evolutionary Search", IF($O379="SequenceR", "Deep Learning", IF($O379="SimFix", "Search Like Pattern", IF($O379="SketchFix", "True Pattern", IF($O379="SOFix", "True Pattern", IF($O379="ssFix", "Search Like Pattern", IF($O379="TBar", "True Pattern", ""))))))))))))))))))))</f>
        <v>Evolutionary Search</v>
      </c>
      <c r="Q379" s="13" t="str">
        <f>IF(NOT(ISERR(SEARCH("*_Buggy",$A379))), "Buggy", IF(NOT(ISERR(SEARCH("*_Fixed",$A379))), "Fixed", IF(NOT(ISERR(SEARCH("*_Repaired",$A379))), "Repaired", "")))</f>
        <v>Buggy</v>
      </c>
      <c r="R379" s="13"/>
      <c r="S379" s="13"/>
      <c r="T379" s="13"/>
      <c r="U379" s="13"/>
      <c r="V379" s="13"/>
      <c r="W379" s="13"/>
    </row>
    <row r="380" spans="1:23" x14ac:dyDescent="0.35">
      <c r="A380" s="7" t="s">
        <v>1414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>LEFT($A380,FIND("_",$A380)-1)</f>
        <v>RSRepair-A</v>
      </c>
      <c r="P380" s="13" t="str">
        <f>IF($O380="ACS", "True Search", IF($O380="Arja", "Evolutionary Search", IF($O380="AVATAR", "True Pattern", IF($O380="CapGen", "Search Like Pattern", IF($O380="Cardumen", "True Semantic", IF($O380="DynaMoth", "True Semantic", IF($O380="FixMiner", "True Pattern", IF($O380="GenProg-A", "Evolutionary Search", IF($O380="Hercules", "Learning Pattern", IF($O380="Jaid", "True Semantic",
IF($O380="Kali-A", "True Search", IF($O380="kPAR", "True Pattern", IF($O380="Nopol", "True Semantic", IF($O380="RSRepair-A", "Evolutionary Search", IF($O380="SequenceR", "Deep Learning", IF($O380="SimFix", "Search Like Pattern", IF($O380="SketchFix", "True Pattern", IF($O380="SOFix", "True Pattern", IF($O380="ssFix", "Search Like Pattern", IF($O380="TBar", "True Pattern", ""))))))))))))))))))))</f>
        <v>Evolutionary Search</v>
      </c>
      <c r="Q380" s="13" t="str">
        <f>IF(NOT(ISERR(SEARCH("*_Buggy",$A380))), "Buggy", IF(NOT(ISERR(SEARCH("*_Fixed",$A380))), "Fixed", IF(NOT(ISERR(SEARCH("*_Repaired",$A380))), "Repaired", "")))</f>
        <v>Buggy</v>
      </c>
      <c r="R380" s="13"/>
      <c r="S380" s="13"/>
      <c r="T380" s="13"/>
      <c r="U380" s="13"/>
      <c r="V380" s="13"/>
      <c r="W380" s="13"/>
    </row>
    <row r="381" spans="1:23" x14ac:dyDescent="0.35">
      <c r="A381" s="7" t="s">
        <v>1415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>LEFT($A381,FIND("_",$A381)-1)</f>
        <v>RSRepair-A</v>
      </c>
      <c r="P381" s="13" t="str">
        <f>IF($O381="ACS", "True Search", IF($O381="Arja", "Evolutionary Search", IF($O381="AVATAR", "True Pattern", IF($O381="CapGen", "Search Like Pattern", IF($O381="Cardumen", "True Semantic", IF($O381="DynaMoth", "True Semantic", IF($O381="FixMiner", "True Pattern", IF($O381="GenProg-A", "Evolutionary Search", IF($O381="Hercules", "Learning Pattern", IF($O381="Jaid", "True Semantic",
IF($O381="Kali-A", "True Search", IF($O381="kPAR", "True Pattern", IF($O381="Nopol", "True Semantic", IF($O381="RSRepair-A", "Evolutionary Search", IF($O381="SequenceR", "Deep Learning", IF($O381="SimFix", "Search Like Pattern", IF($O381="SketchFix", "True Pattern", IF($O381="SOFix", "True Pattern", IF($O381="ssFix", "Search Like Pattern", IF($O381="TBar", "True Pattern", ""))))))))))))))))))))</f>
        <v>Evolutionary Search</v>
      </c>
      <c r="Q381" s="13" t="str">
        <f>IF(NOT(ISERR(SEARCH("*_Buggy",$A381))), "Buggy", IF(NOT(ISERR(SEARCH("*_Fixed",$A381))), "Fixed", IF(NOT(ISERR(SEARCH("*_Repaired",$A381))), "Repaired", "")))</f>
        <v>Buggy</v>
      </c>
      <c r="R381" s="13"/>
      <c r="S381" s="13"/>
      <c r="T381" s="13"/>
      <c r="U381" s="13"/>
      <c r="V381" s="13"/>
      <c r="W381" s="13"/>
    </row>
    <row r="382" spans="1:23" x14ac:dyDescent="0.35">
      <c r="A382" s="7" t="s">
        <v>1416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>LEFT($A382,FIND("_",$A382)-1)</f>
        <v>RSRepair-A</v>
      </c>
      <c r="P382" s="13" t="str">
        <f>IF($O382="ACS", "True Search", IF($O382="Arja", "Evolutionary Search", IF($O382="AVATAR", "True Pattern", IF($O382="CapGen", "Search Like Pattern", IF($O382="Cardumen", "True Semantic", IF($O382="DynaMoth", "True Semantic", IF($O382="FixMiner", "True Pattern", IF($O382="GenProg-A", "Evolutionary Search", IF($O382="Hercules", "Learning Pattern", IF($O382="Jaid", "True Semantic",
IF($O382="Kali-A", "True Search", IF($O382="kPAR", "True Pattern", IF($O382="Nopol", "True Semantic", IF($O382="RSRepair-A", "Evolutionary Search", IF($O382="SequenceR", "Deep Learning", IF($O382="SimFix", "Search Like Pattern", IF($O382="SketchFix", "True Pattern", IF($O382="SOFix", "True Pattern", IF($O382="ssFix", "Search Like Pattern", IF($O382="TBar", "True Pattern", ""))))))))))))))))))))</f>
        <v>Evolutionary Search</v>
      </c>
      <c r="Q382" s="13" t="str">
        <f>IF(NOT(ISERR(SEARCH("*_Buggy",$A382))), "Buggy", IF(NOT(ISERR(SEARCH("*_Fixed",$A382))), "Fixed", IF(NOT(ISERR(SEARCH("*_Repaired",$A382))), "Repaired", "")))</f>
        <v>Buggy</v>
      </c>
      <c r="R382" s="13"/>
      <c r="S382" s="13"/>
      <c r="T382" s="13"/>
      <c r="U382" s="13"/>
      <c r="V382" s="13"/>
      <c r="W382" s="13"/>
    </row>
    <row r="383" spans="1:23" x14ac:dyDescent="0.35">
      <c r="A383" s="7" t="s">
        <v>1417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>LEFT($A383,FIND("_",$A383)-1)</f>
        <v>RSRepair-A</v>
      </c>
      <c r="P383" s="13" t="str">
        <f>IF($O383="ACS", "True Search", IF($O383="Arja", "Evolutionary Search", IF($O383="AVATAR", "True Pattern", IF($O383="CapGen", "Search Like Pattern", IF($O383="Cardumen", "True Semantic", IF($O383="DynaMoth", "True Semantic", IF($O383="FixMiner", "True Pattern", IF($O383="GenProg-A", "Evolutionary Search", IF($O383="Hercules", "Learning Pattern", IF($O383="Jaid", "True Semantic",
IF($O383="Kali-A", "True Search", IF($O383="kPAR", "True Pattern", IF($O383="Nopol", "True Semantic", IF($O383="RSRepair-A", "Evolutionary Search", IF($O383="SequenceR", "Deep Learning", IF($O383="SimFix", "Search Like Pattern", IF($O383="SketchFix", "True Pattern", IF($O383="SOFix", "True Pattern", IF($O383="ssFix", "Search Like Pattern", IF($O383="TBar", "True Pattern", ""))))))))))))))))))))</f>
        <v>Evolutionary Search</v>
      </c>
      <c r="Q383" s="13" t="str">
        <f>IF(NOT(ISERR(SEARCH("*_Buggy",$A383))), "Buggy", IF(NOT(ISERR(SEARCH("*_Fixed",$A383))), "Fixed", IF(NOT(ISERR(SEARCH("*_Repaired",$A383))), "Repaired", "")))</f>
        <v>Buggy</v>
      </c>
      <c r="R383" s="13"/>
      <c r="S383" s="13"/>
      <c r="T383" s="13"/>
      <c r="U383" s="13"/>
      <c r="V383" s="13"/>
      <c r="W383" s="13"/>
    </row>
    <row r="384" spans="1:23" x14ac:dyDescent="0.35">
      <c r="A384" s="7" t="s">
        <v>1418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>LEFT($A384,FIND("_",$A384)-1)</f>
        <v>RSRepair-A</v>
      </c>
      <c r="P384" s="13" t="str">
        <f>IF($O384="ACS", "True Search", IF($O384="Arja", "Evolutionary Search", IF($O384="AVATAR", "True Pattern", IF($O384="CapGen", "Search Like Pattern", IF($O384="Cardumen", "True Semantic", IF($O384="DynaMoth", "True Semantic", IF($O384="FixMiner", "True Pattern", IF($O384="GenProg-A", "Evolutionary Search", IF($O384="Hercules", "Learning Pattern", IF($O384="Jaid", "True Semantic",
IF($O384="Kali-A", "True Search", IF($O384="kPAR", "True Pattern", IF($O384="Nopol", "True Semantic", IF($O384="RSRepair-A", "Evolutionary Search", IF($O384="SequenceR", "Deep Learning", IF($O384="SimFix", "Search Like Pattern", IF($O384="SketchFix", "True Pattern", IF($O384="SOFix", "True Pattern", IF($O384="ssFix", "Search Like Pattern", IF($O384="TBar", "True Pattern", ""))))))))))))))))))))</f>
        <v>Evolutionary Search</v>
      </c>
      <c r="Q384" s="13" t="str">
        <f>IF(NOT(ISERR(SEARCH("*_Buggy",$A384))), "Buggy", IF(NOT(ISERR(SEARCH("*_Fixed",$A384))), "Fixed", IF(NOT(ISERR(SEARCH("*_Repaired",$A384))), "Repaired", "")))</f>
        <v>Buggy</v>
      </c>
      <c r="R384" s="13"/>
      <c r="S384" s="13"/>
      <c r="T384" s="13"/>
      <c r="U384" s="13"/>
      <c r="V384" s="13"/>
      <c r="W384" s="13"/>
    </row>
    <row r="385" spans="1:23" x14ac:dyDescent="0.35">
      <c r="A385" s="7" t="s">
        <v>1419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>LEFT($A385,FIND("_",$A385)-1)</f>
        <v>RSRepair-A</v>
      </c>
      <c r="P385" s="13" t="str">
        <f>IF($O385="ACS", "True Search", IF($O385="Arja", "Evolutionary Search", IF($O385="AVATAR", "True Pattern", IF($O385="CapGen", "Search Like Pattern", IF($O385="Cardumen", "True Semantic", IF($O385="DynaMoth", "True Semantic", IF($O385="FixMiner", "True Pattern", IF($O385="GenProg-A", "Evolutionary Search", IF($O385="Hercules", "Learning Pattern", IF($O385="Jaid", "True Semantic",
IF($O385="Kali-A", "True Search", IF($O385="kPAR", "True Pattern", IF($O385="Nopol", "True Semantic", IF($O385="RSRepair-A", "Evolutionary Search", IF($O385="SequenceR", "Deep Learning", IF($O385="SimFix", "Search Like Pattern", IF($O385="SketchFix", "True Pattern", IF($O385="SOFix", "True Pattern", IF($O385="ssFix", "Search Like Pattern", IF($O385="TBar", "True Pattern", ""))))))))))))))))))))</f>
        <v>Evolutionary Search</v>
      </c>
      <c r="Q385" s="13" t="str">
        <f>IF(NOT(ISERR(SEARCH("*_Buggy",$A385))), "Buggy", IF(NOT(ISERR(SEARCH("*_Fixed",$A385))), "Fixed", IF(NOT(ISERR(SEARCH("*_Repaired",$A385))), "Repaired", "")))</f>
        <v>Buggy</v>
      </c>
      <c r="R385" s="13"/>
      <c r="S385" s="13"/>
      <c r="T385" s="13"/>
      <c r="U385" s="13"/>
      <c r="V385" s="13"/>
      <c r="W385" s="13"/>
    </row>
    <row r="386" spans="1:23" x14ac:dyDescent="0.35">
      <c r="A386" s="5" t="s">
        <v>1420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>LEFT($A386,FIND("_",$A386)-1)</f>
        <v>RSRepair-A</v>
      </c>
      <c r="P386" s="13" t="str">
        <f>IF($O386="ACS", "True Search", IF($O386="Arja", "Evolutionary Search", IF($O386="AVATAR", "True Pattern", IF($O386="CapGen", "Search Like Pattern", IF($O386="Cardumen", "True Semantic", IF($O386="DynaMoth", "True Semantic", IF($O386="FixMiner", "True Pattern", IF($O386="GenProg-A", "Evolutionary Search", IF($O386="Hercules", "Learning Pattern", IF($O386="Jaid", "True Semantic",
IF($O386="Kali-A", "True Search", IF($O386="kPAR", "True Pattern", IF($O386="Nopol", "True Semantic", IF($O386="RSRepair-A", "Evolutionary Search", IF($O386="SequenceR", "Deep Learning", IF($O386="SimFix", "Search Like Pattern", IF($O386="SketchFix", "True Pattern", IF($O386="SOFix", "True Pattern", IF($O386="ssFix", "Search Like Pattern", IF($O386="TBar", "True Pattern", ""))))))))))))))))))))</f>
        <v>Evolutionary Search</v>
      </c>
      <c r="Q386" s="13" t="str">
        <f>IF(NOT(ISERR(SEARCH("*_Buggy",$A386))), "Buggy", IF(NOT(ISERR(SEARCH("*_Fixed",$A386))), "Fixed", IF(NOT(ISERR(SEARCH("*_Repaired",$A386))), "Repaired", "")))</f>
        <v>Buggy</v>
      </c>
      <c r="R386" s="13"/>
      <c r="S386" s="13"/>
      <c r="T386" s="13"/>
      <c r="U386" s="13"/>
      <c r="V386" s="13"/>
      <c r="W386" s="13"/>
    </row>
    <row r="387" spans="1:23" x14ac:dyDescent="0.35">
      <c r="A387" s="5" t="s">
        <v>1421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>LEFT($A387,FIND("_",$A387)-1)</f>
        <v>RSRepair-A</v>
      </c>
      <c r="P387" s="13" t="str">
        <f>IF($O387="ACS", "True Search", IF($O387="Arja", "Evolutionary Search", IF($O387="AVATAR", "True Pattern", IF($O387="CapGen", "Search Like Pattern", IF($O387="Cardumen", "True Semantic", IF($O387="DynaMoth", "True Semantic", IF($O387="FixMiner", "True Pattern", IF($O387="GenProg-A", "Evolutionary Search", IF($O387="Hercules", "Learning Pattern", IF($O387="Jaid", "True Semantic",
IF($O387="Kali-A", "True Search", IF($O387="kPAR", "True Pattern", IF($O387="Nopol", "True Semantic", IF($O387="RSRepair-A", "Evolutionary Search", IF($O387="SequenceR", "Deep Learning", IF($O387="SimFix", "Search Like Pattern", IF($O387="SketchFix", "True Pattern", IF($O387="SOFix", "True Pattern", IF($O387="ssFix", "Search Like Pattern", IF($O387="TBar", "True Pattern", ""))))))))))))))))))))</f>
        <v>Evolutionary Search</v>
      </c>
      <c r="Q387" s="13" t="str">
        <f>IF(NOT(ISERR(SEARCH("*_Buggy",$A387))), "Buggy", IF(NOT(ISERR(SEARCH("*_Fixed",$A387))), "Fixed", IF(NOT(ISERR(SEARCH("*_Repaired",$A387))), "Repaired", "")))</f>
        <v>Buggy</v>
      </c>
      <c r="R387" s="13"/>
      <c r="S387" s="13"/>
      <c r="T387" s="13"/>
      <c r="U387" s="13"/>
      <c r="V387" s="13"/>
      <c r="W387" s="13"/>
    </row>
    <row r="388" spans="1:23" x14ac:dyDescent="0.35">
      <c r="A388" s="5" t="s">
        <v>1422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>LEFT($A388,FIND("_",$A388)-1)</f>
        <v>RSRepair-A</v>
      </c>
      <c r="P388" s="13" t="str">
        <f>IF($O388="ACS", "True Search", IF($O388="Arja", "Evolutionary Search", IF($O388="AVATAR", "True Pattern", IF($O388="CapGen", "Search Like Pattern", IF($O388="Cardumen", "True Semantic", IF($O388="DynaMoth", "True Semantic", IF($O388="FixMiner", "True Pattern", IF($O388="GenProg-A", "Evolutionary Search", IF($O388="Hercules", "Learning Pattern", IF($O388="Jaid", "True Semantic",
IF($O388="Kali-A", "True Search", IF($O388="kPAR", "True Pattern", IF($O388="Nopol", "True Semantic", IF($O388="RSRepair-A", "Evolutionary Search", IF($O388="SequenceR", "Deep Learning", IF($O388="SimFix", "Search Like Pattern", IF($O388="SketchFix", "True Pattern", IF($O388="SOFix", "True Pattern", IF($O388="ssFix", "Search Like Pattern", IF($O388="TBar", "True Pattern", ""))))))))))))))))))))</f>
        <v>Evolutionary Search</v>
      </c>
      <c r="Q388" s="13" t="str">
        <f>IF(NOT(ISERR(SEARCH("*_Buggy",$A388))), "Buggy", IF(NOT(ISERR(SEARCH("*_Fixed",$A388))), "Fixed", IF(NOT(ISERR(SEARCH("*_Repaired",$A388))), "Repaired", "")))</f>
        <v>Buggy</v>
      </c>
      <c r="R388" s="13"/>
      <c r="S388" s="13"/>
      <c r="T388" s="13"/>
      <c r="U388" s="13"/>
      <c r="V388" s="13"/>
      <c r="W388" s="13"/>
    </row>
    <row r="389" spans="1:23" x14ac:dyDescent="0.35">
      <c r="A389" s="7" t="s">
        <v>1423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>LEFT($A389,FIND("_",$A389)-1)</f>
        <v>RSRepair-A</v>
      </c>
      <c r="P389" s="13" t="str">
        <f>IF($O389="ACS", "True Search", IF($O389="Arja", "Evolutionary Search", IF($O389="AVATAR", "True Pattern", IF($O389="CapGen", "Search Like Pattern", IF($O389="Cardumen", "True Semantic", IF($O389="DynaMoth", "True Semantic", IF($O389="FixMiner", "True Pattern", IF($O389="GenProg-A", "Evolutionary Search", IF($O389="Hercules", "Learning Pattern", IF($O389="Jaid", "True Semantic",
IF($O389="Kali-A", "True Search", IF($O389="kPAR", "True Pattern", IF($O389="Nopol", "True Semantic", IF($O389="RSRepair-A", "Evolutionary Search", IF($O389="SequenceR", "Deep Learning", IF($O389="SimFix", "Search Like Pattern", IF($O389="SketchFix", "True Pattern", IF($O389="SOFix", "True Pattern", IF($O389="ssFix", "Search Like Pattern", IF($O389="TBar", "True Pattern", ""))))))))))))))))))))</f>
        <v>Evolutionary Search</v>
      </c>
      <c r="Q389" s="13" t="str">
        <f>IF(NOT(ISERR(SEARCH("*_Buggy",$A389))), "Buggy", IF(NOT(ISERR(SEARCH("*_Fixed",$A389))), "Fixed", IF(NOT(ISERR(SEARCH("*_Repaired",$A389))), "Repaired", "")))</f>
        <v>Buggy</v>
      </c>
      <c r="R389" s="13"/>
      <c r="S389" s="13"/>
      <c r="T389" s="13"/>
      <c r="U389" s="13"/>
      <c r="V389" s="13"/>
      <c r="W389" s="13"/>
    </row>
    <row r="390" spans="1:23" x14ac:dyDescent="0.35">
      <c r="A390" s="7" t="s">
        <v>1424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>LEFT($A390,FIND("_",$A390)-1)</f>
        <v>RSRepair-A</v>
      </c>
      <c r="P390" s="13" t="str">
        <f>IF($O390="ACS", "True Search", IF($O390="Arja", "Evolutionary Search", IF($O390="AVATAR", "True Pattern", IF($O390="CapGen", "Search Like Pattern", IF($O390="Cardumen", "True Semantic", IF($O390="DynaMoth", "True Semantic", IF($O390="FixMiner", "True Pattern", IF($O390="GenProg-A", "Evolutionary Search", IF($O390="Hercules", "Learning Pattern", IF($O390="Jaid", "True Semantic",
IF($O390="Kali-A", "True Search", IF($O390="kPAR", "True Pattern", IF($O390="Nopol", "True Semantic", IF($O390="RSRepair-A", "Evolutionary Search", IF($O390="SequenceR", "Deep Learning", IF($O390="SimFix", "Search Like Pattern", IF($O390="SketchFix", "True Pattern", IF($O390="SOFix", "True Pattern", IF($O390="ssFix", "Search Like Pattern", IF($O390="TBar", "True Pattern", ""))))))))))))))))))))</f>
        <v>Evolutionary Search</v>
      </c>
      <c r="Q390" s="13" t="str">
        <f>IF(NOT(ISERR(SEARCH("*_Buggy",$A390))), "Buggy", IF(NOT(ISERR(SEARCH("*_Fixed",$A390))), "Fixed", IF(NOT(ISERR(SEARCH("*_Repaired",$A390))), "Repaired", "")))</f>
        <v>Buggy</v>
      </c>
      <c r="R390" s="13"/>
      <c r="S390" s="13"/>
      <c r="T390" s="13"/>
      <c r="U390" s="13"/>
      <c r="V390" s="13"/>
      <c r="W390" s="13"/>
    </row>
    <row r="391" spans="1:23" x14ac:dyDescent="0.35">
      <c r="A391" s="5" t="s">
        <v>1425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>LEFT($A391,FIND("_",$A391)-1)</f>
        <v>RSRepair-A</v>
      </c>
      <c r="P391" s="13" t="str">
        <f>IF($O391="ACS", "True Search", IF($O391="Arja", "Evolutionary Search", IF($O391="AVATAR", "True Pattern", IF($O391="CapGen", "Search Like Pattern", IF($O391="Cardumen", "True Semantic", IF($O391="DynaMoth", "True Semantic", IF($O391="FixMiner", "True Pattern", IF($O391="GenProg-A", "Evolutionary Search", IF($O391="Hercules", "Learning Pattern", IF($O391="Jaid", "True Semantic",
IF($O391="Kali-A", "True Search", IF($O391="kPAR", "True Pattern", IF($O391="Nopol", "True Semantic", IF($O391="RSRepair-A", "Evolutionary Search", IF($O391="SequenceR", "Deep Learning", IF($O391="SimFix", "Search Like Pattern", IF($O391="SketchFix", "True Pattern", IF($O391="SOFix", "True Pattern", IF($O391="ssFix", "Search Like Pattern", IF($O391="TBar", "True Pattern", ""))))))))))))))))))))</f>
        <v>Evolutionary Search</v>
      </c>
      <c r="Q391" s="13" t="str">
        <f>IF(NOT(ISERR(SEARCH("*_Buggy",$A391))), "Buggy", IF(NOT(ISERR(SEARCH("*_Fixed",$A391))), "Fixed", IF(NOT(ISERR(SEARCH("*_Repaired",$A391))), "Repaired", "")))</f>
        <v>Buggy</v>
      </c>
      <c r="R391" s="13"/>
      <c r="S391" s="13"/>
      <c r="T391" s="13"/>
      <c r="U391" s="13"/>
      <c r="V391" s="13"/>
      <c r="W391" s="13"/>
    </row>
    <row r="392" spans="1:23" x14ac:dyDescent="0.35">
      <c r="A392" s="7" t="s">
        <v>1426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>LEFT($A392,FIND("_",$A392)-1)</f>
        <v>RSRepair-A</v>
      </c>
      <c r="P392" s="13" t="str">
        <f>IF($O392="ACS", "True Search", IF($O392="Arja", "Evolutionary Search", IF($O392="AVATAR", "True Pattern", IF($O392="CapGen", "Search Like Pattern", IF($O392="Cardumen", "True Semantic", IF($O392="DynaMoth", "True Semantic", IF($O392="FixMiner", "True Pattern", IF($O392="GenProg-A", "Evolutionary Search", IF($O392="Hercules", "Learning Pattern", IF($O392="Jaid", "True Semantic",
IF($O392="Kali-A", "True Search", IF($O392="kPAR", "True Pattern", IF($O392="Nopol", "True Semantic", IF($O392="RSRepair-A", "Evolutionary Search", IF($O392="SequenceR", "Deep Learning", IF($O392="SimFix", "Search Like Pattern", IF($O392="SketchFix", "True Pattern", IF($O392="SOFix", "True Pattern", IF($O392="ssFix", "Search Like Pattern", IF($O392="TBar", "True Pattern", ""))))))))))))))))))))</f>
        <v>Evolutionary Search</v>
      </c>
      <c r="Q392" s="13" t="str">
        <f>IF(NOT(ISERR(SEARCH("*_Buggy",$A392))), "Buggy", IF(NOT(ISERR(SEARCH("*_Fixed",$A392))), "Fixed", IF(NOT(ISERR(SEARCH("*_Repaired",$A392))), "Repaired", "")))</f>
        <v>Buggy</v>
      </c>
      <c r="R392" s="13"/>
      <c r="S392" s="13"/>
      <c r="T392" s="13"/>
      <c r="U392" s="13"/>
      <c r="V392" s="13"/>
      <c r="W392" s="13"/>
    </row>
    <row r="393" spans="1:23" x14ac:dyDescent="0.35">
      <c r="A393" s="5" t="s">
        <v>1427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>LEFT($A393,FIND("_",$A393)-1)</f>
        <v>RSRepair-A</v>
      </c>
      <c r="P393" s="13" t="str">
        <f>IF($O393="ACS", "True Search", IF($O393="Arja", "Evolutionary Search", IF($O393="AVATAR", "True Pattern", IF($O393="CapGen", "Search Like Pattern", IF($O393="Cardumen", "True Semantic", IF($O393="DynaMoth", "True Semantic", IF($O393="FixMiner", "True Pattern", IF($O393="GenProg-A", "Evolutionary Search", IF($O393="Hercules", "Learning Pattern", IF($O393="Jaid", "True Semantic",
IF($O393="Kali-A", "True Search", IF($O393="kPAR", "True Pattern", IF($O393="Nopol", "True Semantic", IF($O393="RSRepair-A", "Evolutionary Search", IF($O393="SequenceR", "Deep Learning", IF($O393="SimFix", "Search Like Pattern", IF($O393="SketchFix", "True Pattern", IF($O393="SOFix", "True Pattern", IF($O393="ssFix", "Search Like Pattern", IF($O393="TBar", "True Pattern", ""))))))))))))))))))))</f>
        <v>Evolutionary Search</v>
      </c>
      <c r="Q393" s="13" t="str">
        <f>IF(NOT(ISERR(SEARCH("*_Buggy",$A393))), "Buggy", IF(NOT(ISERR(SEARCH("*_Fixed",$A393))), "Fixed", IF(NOT(ISERR(SEARCH("*_Repaired",$A393))), "Repaired", "")))</f>
        <v>Buggy</v>
      </c>
      <c r="R393" s="13"/>
      <c r="S393" s="13"/>
      <c r="T393" s="13"/>
      <c r="U393" s="13"/>
      <c r="V393" s="13"/>
      <c r="W393" s="13"/>
    </row>
    <row r="394" spans="1:23" x14ac:dyDescent="0.35">
      <c r="A394" s="5" t="s">
        <v>1428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>LEFT($A394,FIND("_",$A394)-1)</f>
        <v>RSRepair-A</v>
      </c>
      <c r="P394" s="13" t="str">
        <f>IF($O394="ACS", "True Search", IF($O394="Arja", "Evolutionary Search", IF($O394="AVATAR", "True Pattern", IF($O394="CapGen", "Search Like Pattern", IF($O394="Cardumen", "True Semantic", IF($O394="DynaMoth", "True Semantic", IF($O394="FixMiner", "True Pattern", IF($O394="GenProg-A", "Evolutionary Search", IF($O394="Hercules", "Learning Pattern", IF($O394="Jaid", "True Semantic",
IF($O394="Kali-A", "True Search", IF($O394="kPAR", "True Pattern", IF($O394="Nopol", "True Semantic", IF($O394="RSRepair-A", "Evolutionary Search", IF($O394="SequenceR", "Deep Learning", IF($O394="SimFix", "Search Like Pattern", IF($O394="SketchFix", "True Pattern", IF($O394="SOFix", "True Pattern", IF($O394="ssFix", "Search Like Pattern", IF($O394="TBar", "True Pattern", ""))))))))))))))))))))</f>
        <v>Evolutionary Search</v>
      </c>
      <c r="Q394" s="13" t="str">
        <f>IF(NOT(ISERR(SEARCH("*_Buggy",$A394))), "Buggy", IF(NOT(ISERR(SEARCH("*_Fixed",$A394))), "Fixed", IF(NOT(ISERR(SEARCH("*_Repaired",$A394))), "Repaired", "")))</f>
        <v>Buggy</v>
      </c>
      <c r="R394" s="13"/>
      <c r="S394" s="13"/>
      <c r="T394" s="13"/>
      <c r="U394" s="13"/>
      <c r="V394" s="13"/>
      <c r="W394" s="13"/>
    </row>
    <row r="395" spans="1:23" x14ac:dyDescent="0.35">
      <c r="A395" s="7" t="s">
        <v>1429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>LEFT($A395,FIND("_",$A395)-1)</f>
        <v>RSRepair-A</v>
      </c>
      <c r="P395" s="13" t="str">
        <f>IF($O395="ACS", "True Search", IF($O395="Arja", "Evolutionary Search", IF($O395="AVATAR", "True Pattern", IF($O395="CapGen", "Search Like Pattern", IF($O395="Cardumen", "True Semantic", IF($O395="DynaMoth", "True Semantic", IF($O395="FixMiner", "True Pattern", IF($O395="GenProg-A", "Evolutionary Search", IF($O395="Hercules", "Learning Pattern", IF($O395="Jaid", "True Semantic",
IF($O395="Kali-A", "True Search", IF($O395="kPAR", "True Pattern", IF($O395="Nopol", "True Semantic", IF($O395="RSRepair-A", "Evolutionary Search", IF($O395="SequenceR", "Deep Learning", IF($O395="SimFix", "Search Like Pattern", IF($O395="SketchFix", "True Pattern", IF($O395="SOFix", "True Pattern", IF($O395="ssFix", "Search Like Pattern", IF($O395="TBar", "True Pattern", ""))))))))))))))))))))</f>
        <v>Evolutionary Search</v>
      </c>
      <c r="Q395" s="13" t="str">
        <f>IF(NOT(ISERR(SEARCH("*_Buggy",$A395))), "Buggy", IF(NOT(ISERR(SEARCH("*_Fixed",$A395))), "Fixed", IF(NOT(ISERR(SEARCH("*_Repaired",$A395))), "Repaired", "")))</f>
        <v>Buggy</v>
      </c>
      <c r="R395" s="13"/>
      <c r="S395" s="13"/>
      <c r="T395" s="13"/>
      <c r="U395" s="13"/>
      <c r="V395" s="13"/>
      <c r="W395" s="13"/>
    </row>
    <row r="396" spans="1:23" x14ac:dyDescent="0.35">
      <c r="A396" s="5" t="s">
        <v>1430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>LEFT($A396,FIND("_",$A396)-1)</f>
        <v>RSRepair-A</v>
      </c>
      <c r="P396" s="13" t="str">
        <f>IF($O396="ACS", "True Search", IF($O396="Arja", "Evolutionary Search", IF($O396="AVATAR", "True Pattern", IF($O396="CapGen", "Search Like Pattern", IF($O396="Cardumen", "True Semantic", IF($O396="DynaMoth", "True Semantic", IF($O396="FixMiner", "True Pattern", IF($O396="GenProg-A", "Evolutionary Search", IF($O396="Hercules", "Learning Pattern", IF($O396="Jaid", "True Semantic",
IF($O396="Kali-A", "True Search", IF($O396="kPAR", "True Pattern", IF($O396="Nopol", "True Semantic", IF($O396="RSRepair-A", "Evolutionary Search", IF($O396="SequenceR", "Deep Learning", IF($O396="SimFix", "Search Like Pattern", IF($O396="SketchFix", "True Pattern", IF($O396="SOFix", "True Pattern", IF($O396="ssFix", "Search Like Pattern", IF($O396="TBar", "True Pattern", ""))))))))))))))))))))</f>
        <v>Evolutionary Search</v>
      </c>
      <c r="Q396" s="13" t="str">
        <f>IF(NOT(ISERR(SEARCH("*_Buggy",$A396))), "Buggy", IF(NOT(ISERR(SEARCH("*_Fixed",$A396))), "Fixed", IF(NOT(ISERR(SEARCH("*_Repaired",$A396))), "Repaired", "")))</f>
        <v>Buggy</v>
      </c>
      <c r="R396" s="13"/>
      <c r="S396" s="13"/>
      <c r="T396" s="13"/>
      <c r="U396" s="13"/>
      <c r="V396" s="13"/>
      <c r="W396" s="13"/>
    </row>
    <row r="397" spans="1:23" x14ac:dyDescent="0.35">
      <c r="A397" s="5" t="s">
        <v>1431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>LEFT($A397,FIND("_",$A397)-1)</f>
        <v>RSRepair-A</v>
      </c>
      <c r="P397" s="13" t="str">
        <f>IF($O397="ACS", "True Search", IF($O397="Arja", "Evolutionary Search", IF($O397="AVATAR", "True Pattern", IF($O397="CapGen", "Search Like Pattern", IF($O397="Cardumen", "True Semantic", IF($O397="DynaMoth", "True Semantic", IF($O397="FixMiner", "True Pattern", IF($O397="GenProg-A", "Evolutionary Search", IF($O397="Hercules", "Learning Pattern", IF($O397="Jaid", "True Semantic",
IF($O397="Kali-A", "True Search", IF($O397="kPAR", "True Pattern", IF($O397="Nopol", "True Semantic", IF($O397="RSRepair-A", "Evolutionary Search", IF($O397="SequenceR", "Deep Learning", IF($O397="SimFix", "Search Like Pattern", IF($O397="SketchFix", "True Pattern", IF($O397="SOFix", "True Pattern", IF($O397="ssFix", "Search Like Pattern", IF($O397="TBar", "True Pattern", ""))))))))))))))))))))</f>
        <v>Evolutionary Search</v>
      </c>
      <c r="Q397" s="13" t="str">
        <f>IF(NOT(ISERR(SEARCH("*_Buggy",$A397))), "Buggy", IF(NOT(ISERR(SEARCH("*_Fixed",$A397))), "Fixed", IF(NOT(ISERR(SEARCH("*_Repaired",$A397))), "Repaired", "")))</f>
        <v>Buggy</v>
      </c>
      <c r="R397" s="13"/>
      <c r="S397" s="13"/>
      <c r="T397" s="13"/>
      <c r="U397" s="13"/>
      <c r="V397" s="13"/>
      <c r="W397" s="13"/>
    </row>
    <row r="398" spans="1:23" x14ac:dyDescent="0.35">
      <c r="A398" s="5" t="s">
        <v>1432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>LEFT($A398,FIND("_",$A398)-1)</f>
        <v>RSRepair-A</v>
      </c>
      <c r="P398" s="13" t="str">
        <f>IF($O398="ACS", "True Search", IF($O398="Arja", "Evolutionary Search", IF($O398="AVATAR", "True Pattern", IF($O398="CapGen", "Search Like Pattern", IF($O398="Cardumen", "True Semantic", IF($O398="DynaMoth", "True Semantic", IF($O398="FixMiner", "True Pattern", IF($O398="GenProg-A", "Evolutionary Search", IF($O398="Hercules", "Learning Pattern", IF($O398="Jaid", "True Semantic",
IF($O398="Kali-A", "True Search", IF($O398="kPAR", "True Pattern", IF($O398="Nopol", "True Semantic", IF($O398="RSRepair-A", "Evolutionary Search", IF($O398="SequenceR", "Deep Learning", IF($O398="SimFix", "Search Like Pattern", IF($O398="SketchFix", "True Pattern", IF($O398="SOFix", "True Pattern", IF($O398="ssFix", "Search Like Pattern", IF($O398="TBar", "True Pattern", ""))))))))))))))))))))</f>
        <v>Evolutionary Search</v>
      </c>
      <c r="Q398" s="13" t="str">
        <f>IF(NOT(ISERR(SEARCH("*_Buggy",$A398))), "Buggy", IF(NOT(ISERR(SEARCH("*_Fixed",$A398))), "Fixed", IF(NOT(ISERR(SEARCH("*_Repaired",$A398))), "Repaired", "")))</f>
        <v>Buggy</v>
      </c>
      <c r="R398" s="13"/>
      <c r="S398" s="13"/>
      <c r="T398" s="13"/>
      <c r="U398" s="13"/>
      <c r="V398" s="13"/>
      <c r="W398" s="13"/>
    </row>
    <row r="399" spans="1:23" x14ac:dyDescent="0.35">
      <c r="A399" s="5" t="s">
        <v>1433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>LEFT($A399,FIND("_",$A399)-1)</f>
        <v>RSRepair-A</v>
      </c>
      <c r="P399" s="13" t="str">
        <f>IF($O399="ACS", "True Search", IF($O399="Arja", "Evolutionary Search", IF($O399="AVATAR", "True Pattern", IF($O399="CapGen", "Search Like Pattern", IF($O399="Cardumen", "True Semantic", IF($O399="DynaMoth", "True Semantic", IF($O399="FixMiner", "True Pattern", IF($O399="GenProg-A", "Evolutionary Search", IF($O399="Hercules", "Learning Pattern", IF($O399="Jaid", "True Semantic",
IF($O399="Kali-A", "True Search", IF($O399="kPAR", "True Pattern", IF($O399="Nopol", "True Semantic", IF($O399="RSRepair-A", "Evolutionary Search", IF($O399="SequenceR", "Deep Learning", IF($O399="SimFix", "Search Like Pattern", IF($O399="SketchFix", "True Pattern", IF($O399="SOFix", "True Pattern", IF($O399="ssFix", "Search Like Pattern", IF($O399="TBar", "True Pattern", ""))))))))))))))))))))</f>
        <v>Evolutionary Search</v>
      </c>
      <c r="Q399" s="13" t="str">
        <f>IF(NOT(ISERR(SEARCH("*_Buggy",$A399))), "Buggy", IF(NOT(ISERR(SEARCH("*_Fixed",$A399))), "Fixed", IF(NOT(ISERR(SEARCH("*_Repaired",$A399))), "Repaired", "")))</f>
        <v>Buggy</v>
      </c>
      <c r="R399" s="13"/>
      <c r="S399" s="13"/>
      <c r="T399" s="13"/>
      <c r="U399" s="13"/>
      <c r="V399" s="13"/>
      <c r="W399" s="13"/>
    </row>
    <row r="400" spans="1:23" x14ac:dyDescent="0.35">
      <c r="A400" s="7" t="s">
        <v>1434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>LEFT($A400,FIND("_",$A400)-1)</f>
        <v>RSRepair-A</v>
      </c>
      <c r="P400" s="13" t="str">
        <f>IF($O400="ACS", "True Search", IF($O400="Arja", "Evolutionary Search", IF($O400="AVATAR", "True Pattern", IF($O400="CapGen", "Search Like Pattern", IF($O400="Cardumen", "True Semantic", IF($O400="DynaMoth", "True Semantic", IF($O400="FixMiner", "True Pattern", IF($O400="GenProg-A", "Evolutionary Search", IF($O400="Hercules", "Learning Pattern", IF($O400="Jaid", "True Semantic",
IF($O400="Kali-A", "True Search", IF($O400="kPAR", "True Pattern", IF($O400="Nopol", "True Semantic", IF($O400="RSRepair-A", "Evolutionary Search", IF($O400="SequenceR", "Deep Learning", IF($O400="SimFix", "Search Like Pattern", IF($O400="SketchFix", "True Pattern", IF($O400="SOFix", "True Pattern", IF($O400="ssFix", "Search Like Pattern", IF($O400="TBar", "True Pattern", ""))))))))))))))))))))</f>
        <v>Evolutionary Search</v>
      </c>
      <c r="Q400" s="13" t="str">
        <f>IF(NOT(ISERR(SEARCH("*_Buggy",$A400))), "Buggy", IF(NOT(ISERR(SEARCH("*_Fixed",$A400))), "Fixed", IF(NOT(ISERR(SEARCH("*_Repaired",$A400))), "Repaired", "")))</f>
        <v>Buggy</v>
      </c>
      <c r="R400" s="13"/>
      <c r="S400" s="13"/>
      <c r="T400" s="13"/>
      <c r="U400" s="13"/>
      <c r="V400" s="13"/>
      <c r="W400" s="13"/>
    </row>
    <row r="401" spans="1:23" x14ac:dyDescent="0.35">
      <c r="A401" s="5" t="s">
        <v>1435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>LEFT($A401,FIND("_",$A401)-1)</f>
        <v>RSRepair-A</v>
      </c>
      <c r="P401" s="13" t="str">
        <f>IF($O401="ACS", "True Search", IF($O401="Arja", "Evolutionary Search", IF($O401="AVATAR", "True Pattern", IF($O401="CapGen", "Search Like Pattern", IF($O401="Cardumen", "True Semantic", IF($O401="DynaMoth", "True Semantic", IF($O401="FixMiner", "True Pattern", IF($O401="GenProg-A", "Evolutionary Search", IF($O401="Hercules", "Learning Pattern", IF($O401="Jaid", "True Semantic",
IF($O401="Kali-A", "True Search", IF($O401="kPAR", "True Pattern", IF($O401="Nopol", "True Semantic", IF($O401="RSRepair-A", "Evolutionary Search", IF($O401="SequenceR", "Deep Learning", IF($O401="SimFix", "Search Like Pattern", IF($O401="SketchFix", "True Pattern", IF($O401="SOFix", "True Pattern", IF($O401="ssFix", "Search Like Pattern", IF($O401="TBar", "True Pattern", ""))))))))))))))))))))</f>
        <v>Evolutionary Search</v>
      </c>
      <c r="Q401" s="13" t="str">
        <f>IF(NOT(ISERR(SEARCH("*_Buggy",$A401))), "Buggy", IF(NOT(ISERR(SEARCH("*_Fixed",$A401))), "Fixed", IF(NOT(ISERR(SEARCH("*_Repaired",$A401))), "Repaired", "")))</f>
        <v>Buggy</v>
      </c>
      <c r="R401" s="13"/>
      <c r="S401" s="13"/>
      <c r="T401" s="13"/>
      <c r="U401" s="13"/>
      <c r="V401" s="13"/>
      <c r="W401" s="13"/>
    </row>
    <row r="402" spans="1:23" x14ac:dyDescent="0.35">
      <c r="A402" s="5" t="s">
        <v>1436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>LEFT($A402,FIND("_",$A402)-1)</f>
        <v>RSRepair-A</v>
      </c>
      <c r="P402" s="13" t="str">
        <f>IF($O402="ACS", "True Search", IF($O402="Arja", "Evolutionary Search", IF($O402="AVATAR", "True Pattern", IF($O402="CapGen", "Search Like Pattern", IF($O402="Cardumen", "True Semantic", IF($O402="DynaMoth", "True Semantic", IF($O402="FixMiner", "True Pattern", IF($O402="GenProg-A", "Evolutionary Search", IF($O402="Hercules", "Learning Pattern", IF($O402="Jaid", "True Semantic",
IF($O402="Kali-A", "True Search", IF($O402="kPAR", "True Pattern", IF($O402="Nopol", "True Semantic", IF($O402="RSRepair-A", "Evolutionary Search", IF($O402="SequenceR", "Deep Learning", IF($O402="SimFix", "Search Like Pattern", IF($O402="SketchFix", "True Pattern", IF($O402="SOFix", "True Pattern", IF($O402="ssFix", "Search Like Pattern", IF($O402="TBar", "True Pattern", ""))))))))))))))))))))</f>
        <v>Evolutionary Search</v>
      </c>
      <c r="Q402" s="13" t="str">
        <f>IF(NOT(ISERR(SEARCH("*_Buggy",$A402))), "Buggy", IF(NOT(ISERR(SEARCH("*_Fixed",$A402))), "Fixed", IF(NOT(ISERR(SEARCH("*_Repaired",$A402))), "Repaired", "")))</f>
        <v>Buggy</v>
      </c>
      <c r="R402" s="13"/>
      <c r="S402" s="13"/>
      <c r="T402" s="13"/>
      <c r="U402" s="13"/>
      <c r="V402" s="13"/>
      <c r="W402" s="13"/>
    </row>
    <row r="403" spans="1:23" x14ac:dyDescent="0.35">
      <c r="A403" s="5" t="s">
        <v>1437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>LEFT($A403,FIND("_",$A403)-1)</f>
        <v>RSRepair-A</v>
      </c>
      <c r="P403" s="13" t="str">
        <f>IF($O403="ACS", "True Search", IF($O403="Arja", "Evolutionary Search", IF($O403="AVATAR", "True Pattern", IF($O403="CapGen", "Search Like Pattern", IF($O403="Cardumen", "True Semantic", IF($O403="DynaMoth", "True Semantic", IF($O403="FixMiner", "True Pattern", IF($O403="GenProg-A", "Evolutionary Search", IF($O403="Hercules", "Learning Pattern", IF($O403="Jaid", "True Semantic",
IF($O403="Kali-A", "True Search", IF($O403="kPAR", "True Pattern", IF($O403="Nopol", "True Semantic", IF($O403="RSRepair-A", "Evolutionary Search", IF($O403="SequenceR", "Deep Learning", IF($O403="SimFix", "Search Like Pattern", IF($O403="SketchFix", "True Pattern", IF($O403="SOFix", "True Pattern", IF($O403="ssFix", "Search Like Pattern", IF($O403="TBar", "True Pattern", ""))))))))))))))))))))</f>
        <v>Evolutionary Search</v>
      </c>
      <c r="Q403" s="13" t="str">
        <f>IF(NOT(ISERR(SEARCH("*_Buggy",$A403))), "Buggy", IF(NOT(ISERR(SEARCH("*_Fixed",$A403))), "Fixed", IF(NOT(ISERR(SEARCH("*_Repaired",$A403))), "Repaired", "")))</f>
        <v>Buggy</v>
      </c>
      <c r="R403" s="13"/>
      <c r="S403" s="13"/>
      <c r="T403" s="13"/>
      <c r="U403" s="13"/>
      <c r="V403" s="13"/>
      <c r="W403" s="13"/>
    </row>
    <row r="404" spans="1:23" x14ac:dyDescent="0.35">
      <c r="A404" s="5" t="s">
        <v>1438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>LEFT($A404,FIND("_",$A404)-1)</f>
        <v>RSRepair-A</v>
      </c>
      <c r="P404" s="13" t="str">
        <f>IF($O404="ACS", "True Search", IF($O404="Arja", "Evolutionary Search", IF($O404="AVATAR", "True Pattern", IF($O404="CapGen", "Search Like Pattern", IF($O404="Cardumen", "True Semantic", IF($O404="DynaMoth", "True Semantic", IF($O404="FixMiner", "True Pattern", IF($O404="GenProg-A", "Evolutionary Search", IF($O404="Hercules", "Learning Pattern", IF($O404="Jaid", "True Semantic",
IF($O404="Kali-A", "True Search", IF($O404="kPAR", "True Pattern", IF($O404="Nopol", "True Semantic", IF($O404="RSRepair-A", "Evolutionary Search", IF($O404="SequenceR", "Deep Learning", IF($O404="SimFix", "Search Like Pattern", IF($O404="SketchFix", "True Pattern", IF($O404="SOFix", "True Pattern", IF($O404="ssFix", "Search Like Pattern", IF($O404="TBar", "True Pattern", ""))))))))))))))))))))</f>
        <v>Evolutionary Search</v>
      </c>
      <c r="Q404" s="13" t="str">
        <f>IF(NOT(ISERR(SEARCH("*_Buggy",$A404))), "Buggy", IF(NOT(ISERR(SEARCH("*_Fixed",$A404))), "Fixed", IF(NOT(ISERR(SEARCH("*_Repaired",$A404))), "Repaired", "")))</f>
        <v>Buggy</v>
      </c>
      <c r="R404" s="13"/>
      <c r="S404" s="13"/>
      <c r="T404" s="13"/>
      <c r="U404" s="13"/>
      <c r="V404" s="13"/>
      <c r="W404" s="13"/>
    </row>
    <row r="405" spans="1:23" x14ac:dyDescent="0.35">
      <c r="A405" s="5" t="s">
        <v>1439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>LEFT($A405,FIND("_",$A405)-1)</f>
        <v>RSRepair-A</v>
      </c>
      <c r="P405" s="13" t="str">
        <f>IF($O405="ACS", "True Search", IF($O405="Arja", "Evolutionary Search", IF($O405="AVATAR", "True Pattern", IF($O405="CapGen", "Search Like Pattern", IF($O405="Cardumen", "True Semantic", IF($O405="DynaMoth", "True Semantic", IF($O405="FixMiner", "True Pattern", IF($O405="GenProg-A", "Evolutionary Search", IF($O405="Hercules", "Learning Pattern", IF($O405="Jaid", "True Semantic",
IF($O405="Kali-A", "True Search", IF($O405="kPAR", "True Pattern", IF($O405="Nopol", "True Semantic", IF($O405="RSRepair-A", "Evolutionary Search", IF($O405="SequenceR", "Deep Learning", IF($O405="SimFix", "Search Like Pattern", IF($O405="SketchFix", "True Pattern", IF($O405="SOFix", "True Pattern", IF($O405="ssFix", "Search Like Pattern", IF($O405="TBar", "True Pattern", ""))))))))))))))))))))</f>
        <v>Evolutionary Search</v>
      </c>
      <c r="Q405" s="13" t="str">
        <f>IF(NOT(ISERR(SEARCH("*_Buggy",$A405))), "Buggy", IF(NOT(ISERR(SEARCH("*_Fixed",$A405))), "Fixed", IF(NOT(ISERR(SEARCH("*_Repaired",$A405))), "Repaired", "")))</f>
        <v>Buggy</v>
      </c>
      <c r="R405" s="13"/>
      <c r="S405" s="13"/>
      <c r="T405" s="13"/>
      <c r="U405" s="13"/>
      <c r="V405" s="13"/>
      <c r="W405" s="13"/>
    </row>
    <row r="406" spans="1:23" x14ac:dyDescent="0.35">
      <c r="A406" s="7" t="s">
        <v>1440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>LEFT($A406,FIND("_",$A406)-1)</f>
        <v>RSRepair-A</v>
      </c>
      <c r="P406" s="13" t="str">
        <f>IF($O406="ACS", "True Search", IF($O406="Arja", "Evolutionary Search", IF($O406="AVATAR", "True Pattern", IF($O406="CapGen", "Search Like Pattern", IF($O406="Cardumen", "True Semantic", IF($O406="DynaMoth", "True Semantic", IF($O406="FixMiner", "True Pattern", IF($O406="GenProg-A", "Evolutionary Search", IF($O406="Hercules", "Learning Pattern", IF($O406="Jaid", "True Semantic",
IF($O406="Kali-A", "True Search", IF($O406="kPAR", "True Pattern", IF($O406="Nopol", "True Semantic", IF($O406="RSRepair-A", "Evolutionary Search", IF($O406="SequenceR", "Deep Learning", IF($O406="SimFix", "Search Like Pattern", IF($O406="SketchFix", "True Pattern", IF($O406="SOFix", "True Pattern", IF($O406="ssFix", "Search Like Pattern", IF($O406="TBar", "True Pattern", ""))))))))))))))))))))</f>
        <v>Evolutionary Search</v>
      </c>
      <c r="Q406" s="13" t="str">
        <f>IF(NOT(ISERR(SEARCH("*_Buggy",$A406))), "Buggy", IF(NOT(ISERR(SEARCH("*_Fixed",$A406))), "Fixed", IF(NOT(ISERR(SEARCH("*_Repaired",$A406))), "Repaired", "")))</f>
        <v>Buggy</v>
      </c>
      <c r="R406" s="13"/>
      <c r="S406" s="13"/>
      <c r="T406" s="13"/>
      <c r="U406" s="13"/>
      <c r="V406" s="13"/>
      <c r="W406" s="13"/>
    </row>
    <row r="407" spans="1:23" x14ac:dyDescent="0.35">
      <c r="A407" s="5" t="s">
        <v>1441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>LEFT($A407,FIND("_",$A407)-1)</f>
        <v>RSRepair-A</v>
      </c>
      <c r="P407" s="13" t="str">
        <f>IF($O407="ACS", "True Search", IF($O407="Arja", "Evolutionary Search", IF($O407="AVATAR", "True Pattern", IF($O407="CapGen", "Search Like Pattern", IF($O407="Cardumen", "True Semantic", IF($O407="DynaMoth", "True Semantic", IF($O407="FixMiner", "True Pattern", IF($O407="GenProg-A", "Evolutionary Search", IF($O407="Hercules", "Learning Pattern", IF($O407="Jaid", "True Semantic",
IF($O407="Kali-A", "True Search", IF($O407="kPAR", "True Pattern", IF($O407="Nopol", "True Semantic", IF($O407="RSRepair-A", "Evolutionary Search", IF($O407="SequenceR", "Deep Learning", IF($O407="SimFix", "Search Like Pattern", IF($O407="SketchFix", "True Pattern", IF($O407="SOFix", "True Pattern", IF($O407="ssFix", "Search Like Pattern", IF($O407="TBar", "True Pattern", ""))))))))))))))))))))</f>
        <v>Evolutionary Search</v>
      </c>
      <c r="Q407" s="13" t="str">
        <f>IF(NOT(ISERR(SEARCH("*_Buggy",$A407))), "Buggy", IF(NOT(ISERR(SEARCH("*_Fixed",$A407))), "Fixed", IF(NOT(ISERR(SEARCH("*_Repaired",$A407))), "Repaired", "")))</f>
        <v>Buggy</v>
      </c>
      <c r="R407" s="13"/>
      <c r="S407" s="13"/>
      <c r="T407" s="13"/>
      <c r="U407" s="13"/>
      <c r="V407" s="13"/>
      <c r="W407" s="13"/>
    </row>
    <row r="408" spans="1:23" x14ac:dyDescent="0.35">
      <c r="A408" s="5" t="s">
        <v>1442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>LEFT($A408,FIND("_",$A408)-1)</f>
        <v>RSRepair-A</v>
      </c>
      <c r="P408" s="13" t="str">
        <f>IF($O408="ACS", "True Search", IF($O408="Arja", "Evolutionary Search", IF($O408="AVATAR", "True Pattern", IF($O408="CapGen", "Search Like Pattern", IF($O408="Cardumen", "True Semantic", IF($O408="DynaMoth", "True Semantic", IF($O408="FixMiner", "True Pattern", IF($O408="GenProg-A", "Evolutionary Search", IF($O408="Hercules", "Learning Pattern", IF($O408="Jaid", "True Semantic",
IF($O408="Kali-A", "True Search", IF($O408="kPAR", "True Pattern", IF($O408="Nopol", "True Semantic", IF($O408="RSRepair-A", "Evolutionary Search", IF($O408="SequenceR", "Deep Learning", IF($O408="SimFix", "Search Like Pattern", IF($O408="SketchFix", "True Pattern", IF($O408="SOFix", "True Pattern", IF($O408="ssFix", "Search Like Pattern", IF($O408="TBar", "True Pattern", ""))))))))))))))))))))</f>
        <v>Evolutionary Search</v>
      </c>
      <c r="Q408" s="13" t="str">
        <f>IF(NOT(ISERR(SEARCH("*_Buggy",$A408))), "Buggy", IF(NOT(ISERR(SEARCH("*_Fixed",$A408))), "Fixed", IF(NOT(ISERR(SEARCH("*_Repaired",$A408))), "Repaired", "")))</f>
        <v>Buggy</v>
      </c>
      <c r="R408" s="13"/>
      <c r="S408" s="13"/>
      <c r="T408" s="13"/>
      <c r="U408" s="13"/>
      <c r="V408" s="13"/>
      <c r="W408" s="13"/>
    </row>
    <row r="409" spans="1:23" x14ac:dyDescent="0.35">
      <c r="A409" s="5" t="s">
        <v>1443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>LEFT($A409,FIND("_",$A409)-1)</f>
        <v>RSRepair-A</v>
      </c>
      <c r="P409" s="13" t="str">
        <f>IF($O409="ACS", "True Search", IF($O409="Arja", "Evolutionary Search", IF($O409="AVATAR", "True Pattern", IF($O409="CapGen", "Search Like Pattern", IF($O409="Cardumen", "True Semantic", IF($O409="DynaMoth", "True Semantic", IF($O409="FixMiner", "True Pattern", IF($O409="GenProg-A", "Evolutionary Search", IF($O409="Hercules", "Learning Pattern", IF($O409="Jaid", "True Semantic",
IF($O409="Kali-A", "True Search", IF($O409="kPAR", "True Pattern", IF($O409="Nopol", "True Semantic", IF($O409="RSRepair-A", "Evolutionary Search", IF($O409="SequenceR", "Deep Learning", IF($O409="SimFix", "Search Like Pattern", IF($O409="SketchFix", "True Pattern", IF($O409="SOFix", "True Pattern", IF($O409="ssFix", "Search Like Pattern", IF($O409="TBar", "True Pattern", ""))))))))))))))))))))</f>
        <v>Evolutionary Search</v>
      </c>
      <c r="Q409" s="13" t="str">
        <f>IF(NOT(ISERR(SEARCH("*_Buggy",$A409))), "Buggy", IF(NOT(ISERR(SEARCH("*_Fixed",$A409))), "Fixed", IF(NOT(ISERR(SEARCH("*_Repaired",$A409))), "Repaired", "")))</f>
        <v>Buggy</v>
      </c>
      <c r="R409" s="13"/>
      <c r="S409" s="13"/>
      <c r="T409" s="13"/>
      <c r="U409" s="13"/>
      <c r="V409" s="13"/>
      <c r="W409" s="13"/>
    </row>
    <row r="410" spans="1:23" x14ac:dyDescent="0.35">
      <c r="A410" s="5" t="s">
        <v>143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>LEFT($A410,FIND("_",$A410)-1)</f>
        <v>SimFix</v>
      </c>
      <c r="P410" s="13" t="str">
        <f>IF($O410="ACS", "True Search", IF($O410="Arja", "Evolutionary Search", IF($O410="AVATAR", "True Pattern", IF($O410="CapGen", "Search Like Pattern", IF($O410="Cardumen", "True Semantic", IF($O410="DynaMoth", "True Semantic", IF($O410="FixMiner", "True Pattern", IF($O410="GenProg-A", "Evolutionary Search", IF($O410="Hercules", "Learning Pattern", IF($O410="Jaid", "True Semantic",
IF($O410="Kali-A", "True Search", IF($O410="kPAR", "True Pattern", IF($O410="Nopol", "True Semantic", IF($O410="RSRepair-A", "Evolutionary Search", IF($O410="SequenceR", "Deep Learning", IF($O410="SimFix", "Search Like Pattern", IF($O410="SketchFix", "True Pattern", IF($O410="SOFix", "True Pattern", IF($O410="ssFix", "Search Like Pattern", IF($O410="TBar", "True Pattern", ""))))))))))))))))))))</f>
        <v>Search Like Pattern</v>
      </c>
      <c r="Q410" s="13" t="str">
        <f>IF(NOT(ISERR(SEARCH("*_Buggy",$A410))), "Buggy", IF(NOT(ISERR(SEARCH("*_Fixed",$A410))), "Fixed", IF(NOT(ISERR(SEARCH("*_Repaired",$A410))), "Repaired", "")))</f>
        <v>Buggy</v>
      </c>
      <c r="R410" s="13"/>
      <c r="S410" s="13"/>
      <c r="T410" s="13"/>
      <c r="U410" s="13"/>
      <c r="V410" s="13"/>
      <c r="W410" s="13"/>
    </row>
    <row r="411" spans="1:23" x14ac:dyDescent="0.35">
      <c r="A411" s="5" t="s">
        <v>1044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>LEFT($A411,FIND("_",$A411)-1)</f>
        <v>SimFix</v>
      </c>
      <c r="P411" s="13" t="str">
        <f>IF($O411="ACS", "True Search", IF($O411="Arja", "Evolutionary Search", IF($O411="AVATAR", "True Pattern", IF($O411="CapGen", "Search Like Pattern", IF($O411="Cardumen", "True Semantic", IF($O411="DynaMoth", "True Semantic", IF($O411="FixMiner", "True Pattern", IF($O411="GenProg-A", "Evolutionary Search", IF($O411="Hercules", "Learning Pattern", IF($O411="Jaid", "True Semantic",
IF($O411="Kali-A", "True Search", IF($O411="kPAR", "True Pattern", IF($O411="Nopol", "True Semantic", IF($O411="RSRepair-A", "Evolutionary Search", IF($O411="SequenceR", "Deep Learning", IF($O411="SimFix", "Search Like Pattern", IF($O411="SketchFix", "True Pattern", IF($O411="SOFix", "True Pattern", IF($O411="ssFix", "Search Like Pattern", IF($O411="TBar", "True Pattern", ""))))))))))))))))))))</f>
        <v>Search Like Pattern</v>
      </c>
      <c r="Q411" s="13" t="str">
        <f>IF(NOT(ISERR(SEARCH("*_Buggy",$A411))), "Buggy", IF(NOT(ISERR(SEARCH("*_Fixed",$A411))), "Fixed", IF(NOT(ISERR(SEARCH("*_Repaired",$A411))), "Repaired", "")))</f>
        <v>Buggy</v>
      </c>
      <c r="R411" s="13"/>
      <c r="S411" s="13"/>
      <c r="T411" s="13"/>
      <c r="U411" s="13"/>
      <c r="V411" s="13"/>
      <c r="W411" s="13"/>
    </row>
    <row r="412" spans="1:23" x14ac:dyDescent="0.35">
      <c r="A412" s="5" t="s">
        <v>1153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>LEFT($A412,FIND("_",$A412)-1)</f>
        <v>SimFix</v>
      </c>
      <c r="P412" s="13" t="str">
        <f>IF($O412="ACS", "True Search", IF($O412="Arja", "Evolutionary Search", IF($O412="AVATAR", "True Pattern", IF($O412="CapGen", "Search Like Pattern", IF($O412="Cardumen", "True Semantic", IF($O412="DynaMoth", "True Semantic", IF($O412="FixMiner", "True Pattern", IF($O412="GenProg-A", "Evolutionary Search", IF($O412="Hercules", "Learning Pattern", IF($O412="Jaid", "True Semantic",
IF($O412="Kali-A", "True Search", IF($O412="kPAR", "True Pattern", IF($O412="Nopol", "True Semantic", IF($O412="RSRepair-A", "Evolutionary Search", IF($O412="SequenceR", "Deep Learning", IF($O412="SimFix", "Search Like Pattern", IF($O412="SketchFix", "True Pattern", IF($O412="SOFix", "True Pattern", IF($O412="ssFix", "Search Like Pattern", IF($O412="TBar", "True Pattern", ""))))))))))))))))))))</f>
        <v>Search Like Pattern</v>
      </c>
      <c r="Q412" s="13" t="str">
        <f>IF(NOT(ISERR(SEARCH("*_Buggy",$A412))), "Buggy", IF(NOT(ISERR(SEARCH("*_Fixed",$A412))), "Fixed", IF(NOT(ISERR(SEARCH("*_Repaired",$A412))), "Repaired", "")))</f>
        <v>Buggy</v>
      </c>
      <c r="R412" s="13"/>
      <c r="S412" s="13"/>
      <c r="T412" s="13"/>
      <c r="U412" s="13"/>
      <c r="V412" s="13"/>
      <c r="W412" s="13"/>
    </row>
    <row r="413" spans="1:23" x14ac:dyDescent="0.35">
      <c r="A413" s="5" t="s">
        <v>1061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>LEFT($A413,FIND("_",$A413)-1)</f>
        <v>SimFix</v>
      </c>
      <c r="P413" s="13" t="str">
        <f>IF($O413="ACS", "True Search", IF($O413="Arja", "Evolutionary Search", IF($O413="AVATAR", "True Pattern", IF($O413="CapGen", "Search Like Pattern", IF($O413="Cardumen", "True Semantic", IF($O413="DynaMoth", "True Semantic", IF($O413="FixMiner", "True Pattern", IF($O413="GenProg-A", "Evolutionary Search", IF($O413="Hercules", "Learning Pattern", IF($O413="Jaid", "True Semantic",
IF($O413="Kali-A", "True Search", IF($O413="kPAR", "True Pattern", IF($O413="Nopol", "True Semantic", IF($O413="RSRepair-A", "Evolutionary Search", IF($O413="SequenceR", "Deep Learning", IF($O413="SimFix", "Search Like Pattern", IF($O413="SketchFix", "True Pattern", IF($O413="SOFix", "True Pattern", IF($O413="ssFix", "Search Like Pattern", IF($O413="TBar", "True Pattern", ""))))))))))))))))))))</f>
        <v>Search Like Pattern</v>
      </c>
      <c r="Q413" s="13" t="str">
        <f>IF(NOT(ISERR(SEARCH("*_Buggy",$A413))), "Buggy", IF(NOT(ISERR(SEARCH("*_Fixed",$A413))), "Fixed", IF(NOT(ISERR(SEARCH("*_Repaired",$A413))), "Repaired", "")))</f>
        <v>Buggy</v>
      </c>
      <c r="R413" s="13"/>
      <c r="S413" s="13"/>
      <c r="T413" s="13"/>
      <c r="U413" s="13"/>
      <c r="V413" s="13"/>
      <c r="W413" s="13"/>
    </row>
    <row r="414" spans="1:23" x14ac:dyDescent="0.35">
      <c r="A414" s="5" t="s">
        <v>99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>LEFT($A414,FIND("_",$A414)-1)</f>
        <v>SimFix</v>
      </c>
      <c r="P414" s="13" t="str">
        <f>IF($O414="ACS", "True Search", IF($O414="Arja", "Evolutionary Search", IF($O414="AVATAR", "True Pattern", IF($O414="CapGen", "Search Like Pattern", IF($O414="Cardumen", "True Semantic", IF($O414="DynaMoth", "True Semantic", IF($O414="FixMiner", "True Pattern", IF($O414="GenProg-A", "Evolutionary Search", IF($O414="Hercules", "Learning Pattern", IF($O414="Jaid", "True Semantic",
IF($O414="Kali-A", "True Search", IF($O414="kPAR", "True Pattern", IF($O414="Nopol", "True Semantic", IF($O414="RSRepair-A", "Evolutionary Search", IF($O414="SequenceR", "Deep Learning", IF($O414="SimFix", "Search Like Pattern", IF($O414="SketchFix", "True Pattern", IF($O414="SOFix", "True Pattern", IF($O414="ssFix", "Search Like Pattern", IF($O414="TBar", "True Pattern", ""))))))))))))))))))))</f>
        <v>Search Like Pattern</v>
      </c>
      <c r="Q414" s="13" t="str">
        <f>IF(NOT(ISERR(SEARCH("*_Buggy",$A414))), "Buggy", IF(NOT(ISERR(SEARCH("*_Fixed",$A414))), "Fixed", IF(NOT(ISERR(SEARCH("*_Repaired",$A414))), "Repaired", "")))</f>
        <v>Buggy</v>
      </c>
      <c r="R414" s="13"/>
      <c r="S414" s="13"/>
      <c r="T414" s="13"/>
      <c r="U414" s="13"/>
      <c r="V414" s="13"/>
      <c r="W414" s="13"/>
    </row>
    <row r="415" spans="1:23" x14ac:dyDescent="0.35">
      <c r="A415" s="7" t="s">
        <v>940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>LEFT($A415,FIND("_",$A415)-1)</f>
        <v>SimFix</v>
      </c>
      <c r="P415" s="13" t="str">
        <f>IF($O415="ACS", "True Search", IF($O415="Arja", "Evolutionary Search", IF($O415="AVATAR", "True Pattern", IF($O415="CapGen", "Search Like Pattern", IF($O415="Cardumen", "True Semantic", IF($O415="DynaMoth", "True Semantic", IF($O415="FixMiner", "True Pattern", IF($O415="GenProg-A", "Evolutionary Search", IF($O415="Hercules", "Learning Pattern", IF($O415="Jaid", "True Semantic",
IF($O415="Kali-A", "True Search", IF($O415="kPAR", "True Pattern", IF($O415="Nopol", "True Semantic", IF($O415="RSRepair-A", "Evolutionary Search", IF($O415="SequenceR", "Deep Learning", IF($O415="SimFix", "Search Like Pattern", IF($O415="SketchFix", "True Pattern", IF($O415="SOFix", "True Pattern", IF($O415="ssFix", "Search Like Pattern", IF($O415="TBar", "True Pattern", ""))))))))))))))))))))</f>
        <v>Search Like Pattern</v>
      </c>
      <c r="Q415" s="13" t="str">
        <f>IF(NOT(ISERR(SEARCH("*_Buggy",$A415))), "Buggy", IF(NOT(ISERR(SEARCH("*_Fixed",$A415))), "Fixed", IF(NOT(ISERR(SEARCH("*_Repaired",$A415))), "Repaired", "")))</f>
        <v>Buggy</v>
      </c>
      <c r="R415" s="13"/>
      <c r="S415" s="13"/>
      <c r="T415" s="13"/>
      <c r="U415" s="13"/>
      <c r="V415" s="13"/>
      <c r="W415" s="13"/>
    </row>
    <row r="416" spans="1:23" x14ac:dyDescent="0.35">
      <c r="A416" s="5" t="s">
        <v>277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>LEFT($A416,FIND("_",$A416)-1)</f>
        <v>SimFix</v>
      </c>
      <c r="P416" s="13" t="str">
        <f>IF($O416="ACS", "True Search", IF($O416="Arja", "Evolutionary Search", IF($O416="AVATAR", "True Pattern", IF($O416="CapGen", "Search Like Pattern", IF($O416="Cardumen", "True Semantic", IF($O416="DynaMoth", "True Semantic", IF($O416="FixMiner", "True Pattern", IF($O416="GenProg-A", "Evolutionary Search", IF($O416="Hercules", "Learning Pattern", IF($O416="Jaid", "True Semantic",
IF($O416="Kali-A", "True Search", IF($O416="kPAR", "True Pattern", IF($O416="Nopol", "True Semantic", IF($O416="RSRepair-A", "Evolutionary Search", IF($O416="SequenceR", "Deep Learning", IF($O416="SimFix", "Search Like Pattern", IF($O416="SketchFix", "True Pattern", IF($O416="SOFix", "True Pattern", IF($O416="ssFix", "Search Like Pattern", IF($O416="TBar", "True Pattern", ""))))))))))))))))))))</f>
        <v>Search Like Pattern</v>
      </c>
      <c r="Q416" s="13" t="str">
        <f>IF(NOT(ISERR(SEARCH("*_Buggy",$A416))), "Buggy", IF(NOT(ISERR(SEARCH("*_Fixed",$A416))), "Fixed", IF(NOT(ISERR(SEARCH("*_Repaired",$A416))), "Repaired", "")))</f>
        <v>Buggy</v>
      </c>
      <c r="R416" s="13"/>
      <c r="S416" s="13"/>
      <c r="T416" s="13"/>
      <c r="U416" s="13"/>
      <c r="V416" s="13"/>
      <c r="W416" s="13"/>
    </row>
    <row r="417" spans="1:23" x14ac:dyDescent="0.35">
      <c r="A417" s="7" t="s">
        <v>237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>LEFT($A417,FIND("_",$A417)-1)</f>
        <v>SimFix</v>
      </c>
      <c r="P417" s="13" t="str">
        <f>IF($O417="ACS", "True Search", IF($O417="Arja", "Evolutionary Search", IF($O417="AVATAR", "True Pattern", IF($O417="CapGen", "Search Like Pattern", IF($O417="Cardumen", "True Semantic", IF($O417="DynaMoth", "True Semantic", IF($O417="FixMiner", "True Pattern", IF($O417="GenProg-A", "Evolutionary Search", IF($O417="Hercules", "Learning Pattern", IF($O417="Jaid", "True Semantic",
IF($O417="Kali-A", "True Search", IF($O417="kPAR", "True Pattern", IF($O417="Nopol", "True Semantic", IF($O417="RSRepair-A", "Evolutionary Search", IF($O417="SequenceR", "Deep Learning", IF($O417="SimFix", "Search Like Pattern", IF($O417="SketchFix", "True Pattern", IF($O417="SOFix", "True Pattern", IF($O417="ssFix", "Search Like Pattern", IF($O417="TBar", "True Pattern", ""))))))))))))))))))))</f>
        <v>Search Like Pattern</v>
      </c>
      <c r="Q417" s="13" t="str">
        <f>IF(NOT(ISERR(SEARCH("*_Buggy",$A417))), "Buggy", IF(NOT(ISERR(SEARCH("*_Fixed",$A417))), "Fixed", IF(NOT(ISERR(SEARCH("*_Repaired",$A417))), "Repaired", "")))</f>
        <v>Buggy</v>
      </c>
      <c r="R417" s="13"/>
      <c r="S417" s="13"/>
      <c r="T417" s="13"/>
      <c r="U417" s="13"/>
      <c r="V417" s="13"/>
      <c r="W417" s="13"/>
    </row>
    <row r="418" spans="1:23" x14ac:dyDescent="0.35">
      <c r="A418" s="7" t="s">
        <v>1096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>LEFT($A418,FIND("_",$A418)-1)</f>
        <v>SimFix</v>
      </c>
      <c r="P418" s="13" t="str">
        <f>IF($O418="ACS", "True Search", IF($O418="Arja", "Evolutionary Search", IF($O418="AVATAR", "True Pattern", IF($O418="CapGen", "Search Like Pattern", IF($O418="Cardumen", "True Semantic", IF($O418="DynaMoth", "True Semantic", IF($O418="FixMiner", "True Pattern", IF($O418="GenProg-A", "Evolutionary Search", IF($O418="Hercules", "Learning Pattern", IF($O418="Jaid", "True Semantic",
IF($O418="Kali-A", "True Search", IF($O418="kPAR", "True Pattern", IF($O418="Nopol", "True Semantic", IF($O418="RSRepair-A", "Evolutionary Search", IF($O418="SequenceR", "Deep Learning", IF($O418="SimFix", "Search Like Pattern", IF($O418="SketchFix", "True Pattern", IF($O418="SOFix", "True Pattern", IF($O418="ssFix", "Search Like Pattern", IF($O418="TBar", "True Pattern", ""))))))))))))))))))))</f>
        <v>Search Like Pattern</v>
      </c>
      <c r="Q418" s="13" t="str">
        <f>IF(NOT(ISERR(SEARCH("*_Buggy",$A418))), "Buggy", IF(NOT(ISERR(SEARCH("*_Fixed",$A418))), "Fixed", IF(NOT(ISERR(SEARCH("*_Repaired",$A418))), "Repaired", "")))</f>
        <v>Buggy</v>
      </c>
      <c r="R418" s="13"/>
      <c r="S418" s="13"/>
      <c r="T418" s="13"/>
      <c r="U418" s="13"/>
      <c r="V418" s="13"/>
      <c r="W418" s="13"/>
    </row>
    <row r="419" spans="1:23" x14ac:dyDescent="0.35">
      <c r="A419" s="5" t="s">
        <v>605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>LEFT($A419,FIND("_",$A419)-1)</f>
        <v>SimFix</v>
      </c>
      <c r="P419" s="13" t="str">
        <f>IF($O419="ACS", "True Search", IF($O419="Arja", "Evolutionary Search", IF($O419="AVATAR", "True Pattern", IF($O419="CapGen", "Search Like Pattern", IF($O419="Cardumen", "True Semantic", IF($O419="DynaMoth", "True Semantic", IF($O419="FixMiner", "True Pattern", IF($O419="GenProg-A", "Evolutionary Search", IF($O419="Hercules", "Learning Pattern", IF($O419="Jaid", "True Semantic",
IF($O419="Kali-A", "True Search", IF($O419="kPAR", "True Pattern", IF($O419="Nopol", "True Semantic", IF($O419="RSRepair-A", "Evolutionary Search", IF($O419="SequenceR", "Deep Learning", IF($O419="SimFix", "Search Like Pattern", IF($O419="SketchFix", "True Pattern", IF($O419="SOFix", "True Pattern", IF($O419="ssFix", "Search Like Pattern", IF($O419="TBar", "True Pattern", ""))))))))))))))))))))</f>
        <v>Search Like Pattern</v>
      </c>
      <c r="Q419" s="13" t="str">
        <f>IF(NOT(ISERR(SEARCH("*_Buggy",$A419))), "Buggy", IF(NOT(ISERR(SEARCH("*_Fixed",$A419))), "Fixed", IF(NOT(ISERR(SEARCH("*_Repaired",$A419))), "Repaired", "")))</f>
        <v>Buggy</v>
      </c>
      <c r="R419" s="13"/>
      <c r="S419" s="13"/>
      <c r="T419" s="13"/>
      <c r="U419" s="13"/>
      <c r="V419" s="13"/>
      <c r="W419" s="13"/>
    </row>
    <row r="420" spans="1:23" x14ac:dyDescent="0.35">
      <c r="A420" s="7" t="s">
        <v>784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>LEFT($A420,FIND("_",$A420)-1)</f>
        <v>SimFix</v>
      </c>
      <c r="P420" s="13" t="str">
        <f>IF($O420="ACS", "True Search", IF($O420="Arja", "Evolutionary Search", IF($O420="AVATAR", "True Pattern", IF($O420="CapGen", "Search Like Pattern", IF($O420="Cardumen", "True Semantic", IF($O420="DynaMoth", "True Semantic", IF($O420="FixMiner", "True Pattern", IF($O420="GenProg-A", "Evolutionary Search", IF($O420="Hercules", "Learning Pattern", IF($O420="Jaid", "True Semantic",
IF($O420="Kali-A", "True Search", IF($O420="kPAR", "True Pattern", IF($O420="Nopol", "True Semantic", IF($O420="RSRepair-A", "Evolutionary Search", IF($O420="SequenceR", "Deep Learning", IF($O420="SimFix", "Search Like Pattern", IF($O420="SketchFix", "True Pattern", IF($O420="SOFix", "True Pattern", IF($O420="ssFix", "Search Like Pattern", IF($O420="TBar", "True Pattern", ""))))))))))))))))))))</f>
        <v>Search Like Pattern</v>
      </c>
      <c r="Q420" s="13" t="str">
        <f>IF(NOT(ISERR(SEARCH("*_Buggy",$A420))), "Buggy", IF(NOT(ISERR(SEARCH("*_Fixed",$A420))), "Fixed", IF(NOT(ISERR(SEARCH("*_Repaired",$A420))), "Repaired", "")))</f>
        <v>Buggy</v>
      </c>
      <c r="R420" s="13"/>
      <c r="S420" s="13"/>
      <c r="T420" s="13"/>
      <c r="U420" s="13"/>
      <c r="V420" s="13"/>
      <c r="W420" s="13"/>
    </row>
    <row r="421" spans="1:23" x14ac:dyDescent="0.35">
      <c r="A421" s="5" t="s">
        <v>575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>LEFT($A421,FIND("_",$A421)-1)</f>
        <v>SimFix</v>
      </c>
      <c r="P421" s="13" t="str">
        <f>IF($O421="ACS", "True Search", IF($O421="Arja", "Evolutionary Search", IF($O421="AVATAR", "True Pattern", IF($O421="CapGen", "Search Like Pattern", IF($O421="Cardumen", "True Semantic", IF($O421="DynaMoth", "True Semantic", IF($O421="FixMiner", "True Pattern", IF($O421="GenProg-A", "Evolutionary Search", IF($O421="Hercules", "Learning Pattern", IF($O421="Jaid", "True Semantic",
IF($O421="Kali-A", "True Search", IF($O421="kPAR", "True Pattern", IF($O421="Nopol", "True Semantic", IF($O421="RSRepair-A", "Evolutionary Search", IF($O421="SequenceR", "Deep Learning", IF($O421="SimFix", "Search Like Pattern", IF($O421="SketchFix", "True Pattern", IF($O421="SOFix", "True Pattern", IF($O421="ssFix", "Search Like Pattern", IF($O421="TBar", "True Pattern", ""))))))))))))))))))))</f>
        <v>Search Like Pattern</v>
      </c>
      <c r="Q421" s="13" t="str">
        <f>IF(NOT(ISERR(SEARCH("*_Buggy",$A421))), "Buggy", IF(NOT(ISERR(SEARCH("*_Fixed",$A421))), "Fixed", IF(NOT(ISERR(SEARCH("*_Repaired",$A421))), "Repaired", "")))</f>
        <v>Buggy</v>
      </c>
      <c r="R421" s="13"/>
      <c r="S421" s="13"/>
      <c r="T421" s="13"/>
      <c r="U421" s="13"/>
      <c r="V421" s="13"/>
      <c r="W421" s="13"/>
    </row>
    <row r="422" spans="1:23" x14ac:dyDescent="0.35">
      <c r="A422" s="7" t="s">
        <v>59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>LEFT($A422,FIND("_",$A422)-1)</f>
        <v>SimFix</v>
      </c>
      <c r="P422" s="13" t="str">
        <f>IF($O422="ACS", "True Search", IF($O422="Arja", "Evolutionary Search", IF($O422="AVATAR", "True Pattern", IF($O422="CapGen", "Search Like Pattern", IF($O422="Cardumen", "True Semantic", IF($O422="DynaMoth", "True Semantic", IF($O422="FixMiner", "True Pattern", IF($O422="GenProg-A", "Evolutionary Search", IF($O422="Hercules", "Learning Pattern", IF($O422="Jaid", "True Semantic",
IF($O422="Kali-A", "True Search", IF($O422="kPAR", "True Pattern", IF($O422="Nopol", "True Semantic", IF($O422="RSRepair-A", "Evolutionary Search", IF($O422="SequenceR", "Deep Learning", IF($O422="SimFix", "Search Like Pattern", IF($O422="SketchFix", "True Pattern", IF($O422="SOFix", "True Pattern", IF($O422="ssFix", "Search Like Pattern", IF($O422="TBar", "True Pattern", ""))))))))))))))))))))</f>
        <v>Search Like Pattern</v>
      </c>
      <c r="Q422" s="13" t="str">
        <f>IF(NOT(ISERR(SEARCH("*_Buggy",$A422))), "Buggy", IF(NOT(ISERR(SEARCH("*_Fixed",$A422))), "Fixed", IF(NOT(ISERR(SEARCH("*_Repaired",$A422))), "Repaired", "")))</f>
        <v>Buggy</v>
      </c>
      <c r="R422" s="13"/>
      <c r="S422" s="13"/>
      <c r="T422" s="13"/>
      <c r="U422" s="13"/>
      <c r="V422" s="13"/>
      <c r="W422" s="13"/>
    </row>
    <row r="423" spans="1:23" x14ac:dyDescent="0.35">
      <c r="A423" s="7" t="s">
        <v>830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>LEFT($A423,FIND("_",$A423)-1)</f>
        <v>SimFix</v>
      </c>
      <c r="P423" s="13" t="str">
        <f>IF($O423="ACS", "True Search", IF($O423="Arja", "Evolutionary Search", IF($O423="AVATAR", "True Pattern", IF($O423="CapGen", "Search Like Pattern", IF($O423="Cardumen", "True Semantic", IF($O423="DynaMoth", "True Semantic", IF($O423="FixMiner", "True Pattern", IF($O423="GenProg-A", "Evolutionary Search", IF($O423="Hercules", "Learning Pattern", IF($O423="Jaid", "True Semantic",
IF($O423="Kali-A", "True Search", IF($O423="kPAR", "True Pattern", IF($O423="Nopol", "True Semantic", IF($O423="RSRepair-A", "Evolutionary Search", IF($O423="SequenceR", "Deep Learning", IF($O423="SimFix", "Search Like Pattern", IF($O423="SketchFix", "True Pattern", IF($O423="SOFix", "True Pattern", IF($O423="ssFix", "Search Like Pattern", IF($O423="TBar", "True Pattern", ""))))))))))))))))))))</f>
        <v>Search Like Pattern</v>
      </c>
      <c r="Q423" s="13" t="str">
        <f>IF(NOT(ISERR(SEARCH("*_Buggy",$A423))), "Buggy", IF(NOT(ISERR(SEARCH("*_Fixed",$A423))), "Fixed", IF(NOT(ISERR(SEARCH("*_Repaired",$A423))), "Repaired", "")))</f>
        <v>Buggy</v>
      </c>
      <c r="R423" s="13"/>
      <c r="S423" s="13"/>
      <c r="T423" s="13"/>
      <c r="U423" s="13"/>
      <c r="V423" s="13"/>
      <c r="W423" s="13"/>
    </row>
    <row r="424" spans="1:23" x14ac:dyDescent="0.35">
      <c r="A424" s="5" t="s">
        <v>1147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>LEFT($A424,FIND("_",$A424)-1)</f>
        <v>SimFix</v>
      </c>
      <c r="P424" s="13" t="str">
        <f>IF($O424="ACS", "True Search", IF($O424="Arja", "Evolutionary Search", IF($O424="AVATAR", "True Pattern", IF($O424="CapGen", "Search Like Pattern", IF($O424="Cardumen", "True Semantic", IF($O424="DynaMoth", "True Semantic", IF($O424="FixMiner", "True Pattern", IF($O424="GenProg-A", "Evolutionary Search", IF($O424="Hercules", "Learning Pattern", IF($O424="Jaid", "True Semantic",
IF($O424="Kali-A", "True Search", IF($O424="kPAR", "True Pattern", IF($O424="Nopol", "True Semantic", IF($O424="RSRepair-A", "Evolutionary Search", IF($O424="SequenceR", "Deep Learning", IF($O424="SimFix", "Search Like Pattern", IF($O424="SketchFix", "True Pattern", IF($O424="SOFix", "True Pattern", IF($O424="ssFix", "Search Like Pattern", IF($O424="TBar", "True Pattern", ""))))))))))))))))))))</f>
        <v>Search Like Pattern</v>
      </c>
      <c r="Q424" s="13" t="str">
        <f>IF(NOT(ISERR(SEARCH("*_Buggy",$A424))), "Buggy", IF(NOT(ISERR(SEARCH("*_Fixed",$A424))), "Fixed", IF(NOT(ISERR(SEARCH("*_Repaired",$A424))), "Repaired", "")))</f>
        <v>Buggy</v>
      </c>
      <c r="R424" s="13"/>
      <c r="S424" s="13"/>
      <c r="T424" s="13"/>
      <c r="U424" s="13"/>
      <c r="V424" s="13"/>
      <c r="W424" s="13"/>
    </row>
    <row r="425" spans="1:23" x14ac:dyDescent="0.35">
      <c r="A425" s="5" t="s">
        <v>974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>LEFT($A425,FIND("_",$A425)-1)</f>
        <v>SimFix</v>
      </c>
      <c r="P425" s="13" t="str">
        <f>IF($O425="ACS", "True Search", IF($O425="Arja", "Evolutionary Search", IF($O425="AVATAR", "True Pattern", IF($O425="CapGen", "Search Like Pattern", IF($O425="Cardumen", "True Semantic", IF($O425="DynaMoth", "True Semantic", IF($O425="FixMiner", "True Pattern", IF($O425="GenProg-A", "Evolutionary Search", IF($O425="Hercules", "Learning Pattern", IF($O425="Jaid", "True Semantic",
IF($O425="Kali-A", "True Search", IF($O425="kPAR", "True Pattern", IF($O425="Nopol", "True Semantic", IF($O425="RSRepair-A", "Evolutionary Search", IF($O425="SequenceR", "Deep Learning", IF($O425="SimFix", "Search Like Pattern", IF($O425="SketchFix", "True Pattern", IF($O425="SOFix", "True Pattern", IF($O425="ssFix", "Search Like Pattern", IF($O425="TBar", "True Pattern", ""))))))))))))))))))))</f>
        <v>Search Like Pattern</v>
      </c>
      <c r="Q425" s="13" t="str">
        <f>IF(NOT(ISERR(SEARCH("*_Buggy",$A425))), "Buggy", IF(NOT(ISERR(SEARCH("*_Fixed",$A425))), "Fixed", IF(NOT(ISERR(SEARCH("*_Repaired",$A425))), "Repaired", "")))</f>
        <v>Buggy</v>
      </c>
      <c r="R425" s="13"/>
      <c r="S425" s="13"/>
      <c r="T425" s="13"/>
      <c r="U425" s="13"/>
      <c r="V425" s="13"/>
      <c r="W425" s="13"/>
    </row>
    <row r="426" spans="1:23" x14ac:dyDescent="0.35">
      <c r="A426" s="7" t="s">
        <v>825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>LEFT($A426,FIND("_",$A426)-1)</f>
        <v>SimFix</v>
      </c>
      <c r="P426" s="13" t="str">
        <f>IF($O426="ACS", "True Search", IF($O426="Arja", "Evolutionary Search", IF($O426="AVATAR", "True Pattern", IF($O426="CapGen", "Search Like Pattern", IF($O426="Cardumen", "True Semantic", IF($O426="DynaMoth", "True Semantic", IF($O426="FixMiner", "True Pattern", IF($O426="GenProg-A", "Evolutionary Search", IF($O426="Hercules", "Learning Pattern", IF($O426="Jaid", "True Semantic",
IF($O426="Kali-A", "True Search", IF($O426="kPAR", "True Pattern", IF($O426="Nopol", "True Semantic", IF($O426="RSRepair-A", "Evolutionary Search", IF($O426="SequenceR", "Deep Learning", IF($O426="SimFix", "Search Like Pattern", IF($O426="SketchFix", "True Pattern", IF($O426="SOFix", "True Pattern", IF($O426="ssFix", "Search Like Pattern", IF($O426="TBar", "True Pattern", ""))))))))))))))))))))</f>
        <v>Search Like Pattern</v>
      </c>
      <c r="Q426" s="13" t="str">
        <f>IF(NOT(ISERR(SEARCH("*_Buggy",$A426))), "Buggy", IF(NOT(ISERR(SEARCH("*_Fixed",$A426))), "Fixed", IF(NOT(ISERR(SEARCH("*_Repaired",$A426))), "Repaired", "")))</f>
        <v>Buggy</v>
      </c>
      <c r="R426" s="13"/>
      <c r="S426" s="13"/>
      <c r="T426" s="13"/>
      <c r="U426" s="13"/>
      <c r="V426" s="13"/>
      <c r="W426" s="13"/>
    </row>
    <row r="427" spans="1:23" x14ac:dyDescent="0.35">
      <c r="A427" s="5" t="s">
        <v>392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>LEFT($A427,FIND("_",$A427)-1)</f>
        <v>SimFix</v>
      </c>
      <c r="P427" s="13" t="str">
        <f>IF($O427="ACS", "True Search", IF($O427="Arja", "Evolutionary Search", IF($O427="AVATAR", "True Pattern", IF($O427="CapGen", "Search Like Pattern", IF($O427="Cardumen", "True Semantic", IF($O427="DynaMoth", "True Semantic", IF($O427="FixMiner", "True Pattern", IF($O427="GenProg-A", "Evolutionary Search", IF($O427="Hercules", "Learning Pattern", IF($O427="Jaid", "True Semantic",
IF($O427="Kali-A", "True Search", IF($O427="kPAR", "True Pattern", IF($O427="Nopol", "True Semantic", IF($O427="RSRepair-A", "Evolutionary Search", IF($O427="SequenceR", "Deep Learning", IF($O427="SimFix", "Search Like Pattern", IF($O427="SketchFix", "True Pattern", IF($O427="SOFix", "True Pattern", IF($O427="ssFix", "Search Like Pattern", IF($O427="TBar", "True Pattern", ""))))))))))))))))))))</f>
        <v>Search Like Pattern</v>
      </c>
      <c r="Q427" s="13" t="str">
        <f>IF(NOT(ISERR(SEARCH("*_Buggy",$A427))), "Buggy", IF(NOT(ISERR(SEARCH("*_Fixed",$A427))), "Fixed", IF(NOT(ISERR(SEARCH("*_Repaired",$A427))), "Repaired", "")))</f>
        <v>Buggy</v>
      </c>
      <c r="R427" s="13"/>
      <c r="S427" s="13"/>
      <c r="T427" s="13"/>
      <c r="U427" s="13"/>
      <c r="V427" s="13"/>
      <c r="W427" s="13"/>
    </row>
    <row r="428" spans="1:23" x14ac:dyDescent="0.35">
      <c r="A428" s="7" t="s">
        <v>81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>LEFT($A428,FIND("_",$A428)-1)</f>
        <v>SimFix</v>
      </c>
      <c r="P428" s="13" t="str">
        <f>IF($O428="ACS", "True Search", IF($O428="Arja", "Evolutionary Search", IF($O428="AVATAR", "True Pattern", IF($O428="CapGen", "Search Like Pattern", IF($O428="Cardumen", "True Semantic", IF($O428="DynaMoth", "True Semantic", IF($O428="FixMiner", "True Pattern", IF($O428="GenProg-A", "Evolutionary Search", IF($O428="Hercules", "Learning Pattern", IF($O428="Jaid", "True Semantic",
IF($O428="Kali-A", "True Search", IF($O428="kPAR", "True Pattern", IF($O428="Nopol", "True Semantic", IF($O428="RSRepair-A", "Evolutionary Search", IF($O428="SequenceR", "Deep Learning", IF($O428="SimFix", "Search Like Pattern", IF($O428="SketchFix", "True Pattern", IF($O428="SOFix", "True Pattern", IF($O428="ssFix", "Search Like Pattern", IF($O428="TBar", "True Pattern", ""))))))))))))))))))))</f>
        <v>Search Like Pattern</v>
      </c>
      <c r="Q428" s="13" t="str">
        <f>IF(NOT(ISERR(SEARCH("*_Buggy",$A428))), "Buggy", IF(NOT(ISERR(SEARCH("*_Fixed",$A428))), "Fixed", IF(NOT(ISERR(SEARCH("*_Repaired",$A428))), "Repaired", "")))</f>
        <v>Buggy</v>
      </c>
      <c r="R428" s="13"/>
      <c r="S428" s="13"/>
      <c r="T428" s="13"/>
      <c r="U428" s="13"/>
      <c r="V428" s="13"/>
      <c r="W428" s="13"/>
    </row>
    <row r="429" spans="1:23" x14ac:dyDescent="0.35">
      <c r="A429" s="7" t="s">
        <v>1274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>LEFT($A429,FIND("_",$A429)-1)</f>
        <v>SimFix</v>
      </c>
      <c r="P429" s="13" t="str">
        <f>IF($O429="ACS", "True Search", IF($O429="Arja", "Evolutionary Search", IF($O429="AVATAR", "True Pattern", IF($O429="CapGen", "Search Like Pattern", IF($O429="Cardumen", "True Semantic", IF($O429="DynaMoth", "True Semantic", IF($O429="FixMiner", "True Pattern", IF($O429="GenProg-A", "Evolutionary Search", IF($O429="Hercules", "Learning Pattern", IF($O429="Jaid", "True Semantic",
IF($O429="Kali-A", "True Search", IF($O429="kPAR", "True Pattern", IF($O429="Nopol", "True Semantic", IF($O429="RSRepair-A", "Evolutionary Search", IF($O429="SequenceR", "Deep Learning", IF($O429="SimFix", "Search Like Pattern", IF($O429="SketchFix", "True Pattern", IF($O429="SOFix", "True Pattern", IF($O429="ssFix", "Search Like Pattern", IF($O429="TBar", "True Pattern", ""))))))))))))))))))))</f>
        <v>Search Like Pattern</v>
      </c>
      <c r="Q429" s="13" t="str">
        <f>IF(NOT(ISERR(SEARCH("*_Buggy",$A429))), "Buggy", IF(NOT(ISERR(SEARCH("*_Fixed",$A429))), "Fixed", IF(NOT(ISERR(SEARCH("*_Repaired",$A429))), "Repaired", "")))</f>
        <v>Buggy</v>
      </c>
      <c r="R429" s="13"/>
      <c r="S429" s="13"/>
      <c r="T429" s="13"/>
      <c r="U429" s="13"/>
      <c r="V429" s="13"/>
      <c r="W429" s="13"/>
    </row>
    <row r="430" spans="1:23" x14ac:dyDescent="0.35">
      <c r="A430" s="5" t="s">
        <v>429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>LEFT($A430,FIND("_",$A430)-1)</f>
        <v>SimFix</v>
      </c>
      <c r="P430" s="13" t="str">
        <f>IF($O430="ACS", "True Search", IF($O430="Arja", "Evolutionary Search", IF($O430="AVATAR", "True Pattern", IF($O430="CapGen", "Search Like Pattern", IF($O430="Cardumen", "True Semantic", IF($O430="DynaMoth", "True Semantic", IF($O430="FixMiner", "True Pattern", IF($O430="GenProg-A", "Evolutionary Search", IF($O430="Hercules", "Learning Pattern", IF($O430="Jaid", "True Semantic",
IF($O430="Kali-A", "True Search", IF($O430="kPAR", "True Pattern", IF($O430="Nopol", "True Semantic", IF($O430="RSRepair-A", "Evolutionary Search", IF($O430="SequenceR", "Deep Learning", IF($O430="SimFix", "Search Like Pattern", IF($O430="SketchFix", "True Pattern", IF($O430="SOFix", "True Pattern", IF($O430="ssFix", "Search Like Pattern", IF($O430="TBar", "True Pattern", ""))))))))))))))))))))</f>
        <v>Search Like Pattern</v>
      </c>
      <c r="Q430" s="13" t="str">
        <f>IF(NOT(ISERR(SEARCH("*_Buggy",$A430))), "Buggy", IF(NOT(ISERR(SEARCH("*_Fixed",$A430))), "Fixed", IF(NOT(ISERR(SEARCH("*_Repaired",$A430))), "Repaired", "")))</f>
        <v>Buggy</v>
      </c>
      <c r="R430" s="13"/>
      <c r="S430" s="13"/>
      <c r="T430" s="13"/>
      <c r="U430" s="13"/>
      <c r="V430" s="13"/>
      <c r="W430" s="13"/>
    </row>
    <row r="431" spans="1:23" x14ac:dyDescent="0.35">
      <c r="A431" s="7" t="s">
        <v>296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>LEFT($A431,FIND("_",$A431)-1)</f>
        <v>SimFix</v>
      </c>
      <c r="P431" s="13" t="str">
        <f>IF($O431="ACS", "True Search", IF($O431="Arja", "Evolutionary Search", IF($O431="AVATAR", "True Pattern", IF($O431="CapGen", "Search Like Pattern", IF($O431="Cardumen", "True Semantic", IF($O431="DynaMoth", "True Semantic", IF($O431="FixMiner", "True Pattern", IF($O431="GenProg-A", "Evolutionary Search", IF($O431="Hercules", "Learning Pattern", IF($O431="Jaid", "True Semantic",
IF($O431="Kali-A", "True Search", IF($O431="kPAR", "True Pattern", IF($O431="Nopol", "True Semantic", IF($O431="RSRepair-A", "Evolutionary Search", IF($O431="SequenceR", "Deep Learning", IF($O431="SimFix", "Search Like Pattern", IF($O431="SketchFix", "True Pattern", IF($O431="SOFix", "True Pattern", IF($O431="ssFix", "Search Like Pattern", IF($O431="TBar", "True Pattern", ""))))))))))))))))))))</f>
        <v>Search Like Pattern</v>
      </c>
      <c r="Q431" s="13" t="str">
        <f>IF(NOT(ISERR(SEARCH("*_Buggy",$A431))), "Buggy", IF(NOT(ISERR(SEARCH("*_Fixed",$A431))), "Fixed", IF(NOT(ISERR(SEARCH("*_Repaired",$A431))), "Repaired", "")))</f>
        <v>Buggy</v>
      </c>
      <c r="R431" s="13"/>
      <c r="S431" s="13"/>
      <c r="T431" s="13"/>
      <c r="U431" s="13"/>
      <c r="V431" s="13"/>
      <c r="W431" s="13"/>
    </row>
    <row r="432" spans="1:23" x14ac:dyDescent="0.35">
      <c r="A432" s="5" t="s">
        <v>978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>LEFT($A432,FIND("_",$A432)-1)</f>
        <v>SimFix</v>
      </c>
      <c r="P432" s="13" t="str">
        <f>IF($O432="ACS", "True Search", IF($O432="Arja", "Evolutionary Search", IF($O432="AVATAR", "True Pattern", IF($O432="CapGen", "Search Like Pattern", IF($O432="Cardumen", "True Semantic", IF($O432="DynaMoth", "True Semantic", IF($O432="FixMiner", "True Pattern", IF($O432="GenProg-A", "Evolutionary Search", IF($O432="Hercules", "Learning Pattern", IF($O432="Jaid", "True Semantic",
IF($O432="Kali-A", "True Search", IF($O432="kPAR", "True Pattern", IF($O432="Nopol", "True Semantic", IF($O432="RSRepair-A", "Evolutionary Search", IF($O432="SequenceR", "Deep Learning", IF($O432="SimFix", "Search Like Pattern", IF($O432="SketchFix", "True Pattern", IF($O432="SOFix", "True Pattern", IF($O432="ssFix", "Search Like Pattern", IF($O432="TBar", "True Pattern", ""))))))))))))))))))))</f>
        <v>Search Like Pattern</v>
      </c>
      <c r="Q432" s="13" t="str">
        <f>IF(NOT(ISERR(SEARCH("*_Buggy",$A432))), "Buggy", IF(NOT(ISERR(SEARCH("*_Fixed",$A432))), "Fixed", IF(NOT(ISERR(SEARCH("*_Repaired",$A432))), "Repaired", "")))</f>
        <v>Buggy</v>
      </c>
      <c r="R432" s="13"/>
      <c r="S432" s="13"/>
      <c r="T432" s="13"/>
      <c r="U432" s="13"/>
      <c r="V432" s="13"/>
      <c r="W432" s="13"/>
    </row>
    <row r="433" spans="1:23" x14ac:dyDescent="0.35">
      <c r="A433" s="5" t="s">
        <v>189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>LEFT($A433,FIND("_",$A433)-1)</f>
        <v>SimFix</v>
      </c>
      <c r="P433" s="13" t="str">
        <f>IF($O433="ACS", "True Search", IF($O433="Arja", "Evolutionary Search", IF($O433="AVATAR", "True Pattern", IF($O433="CapGen", "Search Like Pattern", IF($O433="Cardumen", "True Semantic", IF($O433="DynaMoth", "True Semantic", IF($O433="FixMiner", "True Pattern", IF($O433="GenProg-A", "Evolutionary Search", IF($O433="Hercules", "Learning Pattern", IF($O433="Jaid", "True Semantic",
IF($O433="Kali-A", "True Search", IF($O433="kPAR", "True Pattern", IF($O433="Nopol", "True Semantic", IF($O433="RSRepair-A", "Evolutionary Search", IF($O433="SequenceR", "Deep Learning", IF($O433="SimFix", "Search Like Pattern", IF($O433="SketchFix", "True Pattern", IF($O433="SOFix", "True Pattern", IF($O433="ssFix", "Search Like Pattern", IF($O433="TBar", "True Pattern", ""))))))))))))))))))))</f>
        <v>Search Like Pattern</v>
      </c>
      <c r="Q433" s="13" t="str">
        <f>IF(NOT(ISERR(SEARCH("*_Buggy",$A433))), "Buggy", IF(NOT(ISERR(SEARCH("*_Fixed",$A433))), "Fixed", IF(NOT(ISERR(SEARCH("*_Repaired",$A433))), "Repaired", "")))</f>
        <v>Buggy</v>
      </c>
      <c r="R433" s="13"/>
      <c r="S433" s="13"/>
      <c r="T433" s="13"/>
      <c r="U433" s="13"/>
      <c r="V433" s="13"/>
      <c r="W433" s="13"/>
    </row>
    <row r="434" spans="1:23" x14ac:dyDescent="0.35">
      <c r="A434" s="5" t="s">
        <v>916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>LEFT($A434,FIND("_",$A434)-1)</f>
        <v>SimFix</v>
      </c>
      <c r="P434" s="13" t="str">
        <f>IF($O434="ACS", "True Search", IF($O434="Arja", "Evolutionary Search", IF($O434="AVATAR", "True Pattern", IF($O434="CapGen", "Search Like Pattern", IF($O434="Cardumen", "True Semantic", IF($O434="DynaMoth", "True Semantic", IF($O434="FixMiner", "True Pattern", IF($O434="GenProg-A", "Evolutionary Search", IF($O434="Hercules", "Learning Pattern", IF($O434="Jaid", "True Semantic",
IF($O434="Kali-A", "True Search", IF($O434="kPAR", "True Pattern", IF($O434="Nopol", "True Semantic", IF($O434="RSRepair-A", "Evolutionary Search", IF($O434="SequenceR", "Deep Learning", IF($O434="SimFix", "Search Like Pattern", IF($O434="SketchFix", "True Pattern", IF($O434="SOFix", "True Pattern", IF($O434="ssFix", "Search Like Pattern", IF($O434="TBar", "True Pattern", ""))))))))))))))))))))</f>
        <v>Search Like Pattern</v>
      </c>
      <c r="Q434" s="13" t="str">
        <f>IF(NOT(ISERR(SEARCH("*_Buggy",$A434))), "Buggy", IF(NOT(ISERR(SEARCH("*_Fixed",$A434))), "Fixed", IF(NOT(ISERR(SEARCH("*_Repaired",$A434))), "Repaired", "")))</f>
        <v>Buggy</v>
      </c>
      <c r="R434" s="13"/>
      <c r="S434" s="13"/>
      <c r="T434" s="13"/>
      <c r="U434" s="13"/>
      <c r="V434" s="13"/>
      <c r="W434" s="13"/>
    </row>
    <row r="435" spans="1:23" x14ac:dyDescent="0.35">
      <c r="A435" s="7" t="s">
        <v>1162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>LEFT($A435,FIND("_",$A435)-1)</f>
        <v>SimFix</v>
      </c>
      <c r="P435" s="13" t="str">
        <f>IF($O435="ACS", "True Search", IF($O435="Arja", "Evolutionary Search", IF($O435="AVATAR", "True Pattern", IF($O435="CapGen", "Search Like Pattern", IF($O435="Cardumen", "True Semantic", IF($O435="DynaMoth", "True Semantic", IF($O435="FixMiner", "True Pattern", IF($O435="GenProg-A", "Evolutionary Search", IF($O435="Hercules", "Learning Pattern", IF($O435="Jaid", "True Semantic",
IF($O435="Kali-A", "True Search", IF($O435="kPAR", "True Pattern", IF($O435="Nopol", "True Semantic", IF($O435="RSRepair-A", "Evolutionary Search", IF($O435="SequenceR", "Deep Learning", IF($O435="SimFix", "Search Like Pattern", IF($O435="SketchFix", "True Pattern", IF($O435="SOFix", "True Pattern", IF($O435="ssFix", "Search Like Pattern", IF($O435="TBar", "True Pattern", ""))))))))))))))))))))</f>
        <v>Search Like Pattern</v>
      </c>
      <c r="Q435" s="13" t="str">
        <f>IF(NOT(ISERR(SEARCH("*_Buggy",$A435))), "Buggy", IF(NOT(ISERR(SEARCH("*_Fixed",$A435))), "Fixed", IF(NOT(ISERR(SEARCH("*_Repaired",$A435))), "Repaired", "")))</f>
        <v>Buggy</v>
      </c>
      <c r="R435" s="13"/>
      <c r="S435" s="13"/>
      <c r="T435" s="13"/>
      <c r="U435" s="13"/>
      <c r="V435" s="13"/>
      <c r="W435" s="13"/>
    </row>
    <row r="436" spans="1:23" x14ac:dyDescent="0.35">
      <c r="A436" s="7" t="s">
        <v>1010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>LEFT($A436,FIND("_",$A436)-1)</f>
        <v>SimFix</v>
      </c>
      <c r="P436" s="13" t="str">
        <f>IF($O436="ACS", "True Search", IF($O436="Arja", "Evolutionary Search", IF($O436="AVATAR", "True Pattern", IF($O436="CapGen", "Search Like Pattern", IF($O436="Cardumen", "True Semantic", IF($O436="DynaMoth", "True Semantic", IF($O436="FixMiner", "True Pattern", IF($O436="GenProg-A", "Evolutionary Search", IF($O436="Hercules", "Learning Pattern", IF($O436="Jaid", "True Semantic",
IF($O436="Kali-A", "True Search", IF($O436="kPAR", "True Pattern", IF($O436="Nopol", "True Semantic", IF($O436="RSRepair-A", "Evolutionary Search", IF($O436="SequenceR", "Deep Learning", IF($O436="SimFix", "Search Like Pattern", IF($O436="SketchFix", "True Pattern", IF($O436="SOFix", "True Pattern", IF($O436="ssFix", "Search Like Pattern", IF($O436="TBar", "True Pattern", ""))))))))))))))))))))</f>
        <v>Search Like Pattern</v>
      </c>
      <c r="Q436" s="13" t="str">
        <f>IF(NOT(ISERR(SEARCH("*_Buggy",$A436))), "Buggy", IF(NOT(ISERR(SEARCH("*_Fixed",$A436))), "Fixed", IF(NOT(ISERR(SEARCH("*_Repaired",$A436))), "Repaired", "")))</f>
        <v>Buggy</v>
      </c>
      <c r="R436" s="13"/>
      <c r="S436" s="13"/>
      <c r="T436" s="13"/>
      <c r="U436" s="13"/>
      <c r="V436" s="13"/>
      <c r="W436" s="13"/>
    </row>
    <row r="437" spans="1:23" x14ac:dyDescent="0.35">
      <c r="A437" s="5" t="s">
        <v>328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>LEFT($A437,FIND("_",$A437)-1)</f>
        <v>SimFix</v>
      </c>
      <c r="P437" s="13" t="str">
        <f>IF($O437="ACS", "True Search", IF($O437="Arja", "Evolutionary Search", IF($O437="AVATAR", "True Pattern", IF($O437="CapGen", "Search Like Pattern", IF($O437="Cardumen", "True Semantic", IF($O437="DynaMoth", "True Semantic", IF($O437="FixMiner", "True Pattern", IF($O437="GenProg-A", "Evolutionary Search", IF($O437="Hercules", "Learning Pattern", IF($O437="Jaid", "True Semantic",
IF($O437="Kali-A", "True Search", IF($O437="kPAR", "True Pattern", IF($O437="Nopol", "True Semantic", IF($O437="RSRepair-A", "Evolutionary Search", IF($O437="SequenceR", "Deep Learning", IF($O437="SimFix", "Search Like Pattern", IF($O437="SketchFix", "True Pattern", IF($O437="SOFix", "True Pattern", IF($O437="ssFix", "Search Like Pattern", IF($O437="TBar", "True Pattern", ""))))))))))))))))))))</f>
        <v>Search Like Pattern</v>
      </c>
      <c r="Q437" s="13" t="str">
        <f>IF(NOT(ISERR(SEARCH("*_Buggy",$A437))), "Buggy", IF(NOT(ISERR(SEARCH("*_Fixed",$A437))), "Fixed", IF(NOT(ISERR(SEARCH("*_Repaired",$A437))), "Repaired", "")))</f>
        <v>Buggy</v>
      </c>
      <c r="R437" s="13"/>
      <c r="S437" s="13"/>
      <c r="T437" s="13"/>
      <c r="U437" s="13"/>
      <c r="V437" s="13"/>
      <c r="W437" s="13"/>
    </row>
    <row r="438" spans="1:23" x14ac:dyDescent="0.35">
      <c r="A438" s="7" t="s">
        <v>1121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>LEFT($A438,FIND("_",$A438)-1)</f>
        <v>SimFix</v>
      </c>
      <c r="P438" s="13" t="str">
        <f>IF($O438="ACS", "True Search", IF($O438="Arja", "Evolutionary Search", IF($O438="AVATAR", "True Pattern", IF($O438="CapGen", "Search Like Pattern", IF($O438="Cardumen", "True Semantic", IF($O438="DynaMoth", "True Semantic", IF($O438="FixMiner", "True Pattern", IF($O438="GenProg-A", "Evolutionary Search", IF($O438="Hercules", "Learning Pattern", IF($O438="Jaid", "True Semantic",
IF($O438="Kali-A", "True Search", IF($O438="kPAR", "True Pattern", IF($O438="Nopol", "True Semantic", IF($O438="RSRepair-A", "Evolutionary Search", IF($O438="SequenceR", "Deep Learning", IF($O438="SimFix", "Search Like Pattern", IF($O438="SketchFix", "True Pattern", IF($O438="SOFix", "True Pattern", IF($O438="ssFix", "Search Like Pattern", IF($O438="TBar", "True Pattern", ""))))))))))))))))))))</f>
        <v>Search Like Pattern</v>
      </c>
      <c r="Q438" s="13" t="str">
        <f>IF(NOT(ISERR(SEARCH("*_Buggy",$A438))), "Buggy", IF(NOT(ISERR(SEARCH("*_Fixed",$A438))), "Fixed", IF(NOT(ISERR(SEARCH("*_Repaired",$A438))), "Repaired", "")))</f>
        <v>Buggy</v>
      </c>
      <c r="R438" s="13"/>
      <c r="S438" s="13"/>
      <c r="T438" s="13"/>
      <c r="U438" s="13"/>
      <c r="V438" s="13"/>
      <c r="W438" s="13"/>
    </row>
    <row r="439" spans="1:23" x14ac:dyDescent="0.35">
      <c r="A439" s="7" t="s">
        <v>552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>LEFT($A439,FIND("_",$A439)-1)</f>
        <v>SimFix</v>
      </c>
      <c r="P439" s="13" t="str">
        <f>IF($O439="ACS", "True Search", IF($O439="Arja", "Evolutionary Search", IF($O439="AVATAR", "True Pattern", IF($O439="CapGen", "Search Like Pattern", IF($O439="Cardumen", "True Semantic", IF($O439="DynaMoth", "True Semantic", IF($O439="FixMiner", "True Pattern", IF($O439="GenProg-A", "Evolutionary Search", IF($O439="Hercules", "Learning Pattern", IF($O439="Jaid", "True Semantic",
IF($O439="Kali-A", "True Search", IF($O439="kPAR", "True Pattern", IF($O439="Nopol", "True Semantic", IF($O439="RSRepair-A", "Evolutionary Search", IF($O439="SequenceR", "Deep Learning", IF($O439="SimFix", "Search Like Pattern", IF($O439="SketchFix", "True Pattern", IF($O439="SOFix", "True Pattern", IF($O439="ssFix", "Search Like Pattern", IF($O439="TBar", "True Pattern", ""))))))))))))))))))))</f>
        <v>Search Like Pattern</v>
      </c>
      <c r="Q439" s="13" t="str">
        <f>IF(NOT(ISERR(SEARCH("*_Buggy",$A439))), "Buggy", IF(NOT(ISERR(SEARCH("*_Fixed",$A439))), "Fixed", IF(NOT(ISERR(SEARCH("*_Repaired",$A439))), "Repaired", "")))</f>
        <v>Buggy</v>
      </c>
      <c r="R439" s="13"/>
      <c r="S439" s="13"/>
      <c r="T439" s="13"/>
      <c r="U439" s="13"/>
      <c r="V439" s="13"/>
      <c r="W439" s="13"/>
    </row>
    <row r="440" spans="1:23" x14ac:dyDescent="0.35">
      <c r="A440" s="5" t="s">
        <v>108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>LEFT($A440,FIND("_",$A440)-1)</f>
        <v>SimFix</v>
      </c>
      <c r="P440" s="13" t="str">
        <f>IF($O440="ACS", "True Search", IF($O440="Arja", "Evolutionary Search", IF($O440="AVATAR", "True Pattern", IF($O440="CapGen", "Search Like Pattern", IF($O440="Cardumen", "True Semantic", IF($O440="DynaMoth", "True Semantic", IF($O440="FixMiner", "True Pattern", IF($O440="GenProg-A", "Evolutionary Search", IF($O440="Hercules", "Learning Pattern", IF($O440="Jaid", "True Semantic",
IF($O440="Kali-A", "True Search", IF($O440="kPAR", "True Pattern", IF($O440="Nopol", "True Semantic", IF($O440="RSRepair-A", "Evolutionary Search", IF($O440="SequenceR", "Deep Learning", IF($O440="SimFix", "Search Like Pattern", IF($O440="SketchFix", "True Pattern", IF($O440="SOFix", "True Pattern", IF($O440="ssFix", "Search Like Pattern", IF($O440="TBar", "True Pattern", ""))))))))))))))))))))</f>
        <v>Search Like Pattern</v>
      </c>
      <c r="Q440" s="13" t="str">
        <f>IF(NOT(ISERR(SEARCH("*_Buggy",$A440))), "Buggy", IF(NOT(ISERR(SEARCH("*_Fixed",$A440))), "Fixed", IF(NOT(ISERR(SEARCH("*_Repaired",$A440))), "Repaired", "")))</f>
        <v>Buggy</v>
      </c>
      <c r="R440" s="13"/>
      <c r="S440" s="13"/>
      <c r="T440" s="13"/>
      <c r="U440" s="13"/>
      <c r="V440" s="13"/>
      <c r="W440" s="13"/>
    </row>
    <row r="441" spans="1:23" x14ac:dyDescent="0.35">
      <c r="A441" s="7" t="s">
        <v>792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>LEFT($A441,FIND("_",$A441)-1)</f>
        <v>SimFix</v>
      </c>
      <c r="P441" s="13" t="str">
        <f>IF($O441="ACS", "True Search", IF($O441="Arja", "Evolutionary Search", IF($O441="AVATAR", "True Pattern", IF($O441="CapGen", "Search Like Pattern", IF($O441="Cardumen", "True Semantic", IF($O441="DynaMoth", "True Semantic", IF($O441="FixMiner", "True Pattern", IF($O441="GenProg-A", "Evolutionary Search", IF($O441="Hercules", "Learning Pattern", IF($O441="Jaid", "True Semantic",
IF($O441="Kali-A", "True Search", IF($O441="kPAR", "True Pattern", IF($O441="Nopol", "True Semantic", IF($O441="RSRepair-A", "Evolutionary Search", IF($O441="SequenceR", "Deep Learning", IF($O441="SimFix", "Search Like Pattern", IF($O441="SketchFix", "True Pattern", IF($O441="SOFix", "True Pattern", IF($O441="ssFix", "Search Like Pattern", IF($O441="TBar", "True Pattern", ""))))))))))))))))))))</f>
        <v>Search Like Pattern</v>
      </c>
      <c r="Q441" s="13" t="str">
        <f>IF(NOT(ISERR(SEARCH("*_Buggy",$A441))), "Buggy", IF(NOT(ISERR(SEARCH("*_Fixed",$A441))), "Fixed", IF(NOT(ISERR(SEARCH("*_Repaired",$A441))), "Repaired", "")))</f>
        <v>Buggy</v>
      </c>
      <c r="R441" s="13"/>
      <c r="S441" s="13"/>
      <c r="T441" s="13"/>
      <c r="U441" s="13"/>
      <c r="V441" s="13"/>
      <c r="W441" s="13"/>
    </row>
    <row r="442" spans="1:23" x14ac:dyDescent="0.35">
      <c r="A442" s="5" t="s">
        <v>601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>LEFT($A442,FIND("_",$A442)-1)</f>
        <v>SimFix</v>
      </c>
      <c r="P442" s="13" t="str">
        <f>IF($O442="ACS", "True Search", IF($O442="Arja", "Evolutionary Search", IF($O442="AVATAR", "True Pattern", IF($O442="CapGen", "Search Like Pattern", IF($O442="Cardumen", "True Semantic", IF($O442="DynaMoth", "True Semantic", IF($O442="FixMiner", "True Pattern", IF($O442="GenProg-A", "Evolutionary Search", IF($O442="Hercules", "Learning Pattern", IF($O442="Jaid", "True Semantic",
IF($O442="Kali-A", "True Search", IF($O442="kPAR", "True Pattern", IF($O442="Nopol", "True Semantic", IF($O442="RSRepair-A", "Evolutionary Search", IF($O442="SequenceR", "Deep Learning", IF($O442="SimFix", "Search Like Pattern", IF($O442="SketchFix", "True Pattern", IF($O442="SOFix", "True Pattern", IF($O442="ssFix", "Search Like Pattern", IF($O442="TBar", "True Pattern", ""))))))))))))))))))))</f>
        <v>Search Like Pattern</v>
      </c>
      <c r="Q442" s="13" t="str">
        <f>IF(NOT(ISERR(SEARCH("*_Buggy",$A442))), "Buggy", IF(NOT(ISERR(SEARCH("*_Fixed",$A442))), "Fixed", IF(NOT(ISERR(SEARCH("*_Repaired",$A442))), "Repaired", "")))</f>
        <v>Buggy</v>
      </c>
      <c r="R442" s="13"/>
      <c r="S442" s="13"/>
      <c r="T442" s="13"/>
      <c r="U442" s="13"/>
      <c r="V442" s="13"/>
      <c r="W442" s="13"/>
    </row>
    <row r="443" spans="1:23" x14ac:dyDescent="0.35">
      <c r="A443" s="7" t="s">
        <v>1256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>LEFT($A443,FIND("_",$A443)-1)</f>
        <v>SimFix</v>
      </c>
      <c r="P443" s="13" t="str">
        <f>IF($O443="ACS", "True Search", IF($O443="Arja", "Evolutionary Search", IF($O443="AVATAR", "True Pattern", IF($O443="CapGen", "Search Like Pattern", IF($O443="Cardumen", "True Semantic", IF($O443="DynaMoth", "True Semantic", IF($O443="FixMiner", "True Pattern", IF($O443="GenProg-A", "Evolutionary Search", IF($O443="Hercules", "Learning Pattern", IF($O443="Jaid", "True Semantic",
IF($O443="Kali-A", "True Search", IF($O443="kPAR", "True Pattern", IF($O443="Nopol", "True Semantic", IF($O443="RSRepair-A", "Evolutionary Search", IF($O443="SequenceR", "Deep Learning", IF($O443="SimFix", "Search Like Pattern", IF($O443="SketchFix", "True Pattern", IF($O443="SOFix", "True Pattern", IF($O443="ssFix", "Search Like Pattern", IF($O443="TBar", "True Pattern", ""))))))))))))))))))))</f>
        <v>Search Like Pattern</v>
      </c>
      <c r="Q443" s="13" t="str">
        <f>IF(NOT(ISERR(SEARCH("*_Buggy",$A443))), "Buggy", IF(NOT(ISERR(SEARCH("*_Fixed",$A443))), "Fixed", IF(NOT(ISERR(SEARCH("*_Repaired",$A443))), "Repaired", "")))</f>
        <v>Buggy</v>
      </c>
      <c r="R443" s="13"/>
      <c r="S443" s="13"/>
      <c r="T443" s="13"/>
      <c r="U443" s="13"/>
      <c r="V443" s="13"/>
      <c r="W443" s="13"/>
    </row>
    <row r="444" spans="1:23" x14ac:dyDescent="0.35">
      <c r="A444" s="5" t="s">
        <v>968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>LEFT($A444,FIND("_",$A444)-1)</f>
        <v>SimFix</v>
      </c>
      <c r="P444" s="13" t="str">
        <f>IF($O444="ACS", "True Search", IF($O444="Arja", "Evolutionary Search", IF($O444="AVATAR", "True Pattern", IF($O444="CapGen", "Search Like Pattern", IF($O444="Cardumen", "True Semantic", IF($O444="DynaMoth", "True Semantic", IF($O444="FixMiner", "True Pattern", IF($O444="GenProg-A", "Evolutionary Search", IF($O444="Hercules", "Learning Pattern", IF($O444="Jaid", "True Semantic",
IF($O444="Kali-A", "True Search", IF($O444="kPAR", "True Pattern", IF($O444="Nopol", "True Semantic", IF($O444="RSRepair-A", "Evolutionary Search", IF($O444="SequenceR", "Deep Learning", IF($O444="SimFix", "Search Like Pattern", IF($O444="SketchFix", "True Pattern", IF($O444="SOFix", "True Pattern", IF($O444="ssFix", "Search Like Pattern", IF($O444="TBar", "True Pattern", ""))))))))))))))))))))</f>
        <v>Search Like Pattern</v>
      </c>
      <c r="Q444" s="13" t="str">
        <f>IF(NOT(ISERR(SEARCH("*_Buggy",$A444))), "Buggy", IF(NOT(ISERR(SEARCH("*_Fixed",$A444))), "Fixed", IF(NOT(ISERR(SEARCH("*_Repaired",$A444))), "Repaired", "")))</f>
        <v>Buggy</v>
      </c>
      <c r="R444" s="13"/>
      <c r="S444" s="13"/>
      <c r="T444" s="13"/>
      <c r="U444" s="13"/>
      <c r="V444" s="13"/>
      <c r="W444" s="13"/>
    </row>
    <row r="445" spans="1:23" x14ac:dyDescent="0.35">
      <c r="A445" s="5" t="s">
        <v>1266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>LEFT($A445,FIND("_",$A445)-1)</f>
        <v>SimFix</v>
      </c>
      <c r="P445" s="13" t="str">
        <f>IF($O445="ACS", "True Search", IF($O445="Arja", "Evolutionary Search", IF($O445="AVATAR", "True Pattern", IF($O445="CapGen", "Search Like Pattern", IF($O445="Cardumen", "True Semantic", IF($O445="DynaMoth", "True Semantic", IF($O445="FixMiner", "True Pattern", IF($O445="GenProg-A", "Evolutionary Search", IF($O445="Hercules", "Learning Pattern", IF($O445="Jaid", "True Semantic",
IF($O445="Kali-A", "True Search", IF($O445="kPAR", "True Pattern", IF($O445="Nopol", "True Semantic", IF($O445="RSRepair-A", "Evolutionary Search", IF($O445="SequenceR", "Deep Learning", IF($O445="SimFix", "Search Like Pattern", IF($O445="SketchFix", "True Pattern", IF($O445="SOFix", "True Pattern", IF($O445="ssFix", "Search Like Pattern", IF($O445="TBar", "True Pattern", ""))))))))))))))))))))</f>
        <v>Search Like Pattern</v>
      </c>
      <c r="Q445" s="13" t="str">
        <f>IF(NOT(ISERR(SEARCH("*_Buggy",$A445))), "Buggy", IF(NOT(ISERR(SEARCH("*_Fixed",$A445))), "Fixed", IF(NOT(ISERR(SEARCH("*_Repaired",$A445))), "Repaired", "")))</f>
        <v>Buggy</v>
      </c>
      <c r="R445" s="13"/>
      <c r="S445" s="13"/>
      <c r="T445" s="13"/>
      <c r="U445" s="13"/>
      <c r="V445" s="13"/>
      <c r="W445" s="13"/>
    </row>
    <row r="446" spans="1:23" x14ac:dyDescent="0.35">
      <c r="A446" s="5" t="s">
        <v>122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>LEFT($A446,FIND("_",$A446)-1)</f>
        <v>SimFix</v>
      </c>
      <c r="P446" s="13" t="str">
        <f>IF($O446="ACS", "True Search", IF($O446="Arja", "Evolutionary Search", IF($O446="AVATAR", "True Pattern", IF($O446="CapGen", "Search Like Pattern", IF($O446="Cardumen", "True Semantic", IF($O446="DynaMoth", "True Semantic", IF($O446="FixMiner", "True Pattern", IF($O446="GenProg-A", "Evolutionary Search", IF($O446="Hercules", "Learning Pattern", IF($O446="Jaid", "True Semantic",
IF($O446="Kali-A", "True Search", IF($O446="kPAR", "True Pattern", IF($O446="Nopol", "True Semantic", IF($O446="RSRepair-A", "Evolutionary Search", IF($O446="SequenceR", "Deep Learning", IF($O446="SimFix", "Search Like Pattern", IF($O446="SketchFix", "True Pattern", IF($O446="SOFix", "True Pattern", IF($O446="ssFix", "Search Like Pattern", IF($O446="TBar", "True Pattern", ""))))))))))))))))))))</f>
        <v>Search Like Pattern</v>
      </c>
      <c r="Q446" s="13" t="str">
        <f>IF(NOT(ISERR(SEARCH("*_Buggy",$A446))), "Buggy", IF(NOT(ISERR(SEARCH("*_Fixed",$A446))), "Fixed", IF(NOT(ISERR(SEARCH("*_Repaired",$A446))), "Repaired", "")))</f>
        <v>Buggy</v>
      </c>
      <c r="R446" s="13"/>
      <c r="S446" s="13"/>
      <c r="T446" s="13"/>
      <c r="U446" s="13"/>
      <c r="V446" s="13"/>
      <c r="W446" s="13"/>
    </row>
    <row r="447" spans="1:23" x14ac:dyDescent="0.35">
      <c r="A447" s="5" t="s">
        <v>323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>LEFT($A447,FIND("_",$A447)-1)</f>
        <v>SimFix</v>
      </c>
      <c r="P447" s="13" t="str">
        <f>IF($O447="ACS", "True Search", IF($O447="Arja", "Evolutionary Search", IF($O447="AVATAR", "True Pattern", IF($O447="CapGen", "Search Like Pattern", IF($O447="Cardumen", "True Semantic", IF($O447="DynaMoth", "True Semantic", IF($O447="FixMiner", "True Pattern", IF($O447="GenProg-A", "Evolutionary Search", IF($O447="Hercules", "Learning Pattern", IF($O447="Jaid", "True Semantic",
IF($O447="Kali-A", "True Search", IF($O447="kPAR", "True Pattern", IF($O447="Nopol", "True Semantic", IF($O447="RSRepair-A", "Evolutionary Search", IF($O447="SequenceR", "Deep Learning", IF($O447="SimFix", "Search Like Pattern", IF($O447="SketchFix", "True Pattern", IF($O447="SOFix", "True Pattern", IF($O447="ssFix", "Search Like Pattern", IF($O447="TBar", "True Pattern", ""))))))))))))))))))))</f>
        <v>Search Like Pattern</v>
      </c>
      <c r="Q447" s="13" t="str">
        <f>IF(NOT(ISERR(SEARCH("*_Buggy",$A447))), "Buggy", IF(NOT(ISERR(SEARCH("*_Fixed",$A447))), "Fixed", IF(NOT(ISERR(SEARCH("*_Repaired",$A447))), "Repaired", "")))</f>
        <v>Buggy</v>
      </c>
      <c r="R447" s="13"/>
      <c r="S447" s="13"/>
      <c r="T447" s="13"/>
      <c r="U447" s="13"/>
      <c r="V447" s="13"/>
      <c r="W447" s="13"/>
    </row>
    <row r="448" spans="1:23" x14ac:dyDescent="0.35">
      <c r="A448" s="5" t="s">
        <v>129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>LEFT($A448,FIND("_",$A448)-1)</f>
        <v>SimFix</v>
      </c>
      <c r="P448" s="13" t="str">
        <f>IF($O448="ACS", "True Search", IF($O448="Arja", "Evolutionary Search", IF($O448="AVATAR", "True Pattern", IF($O448="CapGen", "Search Like Pattern", IF($O448="Cardumen", "True Semantic", IF($O448="DynaMoth", "True Semantic", IF($O448="FixMiner", "True Pattern", IF($O448="GenProg-A", "Evolutionary Search", IF($O448="Hercules", "Learning Pattern", IF($O448="Jaid", "True Semantic",
IF($O448="Kali-A", "True Search", IF($O448="kPAR", "True Pattern", IF($O448="Nopol", "True Semantic", IF($O448="RSRepair-A", "Evolutionary Search", IF($O448="SequenceR", "Deep Learning", IF($O448="SimFix", "Search Like Pattern", IF($O448="SketchFix", "True Pattern", IF($O448="SOFix", "True Pattern", IF($O448="ssFix", "Search Like Pattern", IF($O448="TBar", "True Pattern", ""))))))))))))))))))))</f>
        <v>Search Like Pattern</v>
      </c>
      <c r="Q448" s="13" t="str">
        <f>IF(NOT(ISERR(SEARCH("*_Buggy",$A448))), "Buggy", IF(NOT(ISERR(SEARCH("*_Fixed",$A448))), "Fixed", IF(NOT(ISERR(SEARCH("*_Repaired",$A448))), "Repaired", "")))</f>
        <v>Buggy</v>
      </c>
      <c r="R448" s="13"/>
      <c r="S448" s="13"/>
      <c r="T448" s="13"/>
      <c r="U448" s="13"/>
      <c r="V448" s="13"/>
      <c r="W448" s="13"/>
    </row>
    <row r="449" spans="1:23" x14ac:dyDescent="0.35">
      <c r="A449" s="5" t="s">
        <v>62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>LEFT($A449,FIND("_",$A449)-1)</f>
        <v>SimFix</v>
      </c>
      <c r="P449" s="13" t="str">
        <f>IF($O449="ACS", "True Search", IF($O449="Arja", "Evolutionary Search", IF($O449="AVATAR", "True Pattern", IF($O449="CapGen", "Search Like Pattern", IF($O449="Cardumen", "True Semantic", IF($O449="DynaMoth", "True Semantic", IF($O449="FixMiner", "True Pattern", IF($O449="GenProg-A", "Evolutionary Search", IF($O449="Hercules", "Learning Pattern", IF($O449="Jaid", "True Semantic",
IF($O449="Kali-A", "True Search", IF($O449="kPAR", "True Pattern", IF($O449="Nopol", "True Semantic", IF($O449="RSRepair-A", "Evolutionary Search", IF($O449="SequenceR", "Deep Learning", IF($O449="SimFix", "Search Like Pattern", IF($O449="SketchFix", "True Pattern", IF($O449="SOFix", "True Pattern", IF($O449="ssFix", "Search Like Pattern", IF($O449="TBar", "True Pattern", ""))))))))))))))))))))</f>
        <v>Search Like Pattern</v>
      </c>
      <c r="Q449" s="13" t="str">
        <f>IF(NOT(ISERR(SEARCH("*_Buggy",$A449))), "Buggy", IF(NOT(ISERR(SEARCH("*_Fixed",$A449))), "Fixed", IF(NOT(ISERR(SEARCH("*_Repaired",$A449))), "Repaired", "")))</f>
        <v>Buggy</v>
      </c>
      <c r="R449" s="13"/>
      <c r="S449" s="13"/>
      <c r="T449" s="13"/>
      <c r="U449" s="13"/>
      <c r="V449" s="13"/>
      <c r="W449" s="13"/>
    </row>
    <row r="450" spans="1:23" x14ac:dyDescent="0.35">
      <c r="A450" s="7" t="s">
        <v>1008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>LEFT($A450,FIND("_",$A450)-1)</f>
        <v>SimFix</v>
      </c>
      <c r="P450" s="13" t="str">
        <f>IF($O450="ACS", "True Search", IF($O450="Arja", "Evolutionary Search", IF($O450="AVATAR", "True Pattern", IF($O450="CapGen", "Search Like Pattern", IF($O450="Cardumen", "True Semantic", IF($O450="DynaMoth", "True Semantic", IF($O450="FixMiner", "True Pattern", IF($O450="GenProg-A", "Evolutionary Search", IF($O450="Hercules", "Learning Pattern", IF($O450="Jaid", "True Semantic",
IF($O450="Kali-A", "True Search", IF($O450="kPAR", "True Pattern", IF($O450="Nopol", "True Semantic", IF($O450="RSRepair-A", "Evolutionary Search", IF($O450="SequenceR", "Deep Learning", IF($O450="SimFix", "Search Like Pattern", IF($O450="SketchFix", "True Pattern", IF($O450="SOFix", "True Pattern", IF($O450="ssFix", "Search Like Pattern", IF($O450="TBar", "True Pattern", ""))))))))))))))))))))</f>
        <v>Search Like Pattern</v>
      </c>
      <c r="Q450" s="13" t="str">
        <f>IF(NOT(ISERR(SEARCH("*_Buggy",$A450))), "Buggy", IF(NOT(ISERR(SEARCH("*_Fixed",$A450))), "Fixed", IF(NOT(ISERR(SEARCH("*_Repaired",$A450))), "Repaired", "")))</f>
        <v>Buggy</v>
      </c>
      <c r="R450" s="13"/>
      <c r="S450" s="13"/>
      <c r="T450" s="13"/>
      <c r="U450" s="13"/>
      <c r="V450" s="13"/>
      <c r="W450" s="13"/>
    </row>
    <row r="451" spans="1:23" x14ac:dyDescent="0.35">
      <c r="A451" s="7" t="s">
        <v>411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>LEFT($A451,FIND("_",$A451)-1)</f>
        <v>SimFix</v>
      </c>
      <c r="P451" s="13" t="str">
        <f>IF($O451="ACS", "True Search", IF($O451="Arja", "Evolutionary Search", IF($O451="AVATAR", "True Pattern", IF($O451="CapGen", "Search Like Pattern", IF($O451="Cardumen", "True Semantic", IF($O451="DynaMoth", "True Semantic", IF($O451="FixMiner", "True Pattern", IF($O451="GenProg-A", "Evolutionary Search", IF($O451="Hercules", "Learning Pattern", IF($O451="Jaid", "True Semantic",
IF($O451="Kali-A", "True Search", IF($O451="kPAR", "True Pattern", IF($O451="Nopol", "True Semantic", IF($O451="RSRepair-A", "Evolutionary Search", IF($O451="SequenceR", "Deep Learning", IF($O451="SimFix", "Search Like Pattern", IF($O451="SketchFix", "True Pattern", IF($O451="SOFix", "True Pattern", IF($O451="ssFix", "Search Like Pattern", IF($O451="TBar", "True Pattern", ""))))))))))))))))))))</f>
        <v>Search Like Pattern</v>
      </c>
      <c r="Q451" s="13" t="str">
        <f>IF(NOT(ISERR(SEARCH("*_Buggy",$A451))), "Buggy", IF(NOT(ISERR(SEARCH("*_Fixed",$A451))), "Fixed", IF(NOT(ISERR(SEARCH("*_Repaired",$A451))), "Repaired", "")))</f>
        <v>Buggy</v>
      </c>
      <c r="R451" s="13"/>
      <c r="S451" s="13"/>
      <c r="T451" s="13"/>
      <c r="U451" s="13"/>
      <c r="V451" s="13"/>
      <c r="W451" s="13"/>
    </row>
    <row r="452" spans="1:23" x14ac:dyDescent="0.35">
      <c r="A452" s="7" t="s">
        <v>208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>LEFT($A452,FIND("_",$A452)-1)</f>
        <v>SimFix</v>
      </c>
      <c r="P452" s="13" t="str">
        <f>IF($O452="ACS", "True Search", IF($O452="Arja", "Evolutionary Search", IF($O452="AVATAR", "True Pattern", IF($O452="CapGen", "Search Like Pattern", IF($O452="Cardumen", "True Semantic", IF($O452="DynaMoth", "True Semantic", IF($O452="FixMiner", "True Pattern", IF($O452="GenProg-A", "Evolutionary Search", IF($O452="Hercules", "Learning Pattern", IF($O452="Jaid", "True Semantic",
IF($O452="Kali-A", "True Search", IF($O452="kPAR", "True Pattern", IF($O452="Nopol", "True Semantic", IF($O452="RSRepair-A", "Evolutionary Search", IF($O452="SequenceR", "Deep Learning", IF($O452="SimFix", "Search Like Pattern", IF($O452="SketchFix", "True Pattern", IF($O452="SOFix", "True Pattern", IF($O452="ssFix", "Search Like Pattern", IF($O452="TBar", "True Pattern", ""))))))))))))))))))))</f>
        <v>Search Like Pattern</v>
      </c>
      <c r="Q452" s="13" t="str">
        <f>IF(NOT(ISERR(SEARCH("*_Buggy",$A452))), "Buggy", IF(NOT(ISERR(SEARCH("*_Fixed",$A452))), "Fixed", IF(NOT(ISERR(SEARCH("*_Repaired",$A452))), "Repaired", "")))</f>
        <v>Buggy</v>
      </c>
      <c r="R452" s="13"/>
      <c r="S452" s="13"/>
      <c r="T452" s="13"/>
      <c r="U452" s="13"/>
      <c r="V452" s="13"/>
      <c r="W452" s="13"/>
    </row>
    <row r="453" spans="1:23" x14ac:dyDescent="0.35">
      <c r="A453" s="5" t="s">
        <v>1191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>LEFT($A453,FIND("_",$A453)-1)</f>
        <v>SimFix</v>
      </c>
      <c r="P453" s="13" t="str">
        <f>IF($O453="ACS", "True Search", IF($O453="Arja", "Evolutionary Search", IF($O453="AVATAR", "True Pattern", IF($O453="CapGen", "Search Like Pattern", IF($O453="Cardumen", "True Semantic", IF($O453="DynaMoth", "True Semantic", IF($O453="FixMiner", "True Pattern", IF($O453="GenProg-A", "Evolutionary Search", IF($O453="Hercules", "Learning Pattern", IF($O453="Jaid", "True Semantic",
IF($O453="Kali-A", "True Search", IF($O453="kPAR", "True Pattern", IF($O453="Nopol", "True Semantic", IF($O453="RSRepair-A", "Evolutionary Search", IF($O453="SequenceR", "Deep Learning", IF($O453="SimFix", "Search Like Pattern", IF($O453="SketchFix", "True Pattern", IF($O453="SOFix", "True Pattern", IF($O453="ssFix", "Search Like Pattern", IF($O453="TBar", "True Pattern", ""))))))))))))))))))))</f>
        <v>Search Like Pattern</v>
      </c>
      <c r="Q453" s="13" t="str">
        <f>IF(NOT(ISERR(SEARCH("*_Buggy",$A453))), "Buggy", IF(NOT(ISERR(SEARCH("*_Fixed",$A453))), "Fixed", IF(NOT(ISERR(SEARCH("*_Repaired",$A453))), "Repaired", "")))</f>
        <v>Buggy</v>
      </c>
      <c r="R453" s="13"/>
      <c r="S453" s="13"/>
      <c r="T453" s="13"/>
      <c r="U453" s="13"/>
      <c r="V453" s="13"/>
      <c r="W453" s="13"/>
    </row>
    <row r="454" spans="1:23" x14ac:dyDescent="0.35">
      <c r="A454" s="7" t="s">
        <v>79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>LEFT($A454,FIND("_",$A454)-1)</f>
        <v>SimFix</v>
      </c>
      <c r="P454" s="13" t="str">
        <f>IF($O454="ACS", "True Search", IF($O454="Arja", "Evolutionary Search", IF($O454="AVATAR", "True Pattern", IF($O454="CapGen", "Search Like Pattern", IF($O454="Cardumen", "True Semantic", IF($O454="DynaMoth", "True Semantic", IF($O454="FixMiner", "True Pattern", IF($O454="GenProg-A", "Evolutionary Search", IF($O454="Hercules", "Learning Pattern", IF($O454="Jaid", "True Semantic",
IF($O454="Kali-A", "True Search", IF($O454="kPAR", "True Pattern", IF($O454="Nopol", "True Semantic", IF($O454="RSRepair-A", "Evolutionary Search", IF($O454="SequenceR", "Deep Learning", IF($O454="SimFix", "Search Like Pattern", IF($O454="SketchFix", "True Pattern", IF($O454="SOFix", "True Pattern", IF($O454="ssFix", "Search Like Pattern", IF($O454="TBar", "True Pattern", ""))))))))))))))))))))</f>
        <v>Search Like Pattern</v>
      </c>
      <c r="Q454" s="13" t="str">
        <f>IF(NOT(ISERR(SEARCH("*_Buggy",$A454))), "Buggy", IF(NOT(ISERR(SEARCH("*_Fixed",$A454))), "Fixed", IF(NOT(ISERR(SEARCH("*_Repaired",$A454))), "Repaired", "")))</f>
        <v>Buggy</v>
      </c>
      <c r="R454" s="13"/>
      <c r="S454" s="13"/>
      <c r="T454" s="13"/>
      <c r="U454" s="13"/>
      <c r="V454" s="13"/>
      <c r="W454" s="13"/>
    </row>
    <row r="455" spans="1:23" x14ac:dyDescent="0.35">
      <c r="A455" s="5" t="s">
        <v>1180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>LEFT($A455,FIND("_",$A455)-1)</f>
        <v>SimFix</v>
      </c>
      <c r="P455" s="13" t="str">
        <f>IF($O455="ACS", "True Search", IF($O455="Arja", "Evolutionary Search", IF($O455="AVATAR", "True Pattern", IF($O455="CapGen", "Search Like Pattern", IF($O455="Cardumen", "True Semantic", IF($O455="DynaMoth", "True Semantic", IF($O455="FixMiner", "True Pattern", IF($O455="GenProg-A", "Evolutionary Search", IF($O455="Hercules", "Learning Pattern", IF($O455="Jaid", "True Semantic",
IF($O455="Kali-A", "True Search", IF($O455="kPAR", "True Pattern", IF($O455="Nopol", "True Semantic", IF($O455="RSRepair-A", "Evolutionary Search", IF($O455="SequenceR", "Deep Learning", IF($O455="SimFix", "Search Like Pattern", IF($O455="SketchFix", "True Pattern", IF($O455="SOFix", "True Pattern", IF($O455="ssFix", "Search Like Pattern", IF($O455="TBar", "True Pattern", ""))))))))))))))))))))</f>
        <v>Search Like Pattern</v>
      </c>
      <c r="Q455" s="13" t="str">
        <f>IF(NOT(ISERR(SEARCH("*_Buggy",$A455))), "Buggy", IF(NOT(ISERR(SEARCH("*_Fixed",$A455))), "Fixed", IF(NOT(ISERR(SEARCH("*_Repaired",$A455))), "Repaired", "")))</f>
        <v>Buggy</v>
      </c>
      <c r="R455" s="13"/>
      <c r="S455" s="13"/>
      <c r="T455" s="13"/>
      <c r="U455" s="13"/>
      <c r="V455" s="13"/>
      <c r="W455" s="13"/>
    </row>
    <row r="456" spans="1:23" x14ac:dyDescent="0.35">
      <c r="A456" s="5" t="s">
        <v>904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>LEFT($A456,FIND("_",$A456)-1)</f>
        <v>SimFix</v>
      </c>
      <c r="P456" s="13" t="str">
        <f>IF($O456="ACS", "True Search", IF($O456="Arja", "Evolutionary Search", IF($O456="AVATAR", "True Pattern", IF($O456="CapGen", "Search Like Pattern", IF($O456="Cardumen", "True Semantic", IF($O456="DynaMoth", "True Semantic", IF($O456="FixMiner", "True Pattern", IF($O456="GenProg-A", "Evolutionary Search", IF($O456="Hercules", "Learning Pattern", IF($O456="Jaid", "True Semantic",
IF($O456="Kali-A", "True Search", IF($O456="kPAR", "True Pattern", IF($O456="Nopol", "True Semantic", IF($O456="RSRepair-A", "Evolutionary Search", IF($O456="SequenceR", "Deep Learning", IF($O456="SimFix", "Search Like Pattern", IF($O456="SketchFix", "True Pattern", IF($O456="SOFix", "True Pattern", IF($O456="ssFix", "Search Like Pattern", IF($O456="TBar", "True Pattern", ""))))))))))))))))))))</f>
        <v>Search Like Pattern</v>
      </c>
      <c r="Q456" s="13" t="str">
        <f>IF(NOT(ISERR(SEARCH("*_Buggy",$A456))), "Buggy", IF(NOT(ISERR(SEARCH("*_Fixed",$A456))), "Fixed", IF(NOT(ISERR(SEARCH("*_Repaired",$A456))), "Repaired", "")))</f>
        <v>Buggy</v>
      </c>
      <c r="R456" s="13"/>
      <c r="S456" s="13"/>
      <c r="T456" s="13"/>
      <c r="U456" s="13"/>
      <c r="V456" s="13"/>
      <c r="W456" s="13"/>
    </row>
    <row r="457" spans="1:23" x14ac:dyDescent="0.35">
      <c r="A457" s="7" t="s">
        <v>666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>LEFT($A457,FIND("_",$A457)-1)</f>
        <v>SimFix</v>
      </c>
      <c r="P457" s="13" t="str">
        <f>IF($O457="ACS", "True Search", IF($O457="Arja", "Evolutionary Search", IF($O457="AVATAR", "True Pattern", IF($O457="CapGen", "Search Like Pattern", IF($O457="Cardumen", "True Semantic", IF($O457="DynaMoth", "True Semantic", IF($O457="FixMiner", "True Pattern", IF($O457="GenProg-A", "Evolutionary Search", IF($O457="Hercules", "Learning Pattern", IF($O457="Jaid", "True Semantic",
IF($O457="Kali-A", "True Search", IF($O457="kPAR", "True Pattern", IF($O457="Nopol", "True Semantic", IF($O457="RSRepair-A", "Evolutionary Search", IF($O457="SequenceR", "Deep Learning", IF($O457="SimFix", "Search Like Pattern", IF($O457="SketchFix", "True Pattern", IF($O457="SOFix", "True Pattern", IF($O457="ssFix", "Search Like Pattern", IF($O457="TBar", "True Pattern", ""))))))))))))))))))))</f>
        <v>Search Like Pattern</v>
      </c>
      <c r="Q457" s="13" t="str">
        <f>IF(NOT(ISERR(SEARCH("*_Buggy",$A457))), "Buggy", IF(NOT(ISERR(SEARCH("*_Fixed",$A457))), "Fixed", IF(NOT(ISERR(SEARCH("*_Repaired",$A457))), "Repaired", "")))</f>
        <v>Buggy</v>
      </c>
      <c r="R457" s="13"/>
      <c r="S457" s="13"/>
      <c r="T457" s="13"/>
      <c r="U457" s="13"/>
      <c r="V457" s="13"/>
      <c r="W457" s="13"/>
    </row>
    <row r="458" spans="1:23" x14ac:dyDescent="0.35">
      <c r="A458" s="7" t="s">
        <v>230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>LEFT($A458,FIND("_",$A458)-1)</f>
        <v>SimFix</v>
      </c>
      <c r="P458" s="13" t="str">
        <f>IF($O458="ACS", "True Search", IF($O458="Arja", "Evolutionary Search", IF($O458="AVATAR", "True Pattern", IF($O458="CapGen", "Search Like Pattern", IF($O458="Cardumen", "True Semantic", IF($O458="DynaMoth", "True Semantic", IF($O458="FixMiner", "True Pattern", IF($O458="GenProg-A", "Evolutionary Search", IF($O458="Hercules", "Learning Pattern", IF($O458="Jaid", "True Semantic",
IF($O458="Kali-A", "True Search", IF($O458="kPAR", "True Pattern", IF($O458="Nopol", "True Semantic", IF($O458="RSRepair-A", "Evolutionary Search", IF($O458="SequenceR", "Deep Learning", IF($O458="SimFix", "Search Like Pattern", IF($O458="SketchFix", "True Pattern", IF($O458="SOFix", "True Pattern", IF($O458="ssFix", "Search Like Pattern", IF($O458="TBar", "True Pattern", ""))))))))))))))))))))</f>
        <v>Search Like Pattern</v>
      </c>
      <c r="Q458" s="13" t="str">
        <f>IF(NOT(ISERR(SEARCH("*_Buggy",$A458))), "Buggy", IF(NOT(ISERR(SEARCH("*_Fixed",$A458))), "Fixed", IF(NOT(ISERR(SEARCH("*_Repaired",$A458))), "Repaired", "")))</f>
        <v>Buggy</v>
      </c>
      <c r="R458" s="13"/>
      <c r="S458" s="13"/>
      <c r="T458" s="13"/>
      <c r="U458" s="13"/>
      <c r="V458" s="13"/>
      <c r="W458" s="13"/>
    </row>
    <row r="459" spans="1:23" x14ac:dyDescent="0.35">
      <c r="A459" s="5" t="s">
        <v>995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>LEFT($A459,FIND("_",$A459)-1)</f>
        <v>SimFix</v>
      </c>
      <c r="P459" s="13" t="str">
        <f>IF($O459="ACS", "True Search", IF($O459="Arja", "Evolutionary Search", IF($O459="AVATAR", "True Pattern", IF($O459="CapGen", "Search Like Pattern", IF($O459="Cardumen", "True Semantic", IF($O459="DynaMoth", "True Semantic", IF($O459="FixMiner", "True Pattern", IF($O459="GenProg-A", "Evolutionary Search", IF($O459="Hercules", "Learning Pattern", IF($O459="Jaid", "True Semantic",
IF($O459="Kali-A", "True Search", IF($O459="kPAR", "True Pattern", IF($O459="Nopol", "True Semantic", IF($O459="RSRepair-A", "Evolutionary Search", IF($O459="SequenceR", "Deep Learning", IF($O459="SimFix", "Search Like Pattern", IF($O459="SketchFix", "True Pattern", IF($O459="SOFix", "True Pattern", IF($O459="ssFix", "Search Like Pattern", IF($O459="TBar", "True Pattern", ""))))))))))))))))))))</f>
        <v>Search Like Pattern</v>
      </c>
      <c r="Q459" s="13" t="str">
        <f>IF(NOT(ISERR(SEARCH("*_Buggy",$A459))), "Buggy", IF(NOT(ISERR(SEARCH("*_Fixed",$A459))), "Fixed", IF(NOT(ISERR(SEARCH("*_Repaired",$A459))), "Repaired", "")))</f>
        <v>Buggy</v>
      </c>
      <c r="R459" s="13"/>
      <c r="S459" s="13"/>
      <c r="T459" s="13"/>
      <c r="U459" s="13"/>
      <c r="V459" s="13"/>
      <c r="W459" s="13"/>
    </row>
    <row r="460" spans="1:23" x14ac:dyDescent="0.35">
      <c r="A460" s="5" t="s">
        <v>78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>LEFT($A460,FIND("_",$A460)-1)</f>
        <v>SimFix</v>
      </c>
      <c r="P460" s="13" t="str">
        <f>IF($O460="ACS", "True Search", IF($O460="Arja", "Evolutionary Search", IF($O460="AVATAR", "True Pattern", IF($O460="CapGen", "Search Like Pattern", IF($O460="Cardumen", "True Semantic", IF($O460="DynaMoth", "True Semantic", IF($O460="FixMiner", "True Pattern", IF($O460="GenProg-A", "Evolutionary Search", IF($O460="Hercules", "Learning Pattern", IF($O460="Jaid", "True Semantic",
IF($O460="Kali-A", "True Search", IF($O460="kPAR", "True Pattern", IF($O460="Nopol", "True Semantic", IF($O460="RSRepair-A", "Evolutionary Search", IF($O460="SequenceR", "Deep Learning", IF($O460="SimFix", "Search Like Pattern", IF($O460="SketchFix", "True Pattern", IF($O460="SOFix", "True Pattern", IF($O460="ssFix", "Search Like Pattern", IF($O460="TBar", "True Pattern", ""))))))))))))))))))))</f>
        <v>Search Like Pattern</v>
      </c>
      <c r="Q460" s="13" t="str">
        <f>IF(NOT(ISERR(SEARCH("*_Buggy",$A460))), "Buggy", IF(NOT(ISERR(SEARCH("*_Fixed",$A460))), "Fixed", IF(NOT(ISERR(SEARCH("*_Repaired",$A460))), "Repaired", "")))</f>
        <v>Buggy</v>
      </c>
      <c r="R460" s="13"/>
      <c r="S460" s="13"/>
      <c r="T460" s="13"/>
      <c r="U460" s="13"/>
      <c r="V460" s="13"/>
      <c r="W460" s="13"/>
    </row>
    <row r="461" spans="1:23" x14ac:dyDescent="0.35">
      <c r="A461" s="7" t="s">
        <v>503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>LEFT($A461,FIND("_",$A461)-1)</f>
        <v>SimFix</v>
      </c>
      <c r="P461" s="13" t="str">
        <f>IF($O461="ACS", "True Search", IF($O461="Arja", "Evolutionary Search", IF($O461="AVATAR", "True Pattern", IF($O461="CapGen", "Search Like Pattern", IF($O461="Cardumen", "True Semantic", IF($O461="DynaMoth", "True Semantic", IF($O461="FixMiner", "True Pattern", IF($O461="GenProg-A", "Evolutionary Search", IF($O461="Hercules", "Learning Pattern", IF($O461="Jaid", "True Semantic",
IF($O461="Kali-A", "True Search", IF($O461="kPAR", "True Pattern", IF($O461="Nopol", "True Semantic", IF($O461="RSRepair-A", "Evolutionary Search", IF($O461="SequenceR", "Deep Learning", IF($O461="SimFix", "Search Like Pattern", IF($O461="SketchFix", "True Pattern", IF($O461="SOFix", "True Pattern", IF($O461="ssFix", "Search Like Pattern", IF($O461="TBar", "True Pattern", ""))))))))))))))))))))</f>
        <v>Search Like Pattern</v>
      </c>
      <c r="Q461" s="13" t="str">
        <f>IF(NOT(ISERR(SEARCH("*_Buggy",$A461))), "Buggy", IF(NOT(ISERR(SEARCH("*_Fixed",$A461))), "Fixed", IF(NOT(ISERR(SEARCH("*_Repaired",$A461))), "Repaired", "")))</f>
        <v>Buggy</v>
      </c>
      <c r="R461" s="13"/>
      <c r="S461" s="13"/>
      <c r="T461" s="13"/>
      <c r="U461" s="13"/>
      <c r="V461" s="13"/>
      <c r="W461" s="13"/>
    </row>
    <row r="462" spans="1:23" x14ac:dyDescent="0.35">
      <c r="A462" s="7" t="s">
        <v>794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>LEFT($A462,FIND("_",$A462)-1)</f>
        <v>SimFix</v>
      </c>
      <c r="P462" s="13" t="str">
        <f>IF($O462="ACS", "True Search", IF($O462="Arja", "Evolutionary Search", IF($O462="AVATAR", "True Pattern", IF($O462="CapGen", "Search Like Pattern", IF($O462="Cardumen", "True Semantic", IF($O462="DynaMoth", "True Semantic", IF($O462="FixMiner", "True Pattern", IF($O462="GenProg-A", "Evolutionary Search", IF($O462="Hercules", "Learning Pattern", IF($O462="Jaid", "True Semantic",
IF($O462="Kali-A", "True Search", IF($O462="kPAR", "True Pattern", IF($O462="Nopol", "True Semantic", IF($O462="RSRepair-A", "Evolutionary Search", IF($O462="SequenceR", "Deep Learning", IF($O462="SimFix", "Search Like Pattern", IF($O462="SketchFix", "True Pattern", IF($O462="SOFix", "True Pattern", IF($O462="ssFix", "Search Like Pattern", IF($O462="TBar", "True Pattern", ""))))))))))))))))))))</f>
        <v>Search Like Pattern</v>
      </c>
      <c r="Q462" s="13" t="str">
        <f>IF(NOT(ISERR(SEARCH("*_Buggy",$A462))), "Buggy", IF(NOT(ISERR(SEARCH("*_Fixed",$A462))), "Fixed", IF(NOT(ISERR(SEARCH("*_Repaired",$A462))), "Repaired", "")))</f>
        <v>Buggy</v>
      </c>
      <c r="R462" s="13"/>
      <c r="S462" s="13"/>
      <c r="T462" s="13"/>
      <c r="U462" s="13"/>
      <c r="V462" s="13"/>
      <c r="W462" s="13"/>
    </row>
    <row r="463" spans="1:23" x14ac:dyDescent="0.35">
      <c r="A463" s="7" t="s">
        <v>917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>LEFT($A463,FIND("_",$A463)-1)</f>
        <v>SimFix</v>
      </c>
      <c r="P463" s="13" t="str">
        <f>IF($O463="ACS", "True Search", IF($O463="Arja", "Evolutionary Search", IF($O463="AVATAR", "True Pattern", IF($O463="CapGen", "Search Like Pattern", IF($O463="Cardumen", "True Semantic", IF($O463="DynaMoth", "True Semantic", IF($O463="FixMiner", "True Pattern", IF($O463="GenProg-A", "Evolutionary Search", IF($O463="Hercules", "Learning Pattern", IF($O463="Jaid", "True Semantic",
IF($O463="Kali-A", "True Search", IF($O463="kPAR", "True Pattern", IF($O463="Nopol", "True Semantic", IF($O463="RSRepair-A", "Evolutionary Search", IF($O463="SequenceR", "Deep Learning", IF($O463="SimFix", "Search Like Pattern", IF($O463="SketchFix", "True Pattern", IF($O463="SOFix", "True Pattern", IF($O463="ssFix", "Search Like Pattern", IF($O463="TBar", "True Pattern", ""))))))))))))))))))))</f>
        <v>Search Like Pattern</v>
      </c>
      <c r="Q463" s="13" t="str">
        <f>IF(NOT(ISERR(SEARCH("*_Buggy",$A463))), "Buggy", IF(NOT(ISERR(SEARCH("*_Fixed",$A463))), "Fixed", IF(NOT(ISERR(SEARCH("*_Repaired",$A463))), "Repaired", "")))</f>
        <v>Buggy</v>
      </c>
      <c r="R463" s="13"/>
      <c r="S463" s="13"/>
      <c r="T463" s="13"/>
      <c r="U463" s="13"/>
      <c r="V463" s="13"/>
      <c r="W463" s="13"/>
    </row>
    <row r="464" spans="1:23" x14ac:dyDescent="0.35">
      <c r="A464" s="7" t="s">
        <v>563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>LEFT($A464,FIND("_",$A464)-1)</f>
        <v>TBar</v>
      </c>
      <c r="P464" s="13" t="str">
        <f>IF($O464="ACS", "True Search", IF($O464="Arja", "Evolutionary Search", IF($O464="AVATAR", "True Pattern", IF($O464="CapGen", "Search Like Pattern", IF($O464="Cardumen", "True Semantic", IF($O464="DynaMoth", "True Semantic", IF($O464="FixMiner", "True Pattern", IF($O464="GenProg-A", "Evolutionary Search", IF($O464="Hercules", "Learning Pattern", IF($O464="Jaid", "True Semantic",
IF($O464="Kali-A", "True Search", IF($O464="kPAR", "True Pattern", IF($O464="Nopol", "True Semantic", IF($O464="RSRepair-A", "Evolutionary Search", IF($O464="SequenceR", "Deep Learning", IF($O464="SimFix", "Search Like Pattern", IF($O464="SketchFix", "True Pattern", IF($O464="SOFix", "True Pattern", IF($O464="ssFix", "Search Like Pattern", IF($O464="TBar", "True Pattern", ""))))))))))))))))))))</f>
        <v>True Pattern</v>
      </c>
      <c r="Q464" s="13" t="str">
        <f>IF(NOT(ISERR(SEARCH("*_Buggy",$A464))), "Buggy", IF(NOT(ISERR(SEARCH("*_Fixed",$A464))), "Fixed", IF(NOT(ISERR(SEARCH("*_Repaired",$A464))), "Repaired", "")))</f>
        <v>Buggy</v>
      </c>
      <c r="R464" s="13"/>
      <c r="S464" s="13"/>
      <c r="T464" s="13"/>
      <c r="U464" s="13"/>
      <c r="V464" s="13"/>
      <c r="W464" s="13"/>
    </row>
    <row r="465" spans="1:23" x14ac:dyDescent="0.35">
      <c r="A465" s="5" t="s">
        <v>209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>LEFT($A465,FIND("_",$A465)-1)</f>
        <v>TBar</v>
      </c>
      <c r="P465" s="13" t="str">
        <f>IF($O465="ACS", "True Search", IF($O465="Arja", "Evolutionary Search", IF($O465="AVATAR", "True Pattern", IF($O465="CapGen", "Search Like Pattern", IF($O465="Cardumen", "True Semantic", IF($O465="DynaMoth", "True Semantic", IF($O465="FixMiner", "True Pattern", IF($O465="GenProg-A", "Evolutionary Search", IF($O465="Hercules", "Learning Pattern", IF($O465="Jaid", "True Semantic",
IF($O465="Kali-A", "True Search", IF($O465="kPAR", "True Pattern", IF($O465="Nopol", "True Semantic", IF($O465="RSRepair-A", "Evolutionary Search", IF($O465="SequenceR", "Deep Learning", IF($O465="SimFix", "Search Like Pattern", IF($O465="SketchFix", "True Pattern", IF($O465="SOFix", "True Pattern", IF($O465="ssFix", "Search Like Pattern", IF($O465="TBar", "True Pattern", ""))))))))))))))))))))</f>
        <v>True Pattern</v>
      </c>
      <c r="Q465" s="13" t="str">
        <f>IF(NOT(ISERR(SEARCH("*_Buggy",$A465))), "Buggy", IF(NOT(ISERR(SEARCH("*_Fixed",$A465))), "Fixed", IF(NOT(ISERR(SEARCH("*_Repaired",$A465))), "Repaired", "")))</f>
        <v>Buggy</v>
      </c>
      <c r="R465" s="13"/>
      <c r="S465" s="13"/>
      <c r="T465" s="13"/>
      <c r="U465" s="13"/>
      <c r="V465" s="13"/>
      <c r="W465" s="13"/>
    </row>
    <row r="466" spans="1:23" x14ac:dyDescent="0.35">
      <c r="A466" s="7" t="s">
        <v>264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>LEFT($A466,FIND("_",$A466)-1)</f>
        <v>TBar</v>
      </c>
      <c r="P466" s="13" t="str">
        <f>IF($O466="ACS", "True Search", IF($O466="Arja", "Evolutionary Search", IF($O466="AVATAR", "True Pattern", IF($O466="CapGen", "Search Like Pattern", IF($O466="Cardumen", "True Semantic", IF($O466="DynaMoth", "True Semantic", IF($O466="FixMiner", "True Pattern", IF($O466="GenProg-A", "Evolutionary Search", IF($O466="Hercules", "Learning Pattern", IF($O466="Jaid", "True Semantic",
IF($O466="Kali-A", "True Search", IF($O466="kPAR", "True Pattern", IF($O466="Nopol", "True Semantic", IF($O466="RSRepair-A", "Evolutionary Search", IF($O466="SequenceR", "Deep Learning", IF($O466="SimFix", "Search Like Pattern", IF($O466="SketchFix", "True Pattern", IF($O466="SOFix", "True Pattern", IF($O466="ssFix", "Search Like Pattern", IF($O466="TBar", "True Pattern", ""))))))))))))))))))))</f>
        <v>True Pattern</v>
      </c>
      <c r="Q466" s="13" t="str">
        <f>IF(NOT(ISERR(SEARCH("*_Buggy",$A466))), "Buggy", IF(NOT(ISERR(SEARCH("*_Fixed",$A466))), "Fixed", IF(NOT(ISERR(SEARCH("*_Repaired",$A466))), "Repaired", "")))</f>
        <v>Buggy</v>
      </c>
      <c r="R466" s="13"/>
      <c r="S466" s="13"/>
      <c r="T466" s="13"/>
      <c r="U466" s="13"/>
      <c r="V466" s="13"/>
      <c r="W466" s="13"/>
    </row>
    <row r="467" spans="1:23" x14ac:dyDescent="0.35">
      <c r="A467" s="5" t="s">
        <v>972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>LEFT($A467,FIND("_",$A467)-1)</f>
        <v>TBar</v>
      </c>
      <c r="P467" s="13" t="str">
        <f>IF($O467="ACS", "True Search", IF($O467="Arja", "Evolutionary Search", IF($O467="AVATAR", "True Pattern", IF($O467="CapGen", "Search Like Pattern", IF($O467="Cardumen", "True Semantic", IF($O467="DynaMoth", "True Semantic", IF($O467="FixMiner", "True Pattern", IF($O467="GenProg-A", "Evolutionary Search", IF($O467="Hercules", "Learning Pattern", IF($O467="Jaid", "True Semantic",
IF($O467="Kali-A", "True Search", IF($O467="kPAR", "True Pattern", IF($O467="Nopol", "True Semantic", IF($O467="RSRepair-A", "Evolutionary Search", IF($O467="SequenceR", "Deep Learning", IF($O467="SimFix", "Search Like Pattern", IF($O467="SketchFix", "True Pattern", IF($O467="SOFix", "True Pattern", IF($O467="ssFix", "Search Like Pattern", IF($O467="TBar", "True Pattern", ""))))))))))))))))))))</f>
        <v>True Pattern</v>
      </c>
      <c r="Q467" s="13" t="str">
        <f>IF(NOT(ISERR(SEARCH("*_Buggy",$A467))), "Buggy", IF(NOT(ISERR(SEARCH("*_Fixed",$A467))), "Fixed", IF(NOT(ISERR(SEARCH("*_Repaired",$A467))), "Repaired", "")))</f>
        <v>Buggy</v>
      </c>
      <c r="R467" s="13"/>
      <c r="S467" s="13"/>
      <c r="T467" s="13"/>
      <c r="U467" s="13"/>
      <c r="V467" s="13"/>
      <c r="W467" s="13"/>
    </row>
    <row r="468" spans="1:23" x14ac:dyDescent="0.35">
      <c r="A468" s="7" t="s">
        <v>911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>LEFT($A468,FIND("_",$A468)-1)</f>
        <v>TBar</v>
      </c>
      <c r="P468" s="13" t="str">
        <f>IF($O468="ACS", "True Search", IF($O468="Arja", "Evolutionary Search", IF($O468="AVATAR", "True Pattern", IF($O468="CapGen", "Search Like Pattern", IF($O468="Cardumen", "True Semantic", IF($O468="DynaMoth", "True Semantic", IF($O468="FixMiner", "True Pattern", IF($O468="GenProg-A", "Evolutionary Search", IF($O468="Hercules", "Learning Pattern", IF($O468="Jaid", "True Semantic",
IF($O468="Kali-A", "True Search", IF($O468="kPAR", "True Pattern", IF($O468="Nopol", "True Semantic", IF($O468="RSRepair-A", "Evolutionary Search", IF($O468="SequenceR", "Deep Learning", IF($O468="SimFix", "Search Like Pattern", IF($O468="SketchFix", "True Pattern", IF($O468="SOFix", "True Pattern", IF($O468="ssFix", "Search Like Pattern", IF($O468="TBar", "True Pattern", ""))))))))))))))))))))</f>
        <v>True Pattern</v>
      </c>
      <c r="Q468" s="13" t="str">
        <f>IF(NOT(ISERR(SEARCH("*_Buggy",$A468))), "Buggy", IF(NOT(ISERR(SEARCH("*_Fixed",$A468))), "Fixed", IF(NOT(ISERR(SEARCH("*_Repaired",$A468))), "Repaired", "")))</f>
        <v>Buggy</v>
      </c>
      <c r="R468" s="13"/>
      <c r="S468" s="13"/>
      <c r="T468" s="13"/>
      <c r="U468" s="13"/>
      <c r="V468" s="13"/>
      <c r="W468" s="13"/>
    </row>
    <row r="469" spans="1:23" x14ac:dyDescent="0.35">
      <c r="A469" s="5" t="s">
        <v>554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>LEFT($A469,FIND("_",$A469)-1)</f>
        <v>TBar</v>
      </c>
      <c r="P469" s="13" t="str">
        <f>IF($O469="ACS", "True Search", IF($O469="Arja", "Evolutionary Search", IF($O469="AVATAR", "True Pattern", IF($O469="CapGen", "Search Like Pattern", IF($O469="Cardumen", "True Semantic", IF($O469="DynaMoth", "True Semantic", IF($O469="FixMiner", "True Pattern", IF($O469="GenProg-A", "Evolutionary Search", IF($O469="Hercules", "Learning Pattern", IF($O469="Jaid", "True Semantic",
IF($O469="Kali-A", "True Search", IF($O469="kPAR", "True Pattern", IF($O469="Nopol", "True Semantic", IF($O469="RSRepair-A", "Evolutionary Search", IF($O469="SequenceR", "Deep Learning", IF($O469="SimFix", "Search Like Pattern", IF($O469="SketchFix", "True Pattern", IF($O469="SOFix", "True Pattern", IF($O469="ssFix", "Search Like Pattern", IF($O469="TBar", "True Pattern", ""))))))))))))))))))))</f>
        <v>True Pattern</v>
      </c>
      <c r="Q469" s="13" t="str">
        <f>IF(NOT(ISERR(SEARCH("*_Buggy",$A469))), "Buggy", IF(NOT(ISERR(SEARCH("*_Fixed",$A469))), "Fixed", IF(NOT(ISERR(SEARCH("*_Repaired",$A469))), "Repaired", "")))</f>
        <v>Buggy</v>
      </c>
      <c r="R469" s="13"/>
      <c r="S469" s="13"/>
      <c r="T469" s="13"/>
      <c r="U469" s="13"/>
      <c r="V469" s="13"/>
      <c r="W469" s="13"/>
    </row>
    <row r="470" spans="1:23" x14ac:dyDescent="0.35">
      <c r="A470" s="7" t="s">
        <v>529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>LEFT($A470,FIND("_",$A470)-1)</f>
        <v>TBar</v>
      </c>
      <c r="P470" s="13" t="str">
        <f>IF($O470="ACS", "True Search", IF($O470="Arja", "Evolutionary Search", IF($O470="AVATAR", "True Pattern", IF($O470="CapGen", "Search Like Pattern", IF($O470="Cardumen", "True Semantic", IF($O470="DynaMoth", "True Semantic", IF($O470="FixMiner", "True Pattern", IF($O470="GenProg-A", "Evolutionary Search", IF($O470="Hercules", "Learning Pattern", IF($O470="Jaid", "True Semantic",
IF($O470="Kali-A", "True Search", IF($O470="kPAR", "True Pattern", IF($O470="Nopol", "True Semantic", IF($O470="RSRepair-A", "Evolutionary Search", IF($O470="SequenceR", "Deep Learning", IF($O470="SimFix", "Search Like Pattern", IF($O470="SketchFix", "True Pattern", IF($O470="SOFix", "True Pattern", IF($O470="ssFix", "Search Like Pattern", IF($O470="TBar", "True Pattern", ""))))))))))))))))))))</f>
        <v>True Pattern</v>
      </c>
      <c r="Q470" s="13" t="str">
        <f>IF(NOT(ISERR(SEARCH("*_Buggy",$A470))), "Buggy", IF(NOT(ISERR(SEARCH("*_Fixed",$A470))), "Fixed", IF(NOT(ISERR(SEARCH("*_Repaired",$A470))), "Repaired", "")))</f>
        <v>Buggy</v>
      </c>
      <c r="R470" s="13"/>
      <c r="S470" s="13"/>
      <c r="T470" s="13"/>
      <c r="U470" s="13"/>
      <c r="V470" s="13"/>
      <c r="W470" s="13"/>
    </row>
    <row r="471" spans="1:23" x14ac:dyDescent="0.35">
      <c r="A471" s="7" t="s">
        <v>511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>LEFT($A471,FIND("_",$A471)-1)</f>
        <v>TBar</v>
      </c>
      <c r="P471" s="13" t="str">
        <f>IF($O471="ACS", "True Search", IF($O471="Arja", "Evolutionary Search", IF($O471="AVATAR", "True Pattern", IF($O471="CapGen", "Search Like Pattern", IF($O471="Cardumen", "True Semantic", IF($O471="DynaMoth", "True Semantic", IF($O471="FixMiner", "True Pattern", IF($O471="GenProg-A", "Evolutionary Search", IF($O471="Hercules", "Learning Pattern", IF($O471="Jaid", "True Semantic",
IF($O471="Kali-A", "True Search", IF($O471="kPAR", "True Pattern", IF($O471="Nopol", "True Semantic", IF($O471="RSRepair-A", "Evolutionary Search", IF($O471="SequenceR", "Deep Learning", IF($O471="SimFix", "Search Like Pattern", IF($O471="SketchFix", "True Pattern", IF($O471="SOFix", "True Pattern", IF($O471="ssFix", "Search Like Pattern", IF($O471="TBar", "True Pattern", ""))))))))))))))))))))</f>
        <v>True Pattern</v>
      </c>
      <c r="Q471" s="13" t="str">
        <f>IF(NOT(ISERR(SEARCH("*_Buggy",$A471))), "Buggy", IF(NOT(ISERR(SEARCH("*_Fixed",$A471))), "Fixed", IF(NOT(ISERR(SEARCH("*_Repaired",$A471))), "Repaired", "")))</f>
        <v>Buggy</v>
      </c>
      <c r="R471" s="13"/>
      <c r="S471" s="13"/>
      <c r="T471" s="13"/>
      <c r="U471" s="13"/>
      <c r="V471" s="13"/>
      <c r="W471" s="13"/>
    </row>
    <row r="472" spans="1:23" x14ac:dyDescent="0.35">
      <c r="A472" s="5" t="s">
        <v>703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>LEFT($A472,FIND("_",$A472)-1)</f>
        <v>TBar</v>
      </c>
      <c r="P472" s="13" t="str">
        <f>IF($O472="ACS", "True Search", IF($O472="Arja", "Evolutionary Search", IF($O472="AVATAR", "True Pattern", IF($O472="CapGen", "Search Like Pattern", IF($O472="Cardumen", "True Semantic", IF($O472="DynaMoth", "True Semantic", IF($O472="FixMiner", "True Pattern", IF($O472="GenProg-A", "Evolutionary Search", IF($O472="Hercules", "Learning Pattern", IF($O472="Jaid", "True Semantic",
IF($O472="Kali-A", "True Search", IF($O472="kPAR", "True Pattern", IF($O472="Nopol", "True Semantic", IF($O472="RSRepair-A", "Evolutionary Search", IF($O472="SequenceR", "Deep Learning", IF($O472="SimFix", "Search Like Pattern", IF($O472="SketchFix", "True Pattern", IF($O472="SOFix", "True Pattern", IF($O472="ssFix", "Search Like Pattern", IF($O472="TBar", "True Pattern", ""))))))))))))))))))))</f>
        <v>True Pattern</v>
      </c>
      <c r="Q472" s="13" t="str">
        <f>IF(NOT(ISERR(SEARCH("*_Buggy",$A472))), "Buggy", IF(NOT(ISERR(SEARCH("*_Fixed",$A472))), "Fixed", IF(NOT(ISERR(SEARCH("*_Repaired",$A472))), "Repaired", "")))</f>
        <v>Buggy</v>
      </c>
      <c r="R472" s="13"/>
      <c r="S472" s="13"/>
      <c r="T472" s="13"/>
      <c r="U472" s="13"/>
      <c r="V472" s="13"/>
      <c r="W472" s="13"/>
    </row>
    <row r="473" spans="1:23" x14ac:dyDescent="0.35">
      <c r="A473" s="7" t="s">
        <v>1050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>LEFT($A473,FIND("_",$A473)-1)</f>
        <v>TBar</v>
      </c>
      <c r="P473" s="13" t="str">
        <f>IF($O473="ACS", "True Search", IF($O473="Arja", "Evolutionary Search", IF($O473="AVATAR", "True Pattern", IF($O473="CapGen", "Search Like Pattern", IF($O473="Cardumen", "True Semantic", IF($O473="DynaMoth", "True Semantic", IF($O473="FixMiner", "True Pattern", IF($O473="GenProg-A", "Evolutionary Search", IF($O473="Hercules", "Learning Pattern", IF($O473="Jaid", "True Semantic",
IF($O473="Kali-A", "True Search", IF($O473="kPAR", "True Pattern", IF($O473="Nopol", "True Semantic", IF($O473="RSRepair-A", "Evolutionary Search", IF($O473="SequenceR", "Deep Learning", IF($O473="SimFix", "Search Like Pattern", IF($O473="SketchFix", "True Pattern", IF($O473="SOFix", "True Pattern", IF($O473="ssFix", "Search Like Pattern", IF($O473="TBar", "True Pattern", ""))))))))))))))))))))</f>
        <v>True Pattern</v>
      </c>
      <c r="Q473" s="13" t="str">
        <f>IF(NOT(ISERR(SEARCH("*_Buggy",$A473))), "Buggy", IF(NOT(ISERR(SEARCH("*_Fixed",$A473))), "Fixed", IF(NOT(ISERR(SEARCH("*_Repaired",$A473))), "Repaired", "")))</f>
        <v>Buggy</v>
      </c>
      <c r="R473" s="13"/>
      <c r="S473" s="13"/>
      <c r="T473" s="13"/>
      <c r="U473" s="13"/>
      <c r="V473" s="13"/>
      <c r="W473" s="13"/>
    </row>
    <row r="474" spans="1:23" x14ac:dyDescent="0.35">
      <c r="A474" s="7" t="s">
        <v>1138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>LEFT($A474,FIND("_",$A474)-1)</f>
        <v>TBar</v>
      </c>
      <c r="P474" s="13" t="str">
        <f>IF($O474="ACS", "True Search", IF($O474="Arja", "Evolutionary Search", IF($O474="AVATAR", "True Pattern", IF($O474="CapGen", "Search Like Pattern", IF($O474="Cardumen", "True Semantic", IF($O474="DynaMoth", "True Semantic", IF($O474="FixMiner", "True Pattern", IF($O474="GenProg-A", "Evolutionary Search", IF($O474="Hercules", "Learning Pattern", IF($O474="Jaid", "True Semantic",
IF($O474="Kali-A", "True Search", IF($O474="kPAR", "True Pattern", IF($O474="Nopol", "True Semantic", IF($O474="RSRepair-A", "Evolutionary Search", IF($O474="SequenceR", "Deep Learning", IF($O474="SimFix", "Search Like Pattern", IF($O474="SketchFix", "True Pattern", IF($O474="SOFix", "True Pattern", IF($O474="ssFix", "Search Like Pattern", IF($O474="TBar", "True Pattern", ""))))))))))))))))))))</f>
        <v>True Pattern</v>
      </c>
      <c r="Q474" s="13" t="str">
        <f>IF(NOT(ISERR(SEARCH("*_Buggy",$A474))), "Buggy", IF(NOT(ISERR(SEARCH("*_Fixed",$A474))), "Fixed", IF(NOT(ISERR(SEARCH("*_Repaired",$A474))), "Repaired", "")))</f>
        <v>Buggy</v>
      </c>
      <c r="R474" s="13"/>
      <c r="S474" s="13"/>
      <c r="T474" s="13"/>
      <c r="U474" s="13"/>
      <c r="V474" s="13"/>
      <c r="W474" s="13"/>
    </row>
    <row r="475" spans="1:23" x14ac:dyDescent="0.35">
      <c r="A475" s="5" t="s">
        <v>1189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>LEFT($A475,FIND("_",$A475)-1)</f>
        <v>TBar</v>
      </c>
      <c r="P475" s="13" t="str">
        <f>IF($O475="ACS", "True Search", IF($O475="Arja", "Evolutionary Search", IF($O475="AVATAR", "True Pattern", IF($O475="CapGen", "Search Like Pattern", IF($O475="Cardumen", "True Semantic", IF($O475="DynaMoth", "True Semantic", IF($O475="FixMiner", "True Pattern", IF($O475="GenProg-A", "Evolutionary Search", IF($O475="Hercules", "Learning Pattern", IF($O475="Jaid", "True Semantic",
IF($O475="Kali-A", "True Search", IF($O475="kPAR", "True Pattern", IF($O475="Nopol", "True Semantic", IF($O475="RSRepair-A", "Evolutionary Search", IF($O475="SequenceR", "Deep Learning", IF($O475="SimFix", "Search Like Pattern", IF($O475="SketchFix", "True Pattern", IF($O475="SOFix", "True Pattern", IF($O475="ssFix", "Search Like Pattern", IF($O475="TBar", "True Pattern", ""))))))))))))))))))))</f>
        <v>True Pattern</v>
      </c>
      <c r="Q475" s="13" t="str">
        <f>IF(NOT(ISERR(SEARCH("*_Buggy",$A475))), "Buggy", IF(NOT(ISERR(SEARCH("*_Fixed",$A475))), "Fixed", IF(NOT(ISERR(SEARCH("*_Repaired",$A475))), "Repaired", "")))</f>
        <v>Buggy</v>
      </c>
      <c r="R475" s="13"/>
      <c r="S475" s="13"/>
      <c r="T475" s="13"/>
      <c r="U475" s="13"/>
      <c r="V475" s="13"/>
      <c r="W475" s="13"/>
    </row>
    <row r="476" spans="1:23" x14ac:dyDescent="0.35">
      <c r="A476" s="5" t="s">
        <v>771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>LEFT($A476,FIND("_",$A476)-1)</f>
        <v>TBar</v>
      </c>
      <c r="P476" s="13" t="str">
        <f>IF($O476="ACS", "True Search", IF($O476="Arja", "Evolutionary Search", IF($O476="AVATAR", "True Pattern", IF($O476="CapGen", "Search Like Pattern", IF($O476="Cardumen", "True Semantic", IF($O476="DynaMoth", "True Semantic", IF($O476="FixMiner", "True Pattern", IF($O476="GenProg-A", "Evolutionary Search", IF($O476="Hercules", "Learning Pattern", IF($O476="Jaid", "True Semantic",
IF($O476="Kali-A", "True Search", IF($O476="kPAR", "True Pattern", IF($O476="Nopol", "True Semantic", IF($O476="RSRepair-A", "Evolutionary Search", IF($O476="SequenceR", "Deep Learning", IF($O476="SimFix", "Search Like Pattern", IF($O476="SketchFix", "True Pattern", IF($O476="SOFix", "True Pattern", IF($O476="ssFix", "Search Like Pattern", IF($O476="TBar", "True Pattern", ""))))))))))))))))))))</f>
        <v>True Pattern</v>
      </c>
      <c r="Q476" s="13" t="str">
        <f>IF(NOT(ISERR(SEARCH("*_Buggy",$A476))), "Buggy", IF(NOT(ISERR(SEARCH("*_Fixed",$A476))), "Fixed", IF(NOT(ISERR(SEARCH("*_Repaired",$A476))), "Repaired", "")))</f>
        <v>Buggy</v>
      </c>
      <c r="R476" s="13"/>
      <c r="S476" s="13"/>
      <c r="T476" s="13"/>
      <c r="U476" s="13"/>
      <c r="V476" s="13"/>
      <c r="W476" s="13"/>
    </row>
    <row r="477" spans="1:23" x14ac:dyDescent="0.35">
      <c r="A477" s="5" t="s">
        <v>691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>LEFT($A477,FIND("_",$A477)-1)</f>
        <v>TBar</v>
      </c>
      <c r="P477" s="13" t="str">
        <f>IF($O477="ACS", "True Search", IF($O477="Arja", "Evolutionary Search", IF($O477="AVATAR", "True Pattern", IF($O477="CapGen", "Search Like Pattern", IF($O477="Cardumen", "True Semantic", IF($O477="DynaMoth", "True Semantic", IF($O477="FixMiner", "True Pattern", IF($O477="GenProg-A", "Evolutionary Search", IF($O477="Hercules", "Learning Pattern", IF($O477="Jaid", "True Semantic",
IF($O477="Kali-A", "True Search", IF($O477="kPAR", "True Pattern", IF($O477="Nopol", "True Semantic", IF($O477="RSRepair-A", "Evolutionary Search", IF($O477="SequenceR", "Deep Learning", IF($O477="SimFix", "Search Like Pattern", IF($O477="SketchFix", "True Pattern", IF($O477="SOFix", "True Pattern", IF($O477="ssFix", "Search Like Pattern", IF($O477="TBar", "True Pattern", ""))))))))))))))))))))</f>
        <v>True Pattern</v>
      </c>
      <c r="Q477" s="13" t="str">
        <f>IF(NOT(ISERR(SEARCH("*_Buggy",$A477))), "Buggy", IF(NOT(ISERR(SEARCH("*_Fixed",$A477))), "Fixed", IF(NOT(ISERR(SEARCH("*_Repaired",$A477))), "Repaired", "")))</f>
        <v>Buggy</v>
      </c>
      <c r="R477" s="13"/>
      <c r="S477" s="13"/>
      <c r="T477" s="13"/>
      <c r="U477" s="13"/>
      <c r="V477" s="13"/>
      <c r="W477" s="13"/>
    </row>
    <row r="478" spans="1:23" x14ac:dyDescent="0.35">
      <c r="A478" s="5" t="s">
        <v>1249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>LEFT($A478,FIND("_",$A478)-1)</f>
        <v>TBar</v>
      </c>
      <c r="P478" s="13" t="str">
        <f>IF($O478="ACS", "True Search", IF($O478="Arja", "Evolutionary Search", IF($O478="AVATAR", "True Pattern", IF($O478="CapGen", "Search Like Pattern", IF($O478="Cardumen", "True Semantic", IF($O478="DynaMoth", "True Semantic", IF($O478="FixMiner", "True Pattern", IF($O478="GenProg-A", "Evolutionary Search", IF($O478="Hercules", "Learning Pattern", IF($O478="Jaid", "True Semantic",
IF($O478="Kali-A", "True Search", IF($O478="kPAR", "True Pattern", IF($O478="Nopol", "True Semantic", IF($O478="RSRepair-A", "Evolutionary Search", IF($O478="SequenceR", "Deep Learning", IF($O478="SimFix", "Search Like Pattern", IF($O478="SketchFix", "True Pattern", IF($O478="SOFix", "True Pattern", IF($O478="ssFix", "Search Like Pattern", IF($O478="TBar", "True Pattern", ""))))))))))))))))))))</f>
        <v>True Pattern</v>
      </c>
      <c r="Q478" s="13" t="str">
        <f>IF(NOT(ISERR(SEARCH("*_Buggy",$A478))), "Buggy", IF(NOT(ISERR(SEARCH("*_Fixed",$A478))), "Fixed", IF(NOT(ISERR(SEARCH("*_Repaired",$A478))), "Repaired", "")))</f>
        <v>Buggy</v>
      </c>
      <c r="R478" s="13"/>
      <c r="S478" s="13"/>
      <c r="T478" s="13"/>
      <c r="U478" s="13"/>
      <c r="V478" s="13"/>
      <c r="W478" s="13"/>
    </row>
    <row r="479" spans="1:23" x14ac:dyDescent="0.35">
      <c r="A479" s="5" t="s">
        <v>281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>LEFT($A479,FIND("_",$A479)-1)</f>
        <v>TBar</v>
      </c>
      <c r="P479" s="13" t="str">
        <f>IF($O479="ACS", "True Search", IF($O479="Arja", "Evolutionary Search", IF($O479="AVATAR", "True Pattern", IF($O479="CapGen", "Search Like Pattern", IF($O479="Cardumen", "True Semantic", IF($O479="DynaMoth", "True Semantic", IF($O479="FixMiner", "True Pattern", IF($O479="GenProg-A", "Evolutionary Search", IF($O479="Hercules", "Learning Pattern", IF($O479="Jaid", "True Semantic",
IF($O479="Kali-A", "True Search", IF($O479="kPAR", "True Pattern", IF($O479="Nopol", "True Semantic", IF($O479="RSRepair-A", "Evolutionary Search", IF($O479="SequenceR", "Deep Learning", IF($O479="SimFix", "Search Like Pattern", IF($O479="SketchFix", "True Pattern", IF($O479="SOFix", "True Pattern", IF($O479="ssFix", "Search Like Pattern", IF($O479="TBar", "True Pattern", ""))))))))))))))))))))</f>
        <v>True Pattern</v>
      </c>
      <c r="Q479" s="13" t="str">
        <f>IF(NOT(ISERR(SEARCH("*_Buggy",$A479))), "Buggy", IF(NOT(ISERR(SEARCH("*_Fixed",$A479))), "Fixed", IF(NOT(ISERR(SEARCH("*_Repaired",$A479))), "Repaired", "")))</f>
        <v>Buggy</v>
      </c>
      <c r="R479" s="13"/>
      <c r="S479" s="13"/>
      <c r="T479" s="13"/>
      <c r="U479" s="13"/>
      <c r="V479" s="13"/>
      <c r="W479" s="13"/>
    </row>
    <row r="480" spans="1:23" x14ac:dyDescent="0.35">
      <c r="A480" s="5" t="s">
        <v>1005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>LEFT($A480,FIND("_",$A480)-1)</f>
        <v>TBar</v>
      </c>
      <c r="P480" s="13" t="str">
        <f>IF($O480="ACS", "True Search", IF($O480="Arja", "Evolutionary Search", IF($O480="AVATAR", "True Pattern", IF($O480="CapGen", "Search Like Pattern", IF($O480="Cardumen", "True Semantic", IF($O480="DynaMoth", "True Semantic", IF($O480="FixMiner", "True Pattern", IF($O480="GenProg-A", "Evolutionary Search", IF($O480="Hercules", "Learning Pattern", IF($O480="Jaid", "True Semantic",
IF($O480="Kali-A", "True Search", IF($O480="kPAR", "True Pattern", IF($O480="Nopol", "True Semantic", IF($O480="RSRepair-A", "Evolutionary Search", IF($O480="SequenceR", "Deep Learning", IF($O480="SimFix", "Search Like Pattern", IF($O480="SketchFix", "True Pattern", IF($O480="SOFix", "True Pattern", IF($O480="ssFix", "Search Like Pattern", IF($O480="TBar", "True Pattern", ""))))))))))))))))))))</f>
        <v>True Pattern</v>
      </c>
      <c r="Q480" s="13" t="str">
        <f>IF(NOT(ISERR(SEARCH("*_Buggy",$A480))), "Buggy", IF(NOT(ISERR(SEARCH("*_Fixed",$A480))), "Fixed", IF(NOT(ISERR(SEARCH("*_Repaired",$A480))), "Repaired", "")))</f>
        <v>Buggy</v>
      </c>
      <c r="R480" s="13"/>
      <c r="S480" s="13"/>
      <c r="T480" s="13"/>
      <c r="U480" s="13"/>
      <c r="V480" s="13"/>
      <c r="W480" s="13"/>
    </row>
    <row r="481" spans="1:23" x14ac:dyDescent="0.35">
      <c r="A481" s="5" t="s">
        <v>1027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>LEFT($A481,FIND("_",$A481)-1)</f>
        <v>TBar</v>
      </c>
      <c r="P481" s="13" t="str">
        <f>IF($O481="ACS", "True Search", IF($O481="Arja", "Evolutionary Search", IF($O481="AVATAR", "True Pattern", IF($O481="CapGen", "Search Like Pattern", IF($O481="Cardumen", "True Semantic", IF($O481="DynaMoth", "True Semantic", IF($O481="FixMiner", "True Pattern", IF($O481="GenProg-A", "Evolutionary Search", IF($O481="Hercules", "Learning Pattern", IF($O481="Jaid", "True Semantic",
IF($O481="Kali-A", "True Search", IF($O481="kPAR", "True Pattern", IF($O481="Nopol", "True Semantic", IF($O481="RSRepair-A", "Evolutionary Search", IF($O481="SequenceR", "Deep Learning", IF($O481="SimFix", "Search Like Pattern", IF($O481="SketchFix", "True Pattern", IF($O481="SOFix", "True Pattern", IF($O481="ssFix", "Search Like Pattern", IF($O481="TBar", "True Pattern", ""))))))))))))))))))))</f>
        <v>True Pattern</v>
      </c>
      <c r="Q481" s="13" t="str">
        <f>IF(NOT(ISERR(SEARCH("*_Buggy",$A481))), "Buggy", IF(NOT(ISERR(SEARCH("*_Fixed",$A481))), "Fixed", IF(NOT(ISERR(SEARCH("*_Repaired",$A481))), "Repaired", "")))</f>
        <v>Buggy</v>
      </c>
      <c r="R481" s="13"/>
      <c r="S481" s="13"/>
      <c r="T481" s="13"/>
      <c r="U481" s="13"/>
      <c r="V481" s="13"/>
      <c r="W481" s="13"/>
    </row>
    <row r="482" spans="1:23" x14ac:dyDescent="0.35">
      <c r="A482" s="5" t="s">
        <v>1216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>LEFT($A482,FIND("_",$A482)-1)</f>
        <v>TBar</v>
      </c>
      <c r="P482" s="13" t="str">
        <f>IF($O482="ACS", "True Search", IF($O482="Arja", "Evolutionary Search", IF($O482="AVATAR", "True Pattern", IF($O482="CapGen", "Search Like Pattern", IF($O482="Cardumen", "True Semantic", IF($O482="DynaMoth", "True Semantic", IF($O482="FixMiner", "True Pattern", IF($O482="GenProg-A", "Evolutionary Search", IF($O482="Hercules", "Learning Pattern", IF($O482="Jaid", "True Semantic",
IF($O482="Kali-A", "True Search", IF($O482="kPAR", "True Pattern", IF($O482="Nopol", "True Semantic", IF($O482="RSRepair-A", "Evolutionary Search", IF($O482="SequenceR", "Deep Learning", IF($O482="SimFix", "Search Like Pattern", IF($O482="SketchFix", "True Pattern", IF($O482="SOFix", "True Pattern", IF($O482="ssFix", "Search Like Pattern", IF($O482="TBar", "True Pattern", ""))))))))))))))))))))</f>
        <v>True Pattern</v>
      </c>
      <c r="Q482" s="13" t="str">
        <f>IF(NOT(ISERR(SEARCH("*_Buggy",$A482))), "Buggy", IF(NOT(ISERR(SEARCH("*_Fixed",$A482))), "Fixed", IF(NOT(ISERR(SEARCH("*_Repaired",$A482))), "Repaired", "")))</f>
        <v>Buggy</v>
      </c>
      <c r="R482" s="13"/>
      <c r="S482" s="13"/>
      <c r="T482" s="13"/>
      <c r="U482" s="13"/>
      <c r="V482" s="13"/>
      <c r="W482" s="13"/>
    </row>
    <row r="483" spans="1:23" x14ac:dyDescent="0.35">
      <c r="A483" s="7" t="s">
        <v>1205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>LEFT($A483,FIND("_",$A483)-1)</f>
        <v>TBar</v>
      </c>
      <c r="P483" s="13" t="str">
        <f>IF($O483="ACS", "True Search", IF($O483="Arja", "Evolutionary Search", IF($O483="AVATAR", "True Pattern", IF($O483="CapGen", "Search Like Pattern", IF($O483="Cardumen", "True Semantic", IF($O483="DynaMoth", "True Semantic", IF($O483="FixMiner", "True Pattern", IF($O483="GenProg-A", "Evolutionary Search", IF($O483="Hercules", "Learning Pattern", IF($O483="Jaid", "True Semantic",
IF($O483="Kali-A", "True Search", IF($O483="kPAR", "True Pattern", IF($O483="Nopol", "True Semantic", IF($O483="RSRepair-A", "Evolutionary Search", IF($O483="SequenceR", "Deep Learning", IF($O483="SimFix", "Search Like Pattern", IF($O483="SketchFix", "True Pattern", IF($O483="SOFix", "True Pattern", IF($O483="ssFix", "Search Like Pattern", IF($O483="TBar", "True Pattern", ""))))))))))))))))))))</f>
        <v>True Pattern</v>
      </c>
      <c r="Q483" s="13" t="str">
        <f>IF(NOT(ISERR(SEARCH("*_Buggy",$A483))), "Buggy", IF(NOT(ISERR(SEARCH("*_Fixed",$A483))), "Fixed", IF(NOT(ISERR(SEARCH("*_Repaired",$A483))), "Repaired", "")))</f>
        <v>Buggy</v>
      </c>
      <c r="R483" s="13"/>
      <c r="S483" s="13"/>
      <c r="T483" s="13"/>
      <c r="U483" s="13"/>
      <c r="V483" s="13"/>
      <c r="W483" s="13"/>
    </row>
    <row r="484" spans="1:23" x14ac:dyDescent="0.35">
      <c r="A484" s="5" t="s">
        <v>1269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>LEFT($A484,FIND("_",$A484)-1)</f>
        <v>TBar</v>
      </c>
      <c r="P484" s="13" t="str">
        <f>IF($O484="ACS", "True Search", IF($O484="Arja", "Evolutionary Search", IF($O484="AVATAR", "True Pattern", IF($O484="CapGen", "Search Like Pattern", IF($O484="Cardumen", "True Semantic", IF($O484="DynaMoth", "True Semantic", IF($O484="FixMiner", "True Pattern", IF($O484="GenProg-A", "Evolutionary Search", IF($O484="Hercules", "Learning Pattern", IF($O484="Jaid", "True Semantic",
IF($O484="Kali-A", "True Search", IF($O484="kPAR", "True Pattern", IF($O484="Nopol", "True Semantic", IF($O484="RSRepair-A", "Evolutionary Search", IF($O484="SequenceR", "Deep Learning", IF($O484="SimFix", "Search Like Pattern", IF($O484="SketchFix", "True Pattern", IF($O484="SOFix", "True Pattern", IF($O484="ssFix", "Search Like Pattern", IF($O484="TBar", "True Pattern", ""))))))))))))))))))))</f>
        <v>True Pattern</v>
      </c>
      <c r="Q484" s="13" t="str">
        <f>IF(NOT(ISERR(SEARCH("*_Buggy",$A484))), "Buggy", IF(NOT(ISERR(SEARCH("*_Fixed",$A484))), "Fixed", IF(NOT(ISERR(SEARCH("*_Repaired",$A484))), "Repaired", "")))</f>
        <v>Buggy</v>
      </c>
      <c r="R484" s="13"/>
      <c r="S484" s="13"/>
      <c r="T484" s="13"/>
      <c r="U484" s="13"/>
      <c r="V484" s="13"/>
      <c r="W484" s="13"/>
    </row>
    <row r="485" spans="1:23" x14ac:dyDescent="0.35">
      <c r="A485" s="7" t="s">
        <v>984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>LEFT($A485,FIND("_",$A485)-1)</f>
        <v>TBar</v>
      </c>
      <c r="P485" s="13" t="str">
        <f>IF($O485="ACS", "True Search", IF($O485="Arja", "Evolutionary Search", IF($O485="AVATAR", "True Pattern", IF($O485="CapGen", "Search Like Pattern", IF($O485="Cardumen", "True Semantic", IF($O485="DynaMoth", "True Semantic", IF($O485="FixMiner", "True Pattern", IF($O485="GenProg-A", "Evolutionary Search", IF($O485="Hercules", "Learning Pattern", IF($O485="Jaid", "True Semantic",
IF($O485="Kali-A", "True Search", IF($O485="kPAR", "True Pattern", IF($O485="Nopol", "True Semantic", IF($O485="RSRepair-A", "Evolutionary Search", IF($O485="SequenceR", "Deep Learning", IF($O485="SimFix", "Search Like Pattern", IF($O485="SketchFix", "True Pattern", IF($O485="SOFix", "True Pattern", IF($O485="ssFix", "Search Like Pattern", IF($O485="TBar", "True Pattern", ""))))))))))))))))))))</f>
        <v>True Pattern</v>
      </c>
      <c r="Q485" s="13" t="str">
        <f>IF(NOT(ISERR(SEARCH("*_Buggy",$A485))), "Buggy", IF(NOT(ISERR(SEARCH("*_Fixed",$A485))), "Fixed", IF(NOT(ISERR(SEARCH("*_Repaired",$A485))), "Repaired", "")))</f>
        <v>Buggy</v>
      </c>
      <c r="R485" s="13"/>
      <c r="S485" s="13"/>
      <c r="T485" s="13"/>
      <c r="U485" s="13"/>
      <c r="V485" s="13"/>
      <c r="W485" s="13"/>
    </row>
    <row r="486" spans="1:23" x14ac:dyDescent="0.35">
      <c r="A486" s="5" t="s">
        <v>1074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>LEFT($A486,FIND("_",$A486)-1)</f>
        <v>TBar</v>
      </c>
      <c r="P486" s="13" t="str">
        <f>IF($O486="ACS", "True Search", IF($O486="Arja", "Evolutionary Search", IF($O486="AVATAR", "True Pattern", IF($O486="CapGen", "Search Like Pattern", IF($O486="Cardumen", "True Semantic", IF($O486="DynaMoth", "True Semantic", IF($O486="FixMiner", "True Pattern", IF($O486="GenProg-A", "Evolutionary Search", IF($O486="Hercules", "Learning Pattern", IF($O486="Jaid", "True Semantic",
IF($O486="Kali-A", "True Search", IF($O486="kPAR", "True Pattern", IF($O486="Nopol", "True Semantic", IF($O486="RSRepair-A", "Evolutionary Search", IF($O486="SequenceR", "Deep Learning", IF($O486="SimFix", "Search Like Pattern", IF($O486="SketchFix", "True Pattern", IF($O486="SOFix", "True Pattern", IF($O486="ssFix", "Search Like Pattern", IF($O486="TBar", "True Pattern", ""))))))))))))))))))))</f>
        <v>True Pattern</v>
      </c>
      <c r="Q486" s="13" t="str">
        <f>IF(NOT(ISERR(SEARCH("*_Buggy",$A486))), "Buggy", IF(NOT(ISERR(SEARCH("*_Fixed",$A486))), "Fixed", IF(NOT(ISERR(SEARCH("*_Repaired",$A486))), "Repaired", "")))</f>
        <v>Buggy</v>
      </c>
      <c r="R486" s="13"/>
      <c r="S486" s="13"/>
      <c r="T486" s="13"/>
      <c r="U486" s="13"/>
      <c r="V486" s="13"/>
      <c r="W486" s="13"/>
    </row>
    <row r="487" spans="1:23" x14ac:dyDescent="0.35">
      <c r="A487" s="5" t="s">
        <v>1070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>LEFT($A487,FIND("_",$A487)-1)</f>
        <v>TBar</v>
      </c>
      <c r="P487" s="13" t="str">
        <f>IF($O487="ACS", "True Search", IF($O487="Arja", "Evolutionary Search", IF($O487="AVATAR", "True Pattern", IF($O487="CapGen", "Search Like Pattern", IF($O487="Cardumen", "True Semantic", IF($O487="DynaMoth", "True Semantic", IF($O487="FixMiner", "True Pattern", IF($O487="GenProg-A", "Evolutionary Search", IF($O487="Hercules", "Learning Pattern", IF($O487="Jaid", "True Semantic",
IF($O487="Kali-A", "True Search", IF($O487="kPAR", "True Pattern", IF($O487="Nopol", "True Semantic", IF($O487="RSRepair-A", "Evolutionary Search", IF($O487="SequenceR", "Deep Learning", IF($O487="SimFix", "Search Like Pattern", IF($O487="SketchFix", "True Pattern", IF($O487="SOFix", "True Pattern", IF($O487="ssFix", "Search Like Pattern", IF($O487="TBar", "True Pattern", ""))))))))))))))))))))</f>
        <v>True Pattern</v>
      </c>
      <c r="Q487" s="13" t="str">
        <f>IF(NOT(ISERR(SEARCH("*_Buggy",$A487))), "Buggy", IF(NOT(ISERR(SEARCH("*_Fixed",$A487))), "Fixed", IF(NOT(ISERR(SEARCH("*_Repaired",$A487))), "Repaired", "")))</f>
        <v>Buggy</v>
      </c>
      <c r="R487" s="13"/>
      <c r="S487" s="13"/>
      <c r="T487" s="13"/>
      <c r="U487" s="13"/>
      <c r="V487" s="13"/>
      <c r="W487" s="13"/>
    </row>
    <row r="488" spans="1:23" x14ac:dyDescent="0.35">
      <c r="A488" s="5" t="s">
        <v>818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>LEFT($A488,FIND("_",$A488)-1)</f>
        <v>TBar</v>
      </c>
      <c r="P488" s="13" t="str">
        <f>IF($O488="ACS", "True Search", IF($O488="Arja", "Evolutionary Search", IF($O488="AVATAR", "True Pattern", IF($O488="CapGen", "Search Like Pattern", IF($O488="Cardumen", "True Semantic", IF($O488="DynaMoth", "True Semantic", IF($O488="FixMiner", "True Pattern", IF($O488="GenProg-A", "Evolutionary Search", IF($O488="Hercules", "Learning Pattern", IF($O488="Jaid", "True Semantic",
IF($O488="Kali-A", "True Search", IF($O488="kPAR", "True Pattern", IF($O488="Nopol", "True Semantic", IF($O488="RSRepair-A", "Evolutionary Search", IF($O488="SequenceR", "Deep Learning", IF($O488="SimFix", "Search Like Pattern", IF($O488="SketchFix", "True Pattern", IF($O488="SOFix", "True Pattern", IF($O488="ssFix", "Search Like Pattern", IF($O488="TBar", "True Pattern", ""))))))))))))))))))))</f>
        <v>True Pattern</v>
      </c>
      <c r="Q488" s="13" t="str">
        <f>IF(NOT(ISERR(SEARCH("*_Buggy",$A488))), "Buggy", IF(NOT(ISERR(SEARCH("*_Fixed",$A488))), "Fixed", IF(NOT(ISERR(SEARCH("*_Repaired",$A488))), "Repaired", "")))</f>
        <v>Buggy</v>
      </c>
      <c r="R488" s="13"/>
      <c r="S488" s="13"/>
      <c r="T488" s="13"/>
      <c r="U488" s="13"/>
      <c r="V488" s="13"/>
      <c r="W488" s="13"/>
    </row>
    <row r="489" spans="1:23" x14ac:dyDescent="0.35">
      <c r="A489" s="5" t="s">
        <v>45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>LEFT($A489,FIND("_",$A489)-1)</f>
        <v>TBar</v>
      </c>
      <c r="P489" s="13" t="str">
        <f>IF($O489="ACS", "True Search", IF($O489="Arja", "Evolutionary Search", IF($O489="AVATAR", "True Pattern", IF($O489="CapGen", "Search Like Pattern", IF($O489="Cardumen", "True Semantic", IF($O489="DynaMoth", "True Semantic", IF($O489="FixMiner", "True Pattern", IF($O489="GenProg-A", "Evolutionary Search", IF($O489="Hercules", "Learning Pattern", IF($O489="Jaid", "True Semantic",
IF($O489="Kali-A", "True Search", IF($O489="kPAR", "True Pattern", IF($O489="Nopol", "True Semantic", IF($O489="RSRepair-A", "Evolutionary Search", IF($O489="SequenceR", "Deep Learning", IF($O489="SimFix", "Search Like Pattern", IF($O489="SketchFix", "True Pattern", IF($O489="SOFix", "True Pattern", IF($O489="ssFix", "Search Like Pattern", IF($O489="TBar", "True Pattern", ""))))))))))))))))))))</f>
        <v>True Pattern</v>
      </c>
      <c r="Q489" s="13" t="str">
        <f>IF(NOT(ISERR(SEARCH("*_Buggy",$A489))), "Buggy", IF(NOT(ISERR(SEARCH("*_Fixed",$A489))), "Fixed", IF(NOT(ISERR(SEARCH("*_Repaired",$A489))), "Repaired", "")))</f>
        <v>Buggy</v>
      </c>
      <c r="R489" s="13"/>
      <c r="S489" s="13"/>
      <c r="T489" s="13"/>
      <c r="U489" s="13"/>
      <c r="V489" s="13"/>
      <c r="W489" s="13"/>
    </row>
    <row r="490" spans="1:23" x14ac:dyDescent="0.35">
      <c r="A490" s="7" t="s">
        <v>895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>LEFT($A490,FIND("_",$A490)-1)</f>
        <v>TBar</v>
      </c>
      <c r="P490" s="13" t="str">
        <f>IF($O490="ACS", "True Search", IF($O490="Arja", "Evolutionary Search", IF($O490="AVATAR", "True Pattern", IF($O490="CapGen", "Search Like Pattern", IF($O490="Cardumen", "True Semantic", IF($O490="DynaMoth", "True Semantic", IF($O490="FixMiner", "True Pattern", IF($O490="GenProg-A", "Evolutionary Search", IF($O490="Hercules", "Learning Pattern", IF($O490="Jaid", "True Semantic",
IF($O490="Kali-A", "True Search", IF($O490="kPAR", "True Pattern", IF($O490="Nopol", "True Semantic", IF($O490="RSRepair-A", "Evolutionary Search", IF($O490="SequenceR", "Deep Learning", IF($O490="SimFix", "Search Like Pattern", IF($O490="SketchFix", "True Pattern", IF($O490="SOFix", "True Pattern", IF($O490="ssFix", "Search Like Pattern", IF($O490="TBar", "True Pattern", ""))))))))))))))))))))</f>
        <v>True Pattern</v>
      </c>
      <c r="Q490" s="13" t="str">
        <f>IF(NOT(ISERR(SEARCH("*_Buggy",$A490))), "Buggy", IF(NOT(ISERR(SEARCH("*_Fixed",$A490))), "Fixed", IF(NOT(ISERR(SEARCH("*_Repaired",$A490))), "Repaired", "")))</f>
        <v>Buggy</v>
      </c>
      <c r="R490" s="13"/>
      <c r="S490" s="13"/>
      <c r="T490" s="13"/>
      <c r="U490" s="13"/>
      <c r="V490" s="13"/>
      <c r="W490" s="13"/>
    </row>
    <row r="491" spans="1:23" x14ac:dyDescent="0.35">
      <c r="A491" s="7" t="s">
        <v>142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>LEFT($A491,FIND("_",$A491)-1)</f>
        <v>TBar</v>
      </c>
      <c r="P491" s="13" t="str">
        <f>IF($O491="ACS", "True Search", IF($O491="Arja", "Evolutionary Search", IF($O491="AVATAR", "True Pattern", IF($O491="CapGen", "Search Like Pattern", IF($O491="Cardumen", "True Semantic", IF($O491="DynaMoth", "True Semantic", IF($O491="FixMiner", "True Pattern", IF($O491="GenProg-A", "Evolutionary Search", IF($O491="Hercules", "Learning Pattern", IF($O491="Jaid", "True Semantic",
IF($O491="Kali-A", "True Search", IF($O491="kPAR", "True Pattern", IF($O491="Nopol", "True Semantic", IF($O491="RSRepair-A", "Evolutionary Search", IF($O491="SequenceR", "Deep Learning", IF($O491="SimFix", "Search Like Pattern", IF($O491="SketchFix", "True Pattern", IF($O491="SOFix", "True Pattern", IF($O491="ssFix", "Search Like Pattern", IF($O491="TBar", "True Pattern", ""))))))))))))))))))))</f>
        <v>True Pattern</v>
      </c>
      <c r="Q491" s="13" t="str">
        <f>IF(NOT(ISERR(SEARCH("*_Buggy",$A491))), "Buggy", IF(NOT(ISERR(SEARCH("*_Fixed",$A491))), "Fixed", IF(NOT(ISERR(SEARCH("*_Repaired",$A491))), "Repaired", "")))</f>
        <v>Buggy</v>
      </c>
      <c r="R491" s="13"/>
      <c r="S491" s="13"/>
      <c r="T491" s="13"/>
      <c r="U491" s="13"/>
      <c r="V491" s="13"/>
      <c r="W491" s="13"/>
    </row>
    <row r="492" spans="1:23" x14ac:dyDescent="0.35">
      <c r="A492" s="7" t="s">
        <v>1207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>LEFT($A492,FIND("_",$A492)-1)</f>
        <v>TBar</v>
      </c>
      <c r="P492" s="13" t="str">
        <f>IF($O492="ACS", "True Search", IF($O492="Arja", "Evolutionary Search", IF($O492="AVATAR", "True Pattern", IF($O492="CapGen", "Search Like Pattern", IF($O492="Cardumen", "True Semantic", IF($O492="DynaMoth", "True Semantic", IF($O492="FixMiner", "True Pattern", IF($O492="GenProg-A", "Evolutionary Search", IF($O492="Hercules", "Learning Pattern", IF($O492="Jaid", "True Semantic",
IF($O492="Kali-A", "True Search", IF($O492="kPAR", "True Pattern", IF($O492="Nopol", "True Semantic", IF($O492="RSRepair-A", "Evolutionary Search", IF($O492="SequenceR", "Deep Learning", IF($O492="SimFix", "Search Like Pattern", IF($O492="SketchFix", "True Pattern", IF($O492="SOFix", "True Pattern", IF($O492="ssFix", "Search Like Pattern", IF($O492="TBar", "True Pattern", ""))))))))))))))))))))</f>
        <v>True Pattern</v>
      </c>
      <c r="Q492" s="13" t="str">
        <f>IF(NOT(ISERR(SEARCH("*_Buggy",$A492))), "Buggy", IF(NOT(ISERR(SEARCH("*_Fixed",$A492))), "Fixed", IF(NOT(ISERR(SEARCH("*_Repaired",$A492))), "Repaired", "")))</f>
        <v>Buggy</v>
      </c>
      <c r="R492" s="13"/>
      <c r="S492" s="13"/>
      <c r="T492" s="13"/>
      <c r="U492" s="13"/>
      <c r="V492" s="13"/>
      <c r="W492" s="13"/>
    </row>
    <row r="493" spans="1:23" x14ac:dyDescent="0.35">
      <c r="A493" s="5" t="s">
        <v>773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>LEFT($A493,FIND("_",$A493)-1)</f>
        <v>TBar</v>
      </c>
      <c r="P493" s="13" t="str">
        <f>IF($O493="ACS", "True Search", IF($O493="Arja", "Evolutionary Search", IF($O493="AVATAR", "True Pattern", IF($O493="CapGen", "Search Like Pattern", IF($O493="Cardumen", "True Semantic", IF($O493="DynaMoth", "True Semantic", IF($O493="FixMiner", "True Pattern", IF($O493="GenProg-A", "Evolutionary Search", IF($O493="Hercules", "Learning Pattern", IF($O493="Jaid", "True Semantic",
IF($O493="Kali-A", "True Search", IF($O493="kPAR", "True Pattern", IF($O493="Nopol", "True Semantic", IF($O493="RSRepair-A", "Evolutionary Search", IF($O493="SequenceR", "Deep Learning", IF($O493="SimFix", "Search Like Pattern", IF($O493="SketchFix", "True Pattern", IF($O493="SOFix", "True Pattern", IF($O493="ssFix", "Search Like Pattern", IF($O493="TBar", "True Pattern", ""))))))))))))))))))))</f>
        <v>True Pattern</v>
      </c>
      <c r="Q493" s="13" t="str">
        <f>IF(NOT(ISERR(SEARCH("*_Buggy",$A493))), "Buggy", IF(NOT(ISERR(SEARCH("*_Fixed",$A493))), "Fixed", IF(NOT(ISERR(SEARCH("*_Repaired",$A493))), "Repaired", "")))</f>
        <v>Buggy</v>
      </c>
      <c r="R493" s="13"/>
      <c r="S493" s="13"/>
      <c r="T493" s="13"/>
      <c r="U493" s="13"/>
      <c r="V493" s="13"/>
      <c r="W493" s="13"/>
    </row>
    <row r="494" spans="1:23" x14ac:dyDescent="0.35">
      <c r="A494" s="7" t="s">
        <v>1285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>LEFT($A494,FIND("_",$A494)-1)</f>
        <v>TBar</v>
      </c>
      <c r="P494" s="13" t="str">
        <f>IF($O494="ACS", "True Search", IF($O494="Arja", "Evolutionary Search", IF($O494="AVATAR", "True Pattern", IF($O494="CapGen", "Search Like Pattern", IF($O494="Cardumen", "True Semantic", IF($O494="DynaMoth", "True Semantic", IF($O494="FixMiner", "True Pattern", IF($O494="GenProg-A", "Evolutionary Search", IF($O494="Hercules", "Learning Pattern", IF($O494="Jaid", "True Semantic",
IF($O494="Kali-A", "True Search", IF($O494="kPAR", "True Pattern", IF($O494="Nopol", "True Semantic", IF($O494="RSRepair-A", "Evolutionary Search", IF($O494="SequenceR", "Deep Learning", IF($O494="SimFix", "Search Like Pattern", IF($O494="SketchFix", "True Pattern", IF($O494="SOFix", "True Pattern", IF($O494="ssFix", "Search Like Pattern", IF($O494="TBar", "True Pattern", ""))))))))))))))))))))</f>
        <v>True Pattern</v>
      </c>
      <c r="Q494" s="13" t="str">
        <f>IF(NOT(ISERR(SEARCH("*_Buggy",$A494))), "Buggy", IF(NOT(ISERR(SEARCH("*_Fixed",$A494))), "Fixed", IF(NOT(ISERR(SEARCH("*_Repaired",$A494))), "Repaired", "")))</f>
        <v>Buggy</v>
      </c>
      <c r="R494" s="13"/>
      <c r="S494" s="13"/>
      <c r="T494" s="13"/>
      <c r="U494" s="13"/>
      <c r="V494" s="13"/>
      <c r="W494" s="13"/>
    </row>
    <row r="495" spans="1:23" x14ac:dyDescent="0.35">
      <c r="A495" s="5" t="s">
        <v>41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>LEFT($A495,FIND("_",$A495)-1)</f>
        <v>TBar</v>
      </c>
      <c r="P495" s="13" t="str">
        <f>IF($O495="ACS", "True Search", IF($O495="Arja", "Evolutionary Search", IF($O495="AVATAR", "True Pattern", IF($O495="CapGen", "Search Like Pattern", IF($O495="Cardumen", "True Semantic", IF($O495="DynaMoth", "True Semantic", IF($O495="FixMiner", "True Pattern", IF($O495="GenProg-A", "Evolutionary Search", IF($O495="Hercules", "Learning Pattern", IF($O495="Jaid", "True Semantic",
IF($O495="Kali-A", "True Search", IF($O495="kPAR", "True Pattern", IF($O495="Nopol", "True Semantic", IF($O495="RSRepair-A", "Evolutionary Search", IF($O495="SequenceR", "Deep Learning", IF($O495="SimFix", "Search Like Pattern", IF($O495="SketchFix", "True Pattern", IF($O495="SOFix", "True Pattern", IF($O495="ssFix", "Search Like Pattern", IF($O495="TBar", "True Pattern", ""))))))))))))))))))))</f>
        <v>True Pattern</v>
      </c>
      <c r="Q495" s="13" t="str">
        <f>IF(NOT(ISERR(SEARCH("*_Buggy",$A495))), "Buggy", IF(NOT(ISERR(SEARCH("*_Fixed",$A495))), "Fixed", IF(NOT(ISERR(SEARCH("*_Repaired",$A495))), "Repaired", "")))</f>
        <v>Buggy</v>
      </c>
      <c r="R495" s="13"/>
      <c r="S495" s="13"/>
      <c r="T495" s="13"/>
      <c r="U495" s="13"/>
      <c r="V495" s="13"/>
      <c r="W495" s="13"/>
    </row>
    <row r="496" spans="1:23" x14ac:dyDescent="0.35">
      <c r="A496" s="5" t="s">
        <v>1233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>LEFT($A496,FIND("_",$A496)-1)</f>
        <v>TBar</v>
      </c>
      <c r="P496" s="13" t="str">
        <f>IF($O496="ACS", "True Search", IF($O496="Arja", "Evolutionary Search", IF($O496="AVATAR", "True Pattern", IF($O496="CapGen", "Search Like Pattern", IF($O496="Cardumen", "True Semantic", IF($O496="DynaMoth", "True Semantic", IF($O496="FixMiner", "True Pattern", IF($O496="GenProg-A", "Evolutionary Search", IF($O496="Hercules", "Learning Pattern", IF($O496="Jaid", "True Semantic",
IF($O496="Kali-A", "True Search", IF($O496="kPAR", "True Pattern", IF($O496="Nopol", "True Semantic", IF($O496="RSRepair-A", "Evolutionary Search", IF($O496="SequenceR", "Deep Learning", IF($O496="SimFix", "Search Like Pattern", IF($O496="SketchFix", "True Pattern", IF($O496="SOFix", "True Pattern", IF($O496="ssFix", "Search Like Pattern", IF($O496="TBar", "True Pattern", ""))))))))))))))))))))</f>
        <v>True Pattern</v>
      </c>
      <c r="Q496" s="13" t="str">
        <f>IF(NOT(ISERR(SEARCH("*_Buggy",$A496))), "Buggy", IF(NOT(ISERR(SEARCH("*_Fixed",$A496))), "Fixed", IF(NOT(ISERR(SEARCH("*_Repaired",$A496))), "Repaired", "")))</f>
        <v>Buggy</v>
      </c>
      <c r="R496" s="13"/>
      <c r="S496" s="13"/>
      <c r="T496" s="13"/>
      <c r="U496" s="13"/>
      <c r="V496" s="13"/>
      <c r="W496" s="13"/>
    </row>
    <row r="497" spans="1:23" x14ac:dyDescent="0.35">
      <c r="A497" s="5" t="s">
        <v>872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>LEFT($A497,FIND("_",$A497)-1)</f>
        <v>TBar</v>
      </c>
      <c r="P497" s="13" t="str">
        <f>IF($O497="ACS", "True Search", IF($O497="Arja", "Evolutionary Search", IF($O497="AVATAR", "True Pattern", IF($O497="CapGen", "Search Like Pattern", IF($O497="Cardumen", "True Semantic", IF($O497="DynaMoth", "True Semantic", IF($O497="FixMiner", "True Pattern", IF($O497="GenProg-A", "Evolutionary Search", IF($O497="Hercules", "Learning Pattern", IF($O497="Jaid", "True Semantic",
IF($O497="Kali-A", "True Search", IF($O497="kPAR", "True Pattern", IF($O497="Nopol", "True Semantic", IF($O497="RSRepair-A", "Evolutionary Search", IF($O497="SequenceR", "Deep Learning", IF($O497="SimFix", "Search Like Pattern", IF($O497="SketchFix", "True Pattern", IF($O497="SOFix", "True Pattern", IF($O497="ssFix", "Search Like Pattern", IF($O497="TBar", "True Pattern", ""))))))))))))))))))))</f>
        <v>True Pattern</v>
      </c>
      <c r="Q497" s="13" t="str">
        <f>IF(NOT(ISERR(SEARCH("*_Buggy",$A497))), "Buggy", IF(NOT(ISERR(SEARCH("*_Fixed",$A497))), "Fixed", IF(NOT(ISERR(SEARCH("*_Repaired",$A497))), "Repaired", "")))</f>
        <v>Buggy</v>
      </c>
      <c r="R497" s="13"/>
      <c r="S497" s="13"/>
      <c r="T497" s="13"/>
      <c r="U497" s="13"/>
      <c r="V497" s="13"/>
      <c r="W497" s="13"/>
    </row>
    <row r="498" spans="1:23" x14ac:dyDescent="0.35">
      <c r="A498" s="5" t="s">
        <v>302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>LEFT($A498,FIND("_",$A498)-1)</f>
        <v>TBar</v>
      </c>
      <c r="P498" s="13" t="str">
        <f>IF($O498="ACS", "True Search", IF($O498="Arja", "Evolutionary Search", IF($O498="AVATAR", "True Pattern", IF($O498="CapGen", "Search Like Pattern", IF($O498="Cardumen", "True Semantic", IF($O498="DynaMoth", "True Semantic", IF($O498="FixMiner", "True Pattern", IF($O498="GenProg-A", "Evolutionary Search", IF($O498="Hercules", "Learning Pattern", IF($O498="Jaid", "True Semantic",
IF($O498="Kali-A", "True Search", IF($O498="kPAR", "True Pattern", IF($O498="Nopol", "True Semantic", IF($O498="RSRepair-A", "Evolutionary Search", IF($O498="SequenceR", "Deep Learning", IF($O498="SimFix", "Search Like Pattern", IF($O498="SketchFix", "True Pattern", IF($O498="SOFix", "True Pattern", IF($O498="ssFix", "Search Like Pattern", IF($O498="TBar", "True Pattern", ""))))))))))))))))))))</f>
        <v>True Pattern</v>
      </c>
      <c r="Q498" s="13" t="str">
        <f>IF(NOT(ISERR(SEARCH("*_Buggy",$A498))), "Buggy", IF(NOT(ISERR(SEARCH("*_Fixed",$A498))), "Fixed", IF(NOT(ISERR(SEARCH("*_Repaired",$A498))), "Repaired", "")))</f>
        <v>Buggy</v>
      </c>
      <c r="R498" s="13"/>
      <c r="S498" s="13"/>
      <c r="T498" s="13"/>
      <c r="U498" s="13"/>
      <c r="V498" s="13"/>
      <c r="W498" s="13"/>
    </row>
    <row r="499" spans="1:23" x14ac:dyDescent="0.35">
      <c r="A499" s="7" t="s">
        <v>298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>LEFT($A499,FIND("_",$A499)-1)</f>
        <v>TBar</v>
      </c>
      <c r="P499" s="13" t="str">
        <f>IF($O499="ACS", "True Search", IF($O499="Arja", "Evolutionary Search", IF($O499="AVATAR", "True Pattern", IF($O499="CapGen", "Search Like Pattern", IF($O499="Cardumen", "True Semantic", IF($O499="DynaMoth", "True Semantic", IF($O499="FixMiner", "True Pattern", IF($O499="GenProg-A", "Evolutionary Search", IF($O499="Hercules", "Learning Pattern", IF($O499="Jaid", "True Semantic",
IF($O499="Kali-A", "True Search", IF($O499="kPAR", "True Pattern", IF($O499="Nopol", "True Semantic", IF($O499="RSRepair-A", "Evolutionary Search", IF($O499="SequenceR", "Deep Learning", IF($O499="SimFix", "Search Like Pattern", IF($O499="SketchFix", "True Pattern", IF($O499="SOFix", "True Pattern", IF($O499="ssFix", "Search Like Pattern", IF($O499="TBar", "True Pattern", ""))))))))))))))))))))</f>
        <v>True Pattern</v>
      </c>
      <c r="Q499" s="13" t="str">
        <f>IF(NOT(ISERR(SEARCH("*_Buggy",$A499))), "Buggy", IF(NOT(ISERR(SEARCH("*_Fixed",$A499))), "Fixed", IF(NOT(ISERR(SEARCH("*_Repaired",$A499))), "Repaired", "")))</f>
        <v>Buggy</v>
      </c>
      <c r="R499" s="13"/>
      <c r="S499" s="13"/>
      <c r="T499" s="13"/>
      <c r="U499" s="13"/>
      <c r="V499" s="13"/>
      <c r="W499" s="13"/>
    </row>
    <row r="500" spans="1:23" x14ac:dyDescent="0.35">
      <c r="A500" s="7" t="s">
        <v>1068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>LEFT($A500,FIND("_",$A500)-1)</f>
        <v>TBar</v>
      </c>
      <c r="P500" s="13" t="str">
        <f>IF($O500="ACS", "True Search", IF($O500="Arja", "Evolutionary Search", IF($O500="AVATAR", "True Pattern", IF($O500="CapGen", "Search Like Pattern", IF($O500="Cardumen", "True Semantic", IF($O500="DynaMoth", "True Semantic", IF($O500="FixMiner", "True Pattern", IF($O500="GenProg-A", "Evolutionary Search", IF($O500="Hercules", "Learning Pattern", IF($O500="Jaid", "True Semantic",
IF($O500="Kali-A", "True Search", IF($O500="kPAR", "True Pattern", IF($O500="Nopol", "True Semantic", IF($O500="RSRepair-A", "Evolutionary Search", IF($O500="SequenceR", "Deep Learning", IF($O500="SimFix", "Search Like Pattern", IF($O500="SketchFix", "True Pattern", IF($O500="SOFix", "True Pattern", IF($O500="ssFix", "Search Like Pattern", IF($O500="TBar", "True Pattern", ""))))))))))))))))))))</f>
        <v>True Pattern</v>
      </c>
      <c r="Q500" s="13" t="str">
        <f>IF(NOT(ISERR(SEARCH("*_Buggy",$A500))), "Buggy", IF(NOT(ISERR(SEARCH("*_Fixed",$A500))), "Fixed", IF(NOT(ISERR(SEARCH("*_Repaired",$A500))), "Repaired", "")))</f>
        <v>Buggy</v>
      </c>
      <c r="R500" s="13"/>
      <c r="S500" s="13"/>
      <c r="T500" s="13"/>
      <c r="U500" s="13"/>
      <c r="V500" s="13"/>
      <c r="W500" s="13"/>
    </row>
    <row r="501" spans="1:23" x14ac:dyDescent="0.35">
      <c r="A501" s="5" t="s">
        <v>28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>LEFT($A501,FIND("_",$A501)-1)</f>
        <v>TBar</v>
      </c>
      <c r="P501" s="13" t="str">
        <f>IF($O501="ACS", "True Search", IF($O501="Arja", "Evolutionary Search", IF($O501="AVATAR", "True Pattern", IF($O501="CapGen", "Search Like Pattern", IF($O501="Cardumen", "True Semantic", IF($O501="DynaMoth", "True Semantic", IF($O501="FixMiner", "True Pattern", IF($O501="GenProg-A", "Evolutionary Search", IF($O501="Hercules", "Learning Pattern", IF($O501="Jaid", "True Semantic",
IF($O501="Kali-A", "True Search", IF($O501="kPAR", "True Pattern", IF($O501="Nopol", "True Semantic", IF($O501="RSRepair-A", "Evolutionary Search", IF($O501="SequenceR", "Deep Learning", IF($O501="SimFix", "Search Like Pattern", IF($O501="SketchFix", "True Pattern", IF($O501="SOFix", "True Pattern", IF($O501="ssFix", "Search Like Pattern", IF($O501="TBar", "True Pattern", ""))))))))))))))))))))</f>
        <v>True Pattern</v>
      </c>
      <c r="Q501" s="13" t="str">
        <f>IF(NOT(ISERR(SEARCH("*_Buggy",$A501))), "Buggy", IF(NOT(ISERR(SEARCH("*_Fixed",$A501))), "Fixed", IF(NOT(ISERR(SEARCH("*_Repaired",$A501))), "Repaired", "")))</f>
        <v>Buggy</v>
      </c>
      <c r="R501" s="13"/>
      <c r="S501" s="13"/>
      <c r="T501" s="13"/>
      <c r="U501" s="13"/>
      <c r="V501" s="13"/>
      <c r="W501" s="13"/>
    </row>
    <row r="502" spans="1:23" x14ac:dyDescent="0.35">
      <c r="A502" s="5" t="s">
        <v>1020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>LEFT($A502,FIND("_",$A502)-1)</f>
        <v>TBar</v>
      </c>
      <c r="P502" s="13" t="str">
        <f>IF($O502="ACS", "True Search", IF($O502="Arja", "Evolutionary Search", IF($O502="AVATAR", "True Pattern", IF($O502="CapGen", "Search Like Pattern", IF($O502="Cardumen", "True Semantic", IF($O502="DynaMoth", "True Semantic", IF($O502="FixMiner", "True Pattern", IF($O502="GenProg-A", "Evolutionary Search", IF($O502="Hercules", "Learning Pattern", IF($O502="Jaid", "True Semantic",
IF($O502="Kali-A", "True Search", IF($O502="kPAR", "True Pattern", IF($O502="Nopol", "True Semantic", IF($O502="RSRepair-A", "Evolutionary Search", IF($O502="SequenceR", "Deep Learning", IF($O502="SimFix", "Search Like Pattern", IF($O502="SketchFix", "True Pattern", IF($O502="SOFix", "True Pattern", IF($O502="ssFix", "Search Like Pattern", IF($O502="TBar", "True Pattern", ""))))))))))))))))))))</f>
        <v>True Pattern</v>
      </c>
      <c r="Q502" s="13" t="str">
        <f>IF(NOT(ISERR(SEARCH("*_Buggy",$A502))), "Buggy", IF(NOT(ISERR(SEARCH("*_Fixed",$A502))), "Fixed", IF(NOT(ISERR(SEARCH("*_Repaired",$A502))), "Repaired", "")))</f>
        <v>Buggy</v>
      </c>
      <c r="R502" s="13"/>
      <c r="S502" s="13"/>
      <c r="T502" s="13"/>
      <c r="U502" s="13"/>
      <c r="V502" s="13"/>
      <c r="W502" s="13"/>
    </row>
    <row r="503" spans="1:23" x14ac:dyDescent="0.35">
      <c r="A503" s="7" t="s">
        <v>833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>LEFT($A503,FIND("_",$A503)-1)</f>
        <v>TBar</v>
      </c>
      <c r="P503" s="13" t="str">
        <f>IF($O503="ACS", "True Search", IF($O503="Arja", "Evolutionary Search", IF($O503="AVATAR", "True Pattern", IF($O503="CapGen", "Search Like Pattern", IF($O503="Cardumen", "True Semantic", IF($O503="DynaMoth", "True Semantic", IF($O503="FixMiner", "True Pattern", IF($O503="GenProg-A", "Evolutionary Search", IF($O503="Hercules", "Learning Pattern", IF($O503="Jaid", "True Semantic",
IF($O503="Kali-A", "True Search", IF($O503="kPAR", "True Pattern", IF($O503="Nopol", "True Semantic", IF($O503="RSRepair-A", "Evolutionary Search", IF($O503="SequenceR", "Deep Learning", IF($O503="SimFix", "Search Like Pattern", IF($O503="SketchFix", "True Pattern", IF($O503="SOFix", "True Pattern", IF($O503="ssFix", "Search Like Pattern", IF($O503="TBar", "True Pattern", ""))))))))))))))))))))</f>
        <v>True Pattern</v>
      </c>
      <c r="Q503" s="13" t="str">
        <f>IF(NOT(ISERR(SEARCH("*_Buggy",$A503))), "Buggy", IF(NOT(ISERR(SEARCH("*_Fixed",$A503))), "Fixed", IF(NOT(ISERR(SEARCH("*_Repaired",$A503))), "Repaired", "")))</f>
        <v>Buggy</v>
      </c>
      <c r="R503" s="13"/>
      <c r="S503" s="13"/>
      <c r="T503" s="13"/>
      <c r="U503" s="13"/>
      <c r="V503" s="13"/>
      <c r="W503" s="13"/>
    </row>
    <row r="504" spans="1:23" x14ac:dyDescent="0.35">
      <c r="A504" s="7" t="s">
        <v>124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>LEFT($A504,FIND("_",$A504)-1)</f>
        <v>TBar</v>
      </c>
      <c r="P504" s="13" t="str">
        <f>IF($O504="ACS", "True Search", IF($O504="Arja", "Evolutionary Search", IF($O504="AVATAR", "True Pattern", IF($O504="CapGen", "Search Like Pattern", IF($O504="Cardumen", "True Semantic", IF($O504="DynaMoth", "True Semantic", IF($O504="FixMiner", "True Pattern", IF($O504="GenProg-A", "Evolutionary Search", IF($O504="Hercules", "Learning Pattern", IF($O504="Jaid", "True Semantic",
IF($O504="Kali-A", "True Search", IF($O504="kPAR", "True Pattern", IF($O504="Nopol", "True Semantic", IF($O504="RSRepair-A", "Evolutionary Search", IF($O504="SequenceR", "Deep Learning", IF($O504="SimFix", "Search Like Pattern", IF($O504="SketchFix", "True Pattern", IF($O504="SOFix", "True Pattern", IF($O504="ssFix", "Search Like Pattern", IF($O504="TBar", "True Pattern", ""))))))))))))))))))))</f>
        <v>True Pattern</v>
      </c>
      <c r="Q504" s="13" t="str">
        <f>IF(NOT(ISERR(SEARCH("*_Buggy",$A504))), "Buggy", IF(NOT(ISERR(SEARCH("*_Fixed",$A504))), "Fixed", IF(NOT(ISERR(SEARCH("*_Repaired",$A504))), "Repaired", "")))</f>
        <v>Buggy</v>
      </c>
      <c r="R504" s="13"/>
      <c r="S504" s="13"/>
      <c r="T504" s="13"/>
      <c r="U504" s="13"/>
      <c r="V504" s="13"/>
      <c r="W504" s="13"/>
    </row>
    <row r="505" spans="1:23" x14ac:dyDescent="0.35">
      <c r="A505" s="5" t="s">
        <v>805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>LEFT($A505,FIND("_",$A505)-1)</f>
        <v>TBar</v>
      </c>
      <c r="P505" s="13" t="str">
        <f>IF($O505="ACS", "True Search", IF($O505="Arja", "Evolutionary Search", IF($O505="AVATAR", "True Pattern", IF($O505="CapGen", "Search Like Pattern", IF($O505="Cardumen", "True Semantic", IF($O505="DynaMoth", "True Semantic", IF($O505="FixMiner", "True Pattern", IF($O505="GenProg-A", "Evolutionary Search", IF($O505="Hercules", "Learning Pattern", IF($O505="Jaid", "True Semantic",
IF($O505="Kali-A", "True Search", IF($O505="kPAR", "True Pattern", IF($O505="Nopol", "True Semantic", IF($O505="RSRepair-A", "Evolutionary Search", IF($O505="SequenceR", "Deep Learning", IF($O505="SimFix", "Search Like Pattern", IF($O505="SketchFix", "True Pattern", IF($O505="SOFix", "True Pattern", IF($O505="ssFix", "Search Like Pattern", IF($O505="TBar", "True Pattern", ""))))))))))))))))))))</f>
        <v>True Pattern</v>
      </c>
      <c r="Q505" s="13" t="str">
        <f>IF(NOT(ISERR(SEARCH("*_Buggy",$A505))), "Buggy", IF(NOT(ISERR(SEARCH("*_Fixed",$A505))), "Fixed", IF(NOT(ISERR(SEARCH("*_Repaired",$A505))), "Repaired", "")))</f>
        <v>Buggy</v>
      </c>
      <c r="R505" s="13"/>
      <c r="S505" s="13"/>
      <c r="T505" s="13"/>
      <c r="U505" s="13"/>
      <c r="V505" s="13"/>
      <c r="W505" s="13"/>
    </row>
    <row r="506" spans="1:23" x14ac:dyDescent="0.35">
      <c r="A506" s="7" t="s">
        <v>903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>LEFT($A506,FIND("_",$A506)-1)</f>
        <v>TBar</v>
      </c>
      <c r="P506" s="13" t="str">
        <f>IF($O506="ACS", "True Search", IF($O506="Arja", "Evolutionary Search", IF($O506="AVATAR", "True Pattern", IF($O506="CapGen", "Search Like Pattern", IF($O506="Cardumen", "True Semantic", IF($O506="DynaMoth", "True Semantic", IF($O506="FixMiner", "True Pattern", IF($O506="GenProg-A", "Evolutionary Search", IF($O506="Hercules", "Learning Pattern", IF($O506="Jaid", "True Semantic",
IF($O506="Kali-A", "True Search", IF($O506="kPAR", "True Pattern", IF($O506="Nopol", "True Semantic", IF($O506="RSRepair-A", "Evolutionary Search", IF($O506="SequenceR", "Deep Learning", IF($O506="SimFix", "Search Like Pattern", IF($O506="SketchFix", "True Pattern", IF($O506="SOFix", "True Pattern", IF($O506="ssFix", "Search Like Pattern", IF($O506="TBar", "True Pattern", ""))))))))))))))))))))</f>
        <v>True Pattern</v>
      </c>
      <c r="Q506" s="13" t="str">
        <f>IF(NOT(ISERR(SEARCH("*_Buggy",$A506))), "Buggy", IF(NOT(ISERR(SEARCH("*_Fixed",$A506))), "Fixed", IF(NOT(ISERR(SEARCH("*_Repaired",$A506))), "Repaired", "")))</f>
        <v>Buggy</v>
      </c>
      <c r="R506" s="13"/>
      <c r="S506" s="13"/>
      <c r="T506" s="13"/>
      <c r="U506" s="13"/>
      <c r="V506" s="13"/>
      <c r="W506" s="13"/>
    </row>
    <row r="507" spans="1:23" x14ac:dyDescent="0.35">
      <c r="A507" s="5" t="s">
        <v>711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>LEFT($A507,FIND("_",$A507)-1)</f>
        <v>TBar</v>
      </c>
      <c r="P507" s="13" t="str">
        <f>IF($O507="ACS", "True Search", IF($O507="Arja", "Evolutionary Search", IF($O507="AVATAR", "True Pattern", IF($O507="CapGen", "Search Like Pattern", IF($O507="Cardumen", "True Semantic", IF($O507="DynaMoth", "True Semantic", IF($O507="FixMiner", "True Pattern", IF($O507="GenProg-A", "Evolutionary Search", IF($O507="Hercules", "Learning Pattern", IF($O507="Jaid", "True Semantic",
IF($O507="Kali-A", "True Search", IF($O507="kPAR", "True Pattern", IF($O507="Nopol", "True Semantic", IF($O507="RSRepair-A", "Evolutionary Search", IF($O507="SequenceR", "Deep Learning", IF($O507="SimFix", "Search Like Pattern", IF($O507="SketchFix", "True Pattern", IF($O507="SOFix", "True Pattern", IF($O507="ssFix", "Search Like Pattern", IF($O507="TBar", "True Pattern", ""))))))))))))))))))))</f>
        <v>True Pattern</v>
      </c>
      <c r="Q507" s="13" t="str">
        <f>IF(NOT(ISERR(SEARCH("*_Buggy",$A507))), "Buggy", IF(NOT(ISERR(SEARCH("*_Fixed",$A507))), "Fixed", IF(NOT(ISERR(SEARCH("*_Repaired",$A507))), "Repaired", "")))</f>
        <v>Buggy</v>
      </c>
      <c r="R507" s="13"/>
      <c r="S507" s="13"/>
      <c r="T507" s="13"/>
      <c r="U507" s="13"/>
      <c r="V507" s="13"/>
      <c r="W507" s="13"/>
    </row>
    <row r="508" spans="1:23" x14ac:dyDescent="0.35">
      <c r="A508" s="7" t="s">
        <v>1069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>LEFT($A508,FIND("_",$A508)-1)</f>
        <v>TBar</v>
      </c>
      <c r="P508" s="13" t="str">
        <f>IF($O508="ACS", "True Search", IF($O508="Arja", "Evolutionary Search", IF($O508="AVATAR", "True Pattern", IF($O508="CapGen", "Search Like Pattern", IF($O508="Cardumen", "True Semantic", IF($O508="DynaMoth", "True Semantic", IF($O508="FixMiner", "True Pattern", IF($O508="GenProg-A", "Evolutionary Search", IF($O508="Hercules", "Learning Pattern", IF($O508="Jaid", "True Semantic",
IF($O508="Kali-A", "True Search", IF($O508="kPAR", "True Pattern", IF($O508="Nopol", "True Semantic", IF($O508="RSRepair-A", "Evolutionary Search", IF($O508="SequenceR", "Deep Learning", IF($O508="SimFix", "Search Like Pattern", IF($O508="SketchFix", "True Pattern", IF($O508="SOFix", "True Pattern", IF($O508="ssFix", "Search Like Pattern", IF($O508="TBar", "True Pattern", ""))))))))))))))))))))</f>
        <v>True Pattern</v>
      </c>
      <c r="Q508" s="13" t="str">
        <f>IF(NOT(ISERR(SEARCH("*_Buggy",$A508))), "Buggy", IF(NOT(ISERR(SEARCH("*_Fixed",$A508))), "Fixed", IF(NOT(ISERR(SEARCH("*_Repaired",$A508))), "Repaired", "")))</f>
        <v>Buggy</v>
      </c>
      <c r="R508" s="13"/>
      <c r="S508" s="13"/>
      <c r="T508" s="13"/>
      <c r="U508" s="13"/>
      <c r="V508" s="13"/>
      <c r="W508" s="13"/>
    </row>
    <row r="509" spans="1:23" x14ac:dyDescent="0.35">
      <c r="A509" s="7" t="s">
        <v>362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>LEFT($A509,FIND("_",$A509)-1)</f>
        <v>TBar</v>
      </c>
      <c r="P509" s="13" t="str">
        <f>IF($O509="ACS", "True Search", IF($O509="Arja", "Evolutionary Search", IF($O509="AVATAR", "True Pattern", IF($O509="CapGen", "Search Like Pattern", IF($O509="Cardumen", "True Semantic", IF($O509="DynaMoth", "True Semantic", IF($O509="FixMiner", "True Pattern", IF($O509="GenProg-A", "Evolutionary Search", IF($O509="Hercules", "Learning Pattern", IF($O509="Jaid", "True Semantic",
IF($O509="Kali-A", "True Search", IF($O509="kPAR", "True Pattern", IF($O509="Nopol", "True Semantic", IF($O509="RSRepair-A", "Evolutionary Search", IF($O509="SequenceR", "Deep Learning", IF($O509="SimFix", "Search Like Pattern", IF($O509="SketchFix", "True Pattern", IF($O509="SOFix", "True Pattern", IF($O509="ssFix", "Search Like Pattern", IF($O509="TBar", "True Pattern", ""))))))))))))))))))))</f>
        <v>True Pattern</v>
      </c>
      <c r="Q509" s="13" t="str">
        <f>IF(NOT(ISERR(SEARCH("*_Buggy",$A509))), "Buggy", IF(NOT(ISERR(SEARCH("*_Fixed",$A509))), "Fixed", IF(NOT(ISERR(SEARCH("*_Repaired",$A509))), "Repaired", "")))</f>
        <v>Buggy</v>
      </c>
      <c r="R509" s="13"/>
      <c r="S509" s="13"/>
      <c r="T509" s="13"/>
      <c r="U509" s="13"/>
      <c r="V509" s="13"/>
      <c r="W509" s="13"/>
    </row>
    <row r="510" spans="1:23" x14ac:dyDescent="0.35">
      <c r="A510" s="5" t="s">
        <v>748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>LEFT($A510,FIND("_",$A510)-1)</f>
        <v>TBar</v>
      </c>
      <c r="P510" s="13" t="str">
        <f>IF($O510="ACS", "True Search", IF($O510="Arja", "Evolutionary Search", IF($O510="AVATAR", "True Pattern", IF($O510="CapGen", "Search Like Pattern", IF($O510="Cardumen", "True Semantic", IF($O510="DynaMoth", "True Semantic", IF($O510="FixMiner", "True Pattern", IF($O510="GenProg-A", "Evolutionary Search", IF($O510="Hercules", "Learning Pattern", IF($O510="Jaid", "True Semantic",
IF($O510="Kali-A", "True Search", IF($O510="kPAR", "True Pattern", IF($O510="Nopol", "True Semantic", IF($O510="RSRepair-A", "Evolutionary Search", IF($O510="SequenceR", "Deep Learning", IF($O510="SimFix", "Search Like Pattern", IF($O510="SketchFix", "True Pattern", IF($O510="SOFix", "True Pattern", IF($O510="ssFix", "Search Like Pattern", IF($O510="TBar", "True Pattern", ""))))))))))))))))))))</f>
        <v>True Pattern</v>
      </c>
      <c r="Q510" s="13" t="str">
        <f>IF(NOT(ISERR(SEARCH("*_Buggy",$A510))), "Buggy", IF(NOT(ISERR(SEARCH("*_Fixed",$A510))), "Fixed", IF(NOT(ISERR(SEARCH("*_Repaired",$A510))), "Repaired", "")))</f>
        <v>Buggy</v>
      </c>
      <c r="R510" s="13"/>
      <c r="S510" s="13"/>
      <c r="T510" s="13"/>
      <c r="U510" s="13"/>
      <c r="V510" s="13"/>
      <c r="W510" s="13"/>
    </row>
    <row r="511" spans="1:23" x14ac:dyDescent="0.35">
      <c r="A511" s="7" t="s">
        <v>1258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>LEFT($A511,FIND("_",$A511)-1)</f>
        <v>TBar</v>
      </c>
      <c r="P511" s="13" t="str">
        <f>IF($O511="ACS", "True Search", IF($O511="Arja", "Evolutionary Search", IF($O511="AVATAR", "True Pattern", IF($O511="CapGen", "Search Like Pattern", IF($O511="Cardumen", "True Semantic", IF($O511="DynaMoth", "True Semantic", IF($O511="FixMiner", "True Pattern", IF($O511="GenProg-A", "Evolutionary Search", IF($O511="Hercules", "Learning Pattern", IF($O511="Jaid", "True Semantic",
IF($O511="Kali-A", "True Search", IF($O511="kPAR", "True Pattern", IF($O511="Nopol", "True Semantic", IF($O511="RSRepair-A", "Evolutionary Search", IF($O511="SequenceR", "Deep Learning", IF($O511="SimFix", "Search Like Pattern", IF($O511="SketchFix", "True Pattern", IF($O511="SOFix", "True Pattern", IF($O511="ssFix", "Search Like Pattern", IF($O511="TBar", "True Pattern", ""))))))))))))))))))))</f>
        <v>True Pattern</v>
      </c>
      <c r="Q511" s="13" t="str">
        <f>IF(NOT(ISERR(SEARCH("*_Buggy",$A511))), "Buggy", IF(NOT(ISERR(SEARCH("*_Fixed",$A511))), "Fixed", IF(NOT(ISERR(SEARCH("*_Repaired",$A511))), "Repaired", "")))</f>
        <v>Buggy</v>
      </c>
      <c r="R511" s="13"/>
      <c r="S511" s="13"/>
      <c r="T511" s="13"/>
      <c r="U511" s="13"/>
      <c r="V511" s="13"/>
      <c r="W511" s="13"/>
    </row>
    <row r="512" spans="1:23" x14ac:dyDescent="0.35">
      <c r="A512" s="7" t="s">
        <v>1196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>LEFT($A512,FIND("_",$A512)-1)</f>
        <v>TBar</v>
      </c>
      <c r="P512" s="13" t="str">
        <f>IF($O512="ACS", "True Search", IF($O512="Arja", "Evolutionary Search", IF($O512="AVATAR", "True Pattern", IF($O512="CapGen", "Search Like Pattern", IF($O512="Cardumen", "True Semantic", IF($O512="DynaMoth", "True Semantic", IF($O512="FixMiner", "True Pattern", IF($O512="GenProg-A", "Evolutionary Search", IF($O512="Hercules", "Learning Pattern", IF($O512="Jaid", "True Semantic",
IF($O512="Kali-A", "True Search", IF($O512="kPAR", "True Pattern", IF($O512="Nopol", "True Semantic", IF($O512="RSRepair-A", "Evolutionary Search", IF($O512="SequenceR", "Deep Learning", IF($O512="SimFix", "Search Like Pattern", IF($O512="SketchFix", "True Pattern", IF($O512="SOFix", "True Pattern", IF($O512="ssFix", "Search Like Pattern", IF($O512="TBar", "True Pattern", ""))))))))))))))))))))</f>
        <v>True Pattern</v>
      </c>
      <c r="Q512" s="13" t="str">
        <f>IF(NOT(ISERR(SEARCH("*_Buggy",$A512))), "Buggy", IF(NOT(ISERR(SEARCH("*_Fixed",$A512))), "Fixed", IF(NOT(ISERR(SEARCH("*_Repaired",$A512))), "Repaired", "")))</f>
        <v>Buggy</v>
      </c>
      <c r="R512" s="13"/>
      <c r="S512" s="13"/>
      <c r="T512" s="13"/>
      <c r="U512" s="13"/>
      <c r="V512" s="13"/>
      <c r="W512" s="13"/>
    </row>
    <row r="513" spans="1:23" x14ac:dyDescent="0.35">
      <c r="A513" s="5" t="s">
        <v>1141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>LEFT($A513,FIND("_",$A513)-1)</f>
        <v>TBar</v>
      </c>
      <c r="P513" s="13" t="str">
        <f>IF($O513="ACS", "True Search", IF($O513="Arja", "Evolutionary Search", IF($O513="AVATAR", "True Pattern", IF($O513="CapGen", "Search Like Pattern", IF($O513="Cardumen", "True Semantic", IF($O513="DynaMoth", "True Semantic", IF($O513="FixMiner", "True Pattern", IF($O513="GenProg-A", "Evolutionary Search", IF($O513="Hercules", "Learning Pattern", IF($O513="Jaid", "True Semantic",
IF($O513="Kali-A", "True Search", IF($O513="kPAR", "True Pattern", IF($O513="Nopol", "True Semantic", IF($O513="RSRepair-A", "Evolutionary Search", IF($O513="SequenceR", "Deep Learning", IF($O513="SimFix", "Search Like Pattern", IF($O513="SketchFix", "True Pattern", IF($O513="SOFix", "True Pattern", IF($O513="ssFix", "Search Like Pattern", IF($O513="TBar", "True Pattern", ""))))))))))))))))))))</f>
        <v>True Pattern</v>
      </c>
      <c r="Q513" s="13" t="str">
        <f>IF(NOT(ISERR(SEARCH("*_Buggy",$A513))), "Buggy", IF(NOT(ISERR(SEARCH("*_Fixed",$A513))), "Fixed", IF(NOT(ISERR(SEARCH("*_Repaired",$A513))), "Repaired", "")))</f>
        <v>Buggy</v>
      </c>
      <c r="R513" s="13"/>
      <c r="S513" s="13"/>
      <c r="T513" s="13"/>
      <c r="U513" s="13"/>
      <c r="V513" s="13"/>
      <c r="W513" s="13"/>
    </row>
    <row r="514" spans="1:23" x14ac:dyDescent="0.35">
      <c r="A514" s="7" t="s">
        <v>663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>LEFT($A514,FIND("_",$A514)-1)</f>
        <v>TBar</v>
      </c>
      <c r="P514" s="13" t="str">
        <f>IF($O514="ACS", "True Search", IF($O514="Arja", "Evolutionary Search", IF($O514="AVATAR", "True Pattern", IF($O514="CapGen", "Search Like Pattern", IF($O514="Cardumen", "True Semantic", IF($O514="DynaMoth", "True Semantic", IF($O514="FixMiner", "True Pattern", IF($O514="GenProg-A", "Evolutionary Search", IF($O514="Hercules", "Learning Pattern", IF($O514="Jaid", "True Semantic",
IF($O514="Kali-A", "True Search", IF($O514="kPAR", "True Pattern", IF($O514="Nopol", "True Semantic", IF($O514="RSRepair-A", "Evolutionary Search", IF($O514="SequenceR", "Deep Learning", IF($O514="SimFix", "Search Like Pattern", IF($O514="SketchFix", "True Pattern", IF($O514="SOFix", "True Pattern", IF($O514="ssFix", "Search Like Pattern", IF($O514="TBar", "True Pattern", ""))))))))))))))))))))</f>
        <v>True Pattern</v>
      </c>
      <c r="Q514" s="13" t="str">
        <f>IF(NOT(ISERR(SEARCH("*_Buggy",$A514))), "Buggy", IF(NOT(ISERR(SEARCH("*_Fixed",$A514))), "Fixed", IF(NOT(ISERR(SEARCH("*_Repaired",$A514))), "Repaired", "")))</f>
        <v>Buggy</v>
      </c>
      <c r="R514" s="13"/>
      <c r="S514" s="13"/>
      <c r="T514" s="13"/>
      <c r="U514" s="13"/>
      <c r="V514" s="13"/>
      <c r="W514" s="13"/>
    </row>
    <row r="515" spans="1:23" x14ac:dyDescent="0.35">
      <c r="A515" s="7" t="s">
        <v>1198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>LEFT($A515,FIND("_",$A515)-1)</f>
        <v>TBar</v>
      </c>
      <c r="P515" s="13" t="str">
        <f>IF($O515="ACS", "True Search", IF($O515="Arja", "Evolutionary Search", IF($O515="AVATAR", "True Pattern", IF($O515="CapGen", "Search Like Pattern", IF($O515="Cardumen", "True Semantic", IF($O515="DynaMoth", "True Semantic", IF($O515="FixMiner", "True Pattern", IF($O515="GenProg-A", "Evolutionary Search", IF($O515="Hercules", "Learning Pattern", IF($O515="Jaid", "True Semantic",
IF($O515="Kali-A", "True Search", IF($O515="kPAR", "True Pattern", IF($O515="Nopol", "True Semantic", IF($O515="RSRepair-A", "Evolutionary Search", IF($O515="SequenceR", "Deep Learning", IF($O515="SimFix", "Search Like Pattern", IF($O515="SketchFix", "True Pattern", IF($O515="SOFix", "True Pattern", IF($O515="ssFix", "Search Like Pattern", IF($O515="TBar", "True Pattern", ""))))))))))))))))))))</f>
        <v>True Pattern</v>
      </c>
      <c r="Q515" s="13" t="str">
        <f>IF(NOT(ISERR(SEARCH("*_Buggy",$A515))), "Buggy", IF(NOT(ISERR(SEARCH("*_Fixed",$A515))), "Fixed", IF(NOT(ISERR(SEARCH("*_Repaired",$A515))), "Repaired", "")))</f>
        <v>Buggy</v>
      </c>
      <c r="R515" s="13"/>
      <c r="S515" s="13"/>
      <c r="T515" s="13"/>
      <c r="U515" s="13"/>
      <c r="V515" s="13"/>
      <c r="W515" s="13"/>
    </row>
    <row r="516" spans="1:23" x14ac:dyDescent="0.35">
      <c r="A516" s="5" t="s">
        <v>606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>LEFT($A516,FIND("_",$A516)-1)</f>
        <v>TBar</v>
      </c>
      <c r="P516" s="13" t="str">
        <f>IF($O516="ACS", "True Search", IF($O516="Arja", "Evolutionary Search", IF($O516="AVATAR", "True Pattern", IF($O516="CapGen", "Search Like Pattern", IF($O516="Cardumen", "True Semantic", IF($O516="DynaMoth", "True Semantic", IF($O516="FixMiner", "True Pattern", IF($O516="GenProg-A", "Evolutionary Search", IF($O516="Hercules", "Learning Pattern", IF($O516="Jaid", "True Semantic",
IF($O516="Kali-A", "True Search", IF($O516="kPAR", "True Pattern", IF($O516="Nopol", "True Semantic", IF($O516="RSRepair-A", "Evolutionary Search", IF($O516="SequenceR", "Deep Learning", IF($O516="SimFix", "Search Like Pattern", IF($O516="SketchFix", "True Pattern", IF($O516="SOFix", "True Pattern", IF($O516="ssFix", "Search Like Pattern", IF($O516="TBar", "True Pattern", ""))))))))))))))))))))</f>
        <v>True Pattern</v>
      </c>
      <c r="Q516" s="13" t="str">
        <f>IF(NOT(ISERR(SEARCH("*_Buggy",$A516))), "Buggy", IF(NOT(ISERR(SEARCH("*_Fixed",$A516))), "Fixed", IF(NOT(ISERR(SEARCH("*_Repaired",$A516))), "Repaired", "")))</f>
        <v>Buggy</v>
      </c>
      <c r="R516" s="13"/>
      <c r="S516" s="13"/>
      <c r="T516" s="13"/>
      <c r="U516" s="13"/>
      <c r="V516" s="13"/>
      <c r="W516" s="13"/>
    </row>
    <row r="517" spans="1:23" x14ac:dyDescent="0.35">
      <c r="A517" s="7" t="s">
        <v>1071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>LEFT($A517,FIND("_",$A517)-1)</f>
        <v>TBar</v>
      </c>
      <c r="P517" s="13" t="str">
        <f>IF($O517="ACS", "True Search", IF($O517="Arja", "Evolutionary Search", IF($O517="AVATAR", "True Pattern", IF($O517="CapGen", "Search Like Pattern", IF($O517="Cardumen", "True Semantic", IF($O517="DynaMoth", "True Semantic", IF($O517="FixMiner", "True Pattern", IF($O517="GenProg-A", "Evolutionary Search", IF($O517="Hercules", "Learning Pattern", IF($O517="Jaid", "True Semantic",
IF($O517="Kali-A", "True Search", IF($O517="kPAR", "True Pattern", IF($O517="Nopol", "True Semantic", IF($O517="RSRepair-A", "Evolutionary Search", IF($O517="SequenceR", "Deep Learning", IF($O517="SimFix", "Search Like Pattern", IF($O517="SketchFix", "True Pattern", IF($O517="SOFix", "True Pattern", IF($O517="ssFix", "Search Like Pattern", IF($O517="TBar", "True Pattern", ""))))))))))))))))))))</f>
        <v>True Pattern</v>
      </c>
      <c r="Q517" s="13" t="str">
        <f>IF(NOT(ISERR(SEARCH("*_Buggy",$A517))), "Buggy", IF(NOT(ISERR(SEARCH("*_Fixed",$A517))), "Fixed", IF(NOT(ISERR(SEARCH("*_Repaired",$A517))), "Repaired", "")))</f>
        <v>Buggy</v>
      </c>
      <c r="R517" s="13"/>
      <c r="S517" s="13"/>
      <c r="T517" s="13"/>
      <c r="U517" s="13"/>
      <c r="V517" s="13"/>
      <c r="W517" s="13"/>
    </row>
    <row r="518" spans="1:23" x14ac:dyDescent="0.35">
      <c r="A518" s="5" t="s">
        <v>820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>LEFT($A518,FIND("_",$A518)-1)</f>
        <v>TBar</v>
      </c>
      <c r="P518" s="13" t="str">
        <f>IF($O518="ACS", "True Search", IF($O518="Arja", "Evolutionary Search", IF($O518="AVATAR", "True Pattern", IF($O518="CapGen", "Search Like Pattern", IF($O518="Cardumen", "True Semantic", IF($O518="DynaMoth", "True Semantic", IF($O518="FixMiner", "True Pattern", IF($O518="GenProg-A", "Evolutionary Search", IF($O518="Hercules", "Learning Pattern", IF($O518="Jaid", "True Semantic",
IF($O518="Kali-A", "True Search", IF($O518="kPAR", "True Pattern", IF($O518="Nopol", "True Semantic", IF($O518="RSRepair-A", "Evolutionary Search", IF($O518="SequenceR", "Deep Learning", IF($O518="SimFix", "Search Like Pattern", IF($O518="SketchFix", "True Pattern", IF($O518="SOFix", "True Pattern", IF($O518="ssFix", "Search Like Pattern", IF($O518="TBar", "True Pattern", ""))))))))))))))))))))</f>
        <v>True Pattern</v>
      </c>
      <c r="Q518" s="13" t="str">
        <f>IF(NOT(ISERR(SEARCH("*_Buggy",$A518))), "Buggy", IF(NOT(ISERR(SEARCH("*_Fixed",$A518))), "Fixed", IF(NOT(ISERR(SEARCH("*_Repaired",$A518))), "Repaired", "")))</f>
        <v>Buggy</v>
      </c>
      <c r="R518" s="13"/>
      <c r="S518" s="13"/>
      <c r="T518" s="13"/>
      <c r="U518" s="13"/>
      <c r="V518" s="13"/>
      <c r="W518" s="13"/>
    </row>
    <row r="519" spans="1:23" x14ac:dyDescent="0.35">
      <c r="A519" s="5" t="s">
        <v>1212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>LEFT($A519,FIND("_",$A519)-1)</f>
        <v>TBar</v>
      </c>
      <c r="P519" s="13" t="str">
        <f>IF($O519="ACS", "True Search", IF($O519="Arja", "Evolutionary Search", IF($O519="AVATAR", "True Pattern", IF($O519="CapGen", "Search Like Pattern", IF($O519="Cardumen", "True Semantic", IF($O519="DynaMoth", "True Semantic", IF($O519="FixMiner", "True Pattern", IF($O519="GenProg-A", "Evolutionary Search", IF($O519="Hercules", "Learning Pattern", IF($O519="Jaid", "True Semantic",
IF($O519="Kali-A", "True Search", IF($O519="kPAR", "True Pattern", IF($O519="Nopol", "True Semantic", IF($O519="RSRepair-A", "Evolutionary Search", IF($O519="SequenceR", "Deep Learning", IF($O519="SimFix", "Search Like Pattern", IF($O519="SketchFix", "True Pattern", IF($O519="SOFix", "True Pattern", IF($O519="ssFix", "Search Like Pattern", IF($O519="TBar", "True Pattern", ""))))))))))))))))))))</f>
        <v>True Pattern</v>
      </c>
      <c r="Q519" s="13" t="str">
        <f>IF(NOT(ISERR(SEARCH("*_Buggy",$A519))), "Buggy", IF(NOT(ISERR(SEARCH("*_Fixed",$A519))), "Fixed", IF(NOT(ISERR(SEARCH("*_Repaired",$A519))), "Repaired", "")))</f>
        <v>Buggy</v>
      </c>
      <c r="R519" s="13"/>
      <c r="S519" s="13"/>
      <c r="T519" s="13"/>
      <c r="U519" s="13"/>
      <c r="V519" s="13"/>
      <c r="W519" s="13"/>
    </row>
    <row r="520" spans="1:23" x14ac:dyDescent="0.35">
      <c r="A520" s="7" t="s">
        <v>509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>LEFT($A520,FIND("_",$A520)-1)</f>
        <v>TBar</v>
      </c>
      <c r="P520" s="13" t="str">
        <f>IF($O520="ACS", "True Search", IF($O520="Arja", "Evolutionary Search", IF($O520="AVATAR", "True Pattern", IF($O520="CapGen", "Search Like Pattern", IF($O520="Cardumen", "True Semantic", IF($O520="DynaMoth", "True Semantic", IF($O520="FixMiner", "True Pattern", IF($O520="GenProg-A", "Evolutionary Search", IF($O520="Hercules", "Learning Pattern", IF($O520="Jaid", "True Semantic",
IF($O520="Kali-A", "True Search", IF($O520="kPAR", "True Pattern", IF($O520="Nopol", "True Semantic", IF($O520="RSRepair-A", "Evolutionary Search", IF($O520="SequenceR", "Deep Learning", IF($O520="SimFix", "Search Like Pattern", IF($O520="SketchFix", "True Pattern", IF($O520="SOFix", "True Pattern", IF($O520="ssFix", "Search Like Pattern", IF($O520="TBar", "True Pattern", ""))))))))))))))))))))</f>
        <v>True Pattern</v>
      </c>
      <c r="Q520" s="13" t="str">
        <f>IF(NOT(ISERR(SEARCH("*_Buggy",$A520))), "Buggy", IF(NOT(ISERR(SEARCH("*_Fixed",$A520))), "Fixed", IF(NOT(ISERR(SEARCH("*_Repaired",$A520))), "Repaired", "")))</f>
        <v>Buggy</v>
      </c>
      <c r="R520" s="13"/>
      <c r="S520" s="13"/>
      <c r="T520" s="13"/>
      <c r="U520" s="13"/>
      <c r="V520" s="13"/>
      <c r="W520" s="13"/>
    </row>
    <row r="521" spans="1:23" x14ac:dyDescent="0.35">
      <c r="A521" s="7" t="s">
        <v>1023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>LEFT($A521,FIND("_",$A521)-1)</f>
        <v>TBar</v>
      </c>
      <c r="P521" s="13" t="str">
        <f>IF($O521="ACS", "True Search", IF($O521="Arja", "Evolutionary Search", IF($O521="AVATAR", "True Pattern", IF($O521="CapGen", "Search Like Pattern", IF($O521="Cardumen", "True Semantic", IF($O521="DynaMoth", "True Semantic", IF($O521="FixMiner", "True Pattern", IF($O521="GenProg-A", "Evolutionary Search", IF($O521="Hercules", "Learning Pattern", IF($O521="Jaid", "True Semantic",
IF($O521="Kali-A", "True Search", IF($O521="kPAR", "True Pattern", IF($O521="Nopol", "True Semantic", IF($O521="RSRepair-A", "Evolutionary Search", IF($O521="SequenceR", "Deep Learning", IF($O521="SimFix", "Search Like Pattern", IF($O521="SketchFix", "True Pattern", IF($O521="SOFix", "True Pattern", IF($O521="ssFix", "Search Like Pattern", IF($O521="TBar", "True Pattern", ""))))))))))))))))))))</f>
        <v>True Pattern</v>
      </c>
      <c r="Q521" s="13" t="str">
        <f>IF(NOT(ISERR(SEARCH("*_Buggy",$A521))), "Buggy", IF(NOT(ISERR(SEARCH("*_Fixed",$A521))), "Fixed", IF(NOT(ISERR(SEARCH("*_Repaired",$A521))), "Repaired", "")))</f>
        <v>Buggy</v>
      </c>
      <c r="R521" s="13"/>
      <c r="S521" s="13"/>
      <c r="T521" s="13"/>
      <c r="U521" s="13"/>
      <c r="V521" s="13"/>
      <c r="W521" s="13"/>
    </row>
    <row r="522" spans="1:23" x14ac:dyDescent="0.35">
      <c r="A522" s="7" t="s">
        <v>752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>LEFT($A522,FIND("_",$A522)-1)</f>
        <v>TBar</v>
      </c>
      <c r="P522" s="13" t="str">
        <f>IF($O522="ACS", "True Search", IF($O522="Arja", "Evolutionary Search", IF($O522="AVATAR", "True Pattern", IF($O522="CapGen", "Search Like Pattern", IF($O522="Cardumen", "True Semantic", IF($O522="DynaMoth", "True Semantic", IF($O522="FixMiner", "True Pattern", IF($O522="GenProg-A", "Evolutionary Search", IF($O522="Hercules", "Learning Pattern", IF($O522="Jaid", "True Semantic",
IF($O522="Kali-A", "True Search", IF($O522="kPAR", "True Pattern", IF($O522="Nopol", "True Semantic", IF($O522="RSRepair-A", "Evolutionary Search", IF($O522="SequenceR", "Deep Learning", IF($O522="SimFix", "Search Like Pattern", IF($O522="SketchFix", "True Pattern", IF($O522="SOFix", "True Pattern", IF($O522="ssFix", "Search Like Pattern", IF($O522="TBar", "True Pattern", ""))))))))))))))))))))</f>
        <v>True Pattern</v>
      </c>
      <c r="Q522" s="13" t="str">
        <f>IF(NOT(ISERR(SEARCH("*_Buggy",$A522))), "Buggy", IF(NOT(ISERR(SEARCH("*_Fixed",$A522))), "Fixed", IF(NOT(ISERR(SEARCH("*_Repaired",$A522))), "Repaired", "")))</f>
        <v>Buggy</v>
      </c>
      <c r="R522" s="13"/>
      <c r="S522" s="13"/>
      <c r="T522" s="13"/>
      <c r="U522" s="13"/>
      <c r="V522" s="13"/>
      <c r="W522" s="13"/>
    </row>
    <row r="523" spans="1:23" x14ac:dyDescent="0.35">
      <c r="A523" s="7" t="s">
        <v>112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>LEFT($A523,FIND("_",$A523)-1)</f>
        <v>TBar</v>
      </c>
      <c r="P523" s="13" t="str">
        <f>IF($O523="ACS", "True Search", IF($O523="Arja", "Evolutionary Search", IF($O523="AVATAR", "True Pattern", IF($O523="CapGen", "Search Like Pattern", IF($O523="Cardumen", "True Semantic", IF($O523="DynaMoth", "True Semantic", IF($O523="FixMiner", "True Pattern", IF($O523="GenProg-A", "Evolutionary Search", IF($O523="Hercules", "Learning Pattern", IF($O523="Jaid", "True Semantic",
IF($O523="Kali-A", "True Search", IF($O523="kPAR", "True Pattern", IF($O523="Nopol", "True Semantic", IF($O523="RSRepair-A", "Evolutionary Search", IF($O523="SequenceR", "Deep Learning", IF($O523="SimFix", "Search Like Pattern", IF($O523="SketchFix", "True Pattern", IF($O523="SOFix", "True Pattern", IF($O523="ssFix", "Search Like Pattern", IF($O523="TBar", "True Pattern", ""))))))))))))))))))))</f>
        <v>True Pattern</v>
      </c>
      <c r="Q523" s="13" t="str">
        <f>IF(NOT(ISERR(SEARCH("*_Buggy",$A523))), "Buggy", IF(NOT(ISERR(SEARCH("*_Fixed",$A523))), "Fixed", IF(NOT(ISERR(SEARCH("*_Repaired",$A523))), "Repaired", "")))</f>
        <v>Buggy</v>
      </c>
      <c r="R523" s="13"/>
      <c r="S523" s="13"/>
      <c r="T523" s="13"/>
      <c r="U523" s="13"/>
      <c r="V523" s="13"/>
      <c r="W523" s="13"/>
    </row>
    <row r="524" spans="1:23" x14ac:dyDescent="0.35">
      <c r="A524" s="5" t="s">
        <v>836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>LEFT($A524,FIND("_",$A524)-1)</f>
        <v>TBar</v>
      </c>
      <c r="P524" s="13" t="str">
        <f>IF($O524="ACS", "True Search", IF($O524="Arja", "Evolutionary Search", IF($O524="AVATAR", "True Pattern", IF($O524="CapGen", "Search Like Pattern", IF($O524="Cardumen", "True Semantic", IF($O524="DynaMoth", "True Semantic", IF($O524="FixMiner", "True Pattern", IF($O524="GenProg-A", "Evolutionary Search", IF($O524="Hercules", "Learning Pattern", IF($O524="Jaid", "True Semantic",
IF($O524="Kali-A", "True Search", IF($O524="kPAR", "True Pattern", IF($O524="Nopol", "True Semantic", IF($O524="RSRepair-A", "Evolutionary Search", IF($O524="SequenceR", "Deep Learning", IF($O524="SimFix", "Search Like Pattern", IF($O524="SketchFix", "True Pattern", IF($O524="SOFix", "True Pattern", IF($O524="ssFix", "Search Like Pattern", IF($O524="TBar", "True Pattern", ""))))))))))))))))))))</f>
        <v>True Pattern</v>
      </c>
      <c r="Q524" s="13" t="str">
        <f>IF(NOT(ISERR(SEARCH("*_Buggy",$A524))), "Buggy", IF(NOT(ISERR(SEARCH("*_Fixed",$A524))), "Fixed", IF(NOT(ISERR(SEARCH("*_Repaired",$A524))), "Repaired", "")))</f>
        <v>Buggy</v>
      </c>
      <c r="R524" s="13"/>
      <c r="S524" s="13"/>
      <c r="T524" s="13"/>
      <c r="U524" s="13"/>
      <c r="V524" s="13"/>
      <c r="W524" s="13"/>
    </row>
    <row r="525" spans="1:23" x14ac:dyDescent="0.35">
      <c r="A525" s="7" t="s">
        <v>86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>LEFT($A525,FIND("_",$A525)-1)</f>
        <v>TBar</v>
      </c>
      <c r="P525" s="13" t="str">
        <f>IF($O525="ACS", "True Search", IF($O525="Arja", "Evolutionary Search", IF($O525="AVATAR", "True Pattern", IF($O525="CapGen", "Search Like Pattern", IF($O525="Cardumen", "True Semantic", IF($O525="DynaMoth", "True Semantic", IF($O525="FixMiner", "True Pattern", IF($O525="GenProg-A", "Evolutionary Search", IF($O525="Hercules", "Learning Pattern", IF($O525="Jaid", "True Semantic",
IF($O525="Kali-A", "True Search", IF($O525="kPAR", "True Pattern", IF($O525="Nopol", "True Semantic", IF($O525="RSRepair-A", "Evolutionary Search", IF($O525="SequenceR", "Deep Learning", IF($O525="SimFix", "Search Like Pattern", IF($O525="SketchFix", "True Pattern", IF($O525="SOFix", "True Pattern", IF($O525="ssFix", "Search Like Pattern", IF($O525="TBar", "True Pattern", ""))))))))))))))))))))</f>
        <v>True Pattern</v>
      </c>
      <c r="Q525" s="13" t="str">
        <f>IF(NOT(ISERR(SEARCH("*_Buggy",$A525))), "Buggy", IF(NOT(ISERR(SEARCH("*_Fixed",$A525))), "Fixed", IF(NOT(ISERR(SEARCH("*_Repaired",$A525))), "Repaired", "")))</f>
        <v>Buggy</v>
      </c>
      <c r="R525" s="13"/>
      <c r="S525" s="13"/>
      <c r="T525" s="13"/>
      <c r="U525" s="13"/>
      <c r="V525" s="13"/>
      <c r="W525" s="13"/>
    </row>
    <row r="526" spans="1:23" x14ac:dyDescent="0.35">
      <c r="A526" s="5" t="s">
        <v>678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>LEFT($A526,FIND("_",$A526)-1)</f>
        <v>TBar</v>
      </c>
      <c r="P526" s="13" t="str">
        <f>IF($O526="ACS", "True Search", IF($O526="Arja", "Evolutionary Search", IF($O526="AVATAR", "True Pattern", IF($O526="CapGen", "Search Like Pattern", IF($O526="Cardumen", "True Semantic", IF($O526="DynaMoth", "True Semantic", IF($O526="FixMiner", "True Pattern", IF($O526="GenProg-A", "Evolutionary Search", IF($O526="Hercules", "Learning Pattern", IF($O526="Jaid", "True Semantic",
IF($O526="Kali-A", "True Search", IF($O526="kPAR", "True Pattern", IF($O526="Nopol", "True Semantic", IF($O526="RSRepair-A", "Evolutionary Search", IF($O526="SequenceR", "Deep Learning", IF($O526="SimFix", "Search Like Pattern", IF($O526="SketchFix", "True Pattern", IF($O526="SOFix", "True Pattern", IF($O526="ssFix", "Search Like Pattern", IF($O526="TBar", "True Pattern", ""))))))))))))))))))))</f>
        <v>True Pattern</v>
      </c>
      <c r="Q526" s="13" t="str">
        <f>IF(NOT(ISERR(SEARCH("*_Buggy",$A526))), "Buggy", IF(NOT(ISERR(SEARCH("*_Fixed",$A526))), "Fixed", IF(NOT(ISERR(SEARCH("*_Repaired",$A526))), "Repaired", "")))</f>
        <v>Buggy</v>
      </c>
      <c r="R526" s="13"/>
      <c r="S526" s="13"/>
      <c r="T526" s="13"/>
      <c r="U526" s="13"/>
      <c r="V526" s="13"/>
      <c r="W526" s="13"/>
    </row>
    <row r="527" spans="1:23" x14ac:dyDescent="0.35">
      <c r="A527" s="7" t="s">
        <v>789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>LEFT($A527,FIND("_",$A527)-1)</f>
        <v>TBar</v>
      </c>
      <c r="P527" s="13" t="str">
        <f>IF($O527="ACS", "True Search", IF($O527="Arja", "Evolutionary Search", IF($O527="AVATAR", "True Pattern", IF($O527="CapGen", "Search Like Pattern", IF($O527="Cardumen", "True Semantic", IF($O527="DynaMoth", "True Semantic", IF($O527="FixMiner", "True Pattern", IF($O527="GenProg-A", "Evolutionary Search", IF($O527="Hercules", "Learning Pattern", IF($O527="Jaid", "True Semantic",
IF($O527="Kali-A", "True Search", IF($O527="kPAR", "True Pattern", IF($O527="Nopol", "True Semantic", IF($O527="RSRepair-A", "Evolutionary Search", IF($O527="SequenceR", "Deep Learning", IF($O527="SimFix", "Search Like Pattern", IF($O527="SketchFix", "True Pattern", IF($O527="SOFix", "True Pattern", IF($O527="ssFix", "Search Like Pattern", IF($O527="TBar", "True Pattern", ""))))))))))))))))))))</f>
        <v>True Pattern</v>
      </c>
      <c r="Q527" s="13" t="str">
        <f>IF(NOT(ISERR(SEARCH("*_Buggy",$A527))), "Buggy", IF(NOT(ISERR(SEARCH("*_Fixed",$A527))), "Fixed", IF(NOT(ISERR(SEARCH("*_Repaired",$A527))), "Repaired", "")))</f>
        <v>Buggy</v>
      </c>
      <c r="R527" s="13"/>
      <c r="S527" s="13"/>
      <c r="T527" s="13"/>
      <c r="U527" s="13"/>
      <c r="V527" s="13"/>
      <c r="W527" s="13"/>
    </row>
    <row r="528" spans="1:23" x14ac:dyDescent="0.35">
      <c r="A528" s="5" t="s">
        <v>702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>LEFT($A528,FIND("_",$A528)-1)</f>
        <v>TBar</v>
      </c>
      <c r="P528" s="13" t="str">
        <f>IF($O528="ACS", "True Search", IF($O528="Arja", "Evolutionary Search", IF($O528="AVATAR", "True Pattern", IF($O528="CapGen", "Search Like Pattern", IF($O528="Cardumen", "True Semantic", IF($O528="DynaMoth", "True Semantic", IF($O528="FixMiner", "True Pattern", IF($O528="GenProg-A", "Evolutionary Search", IF($O528="Hercules", "Learning Pattern", IF($O528="Jaid", "True Semantic",
IF($O528="Kali-A", "True Search", IF($O528="kPAR", "True Pattern", IF($O528="Nopol", "True Semantic", IF($O528="RSRepair-A", "Evolutionary Search", IF($O528="SequenceR", "Deep Learning", IF($O528="SimFix", "Search Like Pattern", IF($O528="SketchFix", "True Pattern", IF($O528="SOFix", "True Pattern", IF($O528="ssFix", "Search Like Pattern", IF($O528="TBar", "True Pattern", ""))))))))))))))))))))</f>
        <v>True Pattern</v>
      </c>
      <c r="Q528" s="13" t="str">
        <f>IF(NOT(ISERR(SEARCH("*_Buggy",$A528))), "Buggy", IF(NOT(ISERR(SEARCH("*_Fixed",$A528))), "Fixed", IF(NOT(ISERR(SEARCH("*_Repaired",$A528))), "Repaired", "")))</f>
        <v>Buggy</v>
      </c>
      <c r="R528" s="13"/>
      <c r="S528" s="13"/>
      <c r="T528" s="13"/>
      <c r="U528" s="13"/>
      <c r="V528" s="13"/>
      <c r="W528" s="13"/>
    </row>
    <row r="529" spans="1:23" x14ac:dyDescent="0.35">
      <c r="A529" s="7" t="s">
        <v>266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>LEFT($A529,FIND("_",$A529)-1)</f>
        <v>TBar</v>
      </c>
      <c r="P529" s="13" t="str">
        <f>IF($O529="ACS", "True Search", IF($O529="Arja", "Evolutionary Search", IF($O529="AVATAR", "True Pattern", IF($O529="CapGen", "Search Like Pattern", IF($O529="Cardumen", "True Semantic", IF($O529="DynaMoth", "True Semantic", IF($O529="FixMiner", "True Pattern", IF($O529="GenProg-A", "Evolutionary Search", IF($O529="Hercules", "Learning Pattern", IF($O529="Jaid", "True Semantic",
IF($O529="Kali-A", "True Search", IF($O529="kPAR", "True Pattern", IF($O529="Nopol", "True Semantic", IF($O529="RSRepair-A", "Evolutionary Search", IF($O529="SequenceR", "Deep Learning", IF($O529="SimFix", "Search Like Pattern", IF($O529="SketchFix", "True Pattern", IF($O529="SOFix", "True Pattern", IF($O529="ssFix", "Search Like Pattern", IF($O529="TBar", "True Pattern", ""))))))))))))))))))))</f>
        <v>True Pattern</v>
      </c>
      <c r="Q529" s="13" t="str">
        <f>IF(NOT(ISERR(SEARCH("*_Buggy",$A529))), "Buggy", IF(NOT(ISERR(SEARCH("*_Fixed",$A529))), "Fixed", IF(NOT(ISERR(SEARCH("*_Repaired",$A529))), "Repaired", "")))</f>
        <v>Buggy</v>
      </c>
      <c r="R529" s="13"/>
      <c r="S529" s="13"/>
      <c r="T529" s="13"/>
      <c r="U529" s="13"/>
      <c r="V529" s="13"/>
      <c r="W529" s="13"/>
    </row>
    <row r="530" spans="1:23" x14ac:dyDescent="0.35">
      <c r="A530" s="5" t="s">
        <v>549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>LEFT($A530,FIND("_",$A530)-1)</f>
        <v>TBar</v>
      </c>
      <c r="P530" s="13" t="str">
        <f>IF($O530="ACS", "True Search", IF($O530="Arja", "Evolutionary Search", IF($O530="AVATAR", "True Pattern", IF($O530="CapGen", "Search Like Pattern", IF($O530="Cardumen", "True Semantic", IF($O530="DynaMoth", "True Semantic", IF($O530="FixMiner", "True Pattern", IF($O530="GenProg-A", "Evolutionary Search", IF($O530="Hercules", "Learning Pattern", IF($O530="Jaid", "True Semantic",
IF($O530="Kali-A", "True Search", IF($O530="kPAR", "True Pattern", IF($O530="Nopol", "True Semantic", IF($O530="RSRepair-A", "Evolutionary Search", IF($O530="SequenceR", "Deep Learning", IF($O530="SimFix", "Search Like Pattern", IF($O530="SketchFix", "True Pattern", IF($O530="SOFix", "True Pattern", IF($O530="ssFix", "Search Like Pattern", IF($O530="TBar", "True Pattern", ""))))))))))))))))))))</f>
        <v>True Pattern</v>
      </c>
      <c r="Q530" s="13" t="str">
        <f>IF(NOT(ISERR(SEARCH("*_Buggy",$A530))), "Buggy", IF(NOT(ISERR(SEARCH("*_Fixed",$A530))), "Fixed", IF(NOT(ISERR(SEARCH("*_Repaired",$A530))), "Repaired", "")))</f>
        <v>Buggy</v>
      </c>
      <c r="R530" s="13"/>
      <c r="S530" s="13"/>
      <c r="T530" s="13"/>
      <c r="U530" s="13"/>
      <c r="V530" s="13"/>
      <c r="W530" s="13"/>
    </row>
    <row r="531" spans="1:23" x14ac:dyDescent="0.35">
      <c r="A531" s="5" t="s">
        <v>507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>LEFT($A531,FIND("_",$A531)-1)</f>
        <v>TBar</v>
      </c>
      <c r="P531" s="13" t="str">
        <f>IF($O531="ACS", "True Search", IF($O531="Arja", "Evolutionary Search", IF($O531="AVATAR", "True Pattern", IF($O531="CapGen", "Search Like Pattern", IF($O531="Cardumen", "True Semantic", IF($O531="DynaMoth", "True Semantic", IF($O531="FixMiner", "True Pattern", IF($O531="GenProg-A", "Evolutionary Search", IF($O531="Hercules", "Learning Pattern", IF($O531="Jaid", "True Semantic",
IF($O531="Kali-A", "True Search", IF($O531="kPAR", "True Pattern", IF($O531="Nopol", "True Semantic", IF($O531="RSRepair-A", "Evolutionary Search", IF($O531="SequenceR", "Deep Learning", IF($O531="SimFix", "Search Like Pattern", IF($O531="SketchFix", "True Pattern", IF($O531="SOFix", "True Pattern", IF($O531="ssFix", "Search Like Pattern", IF($O531="TBar", "True Pattern", ""))))))))))))))))))))</f>
        <v>True Pattern</v>
      </c>
      <c r="Q531" s="13" t="str">
        <f>IF(NOT(ISERR(SEARCH("*_Buggy",$A531))), "Buggy", IF(NOT(ISERR(SEARCH("*_Fixed",$A531))), "Fixed", IF(NOT(ISERR(SEARCH("*_Repaired",$A531))), "Repaired", "")))</f>
        <v>Buggy</v>
      </c>
      <c r="R531" s="13"/>
      <c r="S531" s="13"/>
      <c r="T531" s="13"/>
      <c r="U531" s="13"/>
      <c r="V531" s="13"/>
      <c r="W531" s="13"/>
    </row>
    <row r="532" spans="1:23" x14ac:dyDescent="0.35">
      <c r="A532" s="5" t="s">
        <v>700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>LEFT($A532,FIND("_",$A532)-1)</f>
        <v>TBar</v>
      </c>
      <c r="P532" s="13" t="str">
        <f>IF($O532="ACS", "True Search", IF($O532="Arja", "Evolutionary Search", IF($O532="AVATAR", "True Pattern", IF($O532="CapGen", "Search Like Pattern", IF($O532="Cardumen", "True Semantic", IF($O532="DynaMoth", "True Semantic", IF($O532="FixMiner", "True Pattern", IF($O532="GenProg-A", "Evolutionary Search", IF($O532="Hercules", "Learning Pattern", IF($O532="Jaid", "True Semantic",
IF($O532="Kali-A", "True Search", IF($O532="kPAR", "True Pattern", IF($O532="Nopol", "True Semantic", IF($O532="RSRepair-A", "Evolutionary Search", IF($O532="SequenceR", "Deep Learning", IF($O532="SimFix", "Search Like Pattern", IF($O532="SketchFix", "True Pattern", IF($O532="SOFix", "True Pattern", IF($O532="ssFix", "Search Like Pattern", IF($O532="TBar", "True Pattern", ""))))))))))))))))))))</f>
        <v>True Pattern</v>
      </c>
      <c r="Q532" s="13" t="str">
        <f>IF(NOT(ISERR(SEARCH("*_Buggy",$A532))), "Buggy", IF(NOT(ISERR(SEARCH("*_Fixed",$A532))), "Fixed", IF(NOT(ISERR(SEARCH("*_Repaired",$A532))), "Repaired", "")))</f>
        <v>Buggy</v>
      </c>
      <c r="R532" s="13"/>
      <c r="S532" s="13"/>
      <c r="T532" s="13"/>
      <c r="U532" s="13"/>
      <c r="V532" s="13"/>
      <c r="W532" s="13"/>
    </row>
    <row r="533" spans="1:23" x14ac:dyDescent="0.35">
      <c r="A533" s="5" t="s">
        <v>615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>LEFT($A533,FIND("_",$A533)-1)</f>
        <v>TBar</v>
      </c>
      <c r="P533" s="13" t="str">
        <f>IF($O533="ACS", "True Search", IF($O533="Arja", "Evolutionary Search", IF($O533="AVATAR", "True Pattern", IF($O533="CapGen", "Search Like Pattern", IF($O533="Cardumen", "True Semantic", IF($O533="DynaMoth", "True Semantic", IF($O533="FixMiner", "True Pattern", IF($O533="GenProg-A", "Evolutionary Search", IF($O533="Hercules", "Learning Pattern", IF($O533="Jaid", "True Semantic",
IF($O533="Kali-A", "True Search", IF($O533="kPAR", "True Pattern", IF($O533="Nopol", "True Semantic", IF($O533="RSRepair-A", "Evolutionary Search", IF($O533="SequenceR", "Deep Learning", IF($O533="SimFix", "Search Like Pattern", IF($O533="SketchFix", "True Pattern", IF($O533="SOFix", "True Pattern", IF($O533="ssFix", "Search Like Pattern", IF($O533="TBar", "True Pattern", ""))))))))))))))))))))</f>
        <v>True Pattern</v>
      </c>
      <c r="Q533" s="13" t="str">
        <f>IF(NOT(ISERR(SEARCH("*_Buggy",$A533))), "Buggy", IF(NOT(ISERR(SEARCH("*_Fixed",$A533))), "Fixed", IF(NOT(ISERR(SEARCH("*_Repaired",$A533))), "Repaired", "")))</f>
        <v>Buggy</v>
      </c>
      <c r="R533" s="13"/>
      <c r="S533" s="13"/>
      <c r="T533" s="13"/>
      <c r="U533" s="13"/>
      <c r="V533" s="13"/>
      <c r="W533" s="13"/>
    </row>
    <row r="534" spans="1:23" x14ac:dyDescent="0.35">
      <c r="A534" s="5" t="s">
        <v>862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>LEFT($A534,FIND("_",$A534)-1)</f>
        <v>TBar</v>
      </c>
      <c r="P534" s="13" t="str">
        <f>IF($O534="ACS", "True Search", IF($O534="Arja", "Evolutionary Search", IF($O534="AVATAR", "True Pattern", IF($O534="CapGen", "Search Like Pattern", IF($O534="Cardumen", "True Semantic", IF($O534="DynaMoth", "True Semantic", IF($O534="FixMiner", "True Pattern", IF($O534="GenProg-A", "Evolutionary Search", IF($O534="Hercules", "Learning Pattern", IF($O534="Jaid", "True Semantic",
IF($O534="Kali-A", "True Search", IF($O534="kPAR", "True Pattern", IF($O534="Nopol", "True Semantic", IF($O534="RSRepair-A", "Evolutionary Search", IF($O534="SequenceR", "Deep Learning", IF($O534="SimFix", "Search Like Pattern", IF($O534="SketchFix", "True Pattern", IF($O534="SOFix", "True Pattern", IF($O534="ssFix", "Search Like Pattern", IF($O534="TBar", "True Pattern", ""))))))))))))))))))))</f>
        <v>True Pattern</v>
      </c>
      <c r="Q534" s="13" t="str">
        <f>IF(NOT(ISERR(SEARCH("*_Buggy",$A534))), "Buggy", IF(NOT(ISERR(SEARCH("*_Fixed",$A534))), "Fixed", IF(NOT(ISERR(SEARCH("*_Repaired",$A534))), "Repaired", "")))</f>
        <v>Buggy</v>
      </c>
      <c r="R534" s="13"/>
      <c r="S534" s="13"/>
      <c r="T534" s="13"/>
      <c r="U534" s="13"/>
      <c r="V534" s="13"/>
      <c r="W534" s="13"/>
    </row>
    <row r="535" spans="1:23" x14ac:dyDescent="0.35">
      <c r="A535" s="5" t="s">
        <v>929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>LEFT($A535,FIND("_",$A535)-1)</f>
        <v>TBar</v>
      </c>
      <c r="P535" s="13" t="str">
        <f>IF($O535="ACS", "True Search", IF($O535="Arja", "Evolutionary Search", IF($O535="AVATAR", "True Pattern", IF($O535="CapGen", "Search Like Pattern", IF($O535="Cardumen", "True Semantic", IF($O535="DynaMoth", "True Semantic", IF($O535="FixMiner", "True Pattern", IF($O535="GenProg-A", "Evolutionary Search", IF($O535="Hercules", "Learning Pattern", IF($O535="Jaid", "True Semantic",
IF($O535="Kali-A", "True Search", IF($O535="kPAR", "True Pattern", IF($O535="Nopol", "True Semantic", IF($O535="RSRepair-A", "Evolutionary Search", IF($O535="SequenceR", "Deep Learning", IF($O535="SimFix", "Search Like Pattern", IF($O535="SketchFix", "True Pattern", IF($O535="SOFix", "True Pattern", IF($O535="ssFix", "Search Like Pattern", IF($O535="TBar", "True Pattern", ""))))))))))))))))))))</f>
        <v>True Pattern</v>
      </c>
      <c r="Q535" s="13" t="str">
        <f>IF(NOT(ISERR(SEARCH("*_Buggy",$A535))), "Buggy", IF(NOT(ISERR(SEARCH("*_Fixed",$A535))), "Fixed", IF(NOT(ISERR(SEARCH("*_Repaired",$A535))), "Repaired", "")))</f>
        <v>Buggy</v>
      </c>
      <c r="R535" s="13"/>
      <c r="S535" s="13"/>
      <c r="T535" s="13"/>
      <c r="U535" s="13"/>
      <c r="V535" s="13"/>
      <c r="W535" s="13"/>
    </row>
    <row r="536" spans="1:23" x14ac:dyDescent="0.35">
      <c r="A536" s="5" t="s">
        <v>1033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>LEFT($A536,FIND("_",$A536)-1)</f>
        <v>TBar</v>
      </c>
      <c r="P536" s="13" t="str">
        <f>IF($O536="ACS", "True Search", IF($O536="Arja", "Evolutionary Search", IF($O536="AVATAR", "True Pattern", IF($O536="CapGen", "Search Like Pattern", IF($O536="Cardumen", "True Semantic", IF($O536="DynaMoth", "True Semantic", IF($O536="FixMiner", "True Pattern", IF($O536="GenProg-A", "Evolutionary Search", IF($O536="Hercules", "Learning Pattern", IF($O536="Jaid", "True Semantic",
IF($O536="Kali-A", "True Search", IF($O536="kPAR", "True Pattern", IF($O536="Nopol", "True Semantic", IF($O536="RSRepair-A", "Evolutionary Search", IF($O536="SequenceR", "Deep Learning", IF($O536="SimFix", "Search Like Pattern", IF($O536="SketchFix", "True Pattern", IF($O536="SOFix", "True Pattern", IF($O536="ssFix", "Search Like Pattern", IF($O536="TBar", "True Pattern", ""))))))))))))))))))))</f>
        <v>True Pattern</v>
      </c>
      <c r="Q536" s="13" t="str">
        <f>IF(NOT(ISERR(SEARCH("*_Buggy",$A536))), "Buggy", IF(NOT(ISERR(SEARCH("*_Fixed",$A536))), "Fixed", IF(NOT(ISERR(SEARCH("*_Repaired",$A536))), "Repaired", "")))</f>
        <v>Buggy</v>
      </c>
      <c r="R536" s="13"/>
      <c r="S536" s="13"/>
      <c r="T536" s="13"/>
      <c r="U536" s="13"/>
      <c r="V536" s="13"/>
      <c r="W536" s="13"/>
    </row>
    <row r="537" spans="1:23" x14ac:dyDescent="0.35">
      <c r="A537" s="5" t="s">
        <v>385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>LEFT($A537,FIND("_",$A537)-1)</f>
        <v>TBar</v>
      </c>
      <c r="P537" s="13" t="str">
        <f>IF($O537="ACS", "True Search", IF($O537="Arja", "Evolutionary Search", IF($O537="AVATAR", "True Pattern", IF($O537="CapGen", "Search Like Pattern", IF($O537="Cardumen", "True Semantic", IF($O537="DynaMoth", "True Semantic", IF($O537="FixMiner", "True Pattern", IF($O537="GenProg-A", "Evolutionary Search", IF($O537="Hercules", "Learning Pattern", IF($O537="Jaid", "True Semantic",
IF($O537="Kali-A", "True Search", IF($O537="kPAR", "True Pattern", IF($O537="Nopol", "True Semantic", IF($O537="RSRepair-A", "Evolutionary Search", IF($O537="SequenceR", "Deep Learning", IF($O537="SimFix", "Search Like Pattern", IF($O537="SketchFix", "True Pattern", IF($O537="SOFix", "True Pattern", IF($O537="ssFix", "Search Like Pattern", IF($O537="TBar", "True Pattern", ""))))))))))))))))))))</f>
        <v>True Pattern</v>
      </c>
      <c r="Q537" s="13" t="str">
        <f>IF(NOT(ISERR(SEARCH("*_Buggy",$A537))), "Buggy", IF(NOT(ISERR(SEARCH("*_Fixed",$A537))), "Fixed", IF(NOT(ISERR(SEARCH("*_Repaired",$A537))), "Repaired", "")))</f>
        <v>Buggy</v>
      </c>
      <c r="R537" s="13"/>
      <c r="S537" s="13"/>
      <c r="T537" s="13"/>
      <c r="U537" s="13"/>
      <c r="V537" s="13"/>
      <c r="W537" s="13"/>
    </row>
    <row r="538" spans="1:23" x14ac:dyDescent="0.35">
      <c r="A538" s="5" t="s">
        <v>1040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>LEFT($A538,FIND("_",$A538)-1)</f>
        <v>TBar</v>
      </c>
      <c r="P538" s="13" t="str">
        <f>IF($O538="ACS", "True Search", IF($O538="Arja", "Evolutionary Search", IF($O538="AVATAR", "True Pattern", IF($O538="CapGen", "Search Like Pattern", IF($O538="Cardumen", "True Semantic", IF($O538="DynaMoth", "True Semantic", IF($O538="FixMiner", "True Pattern", IF($O538="GenProg-A", "Evolutionary Search", IF($O538="Hercules", "Learning Pattern", IF($O538="Jaid", "True Semantic",
IF($O538="Kali-A", "True Search", IF($O538="kPAR", "True Pattern", IF($O538="Nopol", "True Semantic", IF($O538="RSRepair-A", "Evolutionary Search", IF($O538="SequenceR", "Deep Learning", IF($O538="SimFix", "Search Like Pattern", IF($O538="SketchFix", "True Pattern", IF($O538="SOFix", "True Pattern", IF($O538="ssFix", "Search Like Pattern", IF($O538="TBar", "True Pattern", ""))))))))))))))))))))</f>
        <v>True Pattern</v>
      </c>
      <c r="Q538" s="13" t="str">
        <f>IF(NOT(ISERR(SEARCH("*_Buggy",$A538))), "Buggy", IF(NOT(ISERR(SEARCH("*_Fixed",$A538))), "Fixed", IF(NOT(ISERR(SEARCH("*_Repaired",$A538))), "Repaired", "")))</f>
        <v>Buggy</v>
      </c>
      <c r="R538" s="13"/>
      <c r="S538" s="13"/>
      <c r="T538" s="13"/>
      <c r="U538" s="13"/>
      <c r="V538" s="13"/>
      <c r="W538" s="13"/>
    </row>
    <row r="539" spans="1:23" x14ac:dyDescent="0.35">
      <c r="A539" s="7" t="s">
        <v>262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>LEFT($A539,FIND("_",$A539)-1)</f>
        <v>TBar</v>
      </c>
      <c r="P539" s="13" t="str">
        <f>IF($O539="ACS", "True Search", IF($O539="Arja", "Evolutionary Search", IF($O539="AVATAR", "True Pattern", IF($O539="CapGen", "Search Like Pattern", IF($O539="Cardumen", "True Semantic", IF($O539="DynaMoth", "True Semantic", IF($O539="FixMiner", "True Pattern", IF($O539="GenProg-A", "Evolutionary Search", IF($O539="Hercules", "Learning Pattern", IF($O539="Jaid", "True Semantic",
IF($O539="Kali-A", "True Search", IF($O539="kPAR", "True Pattern", IF($O539="Nopol", "True Semantic", IF($O539="RSRepair-A", "Evolutionary Search", IF($O539="SequenceR", "Deep Learning", IF($O539="SimFix", "Search Like Pattern", IF($O539="SketchFix", "True Pattern", IF($O539="SOFix", "True Pattern", IF($O539="ssFix", "Search Like Pattern", IF($O539="TBar", "True Pattern", ""))))))))))))))))))))</f>
        <v>True Pattern</v>
      </c>
      <c r="Q539" s="13" t="str">
        <f>IF(NOT(ISERR(SEARCH("*_Buggy",$A539))), "Buggy", IF(NOT(ISERR(SEARCH("*_Fixed",$A539))), "Fixed", IF(NOT(ISERR(SEARCH("*_Repaired",$A539))), "Repaired", "")))</f>
        <v>Buggy</v>
      </c>
      <c r="R539" s="13"/>
      <c r="S539" s="13"/>
      <c r="T539" s="13"/>
      <c r="U539" s="13"/>
      <c r="V539" s="13"/>
      <c r="W539" s="13"/>
    </row>
    <row r="540" spans="1:23" x14ac:dyDescent="0.35">
      <c r="A540" s="7" t="s">
        <v>239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>LEFT($A540,FIND("_",$A540)-1)</f>
        <v>TBar</v>
      </c>
      <c r="P540" s="13" t="str">
        <f>IF($O540="ACS", "True Search", IF($O540="Arja", "Evolutionary Search", IF($O540="AVATAR", "True Pattern", IF($O540="CapGen", "Search Like Pattern", IF($O540="Cardumen", "True Semantic", IF($O540="DynaMoth", "True Semantic", IF($O540="FixMiner", "True Pattern", IF($O540="GenProg-A", "Evolutionary Search", IF($O540="Hercules", "Learning Pattern", IF($O540="Jaid", "True Semantic",
IF($O540="Kali-A", "True Search", IF($O540="kPAR", "True Pattern", IF($O540="Nopol", "True Semantic", IF($O540="RSRepair-A", "Evolutionary Search", IF($O540="SequenceR", "Deep Learning", IF($O540="SimFix", "Search Like Pattern", IF($O540="SketchFix", "True Pattern", IF($O540="SOFix", "True Pattern", IF($O540="ssFix", "Search Like Pattern", IF($O540="TBar", "True Pattern", ""))))))))))))))))))))</f>
        <v>True Pattern</v>
      </c>
      <c r="Q540" s="13" t="str">
        <f>IF(NOT(ISERR(SEARCH("*_Buggy",$A540))), "Buggy", IF(NOT(ISERR(SEARCH("*_Fixed",$A540))), "Fixed", IF(NOT(ISERR(SEARCH("*_Repaired",$A540))), "Repaired", "")))</f>
        <v>Buggy</v>
      </c>
      <c r="R540" s="13"/>
      <c r="S540" s="13"/>
      <c r="T540" s="13"/>
      <c r="U540" s="13"/>
      <c r="V540" s="13"/>
      <c r="W540" s="13"/>
    </row>
    <row r="541" spans="1:23" x14ac:dyDescent="0.35">
      <c r="A541" s="7" t="s">
        <v>384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>LEFT($A541,FIND("_",$A541)-1)</f>
        <v>TBar</v>
      </c>
      <c r="P541" s="13" t="str">
        <f>IF($O541="ACS", "True Search", IF($O541="Arja", "Evolutionary Search", IF($O541="AVATAR", "True Pattern", IF($O541="CapGen", "Search Like Pattern", IF($O541="Cardumen", "True Semantic", IF($O541="DynaMoth", "True Semantic", IF($O541="FixMiner", "True Pattern", IF($O541="GenProg-A", "Evolutionary Search", IF($O541="Hercules", "Learning Pattern", IF($O541="Jaid", "True Semantic",
IF($O541="Kali-A", "True Search", IF($O541="kPAR", "True Pattern", IF($O541="Nopol", "True Semantic", IF($O541="RSRepair-A", "Evolutionary Search", IF($O541="SequenceR", "Deep Learning", IF($O541="SimFix", "Search Like Pattern", IF($O541="SketchFix", "True Pattern", IF($O541="SOFix", "True Pattern", IF($O541="ssFix", "Search Like Pattern", IF($O541="TBar", "True Pattern", ""))))))))))))))))))))</f>
        <v>True Pattern</v>
      </c>
      <c r="Q541" s="13" t="str">
        <f>IF(NOT(ISERR(SEARCH("*_Buggy",$A541))), "Buggy", IF(NOT(ISERR(SEARCH("*_Fixed",$A541))), "Fixed", IF(NOT(ISERR(SEARCH("*_Repaired",$A541))), "Repaired", "")))</f>
        <v>Buggy</v>
      </c>
      <c r="R541" s="13"/>
      <c r="S541" s="13"/>
      <c r="T541" s="13"/>
      <c r="U541" s="13"/>
      <c r="V541" s="13"/>
      <c r="W541" s="13"/>
    </row>
    <row r="542" spans="1:23" x14ac:dyDescent="0.35">
      <c r="A542" s="7" t="s">
        <v>206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>LEFT($A542,FIND("_",$A542)-1)</f>
        <v>TBar</v>
      </c>
      <c r="P542" s="13" t="str">
        <f>IF($O542="ACS", "True Search", IF($O542="Arja", "Evolutionary Search", IF($O542="AVATAR", "True Pattern", IF($O542="CapGen", "Search Like Pattern", IF($O542="Cardumen", "True Semantic", IF($O542="DynaMoth", "True Semantic", IF($O542="FixMiner", "True Pattern", IF($O542="GenProg-A", "Evolutionary Search", IF($O542="Hercules", "Learning Pattern", IF($O542="Jaid", "True Semantic",
IF($O542="Kali-A", "True Search", IF($O542="kPAR", "True Pattern", IF($O542="Nopol", "True Semantic", IF($O542="RSRepair-A", "Evolutionary Search", IF($O542="SequenceR", "Deep Learning", IF($O542="SimFix", "Search Like Pattern", IF($O542="SketchFix", "True Pattern", IF($O542="SOFix", "True Pattern", IF($O542="ssFix", "Search Like Pattern", IF($O542="TBar", "True Pattern", ""))))))))))))))))))))</f>
        <v>True Pattern</v>
      </c>
      <c r="Q542" s="13" t="str">
        <f>IF(NOT(ISERR(SEARCH("*_Buggy",$A542))), "Buggy", IF(NOT(ISERR(SEARCH("*_Fixed",$A542))), "Fixed", IF(NOT(ISERR(SEARCH("*_Repaired",$A542))), "Repaired", "")))</f>
        <v>Buggy</v>
      </c>
      <c r="R542" s="13"/>
      <c r="S542" s="13"/>
      <c r="T542" s="13"/>
      <c r="U542" s="13"/>
      <c r="V542" s="13"/>
      <c r="W542" s="13"/>
    </row>
    <row r="543" spans="1:23" x14ac:dyDescent="0.35">
      <c r="A543" s="5" t="s">
        <v>662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>LEFT($A543,FIND("_",$A543)-1)</f>
        <v>TBar</v>
      </c>
      <c r="P543" s="13" t="str">
        <f>IF($O543="ACS", "True Search", IF($O543="Arja", "Evolutionary Search", IF($O543="AVATAR", "True Pattern", IF($O543="CapGen", "Search Like Pattern", IF($O543="Cardumen", "True Semantic", IF($O543="DynaMoth", "True Semantic", IF($O543="FixMiner", "True Pattern", IF($O543="GenProg-A", "Evolutionary Search", IF($O543="Hercules", "Learning Pattern", IF($O543="Jaid", "True Semantic",
IF($O543="Kali-A", "True Search", IF($O543="kPAR", "True Pattern", IF($O543="Nopol", "True Semantic", IF($O543="RSRepair-A", "Evolutionary Search", IF($O543="SequenceR", "Deep Learning", IF($O543="SimFix", "Search Like Pattern", IF($O543="SketchFix", "True Pattern", IF($O543="SOFix", "True Pattern", IF($O543="ssFix", "Search Like Pattern", IF($O543="TBar", "True Pattern", ""))))))))))))))))))))</f>
        <v>True Pattern</v>
      </c>
      <c r="Q543" s="13" t="str">
        <f>IF(NOT(ISERR(SEARCH("*_Buggy",$A543))), "Buggy", IF(NOT(ISERR(SEARCH("*_Fixed",$A543))), "Fixed", IF(NOT(ISERR(SEARCH("*_Repaired",$A543))), "Repaired", "")))</f>
        <v>Buggy</v>
      </c>
      <c r="R543" s="13"/>
      <c r="S543" s="13"/>
      <c r="T543" s="13"/>
      <c r="U543" s="13"/>
      <c r="V543" s="13"/>
      <c r="W543" s="13"/>
    </row>
    <row r="544" spans="1:23" x14ac:dyDescent="0.35">
      <c r="A544" s="7" t="s">
        <v>318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>LEFT($A544,FIND("_",$A544)-1)</f>
        <v>TBar</v>
      </c>
      <c r="P544" s="13" t="str">
        <f>IF($O544="ACS", "True Search", IF($O544="Arja", "Evolutionary Search", IF($O544="AVATAR", "True Pattern", IF($O544="CapGen", "Search Like Pattern", IF($O544="Cardumen", "True Semantic", IF($O544="DynaMoth", "True Semantic", IF($O544="FixMiner", "True Pattern", IF($O544="GenProg-A", "Evolutionary Search", IF($O544="Hercules", "Learning Pattern", IF($O544="Jaid", "True Semantic",
IF($O544="Kali-A", "True Search", IF($O544="kPAR", "True Pattern", IF($O544="Nopol", "True Semantic", IF($O544="RSRepair-A", "Evolutionary Search", IF($O544="SequenceR", "Deep Learning", IF($O544="SimFix", "Search Like Pattern", IF($O544="SketchFix", "True Pattern", IF($O544="SOFix", "True Pattern", IF($O544="ssFix", "Search Like Pattern", IF($O544="TBar", "True Pattern", ""))))))))))))))))))))</f>
        <v>True Pattern</v>
      </c>
      <c r="Q544" s="13" t="str">
        <f>IF(NOT(ISERR(SEARCH("*_Buggy",$A544))), "Buggy", IF(NOT(ISERR(SEARCH("*_Fixed",$A544))), "Fixed", IF(NOT(ISERR(SEARCH("*_Repaired",$A544))), "Repaired", "")))</f>
        <v>Buggy</v>
      </c>
      <c r="R544" s="13"/>
      <c r="S544" s="13"/>
      <c r="T544" s="13"/>
      <c r="U544" s="13"/>
      <c r="V544" s="13"/>
      <c r="W544" s="13"/>
    </row>
    <row r="545" spans="1:32" x14ac:dyDescent="0.35">
      <c r="A545" s="5" t="s">
        <v>191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>LEFT($A545,FIND("_",$A545)-1)</f>
        <v>TBar</v>
      </c>
      <c r="P545" s="13" t="str">
        <f>IF($O545="ACS", "True Search", IF($O545="Arja", "Evolutionary Search", IF($O545="AVATAR", "True Pattern", IF($O545="CapGen", "Search Like Pattern", IF($O545="Cardumen", "True Semantic", IF($O545="DynaMoth", "True Semantic", IF($O545="FixMiner", "True Pattern", IF($O545="GenProg-A", "Evolutionary Search", IF($O545="Hercules", "Learning Pattern", IF($O545="Jaid", "True Semantic",
IF($O545="Kali-A", "True Search", IF($O545="kPAR", "True Pattern", IF($O545="Nopol", "True Semantic", IF($O545="RSRepair-A", "Evolutionary Search", IF($O545="SequenceR", "Deep Learning", IF($O545="SimFix", "Search Like Pattern", IF($O545="SketchFix", "True Pattern", IF($O545="SOFix", "True Pattern", IF($O545="ssFix", "Search Like Pattern", IF($O545="TBar", "True Pattern", ""))))))))))))))))))))</f>
        <v>True Pattern</v>
      </c>
      <c r="Q545" s="13" t="str">
        <f>IF(NOT(ISERR(SEARCH("*_Buggy",$A545))), "Buggy", IF(NOT(ISERR(SEARCH("*_Fixed",$A545))), "Fixed", IF(NOT(ISERR(SEARCH("*_Repaired",$A545))), "Repaired", "")))</f>
        <v>Buggy</v>
      </c>
      <c r="R545" s="13"/>
      <c r="S545" s="13"/>
      <c r="T545" s="13"/>
      <c r="U545" s="13"/>
      <c r="V545" s="13"/>
      <c r="W545" s="13"/>
    </row>
    <row r="546" spans="1:32" x14ac:dyDescent="0.35">
      <c r="A546" s="7" t="s">
        <v>640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>LEFT($A546,FIND("_",$A546)-1)</f>
        <v>TBar</v>
      </c>
      <c r="P546" s="13" t="str">
        <f>IF($O546="ACS", "True Search", IF($O546="Arja", "Evolutionary Search", IF($O546="AVATAR", "True Pattern", IF($O546="CapGen", "Search Like Pattern", IF($O546="Cardumen", "True Semantic", IF($O546="DynaMoth", "True Semantic", IF($O546="FixMiner", "True Pattern", IF($O546="GenProg-A", "Evolutionary Search", IF($O546="Hercules", "Learning Pattern", IF($O546="Jaid", "True Semantic",
IF($O546="Kali-A", "True Search", IF($O546="kPAR", "True Pattern", IF($O546="Nopol", "True Semantic", IF($O546="RSRepair-A", "Evolutionary Search", IF($O546="SequenceR", "Deep Learning", IF($O546="SimFix", "Search Like Pattern", IF($O546="SketchFix", "True Pattern", IF($O546="SOFix", "True Pattern", IF($O546="ssFix", "Search Like Pattern", IF($O546="TBar", "True Pattern", ""))))))))))))))))))))</f>
        <v>True Pattern</v>
      </c>
      <c r="Q546" s="13" t="str">
        <f>IF(NOT(ISERR(SEARCH("*_Buggy",$A546))), "Buggy", IF(NOT(ISERR(SEARCH("*_Fixed",$A546))), "Fixed", IF(NOT(ISERR(SEARCH("*_Repaired",$A546))), "Repaired", "")))</f>
        <v>Buggy</v>
      </c>
      <c r="R546" s="13"/>
      <c r="S546" s="13"/>
      <c r="T546" s="13"/>
      <c r="U546" s="13"/>
      <c r="V546" s="13"/>
      <c r="W546" s="13"/>
    </row>
    <row r="547" spans="1:32" x14ac:dyDescent="0.35">
      <c r="A547" s="5" t="s">
        <v>725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>LEFT($A547,FIND("_",$A547)-1)</f>
        <v>TBar</v>
      </c>
      <c r="P547" s="13" t="str">
        <f>IF($O547="ACS", "True Search", IF($O547="Arja", "Evolutionary Search", IF($O547="AVATAR", "True Pattern", IF($O547="CapGen", "Search Like Pattern", IF($O547="Cardumen", "True Semantic", IF($O547="DynaMoth", "True Semantic", IF($O547="FixMiner", "True Pattern", IF($O547="GenProg-A", "Evolutionary Search", IF($O547="Hercules", "Learning Pattern", IF($O547="Jaid", "True Semantic",
IF($O547="Kali-A", "True Search", IF($O547="kPAR", "True Pattern", IF($O547="Nopol", "True Semantic", IF($O547="RSRepair-A", "Evolutionary Search", IF($O547="SequenceR", "Deep Learning", IF($O547="SimFix", "Search Like Pattern", IF($O547="SketchFix", "True Pattern", IF($O547="SOFix", "True Pattern", IF($O547="ssFix", "Search Like Pattern", IF($O547="TBar", "True Pattern", ""))))))))))))))))))))</f>
        <v>True Pattern</v>
      </c>
      <c r="Q547" s="13" t="str">
        <f>IF(NOT(ISERR(SEARCH("*_Buggy",$A547))), "Buggy", IF(NOT(ISERR(SEARCH("*_Fixed",$A547))), "Fixed", IF(NOT(ISERR(SEARCH("*_Repaired",$A547))), "Repaired", "")))</f>
        <v>Buggy</v>
      </c>
      <c r="R547" s="13"/>
      <c r="S547" s="13"/>
      <c r="T547" s="13"/>
      <c r="U547" s="13"/>
      <c r="V547" s="13"/>
      <c r="W547" s="13"/>
    </row>
    <row r="548" spans="1:32" ht="29.4" thickBot="1" x14ac:dyDescent="0.4">
      <c r="A548" s="19" t="s">
        <v>449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>LEFT($A548,FIND("_",$A548)-1)</f>
        <v>TBar</v>
      </c>
      <c r="P548" s="21" t="str">
        <f>IF($O548="ACS", "True Search", IF($O548="Arja", "Evolutionary Search", IF($O548="AVATAR", "True Pattern", IF($O548="CapGen", "Search Like Pattern", IF($O548="Cardumen", "True Semantic", IF($O548="DynaMoth", "True Semantic", IF($O548="FixMiner", "True Pattern", IF($O548="GenProg-A", "Evolutionary Search", IF($O548="Hercules", "Learning Pattern", IF($O548="Jaid", "True Semantic",
IF($O548="Kali-A", "True Search", IF($O548="kPAR", "True Pattern", IF($O548="Nopol", "True Semantic", IF($O548="RSRepair-A", "Evolutionary Search", IF($O548="SequenceR", "Deep Learning", IF($O548="SimFix", "Search Like Pattern", IF($O548="SketchFix", "True Pattern", IF($O548="SOFix", "True Pattern", IF($O548="ssFix", "Search Like Pattern", IF($O548="TBar", "True Pattern", ""))))))))))))))))))))</f>
        <v>True Pattern</v>
      </c>
      <c r="Q548" s="21" t="str">
        <f>IF(NOT(ISERR(SEARCH("*_Buggy",$A548))), "Buggy", IF(NOT(ISERR(SEARCH("*_Fixed",$A548))), "Fixed", IF(NOT(ISERR(SEARCH("*_Repaired",$A548))), "Repaired", "")))</f>
        <v>Buggy</v>
      </c>
      <c r="R548" s="21"/>
      <c r="S548" s="21"/>
      <c r="T548" s="21"/>
      <c r="U548" s="21"/>
      <c r="V548" s="21"/>
      <c r="W548" s="21"/>
      <c r="Y548" s="12" t="s">
        <v>1720</v>
      </c>
      <c r="Z548" s="12" t="s">
        <v>1721</v>
      </c>
      <c r="AA548" s="12" t="s">
        <v>1722</v>
      </c>
      <c r="AB548" s="12" t="s">
        <v>1723</v>
      </c>
      <c r="AC548" s="12" t="s">
        <v>1724</v>
      </c>
      <c r="AD548" s="12" t="s">
        <v>1725</v>
      </c>
      <c r="AE548" s="12" t="s">
        <v>1726</v>
      </c>
      <c r="AF548" s="12" t="s">
        <v>1727</v>
      </c>
    </row>
    <row r="549" spans="1:32" ht="15" x14ac:dyDescent="0.35">
      <c r="A549" s="22" t="s">
        <v>786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>LEFT($A549,FIND("_",$A549)-1)</f>
        <v>ACS</v>
      </c>
      <c r="P549" s="13" t="str">
        <f>IF($O549="ACS", "True Search", IF($O549="Arja", "Evolutionary Search", IF($O549="AVATAR", "True Pattern", IF($O549="CapGen", "Search Like Pattern", IF($O549="Cardumen", "True Semantic", IF($O549="DynaMoth", "True Semantic", IF($O549="FixMiner", "True Pattern", IF($O549="GenProg-A", "Evolutionary Search", IF($O549="Hercules", "Learning Pattern", IF($O549="Jaid", "True Semantic",
IF($O549="Kali-A", "True Search", IF($O549="kPAR", "True Pattern", IF($O549="Nopol", "True Semantic", IF($O549="RSRepair-A", "Evolutionary Search", IF($O549="SequenceR", "Deep Learning", IF($O549="SimFix", "Search Like Pattern", IF($O549="SketchFix", "True Pattern", IF($O549="SOFix", "True Pattern", IF($O549="ssFix", "Search Like Pattern", IF($O549="TBar", "True Pattern", ""))))))))))))))))))))</f>
        <v>True Search</v>
      </c>
      <c r="Q549" s="34" t="str">
        <f>IF(NOT(ISERR(SEARCH("*_Buggy",$A549))), "Buggy", IF(NOT(ISERR(SEARCH("*_Fixed",$A549))), "Fixed", IF(NOT(ISERR(SEARCH("*_Repaired",$A549))), "Repaired", "")))</f>
        <v>Fixed</v>
      </c>
      <c r="R549" s="34" t="s">
        <v>1668</v>
      </c>
      <c r="S549" s="34">
        <v>2</v>
      </c>
      <c r="T549" s="34">
        <v>6</v>
      </c>
      <c r="U549" s="34">
        <v>0</v>
      </c>
      <c r="V549" s="18">
        <v>6</v>
      </c>
      <c r="W549" s="18" t="str">
        <f>MID(A549, SEARCH("_", A549) +1, SEARCH("_", A549, SEARCH("_", A549) +1) - SEARCH("_", A549) -1)</f>
        <v>Chart-19</v>
      </c>
      <c r="Y549" s="1" t="str">
        <f>IF(AND(S549&gt;1,S549=V549), "YES", "NO")</f>
        <v>NO</v>
      </c>
      <c r="Z549" s="1" t="str">
        <f>IF(AND(S549&gt;1,S549&lt;V549), "YES", "NO")</f>
        <v>YES</v>
      </c>
      <c r="AA549" t="str">
        <f>IF(AND($S549&gt;1,$S1074&gt;1,$S549=$V549,$S1074=$V1074), "YES", "NO")</f>
        <v>NO</v>
      </c>
      <c r="AB549" t="str">
        <f>IF(AND($S549&gt;1,$S1074&gt;1,$S549&lt;$V549,$S1074&lt;$V1074), "YES", "NO")</f>
        <v>NO</v>
      </c>
      <c r="AC549" t="str">
        <f>IF(AND($S549=1,$S1074=1,$S549=$V549,$S1074=$V1074), "YES", "NO")</f>
        <v>NO</v>
      </c>
      <c r="AD549" t="str">
        <f>IF(AND($S549=1,$S1074=1,$S549&lt;$V549,$S1074&lt;$V1074), "YES", "NO")</f>
        <v>NO</v>
      </c>
      <c r="AE549" t="str">
        <f>IF(AND($V549=1,$V1074=1), "YES", "NO")</f>
        <v>NO</v>
      </c>
      <c r="AF549" t="str">
        <f>IF(AND($V549&gt;1,$V1074&gt;1), "YES", "NO")</f>
        <v>YES</v>
      </c>
    </row>
    <row r="550" spans="1:32" ht="15" x14ac:dyDescent="0.35">
      <c r="A550" s="7" t="s">
        <v>710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>LEFT($A550,FIND("_",$A550)-1)</f>
        <v>ACS</v>
      </c>
      <c r="P550" s="13" t="str">
        <f>IF($O550="ACS", "True Search", IF($O550="Arja", "Evolutionary Search", IF($O550="AVATAR", "True Pattern", IF($O550="CapGen", "Search Like Pattern", IF($O550="Cardumen", "True Semantic", IF($O550="DynaMoth", "True Semantic", IF($O550="FixMiner", "True Pattern", IF($O550="GenProg-A", "Evolutionary Search", IF($O550="Hercules", "Learning Pattern", IF($O550="Jaid", "True Semantic",
IF($O550="Kali-A", "True Search", IF($O550="kPAR", "True Pattern", IF($O550="Nopol", "True Semantic", IF($O550="RSRepair-A", "Evolutionary Search", IF($O550="SequenceR", "Deep Learning", IF($O550="SimFix", "Search Like Pattern", IF($O550="SketchFix", "True Pattern", IF($O550="SOFix", "True Pattern", IF($O550="ssFix", "Search Like Pattern", IF($O550="TBar", "True Pattern", ""))))))))))))))))))))</f>
        <v>True Search</v>
      </c>
      <c r="Q550" s="18" t="str">
        <f>IF(NOT(ISERR(SEARCH("*_Buggy",$A550))), "Buggy", IF(NOT(ISERR(SEARCH("*_Fixed",$A550))), "Fixed", IF(NOT(ISERR(SEARCH("*_Repaired",$A550))), "Repaired", "")))</f>
        <v>Fixed</v>
      </c>
      <c r="R550" s="18" t="s">
        <v>1668</v>
      </c>
      <c r="S550" s="24">
        <v>1</v>
      </c>
      <c r="T550" s="18">
        <v>1</v>
      </c>
      <c r="U550" s="24">
        <v>1</v>
      </c>
      <c r="V550" s="13">
        <v>1</v>
      </c>
      <c r="W550" s="13" t="str">
        <f>MID(A550, SEARCH("_", A550) +1, SEARCH("_", A550, SEARCH("_", A550) +1) - SEARCH("_", A550) -1)</f>
        <v>Lang-24</v>
      </c>
      <c r="Y550" s="1" t="str">
        <f t="shared" ref="Y550:Y613" si="0">IF(AND(S550&gt;1,S550=V550), "YES", "NO")</f>
        <v>NO</v>
      </c>
      <c r="Z550" s="1" t="str">
        <f t="shared" ref="Z550:Z613" si="1">IF(AND(S550&gt;1,S550&lt;V550), "YES", "NO")</f>
        <v>NO</v>
      </c>
      <c r="AA550" t="str">
        <f>IF(AND(S550&gt;1,S1075&gt;1,S550=V550,S1075=V1075), "YES", "NO")</f>
        <v>NO</v>
      </c>
      <c r="AB550" t="str">
        <f>IF(AND(S550&gt;1,S1075&gt;1,S550&lt;V550,S1075&lt;V1075), "YES", "NO")</f>
        <v>NO</v>
      </c>
      <c r="AC550" t="str">
        <f t="shared" ref="AC550:AC613" si="2">IF(AND($S550=1,$S1075=1,$S550=$V550,$S1075=$V1075), "YES", "NO")</f>
        <v>YES</v>
      </c>
      <c r="AD550" t="str">
        <f t="shared" ref="AD550:AD613" si="3">IF(AND($S550=1,$S1075=1,$S550&lt;$V550,$S1075&lt;$V1075), "YES", "NO")</f>
        <v>NO</v>
      </c>
      <c r="AE550" t="str">
        <f t="shared" ref="AE550:AE613" si="4">IF(AND($V550=1,$V1075=1), "YES", "NO")</f>
        <v>YES</v>
      </c>
      <c r="AF550" t="str">
        <f t="shared" ref="AF550:AF613" si="5">IF(AND($V550&gt;1,$V1075&gt;1), "YES", "NO")</f>
        <v>NO</v>
      </c>
    </row>
    <row r="551" spans="1:32" ht="15" x14ac:dyDescent="0.35">
      <c r="A551" s="5" t="s">
        <v>345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>LEFT($A551,FIND("_",$A551)-1)</f>
        <v>ACS</v>
      </c>
      <c r="P551" s="13" t="str">
        <f>IF($O551="ACS", "True Search", IF($O551="Arja", "Evolutionary Search", IF($O551="AVATAR", "True Pattern", IF($O551="CapGen", "Search Like Pattern", IF($O551="Cardumen", "True Semantic", IF($O551="DynaMoth", "True Semantic", IF($O551="FixMiner", "True Pattern", IF($O551="GenProg-A", "Evolutionary Search", IF($O551="Hercules", "Learning Pattern", IF($O551="Jaid", "True Semantic",
IF($O551="Kali-A", "True Search", IF($O551="kPAR", "True Pattern", IF($O551="Nopol", "True Semantic", IF($O551="RSRepair-A", "Evolutionary Search", IF($O551="SequenceR", "Deep Learning", IF($O551="SimFix", "Search Like Pattern", IF($O551="SketchFix", "True Pattern", IF($O551="SOFix", "True Pattern", IF($O551="ssFix", "Search Like Pattern", IF($O551="TBar", "True Pattern", ""))))))))))))))))))))</f>
        <v>True Search</v>
      </c>
      <c r="Q551" s="13" t="str">
        <f>IF(NOT(ISERR(SEARCH("*_Buggy",$A551))), "Buggy", IF(NOT(ISERR(SEARCH("*_Fixed",$A551))), "Fixed", IF(NOT(ISERR(SEARCH("*_Repaired",$A551))), "Repaired", "")))</f>
        <v>Fixed</v>
      </c>
      <c r="R551" s="13" t="s">
        <v>1668</v>
      </c>
      <c r="S551" s="25">
        <v>2</v>
      </c>
      <c r="T551" s="25">
        <v>2</v>
      </c>
      <c r="U551" s="25">
        <v>2</v>
      </c>
      <c r="V551" s="13">
        <v>2</v>
      </c>
      <c r="W551" s="13" t="str">
        <f>MID(A551, SEARCH("_", A551) +1, SEARCH("_", A551, SEARCH("_", A551) +1) - SEARCH("_", A551) -1)</f>
        <v>Lang-35</v>
      </c>
      <c r="Y551" s="1" t="str">
        <f t="shared" si="0"/>
        <v>YES</v>
      </c>
      <c r="Z551" s="1" t="str">
        <f t="shared" si="1"/>
        <v>NO</v>
      </c>
      <c r="AA551" t="str">
        <f>IF(AND(S551&gt;1,S1076&gt;1,S551=V551,S1076=V1076), "YES", "NO")</f>
        <v>YES</v>
      </c>
      <c r="AB551" t="str">
        <f>IF(AND(S551&gt;1,S1076&gt;1,S551&lt;V551,S1076&lt;V1076), "YES", "NO")</f>
        <v>NO</v>
      </c>
      <c r="AC551" t="str">
        <f t="shared" si="2"/>
        <v>NO</v>
      </c>
      <c r="AD551" t="str">
        <f t="shared" si="3"/>
        <v>NO</v>
      </c>
      <c r="AE551" t="str">
        <f t="shared" si="4"/>
        <v>NO</v>
      </c>
      <c r="AF551" t="str">
        <f t="shared" si="5"/>
        <v>YES</v>
      </c>
    </row>
    <row r="552" spans="1:32" ht="15" x14ac:dyDescent="0.35">
      <c r="A552" s="5" t="s">
        <v>1152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>LEFT($A552,FIND("_",$A552)-1)</f>
        <v>ACS</v>
      </c>
      <c r="P552" s="13" t="str">
        <f>IF($O552="ACS", "True Search", IF($O552="Arja", "Evolutionary Search", IF($O552="AVATAR", "True Pattern", IF($O552="CapGen", "Search Like Pattern", IF($O552="Cardumen", "True Semantic", IF($O552="DynaMoth", "True Semantic", IF($O552="FixMiner", "True Pattern", IF($O552="GenProg-A", "Evolutionary Search", IF($O552="Hercules", "Learning Pattern", IF($O552="Jaid", "True Semantic",
IF($O552="Kali-A", "True Search", IF($O552="kPAR", "True Pattern", IF($O552="Nopol", "True Semantic", IF($O552="RSRepair-A", "Evolutionary Search", IF($O552="SequenceR", "Deep Learning", IF($O552="SimFix", "Search Like Pattern", IF($O552="SketchFix", "True Pattern", IF($O552="SOFix", "True Pattern", IF($O552="ssFix", "Search Like Pattern", IF($O552="TBar", "True Pattern", ""))))))))))))))))))))</f>
        <v>True Search</v>
      </c>
      <c r="Q552" s="13" t="str">
        <f>IF(NOT(ISERR(SEARCH("*_Buggy",$A552))), "Buggy", IF(NOT(ISERR(SEARCH("*_Fixed",$A552))), "Fixed", IF(NOT(ISERR(SEARCH("*_Repaired",$A552))), "Repaired", "")))</f>
        <v>Fixed</v>
      </c>
      <c r="R552" s="13" t="s">
        <v>1668</v>
      </c>
      <c r="S552" s="25">
        <v>3</v>
      </c>
      <c r="T552" s="25">
        <v>3</v>
      </c>
      <c r="U552" s="25">
        <v>3</v>
      </c>
      <c r="V552" s="13">
        <v>6</v>
      </c>
      <c r="W552" s="13" t="str">
        <f>MID(A552, SEARCH("_", A552) +1, SEARCH("_", A552, SEARCH("_", A552) +1) - SEARCH("_", A552) -1)</f>
        <v>Lang-7</v>
      </c>
      <c r="Y552" s="1" t="str">
        <f t="shared" si="0"/>
        <v>NO</v>
      </c>
      <c r="Z552" s="1" t="str">
        <f t="shared" si="1"/>
        <v>YES</v>
      </c>
      <c r="AA552" t="str">
        <f>IF(AND(S552&gt;1,S1077&gt;1,S552=V552,S1077=V1077), "YES", "NO")</f>
        <v>NO</v>
      </c>
      <c r="AB552" t="str">
        <f>IF(AND(S552&gt;1,S1077&gt;1,S552&lt;V552,S1077&lt;V1077), "YES", "NO")</f>
        <v>NO</v>
      </c>
      <c r="AC552" t="str">
        <f t="shared" si="2"/>
        <v>NO</v>
      </c>
      <c r="AD552" t="str">
        <f t="shared" si="3"/>
        <v>NO</v>
      </c>
      <c r="AE552" t="str">
        <f t="shared" si="4"/>
        <v>NO</v>
      </c>
      <c r="AF552" t="str">
        <f t="shared" si="5"/>
        <v>NO</v>
      </c>
    </row>
    <row r="553" spans="1:32" ht="15" x14ac:dyDescent="0.35">
      <c r="A553" s="7" t="s">
        <v>722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>LEFT($A553,FIND("_",$A553)-1)</f>
        <v>ACS</v>
      </c>
      <c r="P553" s="13" t="str">
        <f>IF($O553="ACS", "True Search", IF($O553="Arja", "Evolutionary Search", IF($O553="AVATAR", "True Pattern", IF($O553="CapGen", "Search Like Pattern", IF($O553="Cardumen", "True Semantic", IF($O553="DynaMoth", "True Semantic", IF($O553="FixMiner", "True Pattern", IF($O553="GenProg-A", "Evolutionary Search", IF($O553="Hercules", "Learning Pattern", IF($O553="Jaid", "True Semantic",
IF($O553="Kali-A", "True Search", IF($O553="kPAR", "True Pattern", IF($O553="Nopol", "True Semantic", IF($O553="RSRepair-A", "Evolutionary Search", IF($O553="SequenceR", "Deep Learning", IF($O553="SimFix", "Search Like Pattern", IF($O553="SketchFix", "True Pattern", IF($O553="SOFix", "True Pattern", IF($O553="ssFix", "Search Like Pattern", IF($O553="TBar", "True Pattern", ""))))))))))))))))))))</f>
        <v>True Search</v>
      </c>
      <c r="Q553" s="13" t="str">
        <f>IF(NOT(ISERR(SEARCH("*_Buggy",$A553))), "Buggy", IF(NOT(ISERR(SEARCH("*_Fixed",$A553))), "Fixed", IF(NOT(ISERR(SEARCH("*_Repaired",$A553))), "Repaired", "")))</f>
        <v>Fixed</v>
      </c>
      <c r="R553" s="13" t="s">
        <v>1668</v>
      </c>
      <c r="S553" s="25">
        <v>2</v>
      </c>
      <c r="T553" s="25">
        <v>3</v>
      </c>
      <c r="U553" s="25">
        <v>0</v>
      </c>
      <c r="V553" s="13">
        <v>3</v>
      </c>
      <c r="W553" s="13" t="str">
        <f>MID(A553, SEARCH("_", A553) +1, SEARCH("_", A553, SEARCH("_", A553) +1) - SEARCH("_", A553) -1)</f>
        <v>Math-25</v>
      </c>
      <c r="Y553" s="1" t="str">
        <f t="shared" si="0"/>
        <v>NO</v>
      </c>
      <c r="Z553" s="1" t="str">
        <f t="shared" si="1"/>
        <v>YES</v>
      </c>
      <c r="AA553" t="str">
        <f>IF(AND(S553&gt;1,S1078&gt;1,S553=V553,S1078=V1078), "YES", "NO")</f>
        <v>NO</v>
      </c>
      <c r="AB553" t="str">
        <f>IF(AND(S553&gt;1,S1078&gt;1,S553&lt;V553,S1078&lt;V1078), "YES", "NO")</f>
        <v>NO</v>
      </c>
      <c r="AC553" t="str">
        <f t="shared" si="2"/>
        <v>NO</v>
      </c>
      <c r="AD553" t="str">
        <f t="shared" si="3"/>
        <v>NO</v>
      </c>
      <c r="AE553" t="str">
        <f t="shared" si="4"/>
        <v>NO</v>
      </c>
      <c r="AF553" t="str">
        <f t="shared" si="5"/>
        <v>NO</v>
      </c>
    </row>
    <row r="554" spans="1:32" ht="15" x14ac:dyDescent="0.35">
      <c r="A554" s="5" t="s">
        <v>301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>LEFT($A554,FIND("_",$A554)-1)</f>
        <v>ACS</v>
      </c>
      <c r="P554" s="13" t="str">
        <f>IF($O554="ACS", "True Search", IF($O554="Arja", "Evolutionary Search", IF($O554="AVATAR", "True Pattern", IF($O554="CapGen", "Search Like Pattern", IF($O554="Cardumen", "True Semantic", IF($O554="DynaMoth", "True Semantic", IF($O554="FixMiner", "True Pattern", IF($O554="GenProg-A", "Evolutionary Search", IF($O554="Hercules", "Learning Pattern", IF($O554="Jaid", "True Semantic",
IF($O554="Kali-A", "True Search", IF($O554="kPAR", "True Pattern", IF($O554="Nopol", "True Semantic", IF($O554="RSRepair-A", "Evolutionary Search", IF($O554="SequenceR", "Deep Learning", IF($O554="SimFix", "Search Like Pattern", IF($O554="SketchFix", "True Pattern", IF($O554="SOFix", "True Pattern", IF($O554="ssFix", "Search Like Pattern", IF($O554="TBar", "True Pattern", ""))))))))))))))))))))</f>
        <v>True Search</v>
      </c>
      <c r="Q554" s="13" t="str">
        <f>IF(NOT(ISERR(SEARCH("*_Buggy",$A554))), "Buggy", IF(NOT(ISERR(SEARCH("*_Fixed",$A554))), "Fixed", IF(NOT(ISERR(SEARCH("*_Repaired",$A554))), "Repaired", "")))</f>
        <v>Fixed</v>
      </c>
      <c r="R554" s="13" t="s">
        <v>1669</v>
      </c>
      <c r="S554" s="25">
        <v>4</v>
      </c>
      <c r="T554" s="13">
        <v>4</v>
      </c>
      <c r="U554" s="25">
        <v>0</v>
      </c>
      <c r="V554" s="13">
        <v>4</v>
      </c>
      <c r="W554" s="13" t="str">
        <f>MID(A554, SEARCH("_", A554) +1, SEARCH("_", A554, SEARCH("_", A554) +1) - SEARCH("_", A554) -1)</f>
        <v>Math-28</v>
      </c>
      <c r="Y554" s="1" t="str">
        <f t="shared" si="0"/>
        <v>YES</v>
      </c>
      <c r="Z554" s="1" t="str">
        <f t="shared" si="1"/>
        <v>NO</v>
      </c>
      <c r="AA554" t="str">
        <f>IF(AND(S554&gt;1,S1079&gt;1,S554=V554,S1079=V1079), "YES", "NO")</f>
        <v>NO</v>
      </c>
      <c r="AB554" t="str">
        <f>IF(AND(S554&gt;1,S1079&gt;1,S554&lt;V554,S1079&lt;V1079), "YES", "NO")</f>
        <v>NO</v>
      </c>
      <c r="AC554" t="str">
        <f t="shared" si="2"/>
        <v>NO</v>
      </c>
      <c r="AD554" t="str">
        <f t="shared" si="3"/>
        <v>NO</v>
      </c>
      <c r="AE554" t="str">
        <f t="shared" si="4"/>
        <v>NO</v>
      </c>
      <c r="AF554" t="str">
        <f t="shared" si="5"/>
        <v>YES</v>
      </c>
    </row>
    <row r="555" spans="1:32" ht="15" x14ac:dyDescent="0.35">
      <c r="A555" s="7" t="s">
        <v>730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>LEFT($A555,FIND("_",$A555)-1)</f>
        <v>ACS</v>
      </c>
      <c r="P555" s="13" t="str">
        <f>IF($O555="ACS", "True Search", IF($O555="Arja", "Evolutionary Search", IF($O555="AVATAR", "True Pattern", IF($O555="CapGen", "Search Like Pattern", IF($O555="Cardumen", "True Semantic", IF($O555="DynaMoth", "True Semantic", IF($O555="FixMiner", "True Pattern", IF($O555="GenProg-A", "Evolutionary Search", IF($O555="Hercules", "Learning Pattern", IF($O555="Jaid", "True Semantic",
IF($O555="Kali-A", "True Search", IF($O555="kPAR", "True Pattern", IF($O555="Nopol", "True Semantic", IF($O555="RSRepair-A", "Evolutionary Search", IF($O555="SequenceR", "Deep Learning", IF($O555="SimFix", "Search Like Pattern", IF($O555="SketchFix", "True Pattern", IF($O555="SOFix", "True Pattern", IF($O555="ssFix", "Search Like Pattern", IF($O555="TBar", "True Pattern", ""))))))))))))))))))))</f>
        <v>True Search</v>
      </c>
      <c r="Q555" s="13" t="str">
        <f>IF(NOT(ISERR(SEARCH("*_Buggy",$A555))), "Buggy", IF(NOT(ISERR(SEARCH("*_Fixed",$A555))), "Fixed", IF(NOT(ISERR(SEARCH("*_Repaired",$A555))), "Repaired", "")))</f>
        <v>Fixed</v>
      </c>
      <c r="R555" s="13" t="s">
        <v>1668</v>
      </c>
      <c r="S555" s="25">
        <v>2</v>
      </c>
      <c r="T555" s="13">
        <v>3</v>
      </c>
      <c r="U555" s="25">
        <v>0</v>
      </c>
      <c r="V555" s="13">
        <v>3</v>
      </c>
      <c r="W555" s="13" t="str">
        <f>MID(A555, SEARCH("_", A555) +1, SEARCH("_", A555, SEARCH("_", A555) +1) - SEARCH("_", A555) -1)</f>
        <v>Math-3</v>
      </c>
      <c r="Y555" s="1" t="str">
        <f t="shared" si="0"/>
        <v>NO</v>
      </c>
      <c r="Z555" s="1" t="str">
        <f t="shared" si="1"/>
        <v>YES</v>
      </c>
      <c r="AA555" t="str">
        <f>IF(AND(S555&gt;1,S1080&gt;1,S555=V555,S1080=V1080), "YES", "NO")</f>
        <v>NO</v>
      </c>
      <c r="AB555" t="str">
        <f>IF(AND(S555&gt;1,S1080&gt;1,S555&lt;V555,S1080&lt;V1080), "YES", "NO")</f>
        <v>NO</v>
      </c>
      <c r="AC555" t="str">
        <f t="shared" si="2"/>
        <v>NO</v>
      </c>
      <c r="AD555" t="str">
        <f t="shared" si="3"/>
        <v>NO</v>
      </c>
      <c r="AE555" t="str">
        <f t="shared" si="4"/>
        <v>NO</v>
      </c>
      <c r="AF555" t="str">
        <f t="shared" si="5"/>
        <v>NO</v>
      </c>
    </row>
    <row r="556" spans="1:32" ht="15" x14ac:dyDescent="0.35">
      <c r="A556" s="7" t="s">
        <v>479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>LEFT($A556,FIND("_",$A556)-1)</f>
        <v>ACS</v>
      </c>
      <c r="P556" s="13" t="str">
        <f>IF($O556="ACS", "True Search", IF($O556="Arja", "Evolutionary Search", IF($O556="AVATAR", "True Pattern", IF($O556="CapGen", "Search Like Pattern", IF($O556="Cardumen", "True Semantic", IF($O556="DynaMoth", "True Semantic", IF($O556="FixMiner", "True Pattern", IF($O556="GenProg-A", "Evolutionary Search", IF($O556="Hercules", "Learning Pattern", IF($O556="Jaid", "True Semantic",
IF($O556="Kali-A", "True Search", IF($O556="kPAR", "True Pattern", IF($O556="Nopol", "True Semantic", IF($O556="RSRepair-A", "Evolutionary Search", IF($O556="SequenceR", "Deep Learning", IF($O556="SimFix", "Search Like Pattern", IF($O556="SketchFix", "True Pattern", IF($O556="SOFix", "True Pattern", IF($O556="ssFix", "Search Like Pattern", IF($O556="TBar", "True Pattern", ""))))))))))))))))))))</f>
        <v>True Search</v>
      </c>
      <c r="Q556" s="13" t="str">
        <f>IF(NOT(ISERR(SEARCH("*_Buggy",$A556))), "Buggy", IF(NOT(ISERR(SEARCH("*_Fixed",$A556))), "Fixed", IF(NOT(ISERR(SEARCH("*_Repaired",$A556))), "Repaired", "")))</f>
        <v>Fixed</v>
      </c>
      <c r="R556" s="13" t="s">
        <v>1668</v>
      </c>
      <c r="S556" s="25">
        <v>2</v>
      </c>
      <c r="T556" s="13">
        <v>2</v>
      </c>
      <c r="U556" s="25">
        <v>2</v>
      </c>
      <c r="V556" s="13">
        <v>2</v>
      </c>
      <c r="W556" s="13" t="str">
        <f>MID(A556, SEARCH("_", A556) +1, SEARCH("_", A556, SEARCH("_", A556) +1) - SEARCH("_", A556) -1)</f>
        <v>Math-35</v>
      </c>
      <c r="Y556" s="1" t="str">
        <f t="shared" si="0"/>
        <v>YES</v>
      </c>
      <c r="Z556" s="1" t="str">
        <f t="shared" si="1"/>
        <v>NO</v>
      </c>
      <c r="AA556" t="str">
        <f>IF(AND(S556&gt;1,S1081&gt;1,S556=V556,S1081=V1081), "YES", "NO")</f>
        <v>NO</v>
      </c>
      <c r="AB556" t="str">
        <f>IF(AND(S556&gt;1,S1081&gt;1,S556&lt;V556,S1081&lt;V1081), "YES", "NO")</f>
        <v>NO</v>
      </c>
      <c r="AC556" t="str">
        <f t="shared" si="2"/>
        <v>NO</v>
      </c>
      <c r="AD556" t="str">
        <f t="shared" si="3"/>
        <v>NO</v>
      </c>
      <c r="AE556" t="str">
        <f t="shared" si="4"/>
        <v>NO</v>
      </c>
      <c r="AF556" t="str">
        <f t="shared" si="5"/>
        <v>YES</v>
      </c>
    </row>
    <row r="557" spans="1:32" ht="15" x14ac:dyDescent="0.35">
      <c r="A557" s="5" t="s">
        <v>661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>LEFT($A557,FIND("_",$A557)-1)</f>
        <v>ACS</v>
      </c>
      <c r="P557" s="13" t="str">
        <f>IF($O557="ACS", "True Search", IF($O557="Arja", "Evolutionary Search", IF($O557="AVATAR", "True Pattern", IF($O557="CapGen", "Search Like Pattern", IF($O557="Cardumen", "True Semantic", IF($O557="DynaMoth", "True Semantic", IF($O557="FixMiner", "True Pattern", IF($O557="GenProg-A", "Evolutionary Search", IF($O557="Hercules", "Learning Pattern", IF($O557="Jaid", "True Semantic",
IF($O557="Kali-A", "True Search", IF($O557="kPAR", "True Pattern", IF($O557="Nopol", "True Semantic", IF($O557="RSRepair-A", "Evolutionary Search", IF($O557="SequenceR", "Deep Learning", IF($O557="SimFix", "Search Like Pattern", IF($O557="SketchFix", "True Pattern", IF($O557="SOFix", "True Pattern", IF($O557="ssFix", "Search Like Pattern", IF($O557="TBar", "True Pattern", ""))))))))))))))))))))</f>
        <v>True Search</v>
      </c>
      <c r="Q557" s="13" t="str">
        <f>IF(NOT(ISERR(SEARCH("*_Buggy",$A557))), "Buggy", IF(NOT(ISERR(SEARCH("*_Fixed",$A557))), "Fixed", IF(NOT(ISERR(SEARCH("*_Repaired",$A557))), "Repaired", "")))</f>
        <v>Fixed</v>
      </c>
      <c r="R557" s="13" t="s">
        <v>1668</v>
      </c>
      <c r="S557" s="25">
        <v>1</v>
      </c>
      <c r="T557" s="25">
        <v>1</v>
      </c>
      <c r="U557" s="25">
        <v>1</v>
      </c>
      <c r="V557" s="13">
        <v>1</v>
      </c>
      <c r="W557" s="13" t="str">
        <f>MID(A557, SEARCH("_", A557) +1, SEARCH("_", A557, SEARCH("_", A557) +1) - SEARCH("_", A557) -1)</f>
        <v>Math-5</v>
      </c>
      <c r="Y557" s="1" t="str">
        <f t="shared" si="0"/>
        <v>NO</v>
      </c>
      <c r="Z557" s="1" t="str">
        <f t="shared" si="1"/>
        <v>NO</v>
      </c>
      <c r="AA557" t="str">
        <f>IF(AND(S557&gt;1,S1082&gt;1,S557=V557,S1082=V1082), "YES", "NO")</f>
        <v>NO</v>
      </c>
      <c r="AB557" t="str">
        <f>IF(AND(S557&gt;1,S1082&gt;1,S557&lt;V557,S1082&lt;V1082), "YES", "NO")</f>
        <v>NO</v>
      </c>
      <c r="AC557" t="str">
        <f t="shared" si="2"/>
        <v>YES</v>
      </c>
      <c r="AD557" t="str">
        <f t="shared" si="3"/>
        <v>NO</v>
      </c>
      <c r="AE557" t="str">
        <f t="shared" si="4"/>
        <v>YES</v>
      </c>
      <c r="AF557" t="str">
        <f t="shared" si="5"/>
        <v>NO</v>
      </c>
    </row>
    <row r="558" spans="1:32" ht="15" x14ac:dyDescent="0.35">
      <c r="A558" s="7" t="s">
        <v>1056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>LEFT($A558,FIND("_",$A558)-1)</f>
        <v>ACS</v>
      </c>
      <c r="P558" s="13" t="str">
        <f>IF($O558="ACS", "True Search", IF($O558="Arja", "Evolutionary Search", IF($O558="AVATAR", "True Pattern", IF($O558="CapGen", "Search Like Pattern", IF($O558="Cardumen", "True Semantic", IF($O558="DynaMoth", "True Semantic", IF($O558="FixMiner", "True Pattern", IF($O558="GenProg-A", "Evolutionary Search", IF($O558="Hercules", "Learning Pattern", IF($O558="Jaid", "True Semantic",
IF($O558="Kali-A", "True Search", IF($O558="kPAR", "True Pattern", IF($O558="Nopol", "True Semantic", IF($O558="RSRepair-A", "Evolutionary Search", IF($O558="SequenceR", "Deep Learning", IF($O558="SimFix", "Search Like Pattern", IF($O558="SketchFix", "True Pattern", IF($O558="SOFix", "True Pattern", IF($O558="ssFix", "Search Like Pattern", IF($O558="TBar", "True Pattern", ""))))))))))))))))))))</f>
        <v>True Search</v>
      </c>
      <c r="Q558" s="13" t="str">
        <f>IF(NOT(ISERR(SEARCH("*_Buggy",$A558))), "Buggy", IF(NOT(ISERR(SEARCH("*_Fixed",$A558))), "Fixed", IF(NOT(ISERR(SEARCH("*_Repaired",$A558))), "Repaired", "")))</f>
        <v>Fixed</v>
      </c>
      <c r="R558" s="13" t="s">
        <v>1669</v>
      </c>
      <c r="S558" s="25">
        <v>1</v>
      </c>
      <c r="T558" s="25">
        <v>4</v>
      </c>
      <c r="U558" s="25">
        <v>0</v>
      </c>
      <c r="V558" s="13">
        <v>4</v>
      </c>
      <c r="W558" s="13" t="str">
        <f>MID(A558, SEARCH("_", A558) +1, SEARCH("_", A558, SEARCH("_", A558) +1) - SEARCH("_", A558) -1)</f>
        <v>Math-73</v>
      </c>
      <c r="Y558" s="1" t="str">
        <f t="shared" si="0"/>
        <v>NO</v>
      </c>
      <c r="Z558" s="1" t="str">
        <f t="shared" si="1"/>
        <v>NO</v>
      </c>
      <c r="AA558" t="str">
        <f>IF(AND(S558&gt;1,S1083&gt;1,S558=V558,S1083=V1083), "YES", "NO")</f>
        <v>NO</v>
      </c>
      <c r="AB558" t="str">
        <f>IF(AND(S558&gt;1,S1083&gt;1,S558&lt;V558,S1083&lt;V1083), "YES", "NO")</f>
        <v>NO</v>
      </c>
      <c r="AC558" t="str">
        <f t="shared" si="2"/>
        <v>NO</v>
      </c>
      <c r="AD558" t="str">
        <f t="shared" si="3"/>
        <v>NO</v>
      </c>
      <c r="AE558" t="str">
        <f t="shared" si="4"/>
        <v>NO</v>
      </c>
      <c r="AF558" t="str">
        <f t="shared" si="5"/>
        <v>NO</v>
      </c>
    </row>
    <row r="559" spans="1:32" ht="15" x14ac:dyDescent="0.35">
      <c r="A559" s="7" t="s">
        <v>316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>LEFT($A559,FIND("_",$A559)-1)</f>
        <v>ACS</v>
      </c>
      <c r="P559" s="13" t="str">
        <f>IF($O559="ACS", "True Search", IF($O559="Arja", "Evolutionary Search", IF($O559="AVATAR", "True Pattern", IF($O559="CapGen", "Search Like Pattern", IF($O559="Cardumen", "True Semantic", IF($O559="DynaMoth", "True Semantic", IF($O559="FixMiner", "True Pattern", IF($O559="GenProg-A", "Evolutionary Search", IF($O559="Hercules", "Learning Pattern", IF($O559="Jaid", "True Semantic",
IF($O559="Kali-A", "True Search", IF($O559="kPAR", "True Pattern", IF($O559="Nopol", "True Semantic", IF($O559="RSRepair-A", "Evolutionary Search", IF($O559="SequenceR", "Deep Learning", IF($O559="SimFix", "Search Like Pattern", IF($O559="SketchFix", "True Pattern", IF($O559="SOFix", "True Pattern", IF($O559="ssFix", "Search Like Pattern", IF($O559="TBar", "True Pattern", ""))))))))))))))))))))</f>
        <v>True Search</v>
      </c>
      <c r="Q559" s="13" t="str">
        <f>IF(NOT(ISERR(SEARCH("*_Buggy",$A559))), "Buggy", IF(NOT(ISERR(SEARCH("*_Fixed",$A559))), "Fixed", IF(NOT(ISERR(SEARCH("*_Repaired",$A559))), "Repaired", "")))</f>
        <v>Fixed</v>
      </c>
      <c r="R559" s="13" t="s">
        <v>1669</v>
      </c>
      <c r="S559" s="25">
        <v>3</v>
      </c>
      <c r="T559" s="13">
        <v>4</v>
      </c>
      <c r="U559" s="25">
        <v>3</v>
      </c>
      <c r="V559" s="13">
        <v>4</v>
      </c>
      <c r="W559" s="13" t="str">
        <f>MID(A559, SEARCH("_", A559) +1, SEARCH("_", A559, SEARCH("_", A559) +1) - SEARCH("_", A559) -1)</f>
        <v>Math-81</v>
      </c>
      <c r="Y559" s="1" t="str">
        <f t="shared" si="0"/>
        <v>NO</v>
      </c>
      <c r="Z559" s="1" t="str">
        <f t="shared" si="1"/>
        <v>YES</v>
      </c>
      <c r="AA559" t="str">
        <f>IF(AND(S559&gt;1,S1084&gt;1,S559=V559,S1084=V1084), "YES", "NO")</f>
        <v>NO</v>
      </c>
      <c r="AB559" t="str">
        <f>IF(AND(S559&gt;1,S1084&gt;1,S559&lt;V559,S1084&lt;V1084), "YES", "NO")</f>
        <v>NO</v>
      </c>
      <c r="AC559" t="str">
        <f t="shared" si="2"/>
        <v>NO</v>
      </c>
      <c r="AD559" t="str">
        <f t="shared" si="3"/>
        <v>NO</v>
      </c>
      <c r="AE559" t="str">
        <f t="shared" si="4"/>
        <v>NO</v>
      </c>
      <c r="AF559" t="str">
        <f t="shared" si="5"/>
        <v>YES</v>
      </c>
    </row>
    <row r="560" spans="1:32" ht="15" x14ac:dyDescent="0.35">
      <c r="A560" s="5" t="s">
        <v>366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>LEFT($A560,FIND("_",$A560)-1)</f>
        <v>ACS</v>
      </c>
      <c r="P560" s="13" t="str">
        <f>IF($O560="ACS", "True Search", IF($O560="Arja", "Evolutionary Search", IF($O560="AVATAR", "True Pattern", IF($O560="CapGen", "Search Like Pattern", IF($O560="Cardumen", "True Semantic", IF($O560="DynaMoth", "True Semantic", IF($O560="FixMiner", "True Pattern", IF($O560="GenProg-A", "Evolutionary Search", IF($O560="Hercules", "Learning Pattern", IF($O560="Jaid", "True Semantic",
IF($O560="Kali-A", "True Search", IF($O560="kPAR", "True Pattern", IF($O560="Nopol", "True Semantic", IF($O560="RSRepair-A", "Evolutionary Search", IF($O560="SequenceR", "Deep Learning", IF($O560="SimFix", "Search Like Pattern", IF($O560="SketchFix", "True Pattern", IF($O560="SOFix", "True Pattern", IF($O560="ssFix", "Search Like Pattern", IF($O560="TBar", "True Pattern", ""))))))))))))))))))))</f>
        <v>True Search</v>
      </c>
      <c r="Q560" s="13" t="str">
        <f>IF(NOT(ISERR(SEARCH("*_Buggy",$A560))), "Buggy", IF(NOT(ISERR(SEARCH("*_Fixed",$A560))), "Fixed", IF(NOT(ISERR(SEARCH("*_Repaired",$A560))), "Repaired", "")))</f>
        <v>Fixed</v>
      </c>
      <c r="R560" s="13" t="s">
        <v>1668</v>
      </c>
      <c r="S560" s="25">
        <v>1</v>
      </c>
      <c r="T560" s="25">
        <v>1</v>
      </c>
      <c r="U560" s="25">
        <v>1</v>
      </c>
      <c r="V560" s="13">
        <v>1</v>
      </c>
      <c r="W560" s="13" t="str">
        <f>MID(A560, SEARCH("_", A560) +1, SEARCH("_", A560, SEARCH("_", A560) +1) - SEARCH("_", A560) -1)</f>
        <v>Math-82</v>
      </c>
      <c r="Y560" s="1" t="str">
        <f t="shared" si="0"/>
        <v>NO</v>
      </c>
      <c r="Z560" s="1" t="str">
        <f t="shared" si="1"/>
        <v>NO</v>
      </c>
      <c r="AA560" t="str">
        <f>IF(AND(S560&gt;1,S1085&gt;1,S560=V560,S1085=V1085), "YES", "NO")</f>
        <v>NO</v>
      </c>
      <c r="AB560" t="str">
        <f>IF(AND(S560&gt;1,S1085&gt;1,S560&lt;V560,S1085&lt;V1085), "YES", "NO")</f>
        <v>NO</v>
      </c>
      <c r="AC560" t="str">
        <f t="shared" si="2"/>
        <v>NO</v>
      </c>
      <c r="AD560" t="str">
        <f t="shared" si="3"/>
        <v>NO</v>
      </c>
      <c r="AE560" t="str">
        <f t="shared" si="4"/>
        <v>NO</v>
      </c>
      <c r="AF560" t="str">
        <f t="shared" si="5"/>
        <v>NO</v>
      </c>
    </row>
    <row r="561" spans="1:32" ht="15" x14ac:dyDescent="0.35">
      <c r="A561" s="7" t="s">
        <v>53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>LEFT($A561,FIND("_",$A561)-1)</f>
        <v>ACS</v>
      </c>
      <c r="P561" s="13" t="str">
        <f>IF($O561="ACS", "True Search", IF($O561="Arja", "Evolutionary Search", IF($O561="AVATAR", "True Pattern", IF($O561="CapGen", "Search Like Pattern", IF($O561="Cardumen", "True Semantic", IF($O561="DynaMoth", "True Semantic", IF($O561="FixMiner", "True Pattern", IF($O561="GenProg-A", "Evolutionary Search", IF($O561="Hercules", "Learning Pattern", IF($O561="Jaid", "True Semantic",
IF($O561="Kali-A", "True Search", IF($O561="kPAR", "True Pattern", IF($O561="Nopol", "True Semantic", IF($O561="RSRepair-A", "Evolutionary Search", IF($O561="SequenceR", "Deep Learning", IF($O561="SimFix", "Search Like Pattern", IF($O561="SketchFix", "True Pattern", IF($O561="SOFix", "True Pattern", IF($O561="ssFix", "Search Like Pattern", IF($O561="TBar", "True Pattern", ""))))))))))))))))))))</f>
        <v>True Search</v>
      </c>
      <c r="Q561" s="13" t="str">
        <f>IF(NOT(ISERR(SEARCH("*_Buggy",$A561))), "Buggy", IF(NOT(ISERR(SEARCH("*_Fixed",$A561))), "Fixed", IF(NOT(ISERR(SEARCH("*_Repaired",$A561))), "Repaired", "")))</f>
        <v>Fixed</v>
      </c>
      <c r="R561" s="13" t="s">
        <v>1668</v>
      </c>
      <c r="S561" s="25">
        <v>1</v>
      </c>
      <c r="T561" s="25">
        <v>1</v>
      </c>
      <c r="U561" s="25">
        <v>1</v>
      </c>
      <c r="V561" s="13">
        <v>1</v>
      </c>
      <c r="W561" s="13" t="str">
        <f>MID(A561, SEARCH("_", A561) +1, SEARCH("_", A561, SEARCH("_", A561) +1) - SEARCH("_", A561) -1)</f>
        <v>Math-85</v>
      </c>
      <c r="Y561" s="1" t="str">
        <f t="shared" si="0"/>
        <v>NO</v>
      </c>
      <c r="Z561" s="1" t="str">
        <f t="shared" si="1"/>
        <v>NO</v>
      </c>
      <c r="AA561" t="str">
        <f>IF(AND(S561&gt;1,S1086&gt;1,S561=V561,S1086=V1086), "YES", "NO")</f>
        <v>NO</v>
      </c>
      <c r="AB561" t="str">
        <f>IF(AND(S561&gt;1,S1086&gt;1,S561&lt;V561,S1086&lt;V1086), "YES", "NO")</f>
        <v>NO</v>
      </c>
      <c r="AC561" t="str">
        <f t="shared" si="2"/>
        <v>NO</v>
      </c>
      <c r="AD561" t="str">
        <f t="shared" si="3"/>
        <v>NO</v>
      </c>
      <c r="AE561" t="str">
        <f t="shared" si="4"/>
        <v>NO</v>
      </c>
      <c r="AF561" t="str">
        <f t="shared" si="5"/>
        <v>NO</v>
      </c>
    </row>
    <row r="562" spans="1:32" ht="15" x14ac:dyDescent="0.35">
      <c r="A562" s="7" t="s">
        <v>957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>LEFT($A562,FIND("_",$A562)-1)</f>
        <v>ACS</v>
      </c>
      <c r="P562" s="13" t="str">
        <f>IF($O562="ACS", "True Search", IF($O562="Arja", "Evolutionary Search", IF($O562="AVATAR", "True Pattern", IF($O562="CapGen", "Search Like Pattern", IF($O562="Cardumen", "True Semantic", IF($O562="DynaMoth", "True Semantic", IF($O562="FixMiner", "True Pattern", IF($O562="GenProg-A", "Evolutionary Search", IF($O562="Hercules", "Learning Pattern", IF($O562="Jaid", "True Semantic",
IF($O562="Kali-A", "True Search", IF($O562="kPAR", "True Pattern", IF($O562="Nopol", "True Semantic", IF($O562="RSRepair-A", "Evolutionary Search", IF($O562="SequenceR", "Deep Learning", IF($O562="SimFix", "Search Like Pattern", IF($O562="SketchFix", "True Pattern", IF($O562="SOFix", "True Pattern", IF($O562="ssFix", "Search Like Pattern", IF($O562="TBar", "True Pattern", ""))))))))))))))))))))</f>
        <v>True Search</v>
      </c>
      <c r="Q562" s="13" t="str">
        <f>IF(NOT(ISERR(SEARCH("*_Buggy",$A562))), "Buggy", IF(NOT(ISERR(SEARCH("*_Fixed",$A562))), "Fixed", IF(NOT(ISERR(SEARCH("*_Repaired",$A562))), "Repaired", "")))</f>
        <v>Fixed</v>
      </c>
      <c r="R562" s="13" t="s">
        <v>1668</v>
      </c>
      <c r="S562" s="25">
        <v>2</v>
      </c>
      <c r="T562" s="25">
        <v>4</v>
      </c>
      <c r="U562" s="25">
        <v>0</v>
      </c>
      <c r="V562" s="13">
        <v>4</v>
      </c>
      <c r="W562" s="13" t="str">
        <f>MID(A562, SEARCH("_", A562) +1, SEARCH("_", A562, SEARCH("_", A562) +1) - SEARCH("_", A562) -1)</f>
        <v>Math-89</v>
      </c>
      <c r="Y562" s="1" t="str">
        <f t="shared" si="0"/>
        <v>NO</v>
      </c>
      <c r="Z562" s="1" t="str">
        <f t="shared" si="1"/>
        <v>YES</v>
      </c>
      <c r="AA562" t="str">
        <f>IF(AND(S562&gt;1,S1087&gt;1,S562=V562,S1087=V1087), "YES", "NO")</f>
        <v>NO</v>
      </c>
      <c r="AB562" t="str">
        <f>IF(AND(S562&gt;1,S1087&gt;1,S562&lt;V562,S1087&lt;V1087), "YES", "NO")</f>
        <v>NO</v>
      </c>
      <c r="AC562" t="str">
        <f t="shared" si="2"/>
        <v>NO</v>
      </c>
      <c r="AD562" t="str">
        <f t="shared" si="3"/>
        <v>NO</v>
      </c>
      <c r="AE562" t="str">
        <f t="shared" si="4"/>
        <v>NO</v>
      </c>
      <c r="AF562" t="str">
        <f t="shared" si="5"/>
        <v>NO</v>
      </c>
    </row>
    <row r="563" spans="1:32" ht="15" x14ac:dyDescent="0.35">
      <c r="A563" s="7" t="s">
        <v>75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>LEFT($A563,FIND("_",$A563)-1)</f>
        <v>ACS</v>
      </c>
      <c r="P563" s="13" t="str">
        <f>IF($O563="ACS", "True Search", IF($O563="Arja", "Evolutionary Search", IF($O563="AVATAR", "True Pattern", IF($O563="CapGen", "Search Like Pattern", IF($O563="Cardumen", "True Semantic", IF($O563="DynaMoth", "True Semantic", IF($O563="FixMiner", "True Pattern", IF($O563="GenProg-A", "Evolutionary Search", IF($O563="Hercules", "Learning Pattern", IF($O563="Jaid", "True Semantic",
IF($O563="Kali-A", "True Search", IF($O563="kPAR", "True Pattern", IF($O563="Nopol", "True Semantic", IF($O563="RSRepair-A", "Evolutionary Search", IF($O563="SequenceR", "Deep Learning", IF($O563="SimFix", "Search Like Pattern", IF($O563="SketchFix", "True Pattern", IF($O563="SOFix", "True Pattern", IF($O563="ssFix", "Search Like Pattern", IF($O563="TBar", "True Pattern", ""))))))))))))))))))))</f>
        <v>True Search</v>
      </c>
      <c r="Q563" s="13" t="str">
        <f>IF(NOT(ISERR(SEARCH("*_Buggy",$A563))), "Buggy", IF(NOT(ISERR(SEARCH("*_Fixed",$A563))), "Fixed", IF(NOT(ISERR(SEARCH("*_Repaired",$A563))), "Repaired", "")))</f>
        <v>Fixed</v>
      </c>
      <c r="R563" s="13" t="s">
        <v>1668</v>
      </c>
      <c r="S563" s="25">
        <v>2</v>
      </c>
      <c r="T563" s="13">
        <v>3</v>
      </c>
      <c r="U563" s="25">
        <v>0</v>
      </c>
      <c r="V563" s="13">
        <v>3</v>
      </c>
      <c r="W563" s="13" t="str">
        <f>MID(A563, SEARCH("_", A563) +1, SEARCH("_", A563, SEARCH("_", A563) +1) - SEARCH("_", A563) -1)</f>
        <v>Math-90</v>
      </c>
      <c r="Y563" s="1" t="str">
        <f t="shared" si="0"/>
        <v>NO</v>
      </c>
      <c r="Z563" s="1" t="str">
        <f t="shared" si="1"/>
        <v>YES</v>
      </c>
      <c r="AA563" t="str">
        <f>IF(AND(S563&gt;1,S1088&gt;1,S563=V563,S1088=V1088), "YES", "NO")</f>
        <v>NO</v>
      </c>
      <c r="AB563" t="str">
        <f>IF(AND(S563&gt;1,S1088&gt;1,S563&lt;V563,S1088&lt;V1088), "YES", "NO")</f>
        <v>NO</v>
      </c>
      <c r="AC563" t="str">
        <f t="shared" si="2"/>
        <v>NO</v>
      </c>
      <c r="AD563" t="str">
        <f t="shared" si="3"/>
        <v>NO</v>
      </c>
      <c r="AE563" t="str">
        <f t="shared" si="4"/>
        <v>NO</v>
      </c>
      <c r="AF563" t="str">
        <f t="shared" si="5"/>
        <v>NO</v>
      </c>
    </row>
    <row r="564" spans="1:32" ht="15" x14ac:dyDescent="0.35">
      <c r="A564" s="5" t="s">
        <v>625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>LEFT($A564,FIND("_",$A564)-1)</f>
        <v>ACS</v>
      </c>
      <c r="P564" s="13" t="str">
        <f>IF($O564="ACS", "True Search", IF($O564="Arja", "Evolutionary Search", IF($O564="AVATAR", "True Pattern", IF($O564="CapGen", "Search Like Pattern", IF($O564="Cardumen", "True Semantic", IF($O564="DynaMoth", "True Semantic", IF($O564="FixMiner", "True Pattern", IF($O564="GenProg-A", "Evolutionary Search", IF($O564="Hercules", "Learning Pattern", IF($O564="Jaid", "True Semantic",
IF($O564="Kali-A", "True Search", IF($O564="kPAR", "True Pattern", IF($O564="Nopol", "True Semantic", IF($O564="RSRepair-A", "Evolutionary Search", IF($O564="SequenceR", "Deep Learning", IF($O564="SimFix", "Search Like Pattern", IF($O564="SketchFix", "True Pattern", IF($O564="SOFix", "True Pattern", IF($O564="ssFix", "Search Like Pattern", IF($O564="TBar", "True Pattern", ""))))))))))))))))))))</f>
        <v>True Search</v>
      </c>
      <c r="Q564" s="13" t="str">
        <f>IF(NOT(ISERR(SEARCH("*_Buggy",$A564))), "Buggy", IF(NOT(ISERR(SEARCH("*_Fixed",$A564))), "Fixed", IF(NOT(ISERR(SEARCH("*_Repaired",$A564))), "Repaired", "")))</f>
        <v>Fixed</v>
      </c>
      <c r="R564" s="13" t="s">
        <v>1669</v>
      </c>
      <c r="S564" s="25">
        <v>3</v>
      </c>
      <c r="T564" s="13">
        <v>10</v>
      </c>
      <c r="U564" s="25">
        <v>2</v>
      </c>
      <c r="V564" s="13">
        <v>10</v>
      </c>
      <c r="W564" s="13" t="str">
        <f>MID(A564, SEARCH("_", A564) +1, SEARCH("_", A564, SEARCH("_", A564) +1) - SEARCH("_", A564) -1)</f>
        <v>Math-93</v>
      </c>
      <c r="Y564" s="1" t="str">
        <f t="shared" si="0"/>
        <v>NO</v>
      </c>
      <c r="Z564" s="1" t="str">
        <f t="shared" si="1"/>
        <v>YES</v>
      </c>
      <c r="AA564" t="str">
        <f>IF(AND(S564&gt;1,S1089&gt;1,S564=V564,S1089=V1089), "YES", "NO")</f>
        <v>NO</v>
      </c>
      <c r="AB564" t="str">
        <f>IF(AND(S564&gt;1,S1089&gt;1,S564&lt;V564,S1089&lt;V1089), "YES", "NO")</f>
        <v>YES</v>
      </c>
      <c r="AC564" t="str">
        <f t="shared" si="2"/>
        <v>NO</v>
      </c>
      <c r="AD564" t="str">
        <f t="shared" si="3"/>
        <v>NO</v>
      </c>
      <c r="AE564" t="str">
        <f t="shared" si="4"/>
        <v>NO</v>
      </c>
      <c r="AF564" t="str">
        <f t="shared" si="5"/>
        <v>YES</v>
      </c>
    </row>
    <row r="565" spans="1:32" ht="15" x14ac:dyDescent="0.35">
      <c r="A565" s="5" t="s">
        <v>337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>LEFT($A565,FIND("_",$A565)-1)</f>
        <v>ACS</v>
      </c>
      <c r="P565" s="13" t="str">
        <f>IF($O565="ACS", "True Search", IF($O565="Arja", "Evolutionary Search", IF($O565="AVATAR", "True Pattern", IF($O565="CapGen", "Search Like Pattern", IF($O565="Cardumen", "True Semantic", IF($O565="DynaMoth", "True Semantic", IF($O565="FixMiner", "True Pattern", IF($O565="GenProg-A", "Evolutionary Search", IF($O565="Hercules", "Learning Pattern", IF($O565="Jaid", "True Semantic",
IF($O565="Kali-A", "True Search", IF($O565="kPAR", "True Pattern", IF($O565="Nopol", "True Semantic", IF($O565="RSRepair-A", "Evolutionary Search", IF($O565="SequenceR", "Deep Learning", IF($O565="SimFix", "Search Like Pattern", IF($O565="SketchFix", "True Pattern", IF($O565="SOFix", "True Pattern", IF($O565="ssFix", "Search Like Pattern", IF($O565="TBar", "True Pattern", ""))))))))))))))))))))</f>
        <v>True Search</v>
      </c>
      <c r="Q565" s="13" t="str">
        <f>IF(NOT(ISERR(SEARCH("*_Buggy",$A565))), "Buggy", IF(NOT(ISERR(SEARCH("*_Fixed",$A565))), "Fixed", IF(NOT(ISERR(SEARCH("*_Repaired",$A565))), "Repaired", "")))</f>
        <v>Fixed</v>
      </c>
      <c r="R565" s="13" t="s">
        <v>1669</v>
      </c>
      <c r="S565" s="25">
        <v>5</v>
      </c>
      <c r="T565" s="25">
        <v>16</v>
      </c>
      <c r="U565" s="25">
        <v>2</v>
      </c>
      <c r="V565" s="13">
        <v>16</v>
      </c>
      <c r="W565" s="13" t="str">
        <f>MID(A565, SEARCH("_", A565) +1, SEARCH("_", A565, SEARCH("_", A565) +1) - SEARCH("_", A565) -1)</f>
        <v>Math-97</v>
      </c>
      <c r="Y565" s="1" t="str">
        <f t="shared" si="0"/>
        <v>NO</v>
      </c>
      <c r="Z565" s="1" t="str">
        <f t="shared" si="1"/>
        <v>YES</v>
      </c>
      <c r="AA565" t="str">
        <f>IF(AND(S565&gt;1,S1090&gt;1,S565=V565,S1090=V1090), "YES", "NO")</f>
        <v>NO</v>
      </c>
      <c r="AB565" t="str">
        <f>IF(AND(S565&gt;1,S1090&gt;1,S565&lt;V565,S1090&lt;V1090), "YES", "NO")</f>
        <v>NO</v>
      </c>
      <c r="AC565" t="str">
        <f t="shared" si="2"/>
        <v>NO</v>
      </c>
      <c r="AD565" t="str">
        <f t="shared" si="3"/>
        <v>NO</v>
      </c>
      <c r="AE565" t="str">
        <f t="shared" si="4"/>
        <v>NO</v>
      </c>
      <c r="AF565" t="str">
        <f t="shared" si="5"/>
        <v>YES</v>
      </c>
    </row>
    <row r="566" spans="1:32" ht="15" x14ac:dyDescent="0.35">
      <c r="A566" s="5" t="s">
        <v>921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>LEFT($A566,FIND("_",$A566)-1)</f>
        <v>ACS</v>
      </c>
      <c r="P566" s="13" t="str">
        <f>IF($O566="ACS", "True Search", IF($O566="Arja", "Evolutionary Search", IF($O566="AVATAR", "True Pattern", IF($O566="CapGen", "Search Like Pattern", IF($O566="Cardumen", "True Semantic", IF($O566="DynaMoth", "True Semantic", IF($O566="FixMiner", "True Pattern", IF($O566="GenProg-A", "Evolutionary Search", IF($O566="Hercules", "Learning Pattern", IF($O566="Jaid", "True Semantic",
IF($O566="Kali-A", "True Search", IF($O566="kPAR", "True Pattern", IF($O566="Nopol", "True Semantic", IF($O566="RSRepair-A", "Evolutionary Search", IF($O566="SequenceR", "Deep Learning", IF($O566="SimFix", "Search Like Pattern", IF($O566="SketchFix", "True Pattern", IF($O566="SOFix", "True Pattern", IF($O566="ssFix", "Search Like Pattern", IF($O566="TBar", "True Pattern", ""))))))))))))))))))))</f>
        <v>True Search</v>
      </c>
      <c r="Q566" s="13" t="str">
        <f>IF(NOT(ISERR(SEARCH("*_Buggy",$A566))), "Buggy", IF(NOT(ISERR(SEARCH("*_Fixed",$A566))), "Fixed", IF(NOT(ISERR(SEARCH("*_Repaired",$A566))), "Repaired", "")))</f>
        <v>Fixed</v>
      </c>
      <c r="R566" s="13" t="s">
        <v>1668</v>
      </c>
      <c r="S566" s="25">
        <v>2</v>
      </c>
      <c r="T566" s="25">
        <v>8</v>
      </c>
      <c r="U566" s="25">
        <v>0</v>
      </c>
      <c r="V566" s="13">
        <v>8</v>
      </c>
      <c r="W566" s="13" t="str">
        <f>MID(A566, SEARCH("_", A566) +1, SEARCH("_", A566, SEARCH("_", A566) +1) - SEARCH("_", A566) -1)</f>
        <v>Math-99</v>
      </c>
      <c r="Y566" s="1" t="str">
        <f t="shared" si="0"/>
        <v>NO</v>
      </c>
      <c r="Z566" s="1" t="str">
        <f t="shared" si="1"/>
        <v>YES</v>
      </c>
      <c r="AA566" t="str">
        <f>IF(AND(S566&gt;1,S1091&gt;1,S566=V566,S1091=V1091), "YES", "NO")</f>
        <v>NO</v>
      </c>
      <c r="AB566" t="str">
        <f>IF(AND(S566&gt;1,S1091&gt;1,S566&lt;V566,S1091&lt;V1091), "YES", "NO")</f>
        <v>NO</v>
      </c>
      <c r="AC566" t="str">
        <f t="shared" si="2"/>
        <v>NO</v>
      </c>
      <c r="AD566" t="str">
        <f t="shared" si="3"/>
        <v>NO</v>
      </c>
      <c r="AE566" t="str">
        <f t="shared" si="4"/>
        <v>NO</v>
      </c>
      <c r="AF566" t="str">
        <f t="shared" si="5"/>
        <v>YES</v>
      </c>
    </row>
    <row r="567" spans="1:32" ht="15" x14ac:dyDescent="0.35">
      <c r="A567" s="5" t="s">
        <v>799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>LEFT($A567,FIND("_",$A567)-1)</f>
        <v>ACS</v>
      </c>
      <c r="P567" s="13" t="str">
        <f>IF($O567="ACS", "True Search", IF($O567="Arja", "Evolutionary Search", IF($O567="AVATAR", "True Pattern", IF($O567="CapGen", "Search Like Pattern", IF($O567="Cardumen", "True Semantic", IF($O567="DynaMoth", "True Semantic", IF($O567="FixMiner", "True Pattern", IF($O567="GenProg-A", "Evolutionary Search", IF($O567="Hercules", "Learning Pattern", IF($O567="Jaid", "True Semantic",
IF($O567="Kali-A", "True Search", IF($O567="kPAR", "True Pattern", IF($O567="Nopol", "True Semantic", IF($O567="RSRepair-A", "Evolutionary Search", IF($O567="SequenceR", "Deep Learning", IF($O567="SimFix", "Search Like Pattern", IF($O567="SketchFix", "True Pattern", IF($O567="SOFix", "True Pattern", IF($O567="ssFix", "Search Like Pattern", IF($O567="TBar", "True Pattern", ""))))))))))))))))))))</f>
        <v>True Search</v>
      </c>
      <c r="Q567" s="13" t="str">
        <f>IF(NOT(ISERR(SEARCH("*_Buggy",$A567))), "Buggy", IF(NOT(ISERR(SEARCH("*_Fixed",$A567))), "Fixed", IF(NOT(ISERR(SEARCH("*_Repaired",$A567))), "Repaired", "")))</f>
        <v>Fixed</v>
      </c>
      <c r="R567" s="13" t="s">
        <v>1668</v>
      </c>
      <c r="S567" s="25">
        <v>1</v>
      </c>
      <c r="T567" s="13">
        <v>3</v>
      </c>
      <c r="U567" s="25">
        <v>0</v>
      </c>
      <c r="V567" s="13">
        <v>3</v>
      </c>
      <c r="W567" s="13" t="str">
        <f>MID(A567, SEARCH("_", A567) +1, SEARCH("_", A567, SEARCH("_", A567) +1) - SEARCH("_", A567) -1)</f>
        <v>Time-15</v>
      </c>
      <c r="Y567" s="1" t="str">
        <f t="shared" si="0"/>
        <v>NO</v>
      </c>
      <c r="Z567" s="1" t="str">
        <f t="shared" si="1"/>
        <v>NO</v>
      </c>
      <c r="AA567" t="str">
        <f>IF(AND(S567&gt;1,S1092&gt;1,S567=V567,S1092=V1092), "YES", "NO")</f>
        <v>NO</v>
      </c>
      <c r="AB567" t="str">
        <f>IF(AND(S567&gt;1,S1092&gt;1,S567&lt;V567,S1092&lt;V1092), "YES", "NO")</f>
        <v>NO</v>
      </c>
      <c r="AC567" t="str">
        <f t="shared" si="2"/>
        <v>NO</v>
      </c>
      <c r="AD567" t="str">
        <f t="shared" si="3"/>
        <v>NO</v>
      </c>
      <c r="AE567" t="str">
        <f t="shared" si="4"/>
        <v>NO</v>
      </c>
      <c r="AF567" t="str">
        <f t="shared" si="5"/>
        <v>NO</v>
      </c>
    </row>
    <row r="568" spans="1:32" ht="15" x14ac:dyDescent="0.35">
      <c r="A568" s="5" t="s">
        <v>753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>LEFT($A568,FIND("_",$A568)-1)</f>
        <v>ARJA</v>
      </c>
      <c r="P568" s="13" t="str">
        <f>IF($O568="ACS", "True Search", IF($O568="Arja", "Evolutionary Search", IF($O568="AVATAR", "True Pattern", IF($O568="CapGen", "Search Like Pattern", IF($O568="Cardumen", "True Semantic", IF($O568="DynaMoth", "True Semantic", IF($O568="FixMiner", "True Pattern", IF($O568="GenProg-A", "Evolutionary Search", IF($O568="Hercules", "Learning Pattern", IF($O568="Jaid", "True Semantic",
IF($O568="Kali-A", "True Search", IF($O568="kPAR", "True Pattern", IF($O568="Nopol", "True Semantic", IF($O568="RSRepair-A", "Evolutionary Search", IF($O568="SequenceR", "Deep Learning", IF($O568="SimFix", "Search Like Pattern", IF($O568="SketchFix", "True Pattern", IF($O568="SOFix", "True Pattern", IF($O568="ssFix", "Search Like Pattern", IF($O568="TBar", "True Pattern", ""))))))))))))))))))))</f>
        <v>Evolutionary Search</v>
      </c>
      <c r="Q568" s="13" t="str">
        <f>IF(NOT(ISERR(SEARCH("*_Buggy",$A568))), "Buggy", IF(NOT(ISERR(SEARCH("*_Fixed",$A568))), "Fixed", IF(NOT(ISERR(SEARCH("*_Repaired",$A568))), "Repaired", "")))</f>
        <v>Fixed</v>
      </c>
      <c r="R568" s="13" t="s">
        <v>1669</v>
      </c>
      <c r="S568" s="25">
        <v>1</v>
      </c>
      <c r="T568" s="13">
        <v>1</v>
      </c>
      <c r="U568" s="25">
        <v>1</v>
      </c>
      <c r="V568" s="13">
        <v>1</v>
      </c>
      <c r="W568" s="13" t="str">
        <f>MID(A568, SEARCH("_", A568) +1, SEARCH("_", A568, SEARCH("_", A568) +1) - SEARCH("_", A568) -1)</f>
        <v>Chart-1</v>
      </c>
      <c r="Y568" s="1" t="str">
        <f t="shared" si="0"/>
        <v>NO</v>
      </c>
      <c r="Z568" s="1" t="str">
        <f t="shared" si="1"/>
        <v>NO</v>
      </c>
      <c r="AA568" t="str">
        <f>IF(AND(S568&gt;1,S1093&gt;1,S568=V568,S1093=V1093), "YES", "NO")</f>
        <v>NO</v>
      </c>
      <c r="AB568" t="str">
        <f>IF(AND(S568&gt;1,S1093&gt;1,S568&lt;V568,S1093&lt;V1093), "YES", "NO")</f>
        <v>NO</v>
      </c>
      <c r="AC568" t="str">
        <f t="shared" si="2"/>
        <v>NO</v>
      </c>
      <c r="AD568" t="str">
        <f t="shared" si="3"/>
        <v>NO</v>
      </c>
      <c r="AE568" t="str">
        <f t="shared" si="4"/>
        <v>NO</v>
      </c>
      <c r="AF568" t="str">
        <f t="shared" si="5"/>
        <v>NO</v>
      </c>
    </row>
    <row r="569" spans="1:32" ht="15" x14ac:dyDescent="0.35">
      <c r="A569" s="5" t="s">
        <v>1102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>LEFT($A569,FIND("_",$A569)-1)</f>
        <v>ARJA</v>
      </c>
      <c r="P569" s="13" t="str">
        <f>IF($O569="ACS", "True Search", IF($O569="Arja", "Evolutionary Search", IF($O569="AVATAR", "True Pattern", IF($O569="CapGen", "Search Like Pattern", IF($O569="Cardumen", "True Semantic", IF($O569="DynaMoth", "True Semantic", IF($O569="FixMiner", "True Pattern", IF($O569="GenProg-A", "Evolutionary Search", IF($O569="Hercules", "Learning Pattern", IF($O569="Jaid", "True Semantic",
IF($O569="Kali-A", "True Search", IF($O569="kPAR", "True Pattern", IF($O569="Nopol", "True Semantic", IF($O569="RSRepair-A", "Evolutionary Search", IF($O569="SequenceR", "Deep Learning", IF($O569="SimFix", "Search Like Pattern", IF($O569="SketchFix", "True Pattern", IF($O569="SOFix", "True Pattern", IF($O569="ssFix", "Search Like Pattern", IF($O569="TBar", "True Pattern", ""))))))))))))))))))))</f>
        <v>Evolutionary Search</v>
      </c>
      <c r="Q569" s="13" t="str">
        <f>IF(NOT(ISERR(SEARCH("*_Buggy",$A569))), "Buggy", IF(NOT(ISERR(SEARCH("*_Fixed",$A569))), "Fixed", IF(NOT(ISERR(SEARCH("*_Repaired",$A569))), "Repaired", "")))</f>
        <v>Fixed</v>
      </c>
      <c r="R569" s="13" t="s">
        <v>1668</v>
      </c>
      <c r="S569" s="25">
        <v>1</v>
      </c>
      <c r="T569" s="25">
        <v>1</v>
      </c>
      <c r="U569" s="25">
        <v>1</v>
      </c>
      <c r="V569" s="13">
        <v>1</v>
      </c>
      <c r="W569" s="13" t="str">
        <f>MID(A569, SEARCH("_", A569) +1, SEARCH("_", A569, SEARCH("_", A569) +1) - SEARCH("_", A569) -1)</f>
        <v>Chart-12</v>
      </c>
      <c r="Y569" s="1" t="str">
        <f t="shared" si="0"/>
        <v>NO</v>
      </c>
      <c r="Z569" s="1" t="str">
        <f t="shared" si="1"/>
        <v>NO</v>
      </c>
      <c r="AA569" t="str">
        <f>IF(AND(S569&gt;1,S1094&gt;1,S569=V569,S1094=V1094), "YES", "NO")</f>
        <v>NO</v>
      </c>
      <c r="AB569" t="str">
        <f>IF(AND(S569&gt;1,S1094&gt;1,S569&lt;V569,S1094&lt;V1094), "YES", "NO")</f>
        <v>NO</v>
      </c>
      <c r="AC569" t="str">
        <f t="shared" si="2"/>
        <v>YES</v>
      </c>
      <c r="AD569" t="str">
        <f t="shared" si="3"/>
        <v>NO</v>
      </c>
      <c r="AE569" t="str">
        <f t="shared" si="4"/>
        <v>YES</v>
      </c>
      <c r="AF569" t="str">
        <f t="shared" si="5"/>
        <v>NO</v>
      </c>
    </row>
    <row r="570" spans="1:32" ht="15" x14ac:dyDescent="0.35">
      <c r="A570" s="5" t="s">
        <v>843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>LEFT($A570,FIND("_",$A570)-1)</f>
        <v>ARJA</v>
      </c>
      <c r="P570" s="13" t="str">
        <f>IF($O570="ACS", "True Search", IF($O570="Arja", "Evolutionary Search", IF($O570="AVATAR", "True Pattern", IF($O570="CapGen", "Search Like Pattern", IF($O570="Cardumen", "True Semantic", IF($O570="DynaMoth", "True Semantic", IF($O570="FixMiner", "True Pattern", IF($O570="GenProg-A", "Evolutionary Search", IF($O570="Hercules", "Learning Pattern", IF($O570="Jaid", "True Semantic",
IF($O570="Kali-A", "True Search", IF($O570="kPAR", "True Pattern", IF($O570="Nopol", "True Semantic", IF($O570="RSRepair-A", "Evolutionary Search", IF($O570="SequenceR", "Deep Learning", IF($O570="SimFix", "Search Like Pattern", IF($O570="SketchFix", "True Pattern", IF($O570="SOFix", "True Pattern", IF($O570="ssFix", "Search Like Pattern", IF($O570="TBar", "True Pattern", ""))))))))))))))))))))</f>
        <v>Evolutionary Search</v>
      </c>
      <c r="Q570" s="13" t="str">
        <f>IF(NOT(ISERR(SEARCH("*_Buggy",$A570))), "Buggy", IF(NOT(ISERR(SEARCH("*_Fixed",$A570))), "Fixed", IF(NOT(ISERR(SEARCH("*_Repaired",$A570))), "Repaired", "")))</f>
        <v>Fixed</v>
      </c>
      <c r="R570" s="13" t="s">
        <v>1669</v>
      </c>
      <c r="S570" s="25">
        <v>1</v>
      </c>
      <c r="T570" s="25">
        <v>1</v>
      </c>
      <c r="U570" s="25">
        <v>1</v>
      </c>
      <c r="V570" s="13">
        <v>1</v>
      </c>
      <c r="W570" s="13" t="str">
        <f>MID(A570, SEARCH("_", A570) +1, SEARCH("_", A570, SEARCH("_", A570) +1) - SEARCH("_", A570) -1)</f>
        <v>Chart-13</v>
      </c>
      <c r="Y570" s="1" t="str">
        <f t="shared" si="0"/>
        <v>NO</v>
      </c>
      <c r="Z570" s="1" t="str">
        <f t="shared" si="1"/>
        <v>NO</v>
      </c>
      <c r="AA570" t="str">
        <f>IF(AND(S570&gt;1,S1095&gt;1,S570=V570,S1095=V1095), "YES", "NO")</f>
        <v>NO</v>
      </c>
      <c r="AB570" t="str">
        <f>IF(AND(S570&gt;1,S1095&gt;1,S570&lt;V570,S1095&lt;V1095), "YES", "NO")</f>
        <v>NO</v>
      </c>
      <c r="AC570" t="str">
        <f t="shared" si="2"/>
        <v>NO</v>
      </c>
      <c r="AD570" t="str">
        <f t="shared" si="3"/>
        <v>NO</v>
      </c>
      <c r="AE570" t="str">
        <f t="shared" si="4"/>
        <v>NO</v>
      </c>
      <c r="AF570" t="str">
        <f t="shared" si="5"/>
        <v>NO</v>
      </c>
    </row>
    <row r="571" spans="1:32" ht="15" x14ac:dyDescent="0.35">
      <c r="A571" s="5" t="s">
        <v>721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>LEFT($A571,FIND("_",$A571)-1)</f>
        <v>ARJA</v>
      </c>
      <c r="P571" s="13" t="str">
        <f>IF($O571="ACS", "True Search", IF($O571="Arja", "Evolutionary Search", IF($O571="AVATAR", "True Pattern", IF($O571="CapGen", "Search Like Pattern", IF($O571="Cardumen", "True Semantic", IF($O571="DynaMoth", "True Semantic", IF($O571="FixMiner", "True Pattern", IF($O571="GenProg-A", "Evolutionary Search", IF($O571="Hercules", "Learning Pattern", IF($O571="Jaid", "True Semantic",
IF($O571="Kali-A", "True Search", IF($O571="kPAR", "True Pattern", IF($O571="Nopol", "True Semantic", IF($O571="RSRepair-A", "Evolutionary Search", IF($O571="SequenceR", "Deep Learning", IF($O571="SimFix", "Search Like Pattern", IF($O571="SketchFix", "True Pattern", IF($O571="SOFix", "True Pattern", IF($O571="ssFix", "Search Like Pattern", IF($O571="TBar", "True Pattern", ""))))))))))))))))))))</f>
        <v>Evolutionary Search</v>
      </c>
      <c r="Q571" s="13" t="str">
        <f>IF(NOT(ISERR(SEARCH("*_Buggy",$A571))), "Buggy", IF(NOT(ISERR(SEARCH("*_Fixed",$A571))), "Fixed", IF(NOT(ISERR(SEARCH("*_Repaired",$A571))), "Repaired", "")))</f>
        <v>Fixed</v>
      </c>
      <c r="R571" s="13" t="s">
        <v>1669</v>
      </c>
      <c r="S571" s="25">
        <v>1</v>
      </c>
      <c r="T571" s="25">
        <v>2</v>
      </c>
      <c r="U571" s="25">
        <v>0</v>
      </c>
      <c r="V571" s="13">
        <v>2</v>
      </c>
      <c r="W571" s="13" t="str">
        <f>MID(A571, SEARCH("_", A571) +1, SEARCH("_", A571, SEARCH("_", A571) +1) - SEARCH("_", A571) -1)</f>
        <v>Chart-3</v>
      </c>
      <c r="Y571" s="1" t="str">
        <f t="shared" si="0"/>
        <v>NO</v>
      </c>
      <c r="Z571" s="1" t="str">
        <f t="shared" si="1"/>
        <v>NO</v>
      </c>
      <c r="AA571" t="str">
        <f>IF(AND(S571&gt;1,S1096&gt;1,S571=V571,S1096=V1096), "YES", "NO")</f>
        <v>NO</v>
      </c>
      <c r="AB571" t="str">
        <f>IF(AND(S571&gt;1,S1096&gt;1,S571&lt;V571,S1096&lt;V1096), "YES", "NO")</f>
        <v>NO</v>
      </c>
      <c r="AC571" t="str">
        <f t="shared" si="2"/>
        <v>NO</v>
      </c>
      <c r="AD571" t="str">
        <f t="shared" si="3"/>
        <v>NO</v>
      </c>
      <c r="AE571" t="str">
        <f t="shared" si="4"/>
        <v>NO</v>
      </c>
      <c r="AF571" t="str">
        <f t="shared" si="5"/>
        <v>YES</v>
      </c>
    </row>
    <row r="572" spans="1:32" ht="15" x14ac:dyDescent="0.35">
      <c r="A572" s="5" t="s">
        <v>371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>LEFT($A572,FIND("_",$A572)-1)</f>
        <v>ARJA</v>
      </c>
      <c r="P572" s="13" t="str">
        <f>IF($O572="ACS", "True Search", IF($O572="Arja", "Evolutionary Search", IF($O572="AVATAR", "True Pattern", IF($O572="CapGen", "Search Like Pattern", IF($O572="Cardumen", "True Semantic", IF($O572="DynaMoth", "True Semantic", IF($O572="FixMiner", "True Pattern", IF($O572="GenProg-A", "Evolutionary Search", IF($O572="Hercules", "Learning Pattern", IF($O572="Jaid", "True Semantic",
IF($O572="Kali-A", "True Search", IF($O572="kPAR", "True Pattern", IF($O572="Nopol", "True Semantic", IF($O572="RSRepair-A", "Evolutionary Search", IF($O572="SequenceR", "Deep Learning", IF($O572="SimFix", "Search Like Pattern", IF($O572="SketchFix", "True Pattern", IF($O572="SOFix", "True Pattern", IF($O572="ssFix", "Search Like Pattern", IF($O572="TBar", "True Pattern", ""))))))))))))))))))))</f>
        <v>Evolutionary Search</v>
      </c>
      <c r="Q572" s="13" t="str">
        <f>IF(NOT(ISERR(SEARCH("*_Buggy",$A572))), "Buggy", IF(NOT(ISERR(SEARCH("*_Fixed",$A572))), "Fixed", IF(NOT(ISERR(SEARCH("*_Repaired",$A572))), "Repaired", "")))</f>
        <v>Fixed</v>
      </c>
      <c r="R572" s="13" t="s">
        <v>1669</v>
      </c>
      <c r="S572" s="25">
        <v>2</v>
      </c>
      <c r="T572" s="13">
        <v>5</v>
      </c>
      <c r="U572" s="25">
        <v>1</v>
      </c>
      <c r="V572" s="13">
        <v>5</v>
      </c>
      <c r="W572" s="13" t="str">
        <f>MID(A572, SEARCH("_", A572) +1, SEARCH("_", A572, SEARCH("_", A572) +1) - SEARCH("_", A572) -1)</f>
        <v>Chart-5</v>
      </c>
      <c r="Y572" s="1" t="str">
        <f t="shared" si="0"/>
        <v>NO</v>
      </c>
      <c r="Z572" s="1" t="str">
        <f t="shared" si="1"/>
        <v>YES</v>
      </c>
      <c r="AA572" t="str">
        <f>IF(AND(S572&gt;1,S1097&gt;1,S572=V572,S1097=V1097), "YES", "NO")</f>
        <v>NO</v>
      </c>
      <c r="AB572" t="str">
        <f>IF(AND(S572&gt;1,S1097&gt;1,S572&lt;V572,S1097&lt;V1097), "YES", "NO")</f>
        <v>NO</v>
      </c>
      <c r="AC572" t="str">
        <f t="shared" si="2"/>
        <v>NO</v>
      </c>
      <c r="AD572" t="str">
        <f t="shared" si="3"/>
        <v>NO</v>
      </c>
      <c r="AE572" t="str">
        <f t="shared" si="4"/>
        <v>NO</v>
      </c>
      <c r="AF572" t="str">
        <f t="shared" si="5"/>
        <v>YES</v>
      </c>
    </row>
    <row r="573" spans="1:32" ht="15" x14ac:dyDescent="0.35">
      <c r="A573" s="7" t="s">
        <v>757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>LEFT($A573,FIND("_",$A573)-1)</f>
        <v>ARJA</v>
      </c>
      <c r="P573" s="13" t="str">
        <f>IF($O573="ACS", "True Search", IF($O573="Arja", "Evolutionary Search", IF($O573="AVATAR", "True Pattern", IF($O573="CapGen", "Search Like Pattern", IF($O573="Cardumen", "True Semantic", IF($O573="DynaMoth", "True Semantic", IF($O573="FixMiner", "True Pattern", IF($O573="GenProg-A", "Evolutionary Search", IF($O573="Hercules", "Learning Pattern", IF($O573="Jaid", "True Semantic",
IF($O573="Kali-A", "True Search", IF($O573="kPAR", "True Pattern", IF($O573="Nopol", "True Semantic", IF($O573="RSRepair-A", "Evolutionary Search", IF($O573="SequenceR", "Deep Learning", IF($O573="SimFix", "Search Like Pattern", IF($O573="SketchFix", "True Pattern", IF($O573="SOFix", "True Pattern", IF($O573="ssFix", "Search Like Pattern", IF($O573="TBar", "True Pattern", ""))))))))))))))))))))</f>
        <v>Evolutionary Search</v>
      </c>
      <c r="Q573" s="13" t="str">
        <f>IF(NOT(ISERR(SEARCH("*_Buggy",$A573))), "Buggy", IF(NOT(ISERR(SEARCH("*_Fixed",$A573))), "Fixed", IF(NOT(ISERR(SEARCH("*_Repaired",$A573))), "Repaired", "")))</f>
        <v>Fixed</v>
      </c>
      <c r="R573" s="13" t="s">
        <v>1669</v>
      </c>
      <c r="S573" s="25">
        <v>2</v>
      </c>
      <c r="T573" s="25">
        <v>2</v>
      </c>
      <c r="U573" s="25">
        <v>2</v>
      </c>
      <c r="V573" s="13">
        <v>2</v>
      </c>
      <c r="W573" s="13" t="str">
        <f>MID(A573, SEARCH("_", A573) +1, SEARCH("_", A573, SEARCH("_", A573) +1) - SEARCH("_", A573) -1)</f>
        <v>Chart-7</v>
      </c>
      <c r="Y573" s="1" t="str">
        <f t="shared" si="0"/>
        <v>YES</v>
      </c>
      <c r="Z573" s="1" t="str">
        <f t="shared" si="1"/>
        <v>NO</v>
      </c>
      <c r="AA573" t="str">
        <f>IF(AND(S573&gt;1,S1098&gt;1,S573=V573,S1098=V1098), "YES", "NO")</f>
        <v>NO</v>
      </c>
      <c r="AB573" t="str">
        <f>IF(AND(S573&gt;1,S1098&gt;1,S573&lt;V573,S1098&lt;V1098), "YES", "NO")</f>
        <v>NO</v>
      </c>
      <c r="AC573" t="str">
        <f t="shared" si="2"/>
        <v>NO</v>
      </c>
      <c r="AD573" t="str">
        <f t="shared" si="3"/>
        <v>NO</v>
      </c>
      <c r="AE573" t="str">
        <f t="shared" si="4"/>
        <v>NO</v>
      </c>
      <c r="AF573" t="str">
        <f t="shared" si="5"/>
        <v>YES</v>
      </c>
    </row>
    <row r="574" spans="1:32" ht="15" x14ac:dyDescent="0.35">
      <c r="A574" s="5" t="s">
        <v>1110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>LEFT($A574,FIND("_",$A574)-1)</f>
        <v>ARJA</v>
      </c>
      <c r="P574" s="13" t="str">
        <f>IF($O574="ACS", "True Search", IF($O574="Arja", "Evolutionary Search", IF($O574="AVATAR", "True Pattern", IF($O574="CapGen", "Search Like Pattern", IF($O574="Cardumen", "True Semantic", IF($O574="DynaMoth", "True Semantic", IF($O574="FixMiner", "True Pattern", IF($O574="GenProg-A", "Evolutionary Search", IF($O574="Hercules", "Learning Pattern", IF($O574="Jaid", "True Semantic",
IF($O574="Kali-A", "True Search", IF($O574="kPAR", "True Pattern", IF($O574="Nopol", "True Semantic", IF($O574="RSRepair-A", "Evolutionary Search", IF($O574="SequenceR", "Deep Learning", IF($O574="SimFix", "Search Like Pattern", IF($O574="SketchFix", "True Pattern", IF($O574="SOFix", "True Pattern", IF($O574="ssFix", "Search Like Pattern", IF($O574="TBar", "True Pattern", ""))))))))))))))))))))</f>
        <v>Evolutionary Search</v>
      </c>
      <c r="Q574" s="13" t="str">
        <f>IF(NOT(ISERR(SEARCH("*_Buggy",$A574))), "Buggy", IF(NOT(ISERR(SEARCH("*_Fixed",$A574))), "Fixed", IF(NOT(ISERR(SEARCH("*_Repaired",$A574))), "Repaired", "")))</f>
        <v>Fixed</v>
      </c>
      <c r="R574" s="13" t="s">
        <v>1669</v>
      </c>
      <c r="S574" s="25">
        <v>1</v>
      </c>
      <c r="T574" s="25">
        <v>9</v>
      </c>
      <c r="U574" s="25">
        <v>3</v>
      </c>
      <c r="V574" s="13">
        <v>9</v>
      </c>
      <c r="W574" s="13" t="str">
        <f>MID(A574, SEARCH("_", A574) +1, SEARCH("_", A574, SEARCH("_", A574) +1) - SEARCH("_", A574) -1)</f>
        <v>Closure-112</v>
      </c>
      <c r="Y574" s="1" t="str">
        <f t="shared" si="0"/>
        <v>NO</v>
      </c>
      <c r="Z574" s="1" t="str">
        <f t="shared" si="1"/>
        <v>NO</v>
      </c>
      <c r="AA574" t="str">
        <f>IF(AND(S574&gt;1,S1099&gt;1,S574=V574,S1099=V1099), "YES", "NO")</f>
        <v>NO</v>
      </c>
      <c r="AB574" t="str">
        <f>IF(AND(S574&gt;1,S1099&gt;1,S574&lt;V574,S1099&lt;V1099), "YES", "NO")</f>
        <v>NO</v>
      </c>
      <c r="AC574" t="str">
        <f t="shared" si="2"/>
        <v>NO</v>
      </c>
      <c r="AD574" t="str">
        <f t="shared" si="3"/>
        <v>NO</v>
      </c>
      <c r="AE574" t="str">
        <f t="shared" si="4"/>
        <v>NO</v>
      </c>
      <c r="AF574" t="str">
        <f t="shared" si="5"/>
        <v>YES</v>
      </c>
    </row>
    <row r="575" spans="1:32" ht="15" x14ac:dyDescent="0.35">
      <c r="A575" s="7" t="s">
        <v>724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>LEFT($A575,FIND("_",$A575)-1)</f>
        <v>ARJA</v>
      </c>
      <c r="P575" s="13" t="str">
        <f>IF($O575="ACS", "True Search", IF($O575="Arja", "Evolutionary Search", IF($O575="AVATAR", "True Pattern", IF($O575="CapGen", "Search Like Pattern", IF($O575="Cardumen", "True Semantic", IF($O575="DynaMoth", "True Semantic", IF($O575="FixMiner", "True Pattern", IF($O575="GenProg-A", "Evolutionary Search", IF($O575="Hercules", "Learning Pattern", IF($O575="Jaid", "True Semantic",
IF($O575="Kali-A", "True Search", IF($O575="kPAR", "True Pattern", IF($O575="Nopol", "True Semantic", IF($O575="RSRepair-A", "Evolutionary Search", IF($O575="SequenceR", "Deep Learning", IF($O575="SimFix", "Search Like Pattern", IF($O575="SketchFix", "True Pattern", IF($O575="SOFix", "True Pattern", IF($O575="ssFix", "Search Like Pattern", IF($O575="TBar", "True Pattern", ""))))))))))))))))))))</f>
        <v>Evolutionary Search</v>
      </c>
      <c r="Q575" s="13" t="str">
        <f>IF(NOT(ISERR(SEARCH("*_Buggy",$A575))), "Buggy", IF(NOT(ISERR(SEARCH("*_Fixed",$A575))), "Fixed", IF(NOT(ISERR(SEARCH("*_Repaired",$A575))), "Repaired", "")))</f>
        <v>Fixed</v>
      </c>
      <c r="R575" s="13" t="s">
        <v>1669</v>
      </c>
      <c r="S575" s="25">
        <v>1</v>
      </c>
      <c r="T575" s="25">
        <v>1</v>
      </c>
      <c r="U575" s="25">
        <v>1</v>
      </c>
      <c r="V575" s="13">
        <v>1</v>
      </c>
      <c r="W575" s="13" t="str">
        <f>MID(A575, SEARCH("_", A575) +1, SEARCH("_", A575, SEARCH("_", A575) +1) - SEARCH("_", A575) -1)</f>
        <v>Closure-114</v>
      </c>
      <c r="Y575" s="1" t="str">
        <f t="shared" si="0"/>
        <v>NO</v>
      </c>
      <c r="Z575" s="1" t="str">
        <f t="shared" si="1"/>
        <v>NO</v>
      </c>
      <c r="AA575" t="str">
        <f>IF(AND(S575&gt;1,S1100&gt;1,S575=V575,S1100=V1100), "YES", "NO")</f>
        <v>NO</v>
      </c>
      <c r="AB575" t="str">
        <f>IF(AND(S575&gt;1,S1100&gt;1,S575&lt;V575,S1100&lt;V1100), "YES", "NO")</f>
        <v>NO</v>
      </c>
      <c r="AC575" t="str">
        <f t="shared" si="2"/>
        <v>NO</v>
      </c>
      <c r="AD575" t="str">
        <f t="shared" si="3"/>
        <v>NO</v>
      </c>
      <c r="AE575" t="str">
        <f t="shared" si="4"/>
        <v>NO</v>
      </c>
      <c r="AF575" t="str">
        <f t="shared" si="5"/>
        <v>NO</v>
      </c>
    </row>
    <row r="576" spans="1:32" ht="15" x14ac:dyDescent="0.35">
      <c r="A576" s="5" t="s">
        <v>611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>LEFT($A576,FIND("_",$A576)-1)</f>
        <v>ARJA</v>
      </c>
      <c r="P576" s="13" t="str">
        <f>IF($O576="ACS", "True Search", IF($O576="Arja", "Evolutionary Search", IF($O576="AVATAR", "True Pattern", IF($O576="CapGen", "Search Like Pattern", IF($O576="Cardumen", "True Semantic", IF($O576="DynaMoth", "True Semantic", IF($O576="FixMiner", "True Pattern", IF($O576="GenProg-A", "Evolutionary Search", IF($O576="Hercules", "Learning Pattern", IF($O576="Jaid", "True Semantic",
IF($O576="Kali-A", "True Search", IF($O576="kPAR", "True Pattern", IF($O576="Nopol", "True Semantic", IF($O576="RSRepair-A", "Evolutionary Search", IF($O576="SequenceR", "Deep Learning", IF($O576="SimFix", "Search Like Pattern", IF($O576="SketchFix", "True Pattern", IF($O576="SOFix", "True Pattern", IF($O576="ssFix", "Search Like Pattern", IF($O576="TBar", "True Pattern", ""))))))))))))))))))))</f>
        <v>Evolutionary Search</v>
      </c>
      <c r="Q576" s="13" t="str">
        <f>IF(NOT(ISERR(SEARCH("*_Buggy",$A576))), "Buggy", IF(NOT(ISERR(SEARCH("*_Fixed",$A576))), "Fixed", IF(NOT(ISERR(SEARCH("*_Repaired",$A576))), "Repaired", "")))</f>
        <v>Fixed</v>
      </c>
      <c r="R576" s="13" t="s">
        <v>1668</v>
      </c>
      <c r="S576" s="25">
        <v>2</v>
      </c>
      <c r="T576" s="25">
        <v>0</v>
      </c>
      <c r="U576" s="25">
        <v>11</v>
      </c>
      <c r="V576" s="13">
        <v>11</v>
      </c>
      <c r="W576" s="13" t="str">
        <f>MID(A576, SEARCH("_", A576) +1, SEARCH("_", A576, SEARCH("_", A576) +1) - SEARCH("_", A576) -1)</f>
        <v>Closure-115</v>
      </c>
      <c r="Y576" s="1" t="str">
        <f t="shared" si="0"/>
        <v>NO</v>
      </c>
      <c r="Z576" s="1" t="str">
        <f t="shared" si="1"/>
        <v>YES</v>
      </c>
      <c r="AA576" t="str">
        <f>IF(AND(S576&gt;1,S1101&gt;1,S576=V576,S1101=V1101), "YES", "NO")</f>
        <v>NO</v>
      </c>
      <c r="AB576" t="str">
        <f>IF(AND(S576&gt;1,S1101&gt;1,S576&lt;V576,S1101&lt;V1101), "YES", "NO")</f>
        <v>NO</v>
      </c>
      <c r="AC576" t="str">
        <f t="shared" si="2"/>
        <v>NO</v>
      </c>
      <c r="AD576" t="str">
        <f t="shared" si="3"/>
        <v>NO</v>
      </c>
      <c r="AE576" t="str">
        <f t="shared" si="4"/>
        <v>NO</v>
      </c>
      <c r="AF576" t="str">
        <f t="shared" si="5"/>
        <v>YES</v>
      </c>
    </row>
    <row r="577" spans="1:32" ht="15" x14ac:dyDescent="0.35">
      <c r="A577" s="5" t="s">
        <v>735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>LEFT($A577,FIND("_",$A577)-1)</f>
        <v>ARJA</v>
      </c>
      <c r="P577" s="13" t="str">
        <f>IF($O577="ACS", "True Search", IF($O577="Arja", "Evolutionary Search", IF($O577="AVATAR", "True Pattern", IF($O577="CapGen", "Search Like Pattern", IF($O577="Cardumen", "True Semantic", IF($O577="DynaMoth", "True Semantic", IF($O577="FixMiner", "True Pattern", IF($O577="GenProg-A", "Evolutionary Search", IF($O577="Hercules", "Learning Pattern", IF($O577="Jaid", "True Semantic",
IF($O577="Kali-A", "True Search", IF($O577="kPAR", "True Pattern", IF($O577="Nopol", "True Semantic", IF($O577="RSRepair-A", "Evolutionary Search", IF($O577="SequenceR", "Deep Learning", IF($O577="SimFix", "Search Like Pattern", IF($O577="SketchFix", "True Pattern", IF($O577="SOFix", "True Pattern", IF($O577="ssFix", "Search Like Pattern", IF($O577="TBar", "True Pattern", ""))))))))))))))))))))</f>
        <v>Evolutionary Search</v>
      </c>
      <c r="Q577" s="13" t="str">
        <f>IF(NOT(ISERR(SEARCH("*_Buggy",$A577))), "Buggy", IF(NOT(ISERR(SEARCH("*_Fixed",$A577))), "Fixed", IF(NOT(ISERR(SEARCH("*_Repaired",$A577))), "Repaired", "")))</f>
        <v>Fixed</v>
      </c>
      <c r="R577" s="13" t="s">
        <v>1669</v>
      </c>
      <c r="S577" s="25">
        <v>3</v>
      </c>
      <c r="T577" s="25">
        <v>12</v>
      </c>
      <c r="U577" s="13">
        <v>12</v>
      </c>
      <c r="V577" s="13">
        <v>24</v>
      </c>
      <c r="W577" s="13" t="str">
        <f>MID(A577, SEARCH("_", A577) +1, SEARCH("_", A577, SEARCH("_", A577) +1) - SEARCH("_", A577) -1)</f>
        <v>Closure-117</v>
      </c>
      <c r="Y577" s="1" t="str">
        <f t="shared" si="0"/>
        <v>NO</v>
      </c>
      <c r="Z577" s="1" t="str">
        <f t="shared" si="1"/>
        <v>YES</v>
      </c>
      <c r="AA577" t="str">
        <f>IF(AND(S577&gt;1,S1102&gt;1,S577=V577,S1102=V1102), "YES", "NO")</f>
        <v>NO</v>
      </c>
      <c r="AB577" t="str">
        <f>IF(AND(S577&gt;1,S1102&gt;1,S577&lt;V577,S1102&lt;V1102), "YES", "NO")</f>
        <v>NO</v>
      </c>
      <c r="AC577" t="str">
        <f t="shared" si="2"/>
        <v>NO</v>
      </c>
      <c r="AD577" t="str">
        <f t="shared" si="3"/>
        <v>NO</v>
      </c>
      <c r="AE577" t="str">
        <f t="shared" si="4"/>
        <v>NO</v>
      </c>
      <c r="AF577" t="str">
        <f t="shared" si="5"/>
        <v>YES</v>
      </c>
    </row>
    <row r="578" spans="1:32" ht="15" x14ac:dyDescent="0.35">
      <c r="A578" s="7" t="s">
        <v>163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>LEFT($A578,FIND("_",$A578)-1)</f>
        <v>ARJA</v>
      </c>
      <c r="P578" s="13" t="str">
        <f>IF($O578="ACS", "True Search", IF($O578="Arja", "Evolutionary Search", IF($O578="AVATAR", "True Pattern", IF($O578="CapGen", "Search Like Pattern", IF($O578="Cardumen", "True Semantic", IF($O578="DynaMoth", "True Semantic", IF($O578="FixMiner", "True Pattern", IF($O578="GenProg-A", "Evolutionary Search", IF($O578="Hercules", "Learning Pattern", IF($O578="Jaid", "True Semantic",
IF($O578="Kali-A", "True Search", IF($O578="kPAR", "True Pattern", IF($O578="Nopol", "True Semantic", IF($O578="RSRepair-A", "Evolutionary Search", IF($O578="SequenceR", "Deep Learning", IF($O578="SimFix", "Search Like Pattern", IF($O578="SketchFix", "True Pattern", IF($O578="SOFix", "True Pattern", IF($O578="ssFix", "Search Like Pattern", IF($O578="TBar", "True Pattern", ""))))))))))))))))))))</f>
        <v>Evolutionary Search</v>
      </c>
      <c r="Q578" s="13" t="str">
        <f>IF(NOT(ISERR(SEARCH("*_Buggy",$A578))), "Buggy", IF(NOT(ISERR(SEARCH("*_Fixed",$A578))), "Fixed", IF(NOT(ISERR(SEARCH("*_Repaired",$A578))), "Repaired", "")))</f>
        <v>Fixed</v>
      </c>
      <c r="R578" s="13" t="s">
        <v>1669</v>
      </c>
      <c r="S578" s="25">
        <v>2</v>
      </c>
      <c r="T578" s="25">
        <v>2</v>
      </c>
      <c r="U578" s="25">
        <v>0</v>
      </c>
      <c r="V578" s="13">
        <v>2</v>
      </c>
      <c r="W578" s="13" t="str">
        <f>MID(A578, SEARCH("_", A578) +1, SEARCH("_", A578, SEARCH("_", A578) +1) - SEARCH("_", A578) -1)</f>
        <v>Closure-124</v>
      </c>
      <c r="Y578" s="1" t="str">
        <f t="shared" si="0"/>
        <v>YES</v>
      </c>
      <c r="Z578" s="1" t="str">
        <f t="shared" si="1"/>
        <v>NO</v>
      </c>
      <c r="AA578" t="str">
        <f>IF(AND(S578&gt;1,S1103&gt;1,S578=V578,S1103=V1103), "YES", "NO")</f>
        <v>NO</v>
      </c>
      <c r="AB578" t="str">
        <f>IF(AND(S578&gt;1,S1103&gt;1,S578&lt;V578,S1103&lt;V1103), "YES", "NO")</f>
        <v>NO</v>
      </c>
      <c r="AC578" t="str">
        <f t="shared" si="2"/>
        <v>NO</v>
      </c>
      <c r="AD578" t="str">
        <f t="shared" si="3"/>
        <v>NO</v>
      </c>
      <c r="AE578" t="str">
        <f t="shared" si="4"/>
        <v>NO</v>
      </c>
      <c r="AF578" t="str">
        <f t="shared" si="5"/>
        <v>NO</v>
      </c>
    </row>
    <row r="579" spans="1:32" ht="15" x14ac:dyDescent="0.35">
      <c r="A579" s="5" t="s">
        <v>737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>LEFT($A579,FIND("_",$A579)-1)</f>
        <v>ARJA</v>
      </c>
      <c r="P579" s="13" t="str">
        <f>IF($O579="ACS", "True Search", IF($O579="Arja", "Evolutionary Search", IF($O579="AVATAR", "True Pattern", IF($O579="CapGen", "Search Like Pattern", IF($O579="Cardumen", "True Semantic", IF($O579="DynaMoth", "True Semantic", IF($O579="FixMiner", "True Pattern", IF($O579="GenProg-A", "Evolutionary Search", IF($O579="Hercules", "Learning Pattern", IF($O579="Jaid", "True Semantic",
IF($O579="Kali-A", "True Search", IF($O579="kPAR", "True Pattern", IF($O579="Nopol", "True Semantic", IF($O579="RSRepair-A", "Evolutionary Search", IF($O579="SequenceR", "Deep Learning", IF($O579="SimFix", "Search Like Pattern", IF($O579="SketchFix", "True Pattern", IF($O579="SOFix", "True Pattern", IF($O579="ssFix", "Search Like Pattern", IF($O579="TBar", "True Pattern", ""))))))))))))))))))))</f>
        <v>Evolutionary Search</v>
      </c>
      <c r="Q579" s="13" t="str">
        <f>IF(NOT(ISERR(SEARCH("*_Buggy",$A579))), "Buggy", IF(NOT(ISERR(SEARCH("*_Fixed",$A579))), "Fixed", IF(NOT(ISERR(SEARCH("*_Repaired",$A579))), "Repaired", "")))</f>
        <v>Fixed</v>
      </c>
      <c r="R579" s="13" t="s">
        <v>1669</v>
      </c>
      <c r="S579" s="25">
        <v>1</v>
      </c>
      <c r="T579" s="13">
        <v>1</v>
      </c>
      <c r="U579" s="25">
        <v>1</v>
      </c>
      <c r="V579" s="13">
        <v>1</v>
      </c>
      <c r="W579" s="13" t="str">
        <f>MID(A579, SEARCH("_", A579) +1, SEARCH("_", A579, SEARCH("_", A579) +1) - SEARCH("_", A579) -1)</f>
        <v>Closure-125</v>
      </c>
      <c r="Y579" s="1" t="str">
        <f t="shared" si="0"/>
        <v>NO</v>
      </c>
      <c r="Z579" s="1" t="str">
        <f t="shared" si="1"/>
        <v>NO</v>
      </c>
      <c r="AA579" t="str">
        <f>IF(AND(S579&gt;1,S1104&gt;1,S579=V579,S1104=V1104), "YES", "NO")</f>
        <v>NO</v>
      </c>
      <c r="AB579" t="str">
        <f>IF(AND(S579&gt;1,S1104&gt;1,S579&lt;V579,S1104&lt;V1104), "YES", "NO")</f>
        <v>NO</v>
      </c>
      <c r="AC579" t="str">
        <f t="shared" si="2"/>
        <v>NO</v>
      </c>
      <c r="AD579" t="str">
        <f t="shared" si="3"/>
        <v>NO</v>
      </c>
      <c r="AE579" t="str">
        <f t="shared" si="4"/>
        <v>NO</v>
      </c>
      <c r="AF579" t="str">
        <f t="shared" si="5"/>
        <v>NO</v>
      </c>
    </row>
    <row r="580" spans="1:32" ht="15" x14ac:dyDescent="0.35">
      <c r="A580" s="7" t="s">
        <v>1179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>LEFT($A580,FIND("_",$A580)-1)</f>
        <v>ARJA</v>
      </c>
      <c r="P580" s="13" t="str">
        <f>IF($O580="ACS", "True Search", IF($O580="Arja", "Evolutionary Search", IF($O580="AVATAR", "True Pattern", IF($O580="CapGen", "Search Like Pattern", IF($O580="Cardumen", "True Semantic", IF($O580="DynaMoth", "True Semantic", IF($O580="FixMiner", "True Pattern", IF($O580="GenProg-A", "Evolutionary Search", IF($O580="Hercules", "Learning Pattern", IF($O580="Jaid", "True Semantic",
IF($O580="Kali-A", "True Search", IF($O580="kPAR", "True Pattern", IF($O580="Nopol", "True Semantic", IF($O580="RSRepair-A", "Evolutionary Search", IF($O580="SequenceR", "Deep Learning", IF($O580="SimFix", "Search Like Pattern", IF($O580="SketchFix", "True Pattern", IF($O580="SOFix", "True Pattern", IF($O580="ssFix", "Search Like Pattern", IF($O580="TBar", "True Pattern", ""))))))))))))))))))))</f>
        <v>Evolutionary Search</v>
      </c>
      <c r="Q580" s="13" t="str">
        <f>IF(NOT(ISERR(SEARCH("*_Buggy",$A580))), "Buggy", IF(NOT(ISERR(SEARCH("*_Fixed",$A580))), "Fixed", IF(NOT(ISERR(SEARCH("*_Repaired",$A580))), "Repaired", "")))</f>
        <v>Fixed</v>
      </c>
      <c r="R580" s="13" t="s">
        <v>1669</v>
      </c>
      <c r="S580" s="25">
        <v>2</v>
      </c>
      <c r="T580" s="25">
        <v>2</v>
      </c>
      <c r="U580" s="25">
        <v>19</v>
      </c>
      <c r="V580" s="13">
        <v>19</v>
      </c>
      <c r="W580" s="13" t="str">
        <f>MID(A580, SEARCH("_", A580) +1, SEARCH("_", A580, SEARCH("_", A580) +1) - SEARCH("_", A580) -1)</f>
        <v>Closure-21</v>
      </c>
      <c r="Y580" s="1" t="str">
        <f t="shared" si="0"/>
        <v>NO</v>
      </c>
      <c r="Z580" s="1" t="str">
        <f t="shared" si="1"/>
        <v>YES</v>
      </c>
      <c r="AA580" t="str">
        <f>IF(AND(S580&gt;1,S1105&gt;1,S580=V580,S1105=V1105), "YES", "NO")</f>
        <v>NO</v>
      </c>
      <c r="AB580" t="str">
        <f>IF(AND(S580&gt;1,S1105&gt;1,S580&lt;V580,S1105&lt;V1105), "YES", "NO")</f>
        <v>NO</v>
      </c>
      <c r="AC580" t="str">
        <f t="shared" si="2"/>
        <v>NO</v>
      </c>
      <c r="AD580" t="str">
        <f t="shared" si="3"/>
        <v>NO</v>
      </c>
      <c r="AE580" t="str">
        <f t="shared" si="4"/>
        <v>NO</v>
      </c>
      <c r="AF580" t="str">
        <f t="shared" si="5"/>
        <v>YES</v>
      </c>
    </row>
    <row r="581" spans="1:32" ht="15" x14ac:dyDescent="0.35">
      <c r="A581" s="5" t="s">
        <v>1080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>LEFT($A581,FIND("_",$A581)-1)</f>
        <v>ARJA</v>
      </c>
      <c r="P581" s="13" t="str">
        <f>IF($O581="ACS", "True Search", IF($O581="Arja", "Evolutionary Search", IF($O581="AVATAR", "True Pattern", IF($O581="CapGen", "Search Like Pattern", IF($O581="Cardumen", "True Semantic", IF($O581="DynaMoth", "True Semantic", IF($O581="FixMiner", "True Pattern", IF($O581="GenProg-A", "Evolutionary Search", IF($O581="Hercules", "Learning Pattern", IF($O581="Jaid", "True Semantic",
IF($O581="Kali-A", "True Search", IF($O581="kPAR", "True Pattern", IF($O581="Nopol", "True Semantic", IF($O581="RSRepair-A", "Evolutionary Search", IF($O581="SequenceR", "Deep Learning", IF($O581="SimFix", "Search Like Pattern", IF($O581="SketchFix", "True Pattern", IF($O581="SOFix", "True Pattern", IF($O581="ssFix", "Search Like Pattern", IF($O581="TBar", "True Pattern", ""))))))))))))))))))))</f>
        <v>Evolutionary Search</v>
      </c>
      <c r="Q581" s="13" t="str">
        <f>IF(NOT(ISERR(SEARCH("*_Buggy",$A581))), "Buggy", IF(NOT(ISERR(SEARCH("*_Fixed",$A581))), "Fixed", IF(NOT(ISERR(SEARCH("*_Repaired",$A581))), "Repaired", "")))</f>
        <v>Fixed</v>
      </c>
      <c r="R581" s="13" t="s">
        <v>1669</v>
      </c>
      <c r="S581" s="25">
        <v>5</v>
      </c>
      <c r="T581" s="25">
        <v>2</v>
      </c>
      <c r="U581" s="25">
        <v>26</v>
      </c>
      <c r="V581" s="13">
        <v>26</v>
      </c>
      <c r="W581" s="13" t="str">
        <f>MID(A581, SEARCH("_", A581) +1, SEARCH("_", A581, SEARCH("_", A581) +1) - SEARCH("_", A581) -1)</f>
        <v>Closure-22</v>
      </c>
      <c r="Y581" s="1" t="str">
        <f t="shared" si="0"/>
        <v>NO</v>
      </c>
      <c r="Z581" s="1" t="str">
        <f t="shared" si="1"/>
        <v>YES</v>
      </c>
      <c r="AA581" t="str">
        <f>IF(AND(S581&gt;1,S1106&gt;1,S581=V581,S1106=V1106), "YES", "NO")</f>
        <v>NO</v>
      </c>
      <c r="AB581" t="str">
        <f>IF(AND(S581&gt;1,S1106&gt;1,S581&lt;V581,S1106&lt;V1106), "YES", "NO")</f>
        <v>NO</v>
      </c>
      <c r="AC581" t="str">
        <f t="shared" si="2"/>
        <v>NO</v>
      </c>
      <c r="AD581" t="str">
        <f t="shared" si="3"/>
        <v>NO</v>
      </c>
      <c r="AE581" t="str">
        <f t="shared" si="4"/>
        <v>NO</v>
      </c>
      <c r="AF581" t="str">
        <f t="shared" si="5"/>
        <v>YES</v>
      </c>
    </row>
    <row r="582" spans="1:32" ht="15" x14ac:dyDescent="0.35">
      <c r="A582" s="7" t="s">
        <v>602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>LEFT($A582,FIND("_",$A582)-1)</f>
        <v>ARJA</v>
      </c>
      <c r="P582" s="13" t="str">
        <f>IF($O582="ACS", "True Search", IF($O582="Arja", "Evolutionary Search", IF($O582="AVATAR", "True Pattern", IF($O582="CapGen", "Search Like Pattern", IF($O582="Cardumen", "True Semantic", IF($O582="DynaMoth", "True Semantic", IF($O582="FixMiner", "True Pattern", IF($O582="GenProg-A", "Evolutionary Search", IF($O582="Hercules", "Learning Pattern", IF($O582="Jaid", "True Semantic",
IF($O582="Kali-A", "True Search", IF($O582="kPAR", "True Pattern", IF($O582="Nopol", "True Semantic", IF($O582="RSRepair-A", "Evolutionary Search", IF($O582="SequenceR", "Deep Learning", IF($O582="SimFix", "Search Like Pattern", IF($O582="SketchFix", "True Pattern", IF($O582="SOFix", "True Pattern", IF($O582="ssFix", "Search Like Pattern", IF($O582="TBar", "True Pattern", ""))))))))))))))))))))</f>
        <v>Evolutionary Search</v>
      </c>
      <c r="Q582" s="13" t="str">
        <f>IF(NOT(ISERR(SEARCH("*_Buggy",$A582))), "Buggy", IF(NOT(ISERR(SEARCH("*_Fixed",$A582))), "Fixed", IF(NOT(ISERR(SEARCH("*_Repaired",$A582))), "Repaired", "")))</f>
        <v>Fixed</v>
      </c>
      <c r="R582" s="13" t="s">
        <v>1669</v>
      </c>
      <c r="S582" s="25">
        <v>3</v>
      </c>
      <c r="T582" s="25">
        <v>8</v>
      </c>
      <c r="U582" s="25">
        <v>2</v>
      </c>
      <c r="V582" s="13">
        <v>8</v>
      </c>
      <c r="W582" s="13" t="str">
        <f>MID(A582, SEARCH("_", A582) +1, SEARCH("_", A582, SEARCH("_", A582) +1) - SEARCH("_", A582) -1)</f>
        <v>Closure-3</v>
      </c>
      <c r="Y582" s="1" t="str">
        <f t="shared" si="0"/>
        <v>NO</v>
      </c>
      <c r="Z582" s="1" t="str">
        <f t="shared" si="1"/>
        <v>YES</v>
      </c>
      <c r="AA582" t="str">
        <f>IF(AND(S582&gt;1,S1107&gt;1,S582=V582,S1107=V1107), "YES", "NO")</f>
        <v>NO</v>
      </c>
      <c r="AB582" t="str">
        <f>IF(AND(S582&gt;1,S1107&gt;1,S582&lt;V582,S1107&lt;V1107), "YES", "NO")</f>
        <v>NO</v>
      </c>
      <c r="AC582" t="str">
        <f t="shared" si="2"/>
        <v>NO</v>
      </c>
      <c r="AD582" t="str">
        <f t="shared" si="3"/>
        <v>NO</v>
      </c>
      <c r="AE582" t="str">
        <f t="shared" si="4"/>
        <v>NO</v>
      </c>
      <c r="AF582" t="str">
        <f t="shared" si="5"/>
        <v>YES</v>
      </c>
    </row>
    <row r="583" spans="1:32" ht="15" x14ac:dyDescent="0.35">
      <c r="A583" s="5" t="s">
        <v>1124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>LEFT($A583,FIND("_",$A583)-1)</f>
        <v>ARJA</v>
      </c>
      <c r="P583" s="13" t="str">
        <f>IF($O583="ACS", "True Search", IF($O583="Arja", "Evolutionary Search", IF($O583="AVATAR", "True Pattern", IF($O583="CapGen", "Search Like Pattern", IF($O583="Cardumen", "True Semantic", IF($O583="DynaMoth", "True Semantic", IF($O583="FixMiner", "True Pattern", IF($O583="GenProg-A", "Evolutionary Search", IF($O583="Hercules", "Learning Pattern", IF($O583="Jaid", "True Semantic",
IF($O583="Kali-A", "True Search", IF($O583="kPAR", "True Pattern", IF($O583="Nopol", "True Semantic", IF($O583="RSRepair-A", "Evolutionary Search", IF($O583="SequenceR", "Deep Learning", IF($O583="SimFix", "Search Like Pattern", IF($O583="SketchFix", "True Pattern", IF($O583="SOFix", "True Pattern", IF($O583="ssFix", "Search Like Pattern", IF($O583="TBar", "True Pattern", ""))))))))))))))))))))</f>
        <v>Evolutionary Search</v>
      </c>
      <c r="Q583" s="13" t="str">
        <f>IF(NOT(ISERR(SEARCH("*_Buggy",$A583))), "Buggy", IF(NOT(ISERR(SEARCH("*_Fixed",$A583))), "Fixed", IF(NOT(ISERR(SEARCH("*_Repaired",$A583))), "Repaired", "")))</f>
        <v>Fixed</v>
      </c>
      <c r="R583" s="13" t="s">
        <v>1669</v>
      </c>
      <c r="S583" s="25">
        <v>1</v>
      </c>
      <c r="T583" s="25">
        <v>3</v>
      </c>
      <c r="U583" s="25">
        <v>0</v>
      </c>
      <c r="V583" s="13">
        <v>3</v>
      </c>
      <c r="W583" s="13" t="str">
        <f>MID(A583, SEARCH("_", A583) +1, SEARCH("_", A583, SEARCH("_", A583) +1) - SEARCH("_", A583) -1)</f>
        <v>Closure-33</v>
      </c>
      <c r="Y583" s="1" t="str">
        <f t="shared" si="0"/>
        <v>NO</v>
      </c>
      <c r="Z583" s="1" t="str">
        <f t="shared" si="1"/>
        <v>NO</v>
      </c>
      <c r="AA583" t="str">
        <f>IF(AND(S583&gt;1,S1108&gt;1,S583=V583,S1108=V1108), "YES", "NO")</f>
        <v>NO</v>
      </c>
      <c r="AB583" t="str">
        <f>IF(AND(S583&gt;1,S1108&gt;1,S583&lt;V583,S1108&lt;V1108), "YES", "NO")</f>
        <v>NO</v>
      </c>
      <c r="AC583" t="str">
        <f t="shared" si="2"/>
        <v>NO</v>
      </c>
      <c r="AD583" t="str">
        <f t="shared" si="3"/>
        <v>YES</v>
      </c>
      <c r="AE583" t="str">
        <f t="shared" si="4"/>
        <v>NO</v>
      </c>
      <c r="AF583" t="str">
        <f t="shared" si="5"/>
        <v>YES</v>
      </c>
    </row>
    <row r="584" spans="1:32" ht="15" x14ac:dyDescent="0.35">
      <c r="A584" s="5" t="s">
        <v>147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>LEFT($A584,FIND("_",$A584)-1)</f>
        <v>ARJA</v>
      </c>
      <c r="P584" s="13" t="str">
        <f>IF($O584="ACS", "True Search", IF($O584="Arja", "Evolutionary Search", IF($O584="AVATAR", "True Pattern", IF($O584="CapGen", "Search Like Pattern", IF($O584="Cardumen", "True Semantic", IF($O584="DynaMoth", "True Semantic", IF($O584="FixMiner", "True Pattern", IF($O584="GenProg-A", "Evolutionary Search", IF($O584="Hercules", "Learning Pattern", IF($O584="Jaid", "True Semantic",
IF($O584="Kali-A", "True Search", IF($O584="kPAR", "True Pattern", IF($O584="Nopol", "True Semantic", IF($O584="RSRepair-A", "Evolutionary Search", IF($O584="SequenceR", "Deep Learning", IF($O584="SimFix", "Search Like Pattern", IF($O584="SketchFix", "True Pattern", IF($O584="SOFix", "True Pattern", IF($O584="ssFix", "Search Like Pattern", IF($O584="TBar", "True Pattern", ""))))))))))))))))))))</f>
        <v>Evolutionary Search</v>
      </c>
      <c r="Q584" s="13" t="str">
        <f>IF(NOT(ISERR(SEARCH("*_Buggy",$A584))), "Buggy", IF(NOT(ISERR(SEARCH("*_Fixed",$A584))), "Fixed", IF(NOT(ISERR(SEARCH("*_Repaired",$A584))), "Repaired", "")))</f>
        <v>Fixed</v>
      </c>
      <c r="R584" s="13" t="s">
        <v>1669</v>
      </c>
      <c r="S584" s="25">
        <v>1</v>
      </c>
      <c r="T584" s="13">
        <v>2</v>
      </c>
      <c r="U584" s="25">
        <v>1</v>
      </c>
      <c r="V584" s="13">
        <v>2</v>
      </c>
      <c r="W584" s="13" t="str">
        <f>MID(A584, SEARCH("_", A584) +1, SEARCH("_", A584, SEARCH("_", A584) +1) - SEARCH("_", A584) -1)</f>
        <v>Closure-55</v>
      </c>
      <c r="Y584" s="1" t="str">
        <f t="shared" si="0"/>
        <v>NO</v>
      </c>
      <c r="Z584" s="1" t="str">
        <f t="shared" si="1"/>
        <v>NO</v>
      </c>
      <c r="AA584" t="str">
        <f>IF(AND(S584&gt;1,S1109&gt;1,S584=V584,S1109=V1109), "YES", "NO")</f>
        <v>NO</v>
      </c>
      <c r="AB584" t="str">
        <f>IF(AND(S584&gt;1,S1109&gt;1,S584&lt;V584,S1109&lt;V1109), "YES", "NO")</f>
        <v>NO</v>
      </c>
      <c r="AC584" t="str">
        <f t="shared" si="2"/>
        <v>NO</v>
      </c>
      <c r="AD584" t="str">
        <f t="shared" si="3"/>
        <v>NO</v>
      </c>
      <c r="AE584" t="str">
        <f t="shared" si="4"/>
        <v>NO</v>
      </c>
      <c r="AF584" t="str">
        <f t="shared" si="5"/>
        <v>NO</v>
      </c>
    </row>
    <row r="585" spans="1:32" ht="15" x14ac:dyDescent="0.35">
      <c r="A585" s="7" t="s">
        <v>779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>LEFT($A585,FIND("_",$A585)-1)</f>
        <v>ARJA</v>
      </c>
      <c r="P585" s="13" t="str">
        <f>IF($O585="ACS", "True Search", IF($O585="Arja", "Evolutionary Search", IF($O585="AVATAR", "True Pattern", IF($O585="CapGen", "Search Like Pattern", IF($O585="Cardumen", "True Semantic", IF($O585="DynaMoth", "True Semantic", IF($O585="FixMiner", "True Pattern", IF($O585="GenProg-A", "Evolutionary Search", IF($O585="Hercules", "Learning Pattern", IF($O585="Jaid", "True Semantic",
IF($O585="Kali-A", "True Search", IF($O585="kPAR", "True Pattern", IF($O585="Nopol", "True Semantic", IF($O585="RSRepair-A", "Evolutionary Search", IF($O585="SequenceR", "Deep Learning", IF($O585="SimFix", "Search Like Pattern", IF($O585="SketchFix", "True Pattern", IF($O585="SOFix", "True Pattern", IF($O585="ssFix", "Search Like Pattern", IF($O585="TBar", "True Pattern", ""))))))))))))))))))))</f>
        <v>Evolutionary Search</v>
      </c>
      <c r="Q585" s="13" t="str">
        <f>IF(NOT(ISERR(SEARCH("*_Buggy",$A585))), "Buggy", IF(NOT(ISERR(SEARCH("*_Fixed",$A585))), "Fixed", IF(NOT(ISERR(SEARCH("*_Repaired",$A585))), "Repaired", "")))</f>
        <v>Fixed</v>
      </c>
      <c r="R585" s="13" t="s">
        <v>1669</v>
      </c>
      <c r="S585" s="25">
        <v>2</v>
      </c>
      <c r="T585" s="25">
        <v>4</v>
      </c>
      <c r="U585" s="25">
        <v>0</v>
      </c>
      <c r="V585" s="13">
        <v>4</v>
      </c>
      <c r="W585" s="13" t="str">
        <f>MID(A585, SEARCH("_", A585) +1, SEARCH("_", A585, SEARCH("_", A585) +1) - SEARCH("_", A585) -1)</f>
        <v>Closure-8</v>
      </c>
      <c r="Y585" s="1" t="str">
        <f t="shared" si="0"/>
        <v>NO</v>
      </c>
      <c r="Z585" s="1" t="str">
        <f t="shared" si="1"/>
        <v>YES</v>
      </c>
      <c r="AA585" t="str">
        <f>IF(AND(S585&gt;1,S1110&gt;1,S585=V585,S1110=V1110), "YES", "NO")</f>
        <v>NO</v>
      </c>
      <c r="AB585" t="str">
        <f>IF(AND(S585&gt;1,S1110&gt;1,S585&lt;V585,S1110&lt;V1110), "YES", "NO")</f>
        <v>YES</v>
      </c>
      <c r="AC585" t="str">
        <f t="shared" si="2"/>
        <v>NO</v>
      </c>
      <c r="AD585" t="str">
        <f t="shared" si="3"/>
        <v>NO</v>
      </c>
      <c r="AE585" t="str">
        <f t="shared" si="4"/>
        <v>NO</v>
      </c>
      <c r="AF585" t="str">
        <f t="shared" si="5"/>
        <v>YES</v>
      </c>
    </row>
    <row r="586" spans="1:32" ht="15" x14ac:dyDescent="0.35">
      <c r="A586" s="7" t="s">
        <v>100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>LEFT($A586,FIND("_",$A586)-1)</f>
        <v>ARJA</v>
      </c>
      <c r="P586" s="13" t="str">
        <f>IF($O586="ACS", "True Search", IF($O586="Arja", "Evolutionary Search", IF($O586="AVATAR", "True Pattern", IF($O586="CapGen", "Search Like Pattern", IF($O586="Cardumen", "True Semantic", IF($O586="DynaMoth", "True Semantic", IF($O586="FixMiner", "True Pattern", IF($O586="GenProg-A", "Evolutionary Search", IF($O586="Hercules", "Learning Pattern", IF($O586="Jaid", "True Semantic",
IF($O586="Kali-A", "True Search", IF($O586="kPAR", "True Pattern", IF($O586="Nopol", "True Semantic", IF($O586="RSRepair-A", "Evolutionary Search", IF($O586="SequenceR", "Deep Learning", IF($O586="SimFix", "Search Like Pattern", IF($O586="SketchFix", "True Pattern", IF($O586="SOFix", "True Pattern", IF($O586="ssFix", "Search Like Pattern", IF($O586="TBar", "True Pattern", ""))))))))))))))))))))</f>
        <v>Evolutionary Search</v>
      </c>
      <c r="Q586" s="13" t="str">
        <f>IF(NOT(ISERR(SEARCH("*_Buggy",$A586))), "Buggy", IF(NOT(ISERR(SEARCH("*_Fixed",$A586))), "Fixed", IF(NOT(ISERR(SEARCH("*_Repaired",$A586))), "Repaired", "")))</f>
        <v>Fixed</v>
      </c>
      <c r="R586" s="13" t="s">
        <v>1668</v>
      </c>
      <c r="S586" s="25">
        <v>1</v>
      </c>
      <c r="T586" s="13">
        <v>1</v>
      </c>
      <c r="U586" s="25">
        <v>1</v>
      </c>
      <c r="V586" s="13">
        <v>1</v>
      </c>
      <c r="W586" s="13" t="str">
        <f>MID(A586, SEARCH("_", A586) +1, SEARCH("_", A586, SEARCH("_", A586) +1) - SEARCH("_", A586) -1)</f>
        <v>Closure-86</v>
      </c>
      <c r="Y586" s="1" t="str">
        <f t="shared" si="0"/>
        <v>NO</v>
      </c>
      <c r="Z586" s="1" t="str">
        <f t="shared" si="1"/>
        <v>NO</v>
      </c>
      <c r="AA586" t="str">
        <f>IF(AND(S586&gt;1,S1111&gt;1,S586=V586,S1111=V1111), "YES", "NO")</f>
        <v>NO</v>
      </c>
      <c r="AB586" t="str">
        <f>IF(AND(S586&gt;1,S1111&gt;1,S586&lt;V586,S1111&lt;V1111), "YES", "NO")</f>
        <v>NO</v>
      </c>
      <c r="AC586" t="str">
        <f t="shared" si="2"/>
        <v>NO</v>
      </c>
      <c r="AD586" t="str">
        <f t="shared" si="3"/>
        <v>NO</v>
      </c>
      <c r="AE586" t="str">
        <f t="shared" si="4"/>
        <v>NO</v>
      </c>
      <c r="AF586" t="str">
        <f t="shared" si="5"/>
        <v>NO</v>
      </c>
    </row>
    <row r="587" spans="1:32" ht="15" x14ac:dyDescent="0.35">
      <c r="A587" s="7" t="s">
        <v>505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>LEFT($A587,FIND("_",$A587)-1)</f>
        <v>ARJA</v>
      </c>
      <c r="P587" s="13" t="str">
        <f>IF($O587="ACS", "True Search", IF($O587="Arja", "Evolutionary Search", IF($O587="AVATAR", "True Pattern", IF($O587="CapGen", "Search Like Pattern", IF($O587="Cardumen", "True Semantic", IF($O587="DynaMoth", "True Semantic", IF($O587="FixMiner", "True Pattern", IF($O587="GenProg-A", "Evolutionary Search", IF($O587="Hercules", "Learning Pattern", IF($O587="Jaid", "True Semantic",
IF($O587="Kali-A", "True Search", IF($O587="kPAR", "True Pattern", IF($O587="Nopol", "True Semantic", IF($O587="RSRepair-A", "Evolutionary Search", IF($O587="SequenceR", "Deep Learning", IF($O587="SimFix", "Search Like Pattern", IF($O587="SketchFix", "True Pattern", IF($O587="SOFix", "True Pattern", IF($O587="ssFix", "Search Like Pattern", IF($O587="TBar", "True Pattern", ""))))))))))))))))))))</f>
        <v>Evolutionary Search</v>
      </c>
      <c r="Q587" s="13" t="str">
        <f>IF(NOT(ISERR(SEARCH("*_Buggy",$A587))), "Buggy", IF(NOT(ISERR(SEARCH("*_Fixed",$A587))), "Fixed", IF(NOT(ISERR(SEARCH("*_Repaired",$A587))), "Repaired", "")))</f>
        <v>Fixed</v>
      </c>
      <c r="R587" s="13" t="s">
        <v>1669</v>
      </c>
      <c r="S587" s="25">
        <v>2</v>
      </c>
      <c r="T587" s="25">
        <v>6</v>
      </c>
      <c r="U587" s="25">
        <v>0</v>
      </c>
      <c r="V587" s="13">
        <v>6</v>
      </c>
      <c r="W587" s="13" t="str">
        <f>MID(A587, SEARCH("_", A587) +1, SEARCH("_", A587, SEARCH("_", A587) +1) - SEARCH("_", A587) -1)</f>
        <v>Closure-88</v>
      </c>
      <c r="Y587" s="1" t="str">
        <f t="shared" si="0"/>
        <v>NO</v>
      </c>
      <c r="Z587" s="1" t="str">
        <f t="shared" si="1"/>
        <v>YES</v>
      </c>
      <c r="AA587" t="str">
        <f>IF(AND(S587&gt;1,S1112&gt;1,S587=V587,S1112=V1112), "YES", "NO")</f>
        <v>NO</v>
      </c>
      <c r="AB587" t="str">
        <f>IF(AND(S587&gt;1,S1112&gt;1,S587&lt;V587,S1112&lt;V1112), "YES", "NO")</f>
        <v>NO</v>
      </c>
      <c r="AC587" t="str">
        <f t="shared" si="2"/>
        <v>NO</v>
      </c>
      <c r="AD587" t="str">
        <f t="shared" si="3"/>
        <v>NO</v>
      </c>
      <c r="AE587" t="str">
        <f t="shared" si="4"/>
        <v>NO</v>
      </c>
      <c r="AF587" t="str">
        <f t="shared" si="5"/>
        <v>YES</v>
      </c>
    </row>
    <row r="588" spans="1:32" ht="15" x14ac:dyDescent="0.35">
      <c r="A588" s="5" t="s">
        <v>269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>LEFT($A588,FIND("_",$A588)-1)</f>
        <v>ARJA</v>
      </c>
      <c r="P588" s="13" t="str">
        <f>IF($O588="ACS", "True Search", IF($O588="Arja", "Evolutionary Search", IF($O588="AVATAR", "True Pattern", IF($O588="CapGen", "Search Like Pattern", IF($O588="Cardumen", "True Semantic", IF($O588="DynaMoth", "True Semantic", IF($O588="FixMiner", "True Pattern", IF($O588="GenProg-A", "Evolutionary Search", IF($O588="Hercules", "Learning Pattern", IF($O588="Jaid", "True Semantic",
IF($O588="Kali-A", "True Search", IF($O588="kPAR", "True Pattern", IF($O588="Nopol", "True Semantic", IF($O588="RSRepair-A", "Evolutionary Search", IF($O588="SequenceR", "Deep Learning", IF($O588="SimFix", "Search Like Pattern", IF($O588="SketchFix", "True Pattern", IF($O588="SOFix", "True Pattern", IF($O588="ssFix", "Search Like Pattern", IF($O588="TBar", "True Pattern", ""))))))))))))))))))))</f>
        <v>Evolutionary Search</v>
      </c>
      <c r="Q588" s="13" t="str">
        <f>IF(NOT(ISERR(SEARCH("*_Buggy",$A588))), "Buggy", IF(NOT(ISERR(SEARCH("*_Fixed",$A588))), "Fixed", IF(NOT(ISERR(SEARCH("*_Repaired",$A588))), "Repaired", "")))</f>
        <v>Fixed</v>
      </c>
      <c r="R588" s="13" t="s">
        <v>1669</v>
      </c>
      <c r="S588" s="25">
        <v>1</v>
      </c>
      <c r="T588" s="13">
        <v>1</v>
      </c>
      <c r="U588" s="25">
        <v>1</v>
      </c>
      <c r="V588" s="13">
        <v>1</v>
      </c>
      <c r="W588" s="13" t="str">
        <f>MID(A588, SEARCH("_", A588) +1, SEARCH("_", A588, SEARCH("_", A588) +1) - SEARCH("_", A588) -1)</f>
        <v>Lang-16</v>
      </c>
      <c r="Y588" s="1" t="str">
        <f t="shared" si="0"/>
        <v>NO</v>
      </c>
      <c r="Z588" s="1" t="str">
        <f t="shared" si="1"/>
        <v>NO</v>
      </c>
      <c r="AA588" t="str">
        <f>IF(AND(S588&gt;1,S1113&gt;1,S588=V588,S1113=V1113), "YES", "NO")</f>
        <v>NO</v>
      </c>
      <c r="AB588" t="str">
        <f>IF(AND(S588&gt;1,S1113&gt;1,S588&lt;V588,S1113&lt;V1113), "YES", "NO")</f>
        <v>NO</v>
      </c>
      <c r="AC588" t="str">
        <f t="shared" si="2"/>
        <v>YES</v>
      </c>
      <c r="AD588" t="str">
        <f t="shared" si="3"/>
        <v>NO</v>
      </c>
      <c r="AE588" t="str">
        <f t="shared" si="4"/>
        <v>YES</v>
      </c>
      <c r="AF588" t="str">
        <f t="shared" si="5"/>
        <v>NO</v>
      </c>
    </row>
    <row r="589" spans="1:32" ht="15" x14ac:dyDescent="0.35">
      <c r="A589" s="7" t="s">
        <v>1041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>LEFT($A589,FIND("_",$A589)-1)</f>
        <v>ARJA</v>
      </c>
      <c r="P589" s="13" t="str">
        <f>IF($O589="ACS", "True Search", IF($O589="Arja", "Evolutionary Search", IF($O589="AVATAR", "True Pattern", IF($O589="CapGen", "Search Like Pattern", IF($O589="Cardumen", "True Semantic", IF($O589="DynaMoth", "True Semantic", IF($O589="FixMiner", "True Pattern", IF($O589="GenProg-A", "Evolutionary Search", IF($O589="Hercules", "Learning Pattern", IF($O589="Jaid", "True Semantic",
IF($O589="Kali-A", "True Search", IF($O589="kPAR", "True Pattern", IF($O589="Nopol", "True Semantic", IF($O589="RSRepair-A", "Evolutionary Search", IF($O589="SequenceR", "Deep Learning", IF($O589="SimFix", "Search Like Pattern", IF($O589="SketchFix", "True Pattern", IF($O589="SOFix", "True Pattern", IF($O589="ssFix", "Search Like Pattern", IF($O589="TBar", "True Pattern", ""))))))))))))))))))))</f>
        <v>Evolutionary Search</v>
      </c>
      <c r="Q589" s="13" t="str">
        <f>IF(NOT(ISERR(SEARCH("*_Buggy",$A589))), "Buggy", IF(NOT(ISERR(SEARCH("*_Fixed",$A589))), "Fixed", IF(NOT(ISERR(SEARCH("*_Repaired",$A589))), "Repaired", "")))</f>
        <v>Fixed</v>
      </c>
      <c r="R589" s="13" t="s">
        <v>1669</v>
      </c>
      <c r="S589" s="25">
        <v>2</v>
      </c>
      <c r="T589" s="25">
        <v>2</v>
      </c>
      <c r="U589" s="25">
        <v>2</v>
      </c>
      <c r="V589" s="13">
        <v>2</v>
      </c>
      <c r="W589" s="13" t="str">
        <f>MID(A589, SEARCH("_", A589) +1, SEARCH("_", A589, SEARCH("_", A589) +1) - SEARCH("_", A589) -1)</f>
        <v>Lang-20</v>
      </c>
      <c r="Y589" s="1" t="str">
        <f t="shared" si="0"/>
        <v>YES</v>
      </c>
      <c r="Z589" s="1" t="str">
        <f t="shared" si="1"/>
        <v>NO</v>
      </c>
      <c r="AA589" t="str">
        <f>IF(AND(S589&gt;1,S1114&gt;1,S589=V589,S1114=V1114), "YES", "NO")</f>
        <v>YES</v>
      </c>
      <c r="AB589" t="str">
        <f>IF(AND(S589&gt;1,S1114&gt;1,S589&lt;V589,S1114&lt;V1114), "YES", "NO")</f>
        <v>NO</v>
      </c>
      <c r="AC589" t="str">
        <f t="shared" si="2"/>
        <v>NO</v>
      </c>
      <c r="AD589" t="str">
        <f t="shared" si="3"/>
        <v>NO</v>
      </c>
      <c r="AE589" t="str">
        <f t="shared" si="4"/>
        <v>NO</v>
      </c>
      <c r="AF589" t="str">
        <f t="shared" si="5"/>
        <v>YES</v>
      </c>
    </row>
    <row r="590" spans="1:32" ht="15" x14ac:dyDescent="0.35">
      <c r="A590" s="5" t="s">
        <v>439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>LEFT($A590,FIND("_",$A590)-1)</f>
        <v>ARJA</v>
      </c>
      <c r="P590" s="13" t="str">
        <f>IF($O590="ACS", "True Search", IF($O590="Arja", "Evolutionary Search", IF($O590="AVATAR", "True Pattern", IF($O590="CapGen", "Search Like Pattern", IF($O590="Cardumen", "True Semantic", IF($O590="DynaMoth", "True Semantic", IF($O590="FixMiner", "True Pattern", IF($O590="GenProg-A", "Evolutionary Search", IF($O590="Hercules", "Learning Pattern", IF($O590="Jaid", "True Semantic",
IF($O590="Kali-A", "True Search", IF($O590="kPAR", "True Pattern", IF($O590="Nopol", "True Semantic", IF($O590="RSRepair-A", "Evolutionary Search", IF($O590="SequenceR", "Deep Learning", IF($O590="SimFix", "Search Like Pattern", IF($O590="SketchFix", "True Pattern", IF($O590="SOFix", "True Pattern", IF($O590="ssFix", "Search Like Pattern", IF($O590="TBar", "True Pattern", ""))))))))))))))))))))</f>
        <v>Evolutionary Search</v>
      </c>
      <c r="Q590" s="13" t="str">
        <f>IF(NOT(ISERR(SEARCH("*_Buggy",$A590))), "Buggy", IF(NOT(ISERR(SEARCH("*_Fixed",$A590))), "Fixed", IF(NOT(ISERR(SEARCH("*_Repaired",$A590))), "Repaired", "")))</f>
        <v>Fixed</v>
      </c>
      <c r="R590" s="13" t="s">
        <v>1669</v>
      </c>
      <c r="S590" s="25">
        <v>1</v>
      </c>
      <c r="T590" s="25">
        <v>1</v>
      </c>
      <c r="U590" s="25">
        <v>0</v>
      </c>
      <c r="V590" s="13">
        <v>1</v>
      </c>
      <c r="W590" s="13" t="str">
        <f>MID(A590, SEARCH("_", A590) +1, SEARCH("_", A590, SEARCH("_", A590) +1) - SEARCH("_", A590) -1)</f>
        <v>Lang-43</v>
      </c>
      <c r="Y590" s="1" t="str">
        <f t="shared" si="0"/>
        <v>NO</v>
      </c>
      <c r="Z590" s="1" t="str">
        <f t="shared" si="1"/>
        <v>NO</v>
      </c>
      <c r="AA590" t="str">
        <f>IF(AND(S590&gt;1,S1115&gt;1,S590=V590,S1115=V1115), "YES", "NO")</f>
        <v>NO</v>
      </c>
      <c r="AB590" t="str">
        <f>IF(AND(S590&gt;1,S1115&gt;1,S590&lt;V590,S1115&lt;V1115), "YES", "NO")</f>
        <v>NO</v>
      </c>
      <c r="AC590" t="str">
        <f t="shared" si="2"/>
        <v>YES</v>
      </c>
      <c r="AD590" t="str">
        <f t="shared" si="3"/>
        <v>NO</v>
      </c>
      <c r="AE590" t="str">
        <f t="shared" si="4"/>
        <v>YES</v>
      </c>
      <c r="AF590" t="str">
        <f t="shared" si="5"/>
        <v>NO</v>
      </c>
    </row>
    <row r="591" spans="1:32" ht="15" x14ac:dyDescent="0.35">
      <c r="A591" s="5" t="s">
        <v>261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>LEFT($A591,FIND("_",$A591)-1)</f>
        <v>ARJA</v>
      </c>
      <c r="P591" s="13" t="str">
        <f>IF($O591="ACS", "True Search", IF($O591="Arja", "Evolutionary Search", IF($O591="AVATAR", "True Pattern", IF($O591="CapGen", "Search Like Pattern", IF($O591="Cardumen", "True Semantic", IF($O591="DynaMoth", "True Semantic", IF($O591="FixMiner", "True Pattern", IF($O591="GenProg-A", "Evolutionary Search", IF($O591="Hercules", "Learning Pattern", IF($O591="Jaid", "True Semantic",
IF($O591="Kali-A", "True Search", IF($O591="kPAR", "True Pattern", IF($O591="Nopol", "True Semantic", IF($O591="RSRepair-A", "Evolutionary Search", IF($O591="SequenceR", "Deep Learning", IF($O591="SimFix", "Search Like Pattern", IF($O591="SketchFix", "True Pattern", IF($O591="SOFix", "True Pattern", IF($O591="ssFix", "Search Like Pattern", IF($O591="TBar", "True Pattern", ""))))))))))))))))))))</f>
        <v>Evolutionary Search</v>
      </c>
      <c r="Q591" s="13" t="str">
        <f>IF(NOT(ISERR(SEARCH("*_Buggy",$A591))), "Buggy", IF(NOT(ISERR(SEARCH("*_Fixed",$A591))), "Fixed", IF(NOT(ISERR(SEARCH("*_Repaired",$A591))), "Repaired", "")))</f>
        <v>Fixed</v>
      </c>
      <c r="R591" s="13" t="s">
        <v>1668</v>
      </c>
      <c r="S591" s="25">
        <v>9</v>
      </c>
      <c r="T591" s="13">
        <v>10</v>
      </c>
      <c r="U591" s="25">
        <v>7</v>
      </c>
      <c r="V591" s="13">
        <v>10</v>
      </c>
      <c r="W591" s="13" t="str">
        <f>MID(A591, SEARCH("_", A591) +1, SEARCH("_", A591, SEARCH("_", A591) +1) - SEARCH("_", A591) -1)</f>
        <v>Lang-46</v>
      </c>
      <c r="Y591" s="1" t="str">
        <f t="shared" si="0"/>
        <v>NO</v>
      </c>
      <c r="Z591" s="1" t="str">
        <f t="shared" si="1"/>
        <v>YES</v>
      </c>
      <c r="AA591" t="str">
        <f>IF(AND(S591&gt;1,S1116&gt;1,S591=V591,S1116=V1116), "YES", "NO")</f>
        <v>NO</v>
      </c>
      <c r="AB591" t="str">
        <f>IF(AND(S591&gt;1,S1116&gt;1,S591&lt;V591,S1116&lt;V1116), "YES", "NO")</f>
        <v>NO</v>
      </c>
      <c r="AC591" t="str">
        <f t="shared" si="2"/>
        <v>NO</v>
      </c>
      <c r="AD591" t="str">
        <f t="shared" si="3"/>
        <v>NO</v>
      </c>
      <c r="AE591" t="str">
        <f t="shared" si="4"/>
        <v>NO</v>
      </c>
      <c r="AF591" t="str">
        <f t="shared" si="5"/>
        <v>YES</v>
      </c>
    </row>
    <row r="592" spans="1:32" ht="15" x14ac:dyDescent="0.35">
      <c r="A592" s="5" t="s">
        <v>1259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>LEFT($A592,FIND("_",$A592)-1)</f>
        <v>ARJA</v>
      </c>
      <c r="P592" s="13" t="str">
        <f>IF($O592="ACS", "True Search", IF($O592="Arja", "Evolutionary Search", IF($O592="AVATAR", "True Pattern", IF($O592="CapGen", "Search Like Pattern", IF($O592="Cardumen", "True Semantic", IF($O592="DynaMoth", "True Semantic", IF($O592="FixMiner", "True Pattern", IF($O592="GenProg-A", "Evolutionary Search", IF($O592="Hercules", "Learning Pattern", IF($O592="Jaid", "True Semantic",
IF($O592="Kali-A", "True Search", IF($O592="kPAR", "True Pattern", IF($O592="Nopol", "True Semantic", IF($O592="RSRepair-A", "Evolutionary Search", IF($O592="SequenceR", "Deep Learning", IF($O592="SimFix", "Search Like Pattern", IF($O592="SketchFix", "True Pattern", IF($O592="SOFix", "True Pattern", IF($O592="ssFix", "Search Like Pattern", IF($O592="TBar", "True Pattern", ""))))))))))))))))))))</f>
        <v>Evolutionary Search</v>
      </c>
      <c r="Q592" s="13" t="str">
        <f>IF(NOT(ISERR(SEARCH("*_Buggy",$A592))), "Buggy", IF(NOT(ISERR(SEARCH("*_Fixed",$A592))), "Fixed", IF(NOT(ISERR(SEARCH("*_Repaired",$A592))), "Repaired", "")))</f>
        <v>Fixed</v>
      </c>
      <c r="R592" s="13" t="s">
        <v>1669</v>
      </c>
      <c r="S592" s="25">
        <v>6</v>
      </c>
      <c r="T592" s="25">
        <v>6</v>
      </c>
      <c r="U592" s="25">
        <v>10</v>
      </c>
      <c r="V592" s="13">
        <v>12</v>
      </c>
      <c r="W592" s="13" t="str">
        <f>MID(A592, SEARCH("_", A592) +1, SEARCH("_", A592, SEARCH("_", A592) +1) - SEARCH("_", A592) -1)</f>
        <v>Lang-50</v>
      </c>
      <c r="Y592" s="1" t="str">
        <f t="shared" si="0"/>
        <v>NO</v>
      </c>
      <c r="Z592" s="1" t="str">
        <f t="shared" si="1"/>
        <v>YES</v>
      </c>
      <c r="AA592" t="str">
        <f>IF(AND(S592&gt;1,S1117&gt;1,S592=V592,S1117=V1117), "YES", "NO")</f>
        <v>NO</v>
      </c>
      <c r="AB592" t="str">
        <f>IF(AND(S592&gt;1,S1117&gt;1,S592&lt;V592,S1117&lt;V1117), "YES", "NO")</f>
        <v>YES</v>
      </c>
      <c r="AC592" t="str">
        <f t="shared" si="2"/>
        <v>NO</v>
      </c>
      <c r="AD592" t="str">
        <f t="shared" si="3"/>
        <v>NO</v>
      </c>
      <c r="AE592" t="str">
        <f t="shared" si="4"/>
        <v>NO</v>
      </c>
      <c r="AF592" t="str">
        <f t="shared" si="5"/>
        <v>YES</v>
      </c>
    </row>
    <row r="593" spans="1:32" ht="15" x14ac:dyDescent="0.35">
      <c r="A593" s="5" t="s">
        <v>956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>LEFT($A593,FIND("_",$A593)-1)</f>
        <v>ARJA</v>
      </c>
      <c r="P593" s="13" t="str">
        <f>IF($O593="ACS", "True Search", IF($O593="Arja", "Evolutionary Search", IF($O593="AVATAR", "True Pattern", IF($O593="CapGen", "Search Like Pattern", IF($O593="Cardumen", "True Semantic", IF($O593="DynaMoth", "True Semantic", IF($O593="FixMiner", "True Pattern", IF($O593="GenProg-A", "Evolutionary Search", IF($O593="Hercules", "Learning Pattern", IF($O593="Jaid", "True Semantic",
IF($O593="Kali-A", "True Search", IF($O593="kPAR", "True Pattern", IF($O593="Nopol", "True Semantic", IF($O593="RSRepair-A", "Evolutionary Search", IF($O593="SequenceR", "Deep Learning", IF($O593="SimFix", "Search Like Pattern", IF($O593="SketchFix", "True Pattern", IF($O593="SOFix", "True Pattern", IF($O593="ssFix", "Search Like Pattern", IF($O593="TBar", "True Pattern", ""))))))))))))))))))))</f>
        <v>Evolutionary Search</v>
      </c>
      <c r="Q593" s="13" t="str">
        <f>IF(NOT(ISERR(SEARCH("*_Buggy",$A593))), "Buggy", IF(NOT(ISERR(SEARCH("*_Fixed",$A593))), "Fixed", IF(NOT(ISERR(SEARCH("*_Repaired",$A593))), "Repaired", "")))</f>
        <v>Fixed</v>
      </c>
      <c r="R593" s="13" t="s">
        <v>1669</v>
      </c>
      <c r="S593" s="25">
        <v>1</v>
      </c>
      <c r="T593" s="25">
        <v>1</v>
      </c>
      <c r="U593" s="25">
        <v>1</v>
      </c>
      <c r="V593" s="13">
        <v>1</v>
      </c>
      <c r="W593" s="13" t="str">
        <f>MID(A593, SEARCH("_", A593) +1, SEARCH("_", A593, SEARCH("_", A593) +1) - SEARCH("_", A593) -1)</f>
        <v>Lang-59</v>
      </c>
      <c r="Y593" s="1" t="str">
        <f t="shared" si="0"/>
        <v>NO</v>
      </c>
      <c r="Z593" s="1" t="str">
        <f t="shared" si="1"/>
        <v>NO</v>
      </c>
      <c r="AA593" t="str">
        <f>IF(AND(S593&gt;1,S1118&gt;1,S593=V593,S1118=V1118), "YES", "NO")</f>
        <v>NO</v>
      </c>
      <c r="AB593" t="str">
        <f>IF(AND(S593&gt;1,S1118&gt;1,S593&lt;V593,S1118&lt;V1118), "YES", "NO")</f>
        <v>NO</v>
      </c>
      <c r="AC593" t="str">
        <f t="shared" si="2"/>
        <v>NO</v>
      </c>
      <c r="AD593" t="str">
        <f t="shared" si="3"/>
        <v>NO</v>
      </c>
      <c r="AE593" t="str">
        <f t="shared" si="4"/>
        <v>NO</v>
      </c>
      <c r="AF593" t="str">
        <f t="shared" si="5"/>
        <v>NO</v>
      </c>
    </row>
    <row r="594" spans="1:32" ht="15" x14ac:dyDescent="0.35">
      <c r="A594" s="7" t="s">
        <v>446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>LEFT($A594,FIND("_",$A594)-1)</f>
        <v>ARJA</v>
      </c>
      <c r="P594" s="13" t="str">
        <f>IF($O594="ACS", "True Search", IF($O594="Arja", "Evolutionary Search", IF($O594="AVATAR", "True Pattern", IF($O594="CapGen", "Search Like Pattern", IF($O594="Cardumen", "True Semantic", IF($O594="DynaMoth", "True Semantic", IF($O594="FixMiner", "True Pattern", IF($O594="GenProg-A", "Evolutionary Search", IF($O594="Hercules", "Learning Pattern", IF($O594="Jaid", "True Semantic",
IF($O594="Kali-A", "True Search", IF($O594="kPAR", "True Pattern", IF($O594="Nopol", "True Semantic", IF($O594="RSRepair-A", "Evolutionary Search", IF($O594="SequenceR", "Deep Learning", IF($O594="SimFix", "Search Like Pattern", IF($O594="SketchFix", "True Pattern", IF($O594="SOFix", "True Pattern", IF($O594="ssFix", "Search Like Pattern", IF($O594="TBar", "True Pattern", ""))))))))))))))))))))</f>
        <v>Evolutionary Search</v>
      </c>
      <c r="Q594" s="13" t="str">
        <f>IF(NOT(ISERR(SEARCH("*_Buggy",$A594))), "Buggy", IF(NOT(ISERR(SEARCH("*_Fixed",$A594))), "Fixed", IF(NOT(ISERR(SEARCH("*_Repaired",$A594))), "Repaired", "")))</f>
        <v>Fixed</v>
      </c>
      <c r="R594" s="13" t="s">
        <v>1669</v>
      </c>
      <c r="S594" s="25">
        <v>4</v>
      </c>
      <c r="T594" s="25">
        <v>3</v>
      </c>
      <c r="U594" s="25">
        <v>20</v>
      </c>
      <c r="V594" s="13">
        <v>22</v>
      </c>
      <c r="W594" s="13" t="str">
        <f>MID(A594, SEARCH("_", A594) +1, SEARCH("_", A594, SEARCH("_", A594) +1) - SEARCH("_", A594) -1)</f>
        <v>Lang-63</v>
      </c>
      <c r="Y594" s="1" t="str">
        <f t="shared" si="0"/>
        <v>NO</v>
      </c>
      <c r="Z594" s="1" t="str">
        <f t="shared" si="1"/>
        <v>YES</v>
      </c>
      <c r="AA594" t="str">
        <f>IF(AND(S594&gt;1,S1119&gt;1,S594=V594,S1119=V1119), "YES", "NO")</f>
        <v>NO</v>
      </c>
      <c r="AB594" t="str">
        <f>IF(AND(S594&gt;1,S1119&gt;1,S594&lt;V594,S1119&lt;V1119), "YES", "NO")</f>
        <v>NO</v>
      </c>
      <c r="AC594" t="str">
        <f t="shared" si="2"/>
        <v>NO</v>
      </c>
      <c r="AD594" t="str">
        <f t="shared" si="3"/>
        <v>NO</v>
      </c>
      <c r="AE594" t="str">
        <f t="shared" si="4"/>
        <v>NO</v>
      </c>
      <c r="AF594" t="str">
        <f t="shared" si="5"/>
        <v>YES</v>
      </c>
    </row>
    <row r="595" spans="1:32" ht="15" x14ac:dyDescent="0.35">
      <c r="A595" s="7" t="s">
        <v>614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>LEFT($A595,FIND("_",$A595)-1)</f>
        <v>ARJA</v>
      </c>
      <c r="P595" s="13" t="str">
        <f>IF($O595="ACS", "True Search", IF($O595="Arja", "Evolutionary Search", IF($O595="AVATAR", "True Pattern", IF($O595="CapGen", "Search Like Pattern", IF($O595="Cardumen", "True Semantic", IF($O595="DynaMoth", "True Semantic", IF($O595="FixMiner", "True Pattern", IF($O595="GenProg-A", "Evolutionary Search", IF($O595="Hercules", "Learning Pattern", IF($O595="Jaid", "True Semantic",
IF($O595="Kali-A", "True Search", IF($O595="kPAR", "True Pattern", IF($O595="Nopol", "True Semantic", IF($O595="RSRepair-A", "Evolutionary Search", IF($O595="SequenceR", "Deep Learning", IF($O595="SimFix", "Search Like Pattern", IF($O595="SketchFix", "True Pattern", IF($O595="SOFix", "True Pattern", IF($O595="ssFix", "Search Like Pattern", IF($O595="TBar", "True Pattern", ""))))))))))))))))))))</f>
        <v>Evolutionary Search</v>
      </c>
      <c r="Q595" s="13" t="str">
        <f>IF(NOT(ISERR(SEARCH("*_Buggy",$A595))), "Buggy", IF(NOT(ISERR(SEARCH("*_Fixed",$A595))), "Fixed", IF(NOT(ISERR(SEARCH("*_Repaired",$A595))), "Repaired", "")))</f>
        <v>Fixed</v>
      </c>
      <c r="R595" s="13" t="s">
        <v>1669</v>
      </c>
      <c r="S595" s="25">
        <v>4</v>
      </c>
      <c r="T595" s="25">
        <v>4</v>
      </c>
      <c r="U595" s="25">
        <v>0</v>
      </c>
      <c r="V595" s="13">
        <v>4</v>
      </c>
      <c r="W595" s="13" t="str">
        <f>MID(A595, SEARCH("_", A595) +1, SEARCH("_", A595, SEARCH("_", A595) +1) - SEARCH("_", A595) -1)</f>
        <v>Math-28</v>
      </c>
      <c r="Y595" s="1" t="str">
        <f t="shared" si="0"/>
        <v>YES</v>
      </c>
      <c r="Z595" s="1" t="str">
        <f t="shared" si="1"/>
        <v>NO</v>
      </c>
      <c r="AA595" t="str">
        <f>IF(AND(S595&gt;1,S1120&gt;1,S595=V595,S1120=V1120), "YES", "NO")</f>
        <v>NO</v>
      </c>
      <c r="AB595" t="str">
        <f>IF(AND(S595&gt;1,S1120&gt;1,S595&lt;V595,S1120&lt;V1120), "YES", "NO")</f>
        <v>NO</v>
      </c>
      <c r="AC595" t="str">
        <f t="shared" si="2"/>
        <v>NO</v>
      </c>
      <c r="AD595" t="str">
        <f t="shared" si="3"/>
        <v>NO</v>
      </c>
      <c r="AE595" t="str">
        <f t="shared" si="4"/>
        <v>NO</v>
      </c>
      <c r="AF595" t="str">
        <f t="shared" si="5"/>
        <v>NO</v>
      </c>
    </row>
    <row r="596" spans="1:32" ht="15" x14ac:dyDescent="0.35">
      <c r="A596" s="7" t="s">
        <v>738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>LEFT($A596,FIND("_",$A596)-1)</f>
        <v>ARJA</v>
      </c>
      <c r="P596" s="13" t="str">
        <f>IF($O596="ACS", "True Search", IF($O596="Arja", "Evolutionary Search", IF($O596="AVATAR", "True Pattern", IF($O596="CapGen", "Search Like Pattern", IF($O596="Cardumen", "True Semantic", IF($O596="DynaMoth", "True Semantic", IF($O596="FixMiner", "True Pattern", IF($O596="GenProg-A", "Evolutionary Search", IF($O596="Hercules", "Learning Pattern", IF($O596="Jaid", "True Semantic",
IF($O596="Kali-A", "True Search", IF($O596="kPAR", "True Pattern", IF($O596="Nopol", "True Semantic", IF($O596="RSRepair-A", "Evolutionary Search", IF($O596="SequenceR", "Deep Learning", IF($O596="SimFix", "Search Like Pattern", IF($O596="SketchFix", "True Pattern", IF($O596="SOFix", "True Pattern", IF($O596="ssFix", "Search Like Pattern", IF($O596="TBar", "True Pattern", ""))))))))))))))))))))</f>
        <v>Evolutionary Search</v>
      </c>
      <c r="Q596" s="13" t="str">
        <f>IF(NOT(ISERR(SEARCH("*_Buggy",$A596))), "Buggy", IF(NOT(ISERR(SEARCH("*_Fixed",$A596))), "Fixed", IF(NOT(ISERR(SEARCH("*_Repaired",$A596))), "Repaired", "")))</f>
        <v>Fixed</v>
      </c>
      <c r="R596" s="13" t="s">
        <v>1668</v>
      </c>
      <c r="S596" s="25">
        <v>2</v>
      </c>
      <c r="T596" s="13">
        <v>2</v>
      </c>
      <c r="U596" s="25">
        <v>2</v>
      </c>
      <c r="V596" s="13">
        <v>2</v>
      </c>
      <c r="W596" s="13" t="str">
        <f>MID(A596, SEARCH("_", A596) +1, SEARCH("_", A596, SEARCH("_", A596) +1) - SEARCH("_", A596) -1)</f>
        <v>Math-35</v>
      </c>
      <c r="Y596" s="1" t="str">
        <f t="shared" si="0"/>
        <v>YES</v>
      </c>
      <c r="Z596" s="1" t="str">
        <f t="shared" si="1"/>
        <v>NO</v>
      </c>
      <c r="AA596" t="str">
        <f>IF(AND(S596&gt;1,S1121&gt;1,S596=V596,S1121=V1121), "YES", "NO")</f>
        <v>NO</v>
      </c>
      <c r="AB596" t="str">
        <f>IF(AND(S596&gt;1,S1121&gt;1,S596&lt;V596,S1121&lt;V1121), "YES", "NO")</f>
        <v>NO</v>
      </c>
      <c r="AC596" t="str">
        <f t="shared" si="2"/>
        <v>NO</v>
      </c>
      <c r="AD596" t="str">
        <f t="shared" si="3"/>
        <v>NO</v>
      </c>
      <c r="AE596" t="str">
        <f t="shared" si="4"/>
        <v>NO</v>
      </c>
      <c r="AF596" t="str">
        <f t="shared" si="5"/>
        <v>YES</v>
      </c>
    </row>
    <row r="597" spans="1:32" ht="15" x14ac:dyDescent="0.35">
      <c r="A597" s="5" t="s">
        <v>639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>LEFT($A597,FIND("_",$A597)-1)</f>
        <v>ARJA</v>
      </c>
      <c r="P597" s="13" t="str">
        <f>IF($O597="ACS", "True Search", IF($O597="Arja", "Evolutionary Search", IF($O597="AVATAR", "True Pattern", IF($O597="CapGen", "Search Like Pattern", IF($O597="Cardumen", "True Semantic", IF($O597="DynaMoth", "True Semantic", IF($O597="FixMiner", "True Pattern", IF($O597="GenProg-A", "Evolutionary Search", IF($O597="Hercules", "Learning Pattern", IF($O597="Jaid", "True Semantic",
IF($O597="Kali-A", "True Search", IF($O597="kPAR", "True Pattern", IF($O597="Nopol", "True Semantic", IF($O597="RSRepair-A", "Evolutionary Search", IF($O597="SequenceR", "Deep Learning", IF($O597="SimFix", "Search Like Pattern", IF($O597="SketchFix", "True Pattern", IF($O597="SOFix", "True Pattern", IF($O597="ssFix", "Search Like Pattern", IF($O597="TBar", "True Pattern", ""))))))))))))))))))))</f>
        <v>Evolutionary Search</v>
      </c>
      <c r="Q597" s="13" t="str">
        <f>IF(NOT(ISERR(SEARCH("*_Buggy",$A597))), "Buggy", IF(NOT(ISERR(SEARCH("*_Fixed",$A597))), "Fixed", IF(NOT(ISERR(SEARCH("*_Repaired",$A597))), "Repaired", "")))</f>
        <v>Fixed</v>
      </c>
      <c r="R597" s="13" t="s">
        <v>1669</v>
      </c>
      <c r="S597" s="25">
        <v>2</v>
      </c>
      <c r="T597" s="25">
        <v>8</v>
      </c>
      <c r="U597" s="25">
        <v>2</v>
      </c>
      <c r="V597" s="13">
        <v>8</v>
      </c>
      <c r="W597" s="13" t="str">
        <f>MID(A597, SEARCH("_", A597) +1, SEARCH("_", A597, SEARCH("_", A597) +1) - SEARCH("_", A597) -1)</f>
        <v>Math-40</v>
      </c>
      <c r="Y597" s="1" t="str">
        <f t="shared" si="0"/>
        <v>NO</v>
      </c>
      <c r="Z597" s="1" t="str">
        <f t="shared" si="1"/>
        <v>YES</v>
      </c>
      <c r="AA597" t="str">
        <f>IF(AND(S597&gt;1,S1122&gt;1,S597=V597,S1122=V1122), "YES", "NO")</f>
        <v>NO</v>
      </c>
      <c r="AB597" t="str">
        <f>IF(AND(S597&gt;1,S1122&gt;1,S597&lt;V597,S1122&lt;V1122), "YES", "NO")</f>
        <v>NO</v>
      </c>
      <c r="AC597" t="str">
        <f t="shared" si="2"/>
        <v>NO</v>
      </c>
      <c r="AD597" t="str">
        <f t="shared" si="3"/>
        <v>NO</v>
      </c>
      <c r="AE597" t="str">
        <f t="shared" si="4"/>
        <v>NO</v>
      </c>
      <c r="AF597" t="str">
        <f t="shared" si="5"/>
        <v>YES</v>
      </c>
    </row>
    <row r="598" spans="1:32" ht="15" x14ac:dyDescent="0.35">
      <c r="A598" s="7" t="s">
        <v>299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>LEFT($A598,FIND("_",$A598)-1)</f>
        <v>ARJA</v>
      </c>
      <c r="P598" s="13" t="str">
        <f>IF($O598="ACS", "True Search", IF($O598="Arja", "Evolutionary Search", IF($O598="AVATAR", "True Pattern", IF($O598="CapGen", "Search Like Pattern", IF($O598="Cardumen", "True Semantic", IF($O598="DynaMoth", "True Semantic", IF($O598="FixMiner", "True Pattern", IF($O598="GenProg-A", "Evolutionary Search", IF($O598="Hercules", "Learning Pattern", IF($O598="Jaid", "True Semantic",
IF($O598="Kali-A", "True Search", IF($O598="kPAR", "True Pattern", IF($O598="Nopol", "True Semantic", IF($O598="RSRepair-A", "Evolutionary Search", IF($O598="SequenceR", "Deep Learning", IF($O598="SimFix", "Search Like Pattern", IF($O598="SketchFix", "True Pattern", IF($O598="SOFix", "True Pattern", IF($O598="ssFix", "Search Like Pattern", IF($O598="TBar", "True Pattern", ""))))))))))))))))))))</f>
        <v>Evolutionary Search</v>
      </c>
      <c r="Q598" s="13" t="str">
        <f>IF(NOT(ISERR(SEARCH("*_Buggy",$A598))), "Buggy", IF(NOT(ISERR(SEARCH("*_Fixed",$A598))), "Fixed", IF(NOT(ISERR(SEARCH("*_Repaired",$A598))), "Repaired", "")))</f>
        <v>Fixed</v>
      </c>
      <c r="R598" s="13" t="s">
        <v>1669</v>
      </c>
      <c r="S598" s="25">
        <v>4</v>
      </c>
      <c r="T598" s="25">
        <v>4</v>
      </c>
      <c r="U598" s="25">
        <v>4</v>
      </c>
      <c r="V598" s="13">
        <v>4</v>
      </c>
      <c r="W598" s="13" t="str">
        <f>MID(A598, SEARCH("_", A598) +1, SEARCH("_", A598, SEARCH("_", A598) +1) - SEARCH("_", A598) -1)</f>
        <v>Math-49</v>
      </c>
      <c r="Y598" s="1" t="str">
        <f t="shared" si="0"/>
        <v>YES</v>
      </c>
      <c r="Z598" s="1" t="str">
        <f t="shared" si="1"/>
        <v>NO</v>
      </c>
      <c r="AA598" t="str">
        <f>IF(AND(S598&gt;1,S1123&gt;1,S598=V598,S1123=V1123), "YES", "NO")</f>
        <v>NO</v>
      </c>
      <c r="AB598" t="str">
        <f>IF(AND(S598&gt;1,S1123&gt;1,S598&lt;V598,S1123&lt;V1123), "YES", "NO")</f>
        <v>NO</v>
      </c>
      <c r="AC598" t="str">
        <f t="shared" si="2"/>
        <v>NO</v>
      </c>
      <c r="AD598" t="str">
        <f t="shared" si="3"/>
        <v>NO</v>
      </c>
      <c r="AE598" t="str">
        <f t="shared" si="4"/>
        <v>NO</v>
      </c>
      <c r="AF598" t="str">
        <f t="shared" si="5"/>
        <v>YES</v>
      </c>
    </row>
    <row r="599" spans="1:32" ht="15" x14ac:dyDescent="0.35">
      <c r="A599" s="7" t="s">
        <v>430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>LEFT($A599,FIND("_",$A599)-1)</f>
        <v>ARJA</v>
      </c>
      <c r="P599" s="13" t="str">
        <f>IF($O599="ACS", "True Search", IF($O599="Arja", "Evolutionary Search", IF($O599="AVATAR", "True Pattern", IF($O599="CapGen", "Search Like Pattern", IF($O599="Cardumen", "True Semantic", IF($O599="DynaMoth", "True Semantic", IF($O599="FixMiner", "True Pattern", IF($O599="GenProg-A", "Evolutionary Search", IF($O599="Hercules", "Learning Pattern", IF($O599="Jaid", "True Semantic",
IF($O599="Kali-A", "True Search", IF($O599="kPAR", "True Pattern", IF($O599="Nopol", "True Semantic", IF($O599="RSRepair-A", "Evolutionary Search", IF($O599="SequenceR", "Deep Learning", IF($O599="SimFix", "Search Like Pattern", IF($O599="SketchFix", "True Pattern", IF($O599="SOFix", "True Pattern", IF($O599="ssFix", "Search Like Pattern", IF($O599="TBar", "True Pattern", ""))))))))))))))))))))</f>
        <v>Evolutionary Search</v>
      </c>
      <c r="Q599" s="13" t="str">
        <f>IF(NOT(ISERR(SEARCH("*_Buggy",$A599))), "Buggy", IF(NOT(ISERR(SEARCH("*_Fixed",$A599))), "Fixed", IF(NOT(ISERR(SEARCH("*_Repaired",$A599))), "Repaired", "")))</f>
        <v>Fixed</v>
      </c>
      <c r="R599" s="13" t="s">
        <v>1668</v>
      </c>
      <c r="S599" s="25">
        <v>1</v>
      </c>
      <c r="T599" s="25">
        <v>0</v>
      </c>
      <c r="U599" s="25">
        <v>4</v>
      </c>
      <c r="V599" s="13">
        <v>4</v>
      </c>
      <c r="W599" s="13" t="str">
        <f>MID(A599, SEARCH("_", A599) +1, SEARCH("_", A599, SEARCH("_", A599) +1) - SEARCH("_", A599) -1)</f>
        <v>Math-50</v>
      </c>
      <c r="Y599" s="1" t="str">
        <f t="shared" si="0"/>
        <v>NO</v>
      </c>
      <c r="Z599" s="1" t="str">
        <f t="shared" si="1"/>
        <v>NO</v>
      </c>
      <c r="AA599" t="str">
        <f>IF(AND(S599&gt;1,S1124&gt;1,S599=V599,S1124=V1124), "YES", "NO")</f>
        <v>NO</v>
      </c>
      <c r="AB599" t="str">
        <f>IF(AND(S599&gt;1,S1124&gt;1,S599&lt;V599,S1124&lt;V1124), "YES", "NO")</f>
        <v>NO</v>
      </c>
      <c r="AC599" t="str">
        <f t="shared" si="2"/>
        <v>NO</v>
      </c>
      <c r="AD599" t="str">
        <f t="shared" si="3"/>
        <v>NO</v>
      </c>
      <c r="AE599" t="str">
        <f t="shared" si="4"/>
        <v>NO</v>
      </c>
      <c r="AF599" t="str">
        <f t="shared" si="5"/>
        <v>NO</v>
      </c>
    </row>
    <row r="600" spans="1:32" ht="15" x14ac:dyDescent="0.35">
      <c r="A600" s="5" t="s">
        <v>236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>LEFT($A600,FIND("_",$A600)-1)</f>
        <v>ARJA</v>
      </c>
      <c r="P600" s="13" t="str">
        <f>IF($O600="ACS", "True Search", IF($O600="Arja", "Evolutionary Search", IF($O600="AVATAR", "True Pattern", IF($O600="CapGen", "Search Like Pattern", IF($O600="Cardumen", "True Semantic", IF($O600="DynaMoth", "True Semantic", IF($O600="FixMiner", "True Pattern", IF($O600="GenProg-A", "Evolutionary Search", IF($O600="Hercules", "Learning Pattern", IF($O600="Jaid", "True Semantic",
IF($O600="Kali-A", "True Search", IF($O600="kPAR", "True Pattern", IF($O600="Nopol", "True Semantic", IF($O600="RSRepair-A", "Evolutionary Search", IF($O600="SequenceR", "Deep Learning", IF($O600="SimFix", "Search Like Pattern", IF($O600="SketchFix", "True Pattern", IF($O600="SOFix", "True Pattern", IF($O600="ssFix", "Search Like Pattern", IF($O600="TBar", "True Pattern", ""))))))))))))))))))))</f>
        <v>Evolutionary Search</v>
      </c>
      <c r="Q600" s="13" t="str">
        <f>IF(NOT(ISERR(SEARCH("*_Buggy",$A600))), "Buggy", IF(NOT(ISERR(SEARCH("*_Fixed",$A600))), "Fixed", IF(NOT(ISERR(SEARCH("*_Repaired",$A600))), "Repaired", "")))</f>
        <v>Fixed</v>
      </c>
      <c r="R600" s="13" t="s">
        <v>1669</v>
      </c>
      <c r="S600" s="25">
        <v>1</v>
      </c>
      <c r="T600" s="25">
        <v>3</v>
      </c>
      <c r="U600" s="13">
        <v>0</v>
      </c>
      <c r="V600" s="13">
        <v>3</v>
      </c>
      <c r="W600" s="13" t="str">
        <f>MID(A600, SEARCH("_", A600) +1, SEARCH("_", A600, SEARCH("_", A600) +1) - SEARCH("_", A600) -1)</f>
        <v>Math-53</v>
      </c>
      <c r="Y600" s="1" t="str">
        <f t="shared" si="0"/>
        <v>NO</v>
      </c>
      <c r="Z600" s="1" t="str">
        <f t="shared" si="1"/>
        <v>NO</v>
      </c>
      <c r="AA600" t="str">
        <f>IF(AND(S600&gt;1,S1125&gt;1,S600=V600,S1125=V1125), "YES", "NO")</f>
        <v>NO</v>
      </c>
      <c r="AB600" t="str">
        <f>IF(AND(S600&gt;1,S1125&gt;1,S600&lt;V600,S1125&lt;V1125), "YES", "NO")</f>
        <v>NO</v>
      </c>
      <c r="AC600" t="str">
        <f t="shared" si="2"/>
        <v>NO</v>
      </c>
      <c r="AD600" t="str">
        <f t="shared" si="3"/>
        <v>YES</v>
      </c>
      <c r="AE600" t="str">
        <f t="shared" si="4"/>
        <v>NO</v>
      </c>
      <c r="AF600" t="str">
        <f t="shared" si="5"/>
        <v>YES</v>
      </c>
    </row>
    <row r="601" spans="1:32" ht="15" x14ac:dyDescent="0.35">
      <c r="A601" s="7" t="s">
        <v>596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>LEFT($A601,FIND("_",$A601)-1)</f>
        <v>ARJA</v>
      </c>
      <c r="P601" s="13" t="str">
        <f>IF($O601="ACS", "True Search", IF($O601="Arja", "Evolutionary Search", IF($O601="AVATAR", "True Pattern", IF($O601="CapGen", "Search Like Pattern", IF($O601="Cardumen", "True Semantic", IF($O601="DynaMoth", "True Semantic", IF($O601="FixMiner", "True Pattern", IF($O601="GenProg-A", "Evolutionary Search", IF($O601="Hercules", "Learning Pattern", IF($O601="Jaid", "True Semantic",
IF($O601="Kali-A", "True Search", IF($O601="kPAR", "True Pattern", IF($O601="Nopol", "True Semantic", IF($O601="RSRepair-A", "Evolutionary Search", IF($O601="SequenceR", "Deep Learning", IF($O601="SimFix", "Search Like Pattern", IF($O601="SketchFix", "True Pattern", IF($O601="SOFix", "True Pattern", IF($O601="ssFix", "Search Like Pattern", IF($O601="TBar", "True Pattern", ""))))))))))))))))))))</f>
        <v>Evolutionary Search</v>
      </c>
      <c r="Q601" s="13" t="str">
        <f>IF(NOT(ISERR(SEARCH("*_Buggy",$A601))), "Buggy", IF(NOT(ISERR(SEARCH("*_Fixed",$A601))), "Fixed", IF(NOT(ISERR(SEARCH("*_Repaired",$A601))), "Repaired", "")))</f>
        <v>Fixed</v>
      </c>
      <c r="R601" s="13" t="s">
        <v>1669</v>
      </c>
      <c r="S601" s="25">
        <v>1</v>
      </c>
      <c r="T601" s="13">
        <v>1</v>
      </c>
      <c r="U601" s="25">
        <v>7</v>
      </c>
      <c r="V601" s="13">
        <v>7</v>
      </c>
      <c r="W601" s="13" t="str">
        <f>MID(A601, SEARCH("_", A601) +1, SEARCH("_", A601, SEARCH("_", A601) +1) - SEARCH("_", A601) -1)</f>
        <v>Math-56</v>
      </c>
      <c r="Y601" s="1" t="str">
        <f t="shared" si="0"/>
        <v>NO</v>
      </c>
      <c r="Z601" s="1" t="str">
        <f t="shared" si="1"/>
        <v>NO</v>
      </c>
      <c r="AA601" t="str">
        <f>IF(AND(S601&gt;1,S1126&gt;1,S601=V601,S1126=V1126), "YES", "NO")</f>
        <v>NO</v>
      </c>
      <c r="AB601" t="str">
        <f>IF(AND(S601&gt;1,S1126&gt;1,S601&lt;V601,S1126&lt;V1126), "YES", "NO")</f>
        <v>NO</v>
      </c>
      <c r="AC601" t="str">
        <f t="shared" si="2"/>
        <v>NO</v>
      </c>
      <c r="AD601" t="str">
        <f t="shared" si="3"/>
        <v>YES</v>
      </c>
      <c r="AE601" t="str">
        <f t="shared" si="4"/>
        <v>NO</v>
      </c>
      <c r="AF601" t="str">
        <f t="shared" si="5"/>
        <v>YES</v>
      </c>
    </row>
    <row r="602" spans="1:32" ht="15" x14ac:dyDescent="0.35">
      <c r="A602" s="5" t="s">
        <v>1055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>LEFT($A602,FIND("_",$A602)-1)</f>
        <v>ARJA</v>
      </c>
      <c r="P602" s="13" t="str">
        <f>IF($O602="ACS", "True Search", IF($O602="Arja", "Evolutionary Search", IF($O602="AVATAR", "True Pattern", IF($O602="CapGen", "Search Like Pattern", IF($O602="Cardumen", "True Semantic", IF($O602="DynaMoth", "True Semantic", IF($O602="FixMiner", "True Pattern", IF($O602="GenProg-A", "Evolutionary Search", IF($O602="Hercules", "Learning Pattern", IF($O602="Jaid", "True Semantic",
IF($O602="Kali-A", "True Search", IF($O602="kPAR", "True Pattern", IF($O602="Nopol", "True Semantic", IF($O602="RSRepair-A", "Evolutionary Search", IF($O602="SequenceR", "Deep Learning", IF($O602="SimFix", "Search Like Pattern", IF($O602="SketchFix", "True Pattern", IF($O602="SOFix", "True Pattern", IF($O602="ssFix", "Search Like Pattern", IF($O602="TBar", "True Pattern", ""))))))))))))))))))))</f>
        <v>Evolutionary Search</v>
      </c>
      <c r="Q602" s="13" t="str">
        <f>IF(NOT(ISERR(SEARCH("*_Buggy",$A602))), "Buggy", IF(NOT(ISERR(SEARCH("*_Fixed",$A602))), "Fixed", IF(NOT(ISERR(SEARCH("*_Repaired",$A602))), "Repaired", "")))</f>
        <v>Fixed</v>
      </c>
      <c r="R602" s="13" t="s">
        <v>1668</v>
      </c>
      <c r="S602" s="25">
        <v>1</v>
      </c>
      <c r="T602" s="25">
        <v>1</v>
      </c>
      <c r="U602" s="25">
        <v>1</v>
      </c>
      <c r="V602" s="13">
        <v>1</v>
      </c>
      <c r="W602" s="13" t="str">
        <f>MID(A602, SEARCH("_", A602) +1, SEARCH("_", A602, SEARCH("_", A602) +1) - SEARCH("_", A602) -1)</f>
        <v>Math-58</v>
      </c>
      <c r="Y602" s="1" t="str">
        <f t="shared" si="0"/>
        <v>NO</v>
      </c>
      <c r="Z602" s="1" t="str">
        <f t="shared" si="1"/>
        <v>NO</v>
      </c>
      <c r="AA602" t="str">
        <f>IF(AND(S602&gt;1,S1127&gt;1,S602=V602,S1127=V1127), "YES", "NO")</f>
        <v>NO</v>
      </c>
      <c r="AB602" t="str">
        <f>IF(AND(S602&gt;1,S1127&gt;1,S602&lt;V602,S1127&lt;V1127), "YES", "NO")</f>
        <v>NO</v>
      </c>
      <c r="AC602" t="str">
        <f t="shared" si="2"/>
        <v>YES</v>
      </c>
      <c r="AD602" t="str">
        <f t="shared" si="3"/>
        <v>NO</v>
      </c>
      <c r="AE602" t="str">
        <f t="shared" si="4"/>
        <v>YES</v>
      </c>
      <c r="AF602" t="str">
        <f t="shared" si="5"/>
        <v>NO</v>
      </c>
    </row>
    <row r="603" spans="1:32" ht="15" x14ac:dyDescent="0.35">
      <c r="A603" s="7" t="s">
        <v>845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>LEFT($A603,FIND("_",$A603)-1)</f>
        <v>ARJA</v>
      </c>
      <c r="P603" s="13" t="str">
        <f>IF($O603="ACS", "True Search", IF($O603="Arja", "Evolutionary Search", IF($O603="AVATAR", "True Pattern", IF($O603="CapGen", "Search Like Pattern", IF($O603="Cardumen", "True Semantic", IF($O603="DynaMoth", "True Semantic", IF($O603="FixMiner", "True Pattern", IF($O603="GenProg-A", "Evolutionary Search", IF($O603="Hercules", "Learning Pattern", IF($O603="Jaid", "True Semantic",
IF($O603="Kali-A", "True Search", IF($O603="kPAR", "True Pattern", IF($O603="Nopol", "True Semantic", IF($O603="RSRepair-A", "Evolutionary Search", IF($O603="SequenceR", "Deep Learning", IF($O603="SimFix", "Search Like Pattern", IF($O603="SketchFix", "True Pattern", IF($O603="SOFix", "True Pattern", IF($O603="ssFix", "Search Like Pattern", IF($O603="TBar", "True Pattern", ""))))))))))))))))))))</f>
        <v>Evolutionary Search</v>
      </c>
      <c r="Q603" s="13" t="str">
        <f>IF(NOT(ISERR(SEARCH("*_Buggy",$A603))), "Buggy", IF(NOT(ISERR(SEARCH("*_Fixed",$A603))), "Fixed", IF(NOT(ISERR(SEARCH("*_Repaired",$A603))), "Repaired", "")))</f>
        <v>Fixed</v>
      </c>
      <c r="R603" s="13" t="s">
        <v>1668</v>
      </c>
      <c r="S603" s="25">
        <v>1</v>
      </c>
      <c r="T603" s="25">
        <v>1</v>
      </c>
      <c r="U603" s="25">
        <v>1</v>
      </c>
      <c r="V603" s="13">
        <v>1</v>
      </c>
      <c r="W603" s="13" t="str">
        <f>MID(A603, SEARCH("_", A603) +1, SEARCH("_", A603, SEARCH("_", A603) +1) - SEARCH("_", A603) -1)</f>
        <v>Math-70</v>
      </c>
      <c r="Y603" s="1" t="str">
        <f t="shared" si="0"/>
        <v>NO</v>
      </c>
      <c r="Z603" s="1" t="str">
        <f t="shared" si="1"/>
        <v>NO</v>
      </c>
      <c r="AA603" t="str">
        <f>IF(AND(S603&gt;1,S1128&gt;1,S603=V603,S1128=V1128), "YES", "NO")</f>
        <v>NO</v>
      </c>
      <c r="AB603" t="str">
        <f>IF(AND(S603&gt;1,S1128&gt;1,S603&lt;V603,S1128&lt;V1128), "YES", "NO")</f>
        <v>NO</v>
      </c>
      <c r="AC603" t="str">
        <f t="shared" si="2"/>
        <v>YES</v>
      </c>
      <c r="AD603" t="str">
        <f t="shared" si="3"/>
        <v>NO</v>
      </c>
      <c r="AE603" t="str">
        <f t="shared" si="4"/>
        <v>YES</v>
      </c>
      <c r="AF603" t="str">
        <f t="shared" si="5"/>
        <v>NO</v>
      </c>
    </row>
    <row r="604" spans="1:32" ht="15" x14ac:dyDescent="0.35">
      <c r="A604" s="5" t="s">
        <v>1175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>LEFT($A604,FIND("_",$A604)-1)</f>
        <v>ARJA</v>
      </c>
      <c r="P604" s="13" t="str">
        <f>IF($O604="ACS", "True Search", IF($O604="Arja", "Evolutionary Search", IF($O604="AVATAR", "True Pattern", IF($O604="CapGen", "Search Like Pattern", IF($O604="Cardumen", "True Semantic", IF($O604="DynaMoth", "True Semantic", IF($O604="FixMiner", "True Pattern", IF($O604="GenProg-A", "Evolutionary Search", IF($O604="Hercules", "Learning Pattern", IF($O604="Jaid", "True Semantic",
IF($O604="Kali-A", "True Search", IF($O604="kPAR", "True Pattern", IF($O604="Nopol", "True Semantic", IF($O604="RSRepair-A", "Evolutionary Search", IF($O604="SequenceR", "Deep Learning", IF($O604="SimFix", "Search Like Pattern", IF($O604="SketchFix", "True Pattern", IF($O604="SOFix", "True Pattern", IF($O604="ssFix", "Search Like Pattern", IF($O604="TBar", "True Pattern", ""))))))))))))))))))))</f>
        <v>Evolutionary Search</v>
      </c>
      <c r="Q604" s="13" t="str">
        <f>IF(NOT(ISERR(SEARCH("*_Buggy",$A604))), "Buggy", IF(NOT(ISERR(SEARCH("*_Fixed",$A604))), "Fixed", IF(NOT(ISERR(SEARCH("*_Repaired",$A604))), "Repaired", "")))</f>
        <v>Fixed</v>
      </c>
      <c r="R604" s="13" t="s">
        <v>1669</v>
      </c>
      <c r="S604" s="25">
        <v>1</v>
      </c>
      <c r="T604" s="25">
        <v>1</v>
      </c>
      <c r="U604" s="25">
        <v>1</v>
      </c>
      <c r="V604" s="13">
        <v>1</v>
      </c>
      <c r="W604" s="13" t="str">
        <f>MID(A604, SEARCH("_", A604) +1, SEARCH("_", A604, SEARCH("_", A604) +1) - SEARCH("_", A604) -1)</f>
        <v>Math-80</v>
      </c>
      <c r="Y604" s="1" t="str">
        <f t="shared" si="0"/>
        <v>NO</v>
      </c>
      <c r="Z604" s="1" t="str">
        <f t="shared" si="1"/>
        <v>NO</v>
      </c>
      <c r="AA604" t="str">
        <f>IF(AND(S604&gt;1,S1129&gt;1,S604=V604,S1129=V1129), "YES", "NO")</f>
        <v>NO</v>
      </c>
      <c r="AB604" t="str">
        <f>IF(AND(S604&gt;1,S1129&gt;1,S604&lt;V604,S1129&lt;V1129), "YES", "NO")</f>
        <v>NO</v>
      </c>
      <c r="AC604" t="str">
        <f t="shared" si="2"/>
        <v>NO</v>
      </c>
      <c r="AD604" t="str">
        <f t="shared" si="3"/>
        <v>NO</v>
      </c>
      <c r="AE604" t="str">
        <f t="shared" si="4"/>
        <v>NO</v>
      </c>
      <c r="AF604" t="str">
        <f t="shared" si="5"/>
        <v>NO</v>
      </c>
    </row>
    <row r="605" spans="1:32" ht="15" x14ac:dyDescent="0.35">
      <c r="A605" s="7" t="s">
        <v>417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>LEFT($A605,FIND("_",$A605)-1)</f>
        <v>ARJA</v>
      </c>
      <c r="P605" s="13" t="str">
        <f>IF($O605="ACS", "True Search", IF($O605="Arja", "Evolutionary Search", IF($O605="AVATAR", "True Pattern", IF($O605="CapGen", "Search Like Pattern", IF($O605="Cardumen", "True Semantic", IF($O605="DynaMoth", "True Semantic", IF($O605="FixMiner", "True Pattern", IF($O605="GenProg-A", "Evolutionary Search", IF($O605="Hercules", "Learning Pattern", IF($O605="Jaid", "True Semantic",
IF($O605="Kali-A", "True Search", IF($O605="kPAR", "True Pattern", IF($O605="Nopol", "True Semantic", IF($O605="RSRepair-A", "Evolutionary Search", IF($O605="SequenceR", "Deep Learning", IF($O605="SimFix", "Search Like Pattern", IF($O605="SketchFix", "True Pattern", IF($O605="SOFix", "True Pattern", IF($O605="ssFix", "Search Like Pattern", IF($O605="TBar", "True Pattern", ""))))))))))))))))))))</f>
        <v>Evolutionary Search</v>
      </c>
      <c r="Q605" s="13" t="str">
        <f>IF(NOT(ISERR(SEARCH("*_Buggy",$A605))), "Buggy", IF(NOT(ISERR(SEARCH("*_Fixed",$A605))), "Fixed", IF(NOT(ISERR(SEARCH("*_Repaired",$A605))), "Repaired", "")))</f>
        <v>Fixed</v>
      </c>
      <c r="R605" s="13" t="s">
        <v>1669</v>
      </c>
      <c r="S605" s="25">
        <v>3</v>
      </c>
      <c r="T605" s="25">
        <v>4</v>
      </c>
      <c r="U605" s="25">
        <v>3</v>
      </c>
      <c r="V605" s="13">
        <v>4</v>
      </c>
      <c r="W605" s="13" t="str">
        <f>MID(A605, SEARCH("_", A605) +1, SEARCH("_", A605, SEARCH("_", A605) +1) - SEARCH("_", A605) -1)</f>
        <v>Math-81</v>
      </c>
      <c r="Y605" s="1" t="str">
        <f t="shared" si="0"/>
        <v>NO</v>
      </c>
      <c r="Z605" s="1" t="str">
        <f t="shared" si="1"/>
        <v>YES</v>
      </c>
      <c r="AA605" t="str">
        <f>IF(AND(S605&gt;1,S1130&gt;1,S605=V605,S1130=V1130), "YES", "NO")</f>
        <v>NO</v>
      </c>
      <c r="AB605" t="str">
        <f>IF(AND(S605&gt;1,S1130&gt;1,S605&lt;V605,S1130&lt;V1130), "YES", "NO")</f>
        <v>YES</v>
      </c>
      <c r="AC605" t="str">
        <f t="shared" si="2"/>
        <v>NO</v>
      </c>
      <c r="AD605" t="str">
        <f t="shared" si="3"/>
        <v>NO</v>
      </c>
      <c r="AE605" t="str">
        <f t="shared" si="4"/>
        <v>NO</v>
      </c>
      <c r="AF605" t="str">
        <f t="shared" si="5"/>
        <v>YES</v>
      </c>
    </row>
    <row r="606" spans="1:32" ht="15" x14ac:dyDescent="0.35">
      <c r="A606" s="5" t="s">
        <v>25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>LEFT($A606,FIND("_",$A606)-1)</f>
        <v>ARJA</v>
      </c>
      <c r="P606" s="13" t="str">
        <f>IF($O606="ACS", "True Search", IF($O606="Arja", "Evolutionary Search", IF($O606="AVATAR", "True Pattern", IF($O606="CapGen", "Search Like Pattern", IF($O606="Cardumen", "True Semantic", IF($O606="DynaMoth", "True Semantic", IF($O606="FixMiner", "True Pattern", IF($O606="GenProg-A", "Evolutionary Search", IF($O606="Hercules", "Learning Pattern", IF($O606="Jaid", "True Semantic",
IF($O606="Kali-A", "True Search", IF($O606="kPAR", "True Pattern", IF($O606="Nopol", "True Semantic", IF($O606="RSRepair-A", "Evolutionary Search", IF($O606="SequenceR", "Deep Learning", IF($O606="SimFix", "Search Like Pattern", IF($O606="SketchFix", "True Pattern", IF($O606="SOFix", "True Pattern", IF($O606="ssFix", "Search Like Pattern", IF($O606="TBar", "True Pattern", ""))))))))))))))))))))</f>
        <v>Evolutionary Search</v>
      </c>
      <c r="Q606" s="13" t="str">
        <f>IF(NOT(ISERR(SEARCH("*_Buggy",$A606))), "Buggy", IF(NOT(ISERR(SEARCH("*_Fixed",$A606))), "Fixed", IF(NOT(ISERR(SEARCH("*_Repaired",$A606))), "Repaired", "")))</f>
        <v>Fixed</v>
      </c>
      <c r="R606" s="13" t="s">
        <v>1669</v>
      </c>
      <c r="S606" s="25">
        <v>3</v>
      </c>
      <c r="T606" s="25">
        <v>9</v>
      </c>
      <c r="U606" s="25">
        <v>0</v>
      </c>
      <c r="V606" s="13">
        <v>9</v>
      </c>
      <c r="W606" s="13" t="str">
        <f>MID(A606, SEARCH("_", A606) +1, SEARCH("_", A606, SEARCH("_", A606) +1) - SEARCH("_", A606) -1)</f>
        <v>Math-84</v>
      </c>
      <c r="Y606" s="1" t="str">
        <f t="shared" si="0"/>
        <v>NO</v>
      </c>
      <c r="Z606" s="1" t="str">
        <f t="shared" si="1"/>
        <v>YES</v>
      </c>
      <c r="AA606" t="str">
        <f>IF(AND(S606&gt;1,S1131&gt;1,S606=V606,S1131=V1131), "YES", "NO")</f>
        <v>NO</v>
      </c>
      <c r="AB606" t="str">
        <f>IF(AND(S606&gt;1,S1131&gt;1,S606&lt;V606,S1131&lt;V1131), "YES", "NO")</f>
        <v>NO</v>
      </c>
      <c r="AC606" t="str">
        <f t="shared" si="2"/>
        <v>NO</v>
      </c>
      <c r="AD606" t="str">
        <f t="shared" si="3"/>
        <v>NO</v>
      </c>
      <c r="AE606" t="str">
        <f t="shared" si="4"/>
        <v>NO</v>
      </c>
      <c r="AF606" t="str">
        <f t="shared" si="5"/>
        <v>YES</v>
      </c>
    </row>
    <row r="607" spans="1:32" ht="15" x14ac:dyDescent="0.35">
      <c r="A607" s="5" t="s">
        <v>902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>LEFT($A607,FIND("_",$A607)-1)</f>
        <v>ARJA</v>
      </c>
      <c r="P607" s="13" t="str">
        <f>IF($O607="ACS", "True Search", IF($O607="Arja", "Evolutionary Search", IF($O607="AVATAR", "True Pattern", IF($O607="CapGen", "Search Like Pattern", IF($O607="Cardumen", "True Semantic", IF($O607="DynaMoth", "True Semantic", IF($O607="FixMiner", "True Pattern", IF($O607="GenProg-A", "Evolutionary Search", IF($O607="Hercules", "Learning Pattern", IF($O607="Jaid", "True Semantic",
IF($O607="Kali-A", "True Search", IF($O607="kPAR", "True Pattern", IF($O607="Nopol", "True Semantic", IF($O607="RSRepair-A", "Evolutionary Search", IF($O607="SequenceR", "Deep Learning", IF($O607="SimFix", "Search Like Pattern", IF($O607="SketchFix", "True Pattern", IF($O607="SOFix", "True Pattern", IF($O607="ssFix", "Search Like Pattern", IF($O607="TBar", "True Pattern", ""))))))))))))))))))))</f>
        <v>Evolutionary Search</v>
      </c>
      <c r="Q607" s="13" t="str">
        <f>IF(NOT(ISERR(SEARCH("*_Buggy",$A607))), "Buggy", IF(NOT(ISERR(SEARCH("*_Fixed",$A607))), "Fixed", IF(NOT(ISERR(SEARCH("*_Repaired",$A607))), "Repaired", "")))</f>
        <v>Fixed</v>
      </c>
      <c r="R607" s="13" t="s">
        <v>1669</v>
      </c>
      <c r="S607" s="25">
        <v>1</v>
      </c>
      <c r="T607" s="13">
        <v>1</v>
      </c>
      <c r="U607" s="25">
        <v>1</v>
      </c>
      <c r="V607" s="13">
        <v>1</v>
      </c>
      <c r="W607" s="13" t="str">
        <f>MID(A607, SEARCH("_", A607) +1, SEARCH("_", A607, SEARCH("_", A607) +1) - SEARCH("_", A607) -1)</f>
        <v>Math-85</v>
      </c>
      <c r="Y607" s="1" t="str">
        <f t="shared" si="0"/>
        <v>NO</v>
      </c>
      <c r="Z607" s="1" t="str">
        <f t="shared" si="1"/>
        <v>NO</v>
      </c>
      <c r="AA607" t="str">
        <f>IF(AND(S607&gt;1,S1132&gt;1,S607=V607,S1132=V1132), "YES", "NO")</f>
        <v>NO</v>
      </c>
      <c r="AB607" t="str">
        <f>IF(AND(S607&gt;1,S1132&gt;1,S607&lt;V607,S1132&lt;V1132), "YES", "NO")</f>
        <v>NO</v>
      </c>
      <c r="AC607" t="str">
        <f t="shared" si="2"/>
        <v>NO</v>
      </c>
      <c r="AD607" t="str">
        <f t="shared" si="3"/>
        <v>NO</v>
      </c>
      <c r="AE607" t="str">
        <f t="shared" si="4"/>
        <v>NO</v>
      </c>
      <c r="AF607" t="str">
        <f t="shared" si="5"/>
        <v>NO</v>
      </c>
    </row>
    <row r="608" spans="1:32" ht="15" x14ac:dyDescent="0.35">
      <c r="A608" s="7" t="s">
        <v>139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>LEFT($A608,FIND("_",$A608)-1)</f>
        <v>ARJA</v>
      </c>
      <c r="P608" s="13" t="str">
        <f>IF($O608="ACS", "True Search", IF($O608="Arja", "Evolutionary Search", IF($O608="AVATAR", "True Pattern", IF($O608="CapGen", "Search Like Pattern", IF($O608="Cardumen", "True Semantic", IF($O608="DynaMoth", "True Semantic", IF($O608="FixMiner", "True Pattern", IF($O608="GenProg-A", "Evolutionary Search", IF($O608="Hercules", "Learning Pattern", IF($O608="Jaid", "True Semantic",
IF($O608="Kali-A", "True Search", IF($O608="kPAR", "True Pattern", IF($O608="Nopol", "True Semantic", IF($O608="RSRepair-A", "Evolutionary Search", IF($O608="SequenceR", "Deep Learning", IF($O608="SimFix", "Search Like Pattern", IF($O608="SketchFix", "True Pattern", IF($O608="SOFix", "True Pattern", IF($O608="ssFix", "Search Like Pattern", IF($O608="TBar", "True Pattern", ""))))))))))))))))))))</f>
        <v>Evolutionary Search</v>
      </c>
      <c r="Q608" s="13" t="str">
        <f>IF(NOT(ISERR(SEARCH("*_Buggy",$A608))), "Buggy", IF(NOT(ISERR(SEARCH("*_Fixed",$A608))), "Fixed", IF(NOT(ISERR(SEARCH("*_Repaired",$A608))), "Repaired", "")))</f>
        <v>Fixed</v>
      </c>
      <c r="R608" s="13" t="s">
        <v>1669</v>
      </c>
      <c r="S608" s="25">
        <v>4</v>
      </c>
      <c r="T608" s="25">
        <v>5</v>
      </c>
      <c r="U608" s="25">
        <v>6</v>
      </c>
      <c r="V608" s="13">
        <v>11</v>
      </c>
      <c r="W608" s="13" t="str">
        <f>MID(A608, SEARCH("_", A608) +1, SEARCH("_", A608, SEARCH("_", A608) +1) - SEARCH("_", A608) -1)</f>
        <v>Math-88</v>
      </c>
      <c r="Y608" s="1" t="str">
        <f t="shared" si="0"/>
        <v>NO</v>
      </c>
      <c r="Z608" s="1" t="str">
        <f t="shared" si="1"/>
        <v>YES</v>
      </c>
      <c r="AA608" t="str">
        <f>IF(AND(S608&gt;1,S1133&gt;1,S608=V608,S1133=V1133), "YES", "NO")</f>
        <v>NO</v>
      </c>
      <c r="AB608" t="str">
        <f>IF(AND(S608&gt;1,S1133&gt;1,S608&lt;V608,S1133&lt;V1133), "YES", "NO")</f>
        <v>NO</v>
      </c>
      <c r="AC608" t="str">
        <f t="shared" si="2"/>
        <v>NO</v>
      </c>
      <c r="AD608" t="str">
        <f t="shared" si="3"/>
        <v>NO</v>
      </c>
      <c r="AE608" t="str">
        <f t="shared" si="4"/>
        <v>NO</v>
      </c>
      <c r="AF608" t="str">
        <f t="shared" si="5"/>
        <v>YES</v>
      </c>
    </row>
    <row r="609" spans="1:32" ht="15" x14ac:dyDescent="0.35">
      <c r="A609" s="7" t="s">
        <v>685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>LEFT($A609,FIND("_",$A609)-1)</f>
        <v>ARJA</v>
      </c>
      <c r="P609" s="13" t="str">
        <f>IF($O609="ACS", "True Search", IF($O609="Arja", "Evolutionary Search", IF($O609="AVATAR", "True Pattern", IF($O609="CapGen", "Search Like Pattern", IF($O609="Cardumen", "True Semantic", IF($O609="DynaMoth", "True Semantic", IF($O609="FixMiner", "True Pattern", IF($O609="GenProg-A", "Evolutionary Search", IF($O609="Hercules", "Learning Pattern", IF($O609="Jaid", "True Semantic",
IF($O609="Kali-A", "True Search", IF($O609="kPAR", "True Pattern", IF($O609="Nopol", "True Semantic", IF($O609="RSRepair-A", "Evolutionary Search", IF($O609="SequenceR", "Deep Learning", IF($O609="SimFix", "Search Like Pattern", IF($O609="SketchFix", "True Pattern", IF($O609="SOFix", "True Pattern", IF($O609="ssFix", "Search Like Pattern", IF($O609="TBar", "True Pattern", ""))))))))))))))))))))</f>
        <v>Evolutionary Search</v>
      </c>
      <c r="Q609" s="13" t="str">
        <f>IF(NOT(ISERR(SEARCH("*_Buggy",$A609))), "Buggy", IF(NOT(ISERR(SEARCH("*_Fixed",$A609))), "Fixed", IF(NOT(ISERR(SEARCH("*_Repaired",$A609))), "Repaired", "")))</f>
        <v>Fixed</v>
      </c>
      <c r="R609" s="13" t="s">
        <v>1669</v>
      </c>
      <c r="S609" s="25">
        <v>3</v>
      </c>
      <c r="T609" s="25">
        <v>3</v>
      </c>
      <c r="U609" s="25">
        <v>1</v>
      </c>
      <c r="V609" s="13">
        <v>3</v>
      </c>
      <c r="W609" s="13" t="str">
        <f>MID(A609, SEARCH("_", A609) +1, SEARCH("_", A609, SEARCH("_", A609) +1) - SEARCH("_", A609) -1)</f>
        <v>Math-95</v>
      </c>
      <c r="Y609" s="1" t="str">
        <f t="shared" si="0"/>
        <v>YES</v>
      </c>
      <c r="Z609" s="1" t="str">
        <f t="shared" si="1"/>
        <v>NO</v>
      </c>
      <c r="AA609" t="str">
        <f>IF(AND(S609&gt;1,S1134&gt;1,S609=V609,S1134=V1134), "YES", "NO")</f>
        <v>NO</v>
      </c>
      <c r="AB609" t="str">
        <f>IF(AND(S609&gt;1,S1134&gt;1,S609&lt;V609,S1134&lt;V1134), "YES", "NO")</f>
        <v>NO</v>
      </c>
      <c r="AC609" t="str">
        <f t="shared" si="2"/>
        <v>NO</v>
      </c>
      <c r="AD609" t="str">
        <f t="shared" si="3"/>
        <v>NO</v>
      </c>
      <c r="AE609" t="str">
        <f t="shared" si="4"/>
        <v>NO</v>
      </c>
      <c r="AF609" t="str">
        <f t="shared" si="5"/>
        <v>YES</v>
      </c>
    </row>
    <row r="610" spans="1:32" ht="15" x14ac:dyDescent="0.35">
      <c r="A610" s="5" t="s">
        <v>398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>LEFT($A610,FIND("_",$A610)-1)</f>
        <v>AVATAR</v>
      </c>
      <c r="P610" s="13" t="str">
        <f>IF($O610="ACS", "True Search", IF($O610="Arja", "Evolutionary Search", IF($O610="AVATAR", "True Pattern", IF($O610="CapGen", "Search Like Pattern", IF($O610="Cardumen", "True Semantic", IF($O610="DynaMoth", "True Semantic", IF($O610="FixMiner", "True Pattern", IF($O610="GenProg-A", "Evolutionary Search", IF($O610="Hercules", "Learning Pattern", IF($O610="Jaid", "True Semantic",
IF($O610="Kali-A", "True Search", IF($O610="kPAR", "True Pattern", IF($O610="Nopol", "True Semantic", IF($O610="RSRepair-A", "Evolutionary Search", IF($O610="SequenceR", "Deep Learning", IF($O610="SimFix", "Search Like Pattern", IF($O610="SketchFix", "True Pattern", IF($O610="SOFix", "True Pattern", IF($O610="ssFix", "Search Like Pattern", IF($O610="TBar", "True Pattern", ""))))))))))))))))))))</f>
        <v>True Pattern</v>
      </c>
      <c r="Q610" s="13" t="str">
        <f>IF(NOT(ISERR(SEARCH("*_Buggy",$A610))), "Buggy", IF(NOT(ISERR(SEARCH("*_Fixed",$A610))), "Fixed", IF(NOT(ISERR(SEARCH("*_Repaired",$A610))), "Repaired", "")))</f>
        <v>Fixed</v>
      </c>
      <c r="R610" s="13" t="s">
        <v>1668</v>
      </c>
      <c r="S610" s="25">
        <v>1</v>
      </c>
      <c r="T610" s="25">
        <v>1</v>
      </c>
      <c r="U610" s="25">
        <v>1</v>
      </c>
      <c r="V610" s="13">
        <v>1</v>
      </c>
      <c r="W610" s="13" t="str">
        <f>MID(A610, SEARCH("_", A610) +1, SEARCH("_", A610, SEARCH("_", A610) +1) - SEARCH("_", A610) -1)</f>
        <v>Chart-1</v>
      </c>
      <c r="Y610" s="1" t="str">
        <f t="shared" si="0"/>
        <v>NO</v>
      </c>
      <c r="Z610" s="1" t="str">
        <f t="shared" si="1"/>
        <v>NO</v>
      </c>
      <c r="AA610" t="str">
        <f>IF(AND(S610&gt;1,S1135&gt;1,S610=V610,S1135=V1135), "YES", "NO")</f>
        <v>NO</v>
      </c>
      <c r="AB610" t="str">
        <f>IF(AND(S610&gt;1,S1135&gt;1,S610&lt;V610,S1135&lt;V1135), "YES", "NO")</f>
        <v>NO</v>
      </c>
      <c r="AC610" t="str">
        <f t="shared" si="2"/>
        <v>YES</v>
      </c>
      <c r="AD610" t="str">
        <f t="shared" si="3"/>
        <v>NO</v>
      </c>
      <c r="AE610" t="str">
        <f t="shared" si="4"/>
        <v>YES</v>
      </c>
      <c r="AF610" t="str">
        <f t="shared" si="5"/>
        <v>NO</v>
      </c>
    </row>
    <row r="611" spans="1:32" ht="15" x14ac:dyDescent="0.35">
      <c r="A611" s="7" t="s">
        <v>926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>LEFT($A611,FIND("_",$A611)-1)</f>
        <v>AVATAR</v>
      </c>
      <c r="P611" s="13" t="str">
        <f>IF($O611="ACS", "True Search", IF($O611="Arja", "Evolutionary Search", IF($O611="AVATAR", "True Pattern", IF($O611="CapGen", "Search Like Pattern", IF($O611="Cardumen", "True Semantic", IF($O611="DynaMoth", "True Semantic", IF($O611="FixMiner", "True Pattern", IF($O611="GenProg-A", "Evolutionary Search", IF($O611="Hercules", "Learning Pattern", IF($O611="Jaid", "True Semantic",
IF($O611="Kali-A", "True Search", IF($O611="kPAR", "True Pattern", IF($O611="Nopol", "True Semantic", IF($O611="RSRepair-A", "Evolutionary Search", IF($O611="SequenceR", "Deep Learning", IF($O611="SimFix", "Search Like Pattern", IF($O611="SketchFix", "True Pattern", IF($O611="SOFix", "True Pattern", IF($O611="ssFix", "Search Like Pattern", IF($O611="TBar", "True Pattern", ""))))))))))))))))))))</f>
        <v>True Pattern</v>
      </c>
      <c r="Q611" s="13" t="str">
        <f>IF(NOT(ISERR(SEARCH("*_Buggy",$A611))), "Buggy", IF(NOT(ISERR(SEARCH("*_Fixed",$A611))), "Fixed", IF(NOT(ISERR(SEARCH("*_Repaired",$A611))), "Repaired", "")))</f>
        <v>Fixed</v>
      </c>
      <c r="R611" s="13" t="s">
        <v>1668</v>
      </c>
      <c r="S611" s="25">
        <v>1</v>
      </c>
      <c r="T611" s="25">
        <v>1</v>
      </c>
      <c r="U611" s="25">
        <v>1</v>
      </c>
      <c r="V611" s="13">
        <v>1</v>
      </c>
      <c r="W611" s="13" t="str">
        <f>MID(A611, SEARCH("_", A611) +1, SEARCH("_", A611, SEARCH("_", A611) +1) - SEARCH("_", A611) -1)</f>
        <v>Chart-11</v>
      </c>
      <c r="Y611" s="1" t="str">
        <f t="shared" si="0"/>
        <v>NO</v>
      </c>
      <c r="Z611" s="1" t="str">
        <f t="shared" si="1"/>
        <v>NO</v>
      </c>
      <c r="AA611" t="str">
        <f>IF(AND(S611&gt;1,S1136&gt;1,S611=V611,S1136=V1136), "YES", "NO")</f>
        <v>NO</v>
      </c>
      <c r="AB611" t="str">
        <f>IF(AND(S611&gt;1,S1136&gt;1,S611&lt;V611,S1136&lt;V1136), "YES", "NO")</f>
        <v>NO</v>
      </c>
      <c r="AC611" t="str">
        <f t="shared" si="2"/>
        <v>YES</v>
      </c>
      <c r="AD611" t="str">
        <f t="shared" si="3"/>
        <v>NO</v>
      </c>
      <c r="AE611" t="str">
        <f t="shared" si="4"/>
        <v>YES</v>
      </c>
      <c r="AF611" t="str">
        <f t="shared" si="5"/>
        <v>NO</v>
      </c>
    </row>
    <row r="612" spans="1:32" ht="15" x14ac:dyDescent="0.35">
      <c r="A612" s="5" t="s">
        <v>23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>LEFT($A612,FIND("_",$A612)-1)</f>
        <v>AVATAR</v>
      </c>
      <c r="P612" s="13" t="str">
        <f>IF($O612="ACS", "True Search", IF($O612="Arja", "Evolutionary Search", IF($O612="AVATAR", "True Pattern", IF($O612="CapGen", "Search Like Pattern", IF($O612="Cardumen", "True Semantic", IF($O612="DynaMoth", "True Semantic", IF($O612="FixMiner", "True Pattern", IF($O612="GenProg-A", "Evolutionary Search", IF($O612="Hercules", "Learning Pattern", IF($O612="Jaid", "True Semantic",
IF($O612="Kali-A", "True Search", IF($O612="kPAR", "True Pattern", IF($O612="Nopol", "True Semantic", IF($O612="RSRepair-A", "Evolutionary Search", IF($O612="SequenceR", "Deep Learning", IF($O612="SimFix", "Search Like Pattern", IF($O612="SketchFix", "True Pattern", IF($O612="SOFix", "True Pattern", IF($O612="ssFix", "Search Like Pattern", IF($O612="TBar", "True Pattern", ""))))))))))))))))))))</f>
        <v>True Pattern</v>
      </c>
      <c r="Q612" s="13" t="str">
        <f>IF(NOT(ISERR(SEARCH("*_Buggy",$A612))), "Buggy", IF(NOT(ISERR(SEARCH("*_Fixed",$A612))), "Fixed", IF(NOT(ISERR(SEARCH("*_Repaired",$A612))), "Repaired", "")))</f>
        <v>Fixed</v>
      </c>
      <c r="R612" s="13" t="s">
        <v>1668</v>
      </c>
      <c r="S612" s="25">
        <v>2</v>
      </c>
      <c r="T612" s="25">
        <v>6</v>
      </c>
      <c r="U612" s="25">
        <v>0</v>
      </c>
      <c r="V612" s="13">
        <v>6</v>
      </c>
      <c r="W612" s="13" t="str">
        <f>MID(A612, SEARCH("_", A612) +1, SEARCH("_", A612, SEARCH("_", A612) +1) - SEARCH("_", A612) -1)</f>
        <v>Chart-19</v>
      </c>
      <c r="Y612" s="1" t="str">
        <f t="shared" si="0"/>
        <v>NO</v>
      </c>
      <c r="Z612" s="1" t="str">
        <f t="shared" si="1"/>
        <v>YES</v>
      </c>
      <c r="AA612" t="str">
        <f>IF(AND(S612&gt;1,S1137&gt;1,S612=V612,S1137=V1137), "YES", "NO")</f>
        <v>NO</v>
      </c>
      <c r="AB612" t="str">
        <f>IF(AND(S612&gt;1,S1137&gt;1,S612&lt;V612,S1137&lt;V1137), "YES", "NO")</f>
        <v>NO</v>
      </c>
      <c r="AC612" t="str">
        <f t="shared" si="2"/>
        <v>NO</v>
      </c>
      <c r="AD612" t="str">
        <f t="shared" si="3"/>
        <v>NO</v>
      </c>
      <c r="AE612" t="str">
        <f t="shared" si="4"/>
        <v>NO</v>
      </c>
      <c r="AF612" t="str">
        <f t="shared" si="5"/>
        <v>YES</v>
      </c>
    </row>
    <row r="613" spans="1:32" ht="15" x14ac:dyDescent="0.35">
      <c r="A613" s="5" t="s">
        <v>455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>LEFT($A613,FIND("_",$A613)-1)</f>
        <v>AVATAR</v>
      </c>
      <c r="P613" s="13" t="str">
        <f>IF($O613="ACS", "True Search", IF($O613="Arja", "Evolutionary Search", IF($O613="AVATAR", "True Pattern", IF($O613="CapGen", "Search Like Pattern", IF($O613="Cardumen", "True Semantic", IF($O613="DynaMoth", "True Semantic", IF($O613="FixMiner", "True Pattern", IF($O613="GenProg-A", "Evolutionary Search", IF($O613="Hercules", "Learning Pattern", IF($O613="Jaid", "True Semantic",
IF($O613="Kali-A", "True Search", IF($O613="kPAR", "True Pattern", IF($O613="Nopol", "True Semantic", IF($O613="RSRepair-A", "Evolutionary Search", IF($O613="SequenceR", "Deep Learning", IF($O613="SimFix", "Search Like Pattern", IF($O613="SketchFix", "True Pattern", IF($O613="SOFix", "True Pattern", IF($O613="ssFix", "Search Like Pattern", IF($O613="TBar", "True Pattern", ""))))))))))))))))))))</f>
        <v>True Pattern</v>
      </c>
      <c r="Q613" s="13" t="str">
        <f>IF(NOT(ISERR(SEARCH("*_Buggy",$A613))), "Buggy", IF(NOT(ISERR(SEARCH("*_Fixed",$A613))), "Fixed", IF(NOT(ISERR(SEARCH("*_Repaired",$A613))), "Repaired", "")))</f>
        <v>Fixed</v>
      </c>
      <c r="R613" s="13" t="s">
        <v>1668</v>
      </c>
      <c r="S613" s="25">
        <v>1</v>
      </c>
      <c r="T613" s="25">
        <v>1</v>
      </c>
      <c r="U613" s="25">
        <v>1</v>
      </c>
      <c r="V613" s="13">
        <v>1</v>
      </c>
      <c r="W613" s="13" t="str">
        <f>MID(A613, SEARCH("_", A613) +1, SEARCH("_", A613, SEARCH("_", A613) +1) - SEARCH("_", A613) -1)</f>
        <v>Chart-24</v>
      </c>
      <c r="Y613" s="1" t="str">
        <f t="shared" si="0"/>
        <v>NO</v>
      </c>
      <c r="Z613" s="1" t="str">
        <f t="shared" si="1"/>
        <v>NO</v>
      </c>
      <c r="AA613" t="str">
        <f>IF(AND(S613&gt;1,S1138&gt;1,S613=V613,S1138=V1138), "YES", "NO")</f>
        <v>NO</v>
      </c>
      <c r="AB613" t="str">
        <f>IF(AND(S613&gt;1,S1138&gt;1,S613&lt;V613,S1138&lt;V1138), "YES", "NO")</f>
        <v>NO</v>
      </c>
      <c r="AC613" t="str">
        <f t="shared" si="2"/>
        <v>YES</v>
      </c>
      <c r="AD613" t="str">
        <f t="shared" si="3"/>
        <v>NO</v>
      </c>
      <c r="AE613" t="str">
        <f t="shared" si="4"/>
        <v>YES</v>
      </c>
      <c r="AF613" t="str">
        <f t="shared" si="5"/>
        <v>NO</v>
      </c>
    </row>
    <row r="614" spans="1:32" ht="15" x14ac:dyDescent="0.35">
      <c r="A614" s="7" t="s">
        <v>160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>LEFT($A614,FIND("_",$A614)-1)</f>
        <v>AVATAR</v>
      </c>
      <c r="P614" s="13" t="str">
        <f>IF($O614="ACS", "True Search", IF($O614="Arja", "Evolutionary Search", IF($O614="AVATAR", "True Pattern", IF($O614="CapGen", "Search Like Pattern", IF($O614="Cardumen", "True Semantic", IF($O614="DynaMoth", "True Semantic", IF($O614="FixMiner", "True Pattern", IF($O614="GenProg-A", "Evolutionary Search", IF($O614="Hercules", "Learning Pattern", IF($O614="Jaid", "True Semantic",
IF($O614="Kali-A", "True Search", IF($O614="kPAR", "True Pattern", IF($O614="Nopol", "True Semantic", IF($O614="RSRepair-A", "Evolutionary Search", IF($O614="SequenceR", "Deep Learning", IF($O614="SimFix", "Search Like Pattern", IF($O614="SketchFix", "True Pattern", IF($O614="SOFix", "True Pattern", IF($O614="ssFix", "Search Like Pattern", IF($O614="TBar", "True Pattern", ""))))))))))))))))))))</f>
        <v>True Pattern</v>
      </c>
      <c r="Q614" s="13" t="str">
        <f>IF(NOT(ISERR(SEARCH("*_Buggy",$A614))), "Buggy", IF(NOT(ISERR(SEARCH("*_Fixed",$A614))), "Fixed", IF(NOT(ISERR(SEARCH("*_Repaired",$A614))), "Repaired", "")))</f>
        <v>Fixed</v>
      </c>
      <c r="R614" s="13" t="s">
        <v>1669</v>
      </c>
      <c r="S614" s="25">
        <v>6</v>
      </c>
      <c r="T614" s="25">
        <v>14</v>
      </c>
      <c r="U614" s="25">
        <v>2</v>
      </c>
      <c r="V614" s="13">
        <v>14</v>
      </c>
      <c r="W614" s="13" t="str">
        <f>MID(A614, SEARCH("_", A614) +1, SEARCH("_", A614, SEARCH("_", A614) +1) - SEARCH("_", A614) -1)</f>
        <v>Chart-25</v>
      </c>
      <c r="Y614" s="1" t="str">
        <f t="shared" ref="Y614:Y677" si="6">IF(AND(S614&gt;1,S614=V614), "YES", "NO")</f>
        <v>NO</v>
      </c>
      <c r="Z614" s="1" t="str">
        <f t="shared" ref="Z614:Z677" si="7">IF(AND(S614&gt;1,S614&lt;V614), "YES", "NO")</f>
        <v>YES</v>
      </c>
      <c r="AA614" t="str">
        <f>IF(AND(S614&gt;1,S1139&gt;1,S614=V614,S1139=V1139), "YES", "NO")</f>
        <v>NO</v>
      </c>
      <c r="AB614" t="str">
        <f>IF(AND(S614&gt;1,S1139&gt;1,S614&lt;V614,S1139&lt;V1139), "YES", "NO")</f>
        <v>NO</v>
      </c>
      <c r="AC614" t="str">
        <f t="shared" ref="AC614:AC677" si="8">IF(AND($S614=1,$S1139=1,$S614=$V614,$S1139=$V1139), "YES", "NO")</f>
        <v>NO</v>
      </c>
      <c r="AD614" t="str">
        <f t="shared" ref="AD614:AD677" si="9">IF(AND($S614=1,$S1139=1,$S614&lt;$V614,$S1139&lt;$V1139), "YES", "NO")</f>
        <v>NO</v>
      </c>
      <c r="AE614" t="str">
        <f t="shared" ref="AE614:AE677" si="10">IF(AND($V614=1,$V1139=1), "YES", "NO")</f>
        <v>NO</v>
      </c>
      <c r="AF614" t="str">
        <f t="shared" ref="AF614:AF677" si="11">IF(AND($V614&gt;1,$V1139&gt;1), "YES", "NO")</f>
        <v>YES</v>
      </c>
    </row>
    <row r="615" spans="1:32" ht="15" x14ac:dyDescent="0.35">
      <c r="A615" s="5" t="s">
        <v>546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>LEFT($A615,FIND("_",$A615)-1)</f>
        <v>AVATAR</v>
      </c>
      <c r="P615" s="13" t="str">
        <f>IF($O615="ACS", "True Search", IF($O615="Arja", "Evolutionary Search", IF($O615="AVATAR", "True Pattern", IF($O615="CapGen", "Search Like Pattern", IF($O615="Cardumen", "True Semantic", IF($O615="DynaMoth", "True Semantic", IF($O615="FixMiner", "True Pattern", IF($O615="GenProg-A", "Evolutionary Search", IF($O615="Hercules", "Learning Pattern", IF($O615="Jaid", "True Semantic",
IF($O615="Kali-A", "True Search", IF($O615="kPAR", "True Pattern", IF($O615="Nopol", "True Semantic", IF($O615="RSRepair-A", "Evolutionary Search", IF($O615="SequenceR", "Deep Learning", IF($O615="SimFix", "Search Like Pattern", IF($O615="SketchFix", "True Pattern", IF($O615="SOFix", "True Pattern", IF($O615="ssFix", "Search Like Pattern", IF($O615="TBar", "True Pattern", ""))))))))))))))))))))</f>
        <v>True Pattern</v>
      </c>
      <c r="Q615" s="13" t="str">
        <f>IF(NOT(ISERR(SEARCH("*_Buggy",$A615))), "Buggy", IF(NOT(ISERR(SEARCH("*_Fixed",$A615))), "Fixed", IF(NOT(ISERR(SEARCH("*_Repaired",$A615))), "Repaired", "")))</f>
        <v>Fixed</v>
      </c>
      <c r="R615" s="13" t="s">
        <v>1668</v>
      </c>
      <c r="S615" s="25">
        <v>2</v>
      </c>
      <c r="T615" s="13">
        <v>2</v>
      </c>
      <c r="U615" s="25">
        <v>0</v>
      </c>
      <c r="V615" s="13">
        <v>2</v>
      </c>
      <c r="W615" s="13" t="str">
        <f>MID(A615, SEARCH("_", A615) +1, SEARCH("_", A615, SEARCH("_", A615) +1) - SEARCH("_", A615) -1)</f>
        <v>Chart-26</v>
      </c>
      <c r="Y615" s="1" t="str">
        <f t="shared" si="6"/>
        <v>YES</v>
      </c>
      <c r="Z615" s="1" t="str">
        <f t="shared" si="7"/>
        <v>NO</v>
      </c>
      <c r="AA615" t="str">
        <f>IF(AND(S615&gt;1,S1140&gt;1,S615=V615,S1140=V1140), "YES", "NO")</f>
        <v>NO</v>
      </c>
      <c r="AB615" t="str">
        <f>IF(AND(S615&gt;1,S1140&gt;1,S615&lt;V615,S1140&lt;V1140), "YES", "NO")</f>
        <v>NO</v>
      </c>
      <c r="AC615" t="str">
        <f t="shared" si="8"/>
        <v>NO</v>
      </c>
      <c r="AD615" t="str">
        <f t="shared" si="9"/>
        <v>NO</v>
      </c>
      <c r="AE615" t="str">
        <f t="shared" si="10"/>
        <v>NO</v>
      </c>
      <c r="AF615" t="str">
        <f t="shared" si="11"/>
        <v>YES</v>
      </c>
    </row>
    <row r="616" spans="1:32" ht="15" x14ac:dyDescent="0.35">
      <c r="A616" s="5" t="s">
        <v>706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>LEFT($A616,FIND("_",$A616)-1)</f>
        <v>AVATAR</v>
      </c>
      <c r="P616" s="13" t="str">
        <f>IF($O616="ACS", "True Search", IF($O616="Arja", "Evolutionary Search", IF($O616="AVATAR", "True Pattern", IF($O616="CapGen", "Search Like Pattern", IF($O616="Cardumen", "True Semantic", IF($O616="DynaMoth", "True Semantic", IF($O616="FixMiner", "True Pattern", IF($O616="GenProg-A", "Evolutionary Search", IF($O616="Hercules", "Learning Pattern", IF($O616="Jaid", "True Semantic",
IF($O616="Kali-A", "True Search", IF($O616="kPAR", "True Pattern", IF($O616="Nopol", "True Semantic", IF($O616="RSRepair-A", "Evolutionary Search", IF($O616="SequenceR", "Deep Learning", IF($O616="SimFix", "Search Like Pattern", IF($O616="SketchFix", "True Pattern", IF($O616="SOFix", "True Pattern", IF($O616="ssFix", "Search Like Pattern", IF($O616="TBar", "True Pattern", ""))))))))))))))))))))</f>
        <v>True Pattern</v>
      </c>
      <c r="Q616" s="13" t="str">
        <f>IF(NOT(ISERR(SEARCH("*_Buggy",$A616))), "Buggy", IF(NOT(ISERR(SEARCH("*_Fixed",$A616))), "Fixed", IF(NOT(ISERR(SEARCH("*_Repaired",$A616))), "Repaired", "")))</f>
        <v>Fixed</v>
      </c>
      <c r="R616" s="13" t="s">
        <v>1668</v>
      </c>
      <c r="S616" s="25">
        <v>2</v>
      </c>
      <c r="T616" s="13">
        <v>2</v>
      </c>
      <c r="U616" s="25">
        <v>0</v>
      </c>
      <c r="V616" s="13">
        <v>2</v>
      </c>
      <c r="W616" s="13" t="str">
        <f>MID(A616, SEARCH("_", A616) +1, SEARCH("_", A616, SEARCH("_", A616) +1) - SEARCH("_", A616) -1)</f>
        <v>Chart-4</v>
      </c>
      <c r="Y616" s="1" t="str">
        <f t="shared" si="6"/>
        <v>YES</v>
      </c>
      <c r="Z616" s="1" t="str">
        <f t="shared" si="7"/>
        <v>NO</v>
      </c>
      <c r="AA616" t="str">
        <f>IF(AND(S616&gt;1,S1141&gt;1,S616=V616,S1141=V1141), "YES", "NO")</f>
        <v>NO</v>
      </c>
      <c r="AB616" t="str">
        <f>IF(AND(S616&gt;1,S1141&gt;1,S616&lt;V616,S1141&lt;V1141), "YES", "NO")</f>
        <v>NO</v>
      </c>
      <c r="AC616" t="str">
        <f t="shared" si="8"/>
        <v>NO</v>
      </c>
      <c r="AD616" t="str">
        <f t="shared" si="9"/>
        <v>NO</v>
      </c>
      <c r="AE616" t="str">
        <f t="shared" si="10"/>
        <v>NO</v>
      </c>
      <c r="AF616" t="str">
        <f t="shared" si="11"/>
        <v>YES</v>
      </c>
    </row>
    <row r="617" spans="1:32" ht="15" x14ac:dyDescent="0.35">
      <c r="A617" s="7" t="s">
        <v>619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>LEFT($A617,FIND("_",$A617)-1)</f>
        <v>AVATAR</v>
      </c>
      <c r="P617" s="13" t="str">
        <f>IF($O617="ACS", "True Search", IF($O617="Arja", "Evolutionary Search", IF($O617="AVATAR", "True Pattern", IF($O617="CapGen", "Search Like Pattern", IF($O617="Cardumen", "True Semantic", IF($O617="DynaMoth", "True Semantic", IF($O617="FixMiner", "True Pattern", IF($O617="GenProg-A", "Evolutionary Search", IF($O617="Hercules", "Learning Pattern", IF($O617="Jaid", "True Semantic",
IF($O617="Kali-A", "True Search", IF($O617="kPAR", "True Pattern", IF($O617="Nopol", "True Semantic", IF($O617="RSRepair-A", "Evolutionary Search", IF($O617="SequenceR", "Deep Learning", IF($O617="SimFix", "Search Like Pattern", IF($O617="SketchFix", "True Pattern", IF($O617="SOFix", "True Pattern", IF($O617="ssFix", "Search Like Pattern", IF($O617="TBar", "True Pattern", ""))))))))))))))))))))</f>
        <v>True Pattern</v>
      </c>
      <c r="Q617" s="13" t="str">
        <f>IF(NOT(ISERR(SEARCH("*_Buggy",$A617))), "Buggy", IF(NOT(ISERR(SEARCH("*_Fixed",$A617))), "Fixed", IF(NOT(ISERR(SEARCH("*_Repaired",$A617))), "Repaired", "")))</f>
        <v>Fixed</v>
      </c>
      <c r="R617" s="13" t="s">
        <v>1669</v>
      </c>
      <c r="S617" s="25">
        <v>2</v>
      </c>
      <c r="T617" s="25">
        <v>5</v>
      </c>
      <c r="U617" s="25">
        <v>1</v>
      </c>
      <c r="V617" s="13">
        <v>5</v>
      </c>
      <c r="W617" s="13" t="str">
        <f>MID(A617, SEARCH("_", A617) +1, SEARCH("_", A617, SEARCH("_", A617) +1) - SEARCH("_", A617) -1)</f>
        <v>Chart-5</v>
      </c>
      <c r="Y617" s="1" t="str">
        <f t="shared" si="6"/>
        <v>NO</v>
      </c>
      <c r="Z617" s="1" t="str">
        <f t="shared" si="7"/>
        <v>YES</v>
      </c>
      <c r="AA617" t="str">
        <f>IF(AND(S617&gt;1,S1142&gt;1,S617=V617,S1142=V1142), "YES", "NO")</f>
        <v>NO</v>
      </c>
      <c r="AB617" t="str">
        <f>IF(AND(S617&gt;1,S1142&gt;1,S617&lt;V617,S1142&lt;V1142), "YES", "NO")</f>
        <v>NO</v>
      </c>
      <c r="AC617" t="str">
        <f t="shared" si="8"/>
        <v>NO</v>
      </c>
      <c r="AD617" t="str">
        <f t="shared" si="9"/>
        <v>NO</v>
      </c>
      <c r="AE617" t="str">
        <f t="shared" si="10"/>
        <v>NO</v>
      </c>
      <c r="AF617" t="str">
        <f t="shared" si="11"/>
        <v>NO</v>
      </c>
    </row>
    <row r="618" spans="1:32" ht="15" x14ac:dyDescent="0.35">
      <c r="A618" s="5" t="s">
        <v>1065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>LEFT($A618,FIND("_",$A618)-1)</f>
        <v>AVATAR</v>
      </c>
      <c r="P618" s="13" t="str">
        <f>IF($O618="ACS", "True Search", IF($O618="Arja", "Evolutionary Search", IF($O618="AVATAR", "True Pattern", IF($O618="CapGen", "Search Like Pattern", IF($O618="Cardumen", "True Semantic", IF($O618="DynaMoth", "True Semantic", IF($O618="FixMiner", "True Pattern", IF($O618="GenProg-A", "Evolutionary Search", IF($O618="Hercules", "Learning Pattern", IF($O618="Jaid", "True Semantic",
IF($O618="Kali-A", "True Search", IF($O618="kPAR", "True Pattern", IF($O618="Nopol", "True Semantic", IF($O618="RSRepair-A", "Evolutionary Search", IF($O618="SequenceR", "Deep Learning", IF($O618="SimFix", "Search Like Pattern", IF($O618="SketchFix", "True Pattern", IF($O618="SOFix", "True Pattern", IF($O618="ssFix", "Search Like Pattern", IF($O618="TBar", "True Pattern", ""))))))))))))))))))))</f>
        <v>True Pattern</v>
      </c>
      <c r="Q618" s="13" t="str">
        <f>IF(NOT(ISERR(SEARCH("*_Buggy",$A618))), "Buggy", IF(NOT(ISERR(SEARCH("*_Fixed",$A618))), "Fixed", IF(NOT(ISERR(SEARCH("*_Repaired",$A618))), "Repaired", "")))</f>
        <v>Fixed</v>
      </c>
      <c r="R618" s="13" t="s">
        <v>1669</v>
      </c>
      <c r="S618" s="25">
        <v>2</v>
      </c>
      <c r="T618" s="25">
        <v>2</v>
      </c>
      <c r="U618" s="25">
        <v>2</v>
      </c>
      <c r="V618" s="13">
        <v>2</v>
      </c>
      <c r="W618" s="13" t="str">
        <f>MID(A618, SEARCH("_", A618) +1, SEARCH("_", A618, SEARCH("_", A618) +1) - SEARCH("_", A618) -1)</f>
        <v>Chart-7</v>
      </c>
      <c r="Y618" s="1" t="str">
        <f t="shared" si="6"/>
        <v>YES</v>
      </c>
      <c r="Z618" s="1" t="str">
        <f t="shared" si="7"/>
        <v>NO</v>
      </c>
      <c r="AA618" t="str">
        <f>IF(AND(S618&gt;1,S1143&gt;1,S618=V618,S1143=V1143), "YES", "NO")</f>
        <v>NO</v>
      </c>
      <c r="AB618" t="str">
        <f>IF(AND(S618&gt;1,S1143&gt;1,S618&lt;V618,S1143&lt;V1143), "YES", "NO")</f>
        <v>NO</v>
      </c>
      <c r="AC618" t="str">
        <f t="shared" si="8"/>
        <v>NO</v>
      </c>
      <c r="AD618" t="str">
        <f t="shared" si="9"/>
        <v>NO</v>
      </c>
      <c r="AE618" t="str">
        <f t="shared" si="10"/>
        <v>NO</v>
      </c>
      <c r="AF618" t="str">
        <f t="shared" si="11"/>
        <v>NO</v>
      </c>
    </row>
    <row r="619" spans="1:32" ht="15" x14ac:dyDescent="0.35">
      <c r="A619" s="5" t="s">
        <v>762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>LEFT($A619,FIND("_",$A619)-1)</f>
        <v>AVATAR</v>
      </c>
      <c r="P619" s="13" t="str">
        <f>IF($O619="ACS", "True Search", IF($O619="Arja", "Evolutionary Search", IF($O619="AVATAR", "True Pattern", IF($O619="CapGen", "Search Like Pattern", IF($O619="Cardumen", "True Semantic", IF($O619="DynaMoth", "True Semantic", IF($O619="FixMiner", "True Pattern", IF($O619="GenProg-A", "Evolutionary Search", IF($O619="Hercules", "Learning Pattern", IF($O619="Jaid", "True Semantic",
IF($O619="Kali-A", "True Search", IF($O619="kPAR", "True Pattern", IF($O619="Nopol", "True Semantic", IF($O619="RSRepair-A", "Evolutionary Search", IF($O619="SequenceR", "Deep Learning", IF($O619="SimFix", "Search Like Pattern", IF($O619="SketchFix", "True Pattern", IF($O619="SOFix", "True Pattern", IF($O619="ssFix", "Search Like Pattern", IF($O619="TBar", "True Pattern", ""))))))))))))))))))))</f>
        <v>True Pattern</v>
      </c>
      <c r="Q619" s="13" t="str">
        <f>IF(NOT(ISERR(SEARCH("*_Buggy",$A619))), "Buggy", IF(NOT(ISERR(SEARCH("*_Fixed",$A619))), "Fixed", IF(NOT(ISERR(SEARCH("*_Repaired",$A619))), "Repaired", "")))</f>
        <v>Fixed</v>
      </c>
      <c r="R619" s="13" t="s">
        <v>1669</v>
      </c>
      <c r="S619" s="25">
        <v>4</v>
      </c>
      <c r="T619" s="25">
        <v>4</v>
      </c>
      <c r="U619" s="25">
        <v>1</v>
      </c>
      <c r="V619" s="13">
        <v>4</v>
      </c>
      <c r="W619" s="13" t="str">
        <f>MID(A619, SEARCH("_", A619) +1, SEARCH("_", A619, SEARCH("_", A619) +1) - SEARCH("_", A619) -1)</f>
        <v>Closure-108</v>
      </c>
      <c r="Y619" s="1" t="str">
        <f t="shared" si="6"/>
        <v>YES</v>
      </c>
      <c r="Z619" s="1" t="str">
        <f t="shared" si="7"/>
        <v>NO</v>
      </c>
      <c r="AA619" t="str">
        <f>IF(AND(S619&gt;1,S1144&gt;1,S619=V619,S1144=V1144), "YES", "NO")</f>
        <v>NO</v>
      </c>
      <c r="AB619" t="str">
        <f>IF(AND(S619&gt;1,S1144&gt;1,S619&lt;V619,S1144&lt;V1144), "YES", "NO")</f>
        <v>NO</v>
      </c>
      <c r="AC619" t="str">
        <f t="shared" si="8"/>
        <v>NO</v>
      </c>
      <c r="AD619" t="str">
        <f t="shared" si="9"/>
        <v>NO</v>
      </c>
      <c r="AE619" t="str">
        <f t="shared" si="10"/>
        <v>NO</v>
      </c>
      <c r="AF619" t="str">
        <f t="shared" si="11"/>
        <v>NO</v>
      </c>
    </row>
    <row r="620" spans="1:32" ht="15" x14ac:dyDescent="0.35">
      <c r="A620" s="7" t="s">
        <v>713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>LEFT($A620,FIND("_",$A620)-1)</f>
        <v>AVATAR</v>
      </c>
      <c r="P620" s="13" t="str">
        <f>IF($O620="ACS", "True Search", IF($O620="Arja", "Evolutionary Search", IF($O620="AVATAR", "True Pattern", IF($O620="CapGen", "Search Like Pattern", IF($O620="Cardumen", "True Semantic", IF($O620="DynaMoth", "True Semantic", IF($O620="FixMiner", "True Pattern", IF($O620="GenProg-A", "Evolutionary Search", IF($O620="Hercules", "Learning Pattern", IF($O620="Jaid", "True Semantic",
IF($O620="Kali-A", "True Search", IF($O620="kPAR", "True Pattern", IF($O620="Nopol", "True Semantic", IF($O620="RSRepair-A", "Evolutionary Search", IF($O620="SequenceR", "Deep Learning", IF($O620="SimFix", "Search Like Pattern", IF($O620="SketchFix", "True Pattern", IF($O620="SOFix", "True Pattern", IF($O620="ssFix", "Search Like Pattern", IF($O620="TBar", "True Pattern", ""))))))))))))))))))))</f>
        <v>True Pattern</v>
      </c>
      <c r="Q620" s="13" t="str">
        <f>IF(NOT(ISERR(SEARCH("*_Buggy",$A620))), "Buggy", IF(NOT(ISERR(SEARCH("*_Fixed",$A620))), "Fixed", IF(NOT(ISERR(SEARCH("*_Repaired",$A620))), "Repaired", "")))</f>
        <v>Fixed</v>
      </c>
      <c r="R620" s="13" t="s">
        <v>1668</v>
      </c>
      <c r="S620" s="25">
        <v>1</v>
      </c>
      <c r="T620" s="25">
        <v>0</v>
      </c>
      <c r="U620" s="13">
        <v>2</v>
      </c>
      <c r="V620" s="13">
        <v>2</v>
      </c>
      <c r="W620" s="13" t="str">
        <f>MID(A620, SEARCH("_", A620) +1, SEARCH("_", A620, SEARCH("_", A620) +1) - SEARCH("_", A620) -1)</f>
        <v>Closure-11</v>
      </c>
      <c r="Y620" s="1" t="str">
        <f t="shared" si="6"/>
        <v>NO</v>
      </c>
      <c r="Z620" s="1" t="str">
        <f t="shared" si="7"/>
        <v>NO</v>
      </c>
      <c r="AA620" t="str">
        <f>IF(AND(S620&gt;1,S1145&gt;1,S620=V620,S1145=V1145), "YES", "NO")</f>
        <v>NO</v>
      </c>
      <c r="AB620" t="str">
        <f>IF(AND(S620&gt;1,S1145&gt;1,S620&lt;V620,S1145&lt;V1145), "YES", "NO")</f>
        <v>NO</v>
      </c>
      <c r="AC620" t="str">
        <f t="shared" si="8"/>
        <v>NO</v>
      </c>
      <c r="AD620" t="str">
        <f t="shared" si="9"/>
        <v>NO</v>
      </c>
      <c r="AE620" t="str">
        <f t="shared" si="10"/>
        <v>NO</v>
      </c>
      <c r="AF620" t="str">
        <f t="shared" si="11"/>
        <v>NO</v>
      </c>
    </row>
    <row r="621" spans="1:32" ht="15" x14ac:dyDescent="0.35">
      <c r="A621" s="7" t="s">
        <v>1135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>LEFT($A621,FIND("_",$A621)-1)</f>
        <v>AVATAR</v>
      </c>
      <c r="P621" s="13" t="str">
        <f>IF($O621="ACS", "True Search", IF($O621="Arja", "Evolutionary Search", IF($O621="AVATAR", "True Pattern", IF($O621="CapGen", "Search Like Pattern", IF($O621="Cardumen", "True Semantic", IF($O621="DynaMoth", "True Semantic", IF($O621="FixMiner", "True Pattern", IF($O621="GenProg-A", "Evolutionary Search", IF($O621="Hercules", "Learning Pattern", IF($O621="Jaid", "True Semantic",
IF($O621="Kali-A", "True Search", IF($O621="kPAR", "True Pattern", IF($O621="Nopol", "True Semantic", IF($O621="RSRepair-A", "Evolutionary Search", IF($O621="SequenceR", "Deep Learning", IF($O621="SimFix", "Search Like Pattern", IF($O621="SketchFix", "True Pattern", IF($O621="SOFix", "True Pattern", IF($O621="ssFix", "Search Like Pattern", IF($O621="TBar", "True Pattern", ""))))))))))))))))))))</f>
        <v>True Pattern</v>
      </c>
      <c r="Q621" s="13" t="str">
        <f>IF(NOT(ISERR(SEARCH("*_Buggy",$A621))), "Buggy", IF(NOT(ISERR(SEARCH("*_Fixed",$A621))), "Fixed", IF(NOT(ISERR(SEARCH("*_Repaired",$A621))), "Repaired", "")))</f>
        <v>Fixed</v>
      </c>
      <c r="R621" s="13" t="s">
        <v>1668</v>
      </c>
      <c r="S621" s="25">
        <v>2</v>
      </c>
      <c r="T621" s="25">
        <v>0</v>
      </c>
      <c r="U621" s="13">
        <v>11</v>
      </c>
      <c r="V621" s="13">
        <v>11</v>
      </c>
      <c r="W621" s="13" t="str">
        <f>MID(A621, SEARCH("_", A621) +1, SEARCH("_", A621, SEARCH("_", A621) +1) - SEARCH("_", A621) -1)</f>
        <v>Closure-115</v>
      </c>
      <c r="Y621" s="1" t="str">
        <f t="shared" si="6"/>
        <v>NO</v>
      </c>
      <c r="Z621" s="1" t="str">
        <f t="shared" si="7"/>
        <v>YES</v>
      </c>
      <c r="AA621" t="str">
        <f>IF(AND(S621&gt;1,S1146&gt;1,S621=V621,S1146=V1146), "YES", "NO")</f>
        <v>NO</v>
      </c>
      <c r="AB621" t="str">
        <f>IF(AND(S621&gt;1,S1146&gt;1,S621&lt;V621,S1146&lt;V1146), "YES", "NO")</f>
        <v>NO</v>
      </c>
      <c r="AC621" t="str">
        <f t="shared" si="8"/>
        <v>NO</v>
      </c>
      <c r="AD621" t="str">
        <f t="shared" si="9"/>
        <v>NO</v>
      </c>
      <c r="AE621" t="str">
        <f t="shared" si="10"/>
        <v>NO</v>
      </c>
      <c r="AF621" t="str">
        <f t="shared" si="11"/>
        <v>YES</v>
      </c>
    </row>
    <row r="622" spans="1:32" ht="15" x14ac:dyDescent="0.35">
      <c r="A622" s="7" t="s">
        <v>1088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>LEFT($A622,FIND("_",$A622)-1)</f>
        <v>AVATAR</v>
      </c>
      <c r="P622" s="13" t="str">
        <f>IF($O622="ACS", "True Search", IF($O622="Arja", "Evolutionary Search", IF($O622="AVATAR", "True Pattern", IF($O622="CapGen", "Search Like Pattern", IF($O622="Cardumen", "True Semantic", IF($O622="DynaMoth", "True Semantic", IF($O622="FixMiner", "True Pattern", IF($O622="GenProg-A", "Evolutionary Search", IF($O622="Hercules", "Learning Pattern", IF($O622="Jaid", "True Semantic",
IF($O622="Kali-A", "True Search", IF($O622="kPAR", "True Pattern", IF($O622="Nopol", "True Semantic", IF($O622="RSRepair-A", "Evolutionary Search", IF($O622="SequenceR", "Deep Learning", IF($O622="SimFix", "Search Like Pattern", IF($O622="SketchFix", "True Pattern", IF($O622="SOFix", "True Pattern", IF($O622="ssFix", "Search Like Pattern", IF($O622="TBar", "True Pattern", ""))))))))))))))))))))</f>
        <v>True Pattern</v>
      </c>
      <c r="Q622" s="13" t="str">
        <f>IF(NOT(ISERR(SEARCH("*_Buggy",$A622))), "Buggy", IF(NOT(ISERR(SEARCH("*_Fixed",$A622))), "Fixed", IF(NOT(ISERR(SEARCH("*_Repaired",$A622))), "Repaired", "")))</f>
        <v>Fixed</v>
      </c>
      <c r="R622" s="13" t="s">
        <v>1668</v>
      </c>
      <c r="S622" s="25">
        <v>3</v>
      </c>
      <c r="T622" s="13">
        <v>4</v>
      </c>
      <c r="U622" s="25">
        <v>0</v>
      </c>
      <c r="V622" s="13">
        <v>4</v>
      </c>
      <c r="W622" s="13" t="str">
        <f>MID(A622, SEARCH("_", A622) +1, SEARCH("_", A622, SEARCH("_", A622) +1) - SEARCH("_", A622) -1)</f>
        <v>Closure-2</v>
      </c>
      <c r="Y622" s="1" t="str">
        <f t="shared" si="6"/>
        <v>NO</v>
      </c>
      <c r="Z622" s="1" t="str">
        <f t="shared" si="7"/>
        <v>YES</v>
      </c>
      <c r="AA622" t="str">
        <f>IF(AND(S622&gt;1,S1147&gt;1,S622=V622,S1147=V1147), "YES", "NO")</f>
        <v>NO</v>
      </c>
      <c r="AB622" t="str">
        <f>IF(AND(S622&gt;1,S1147&gt;1,S622&lt;V622,S1147&lt;V1147), "YES", "NO")</f>
        <v>YES</v>
      </c>
      <c r="AC622" t="str">
        <f t="shared" si="8"/>
        <v>NO</v>
      </c>
      <c r="AD622" t="str">
        <f t="shared" si="9"/>
        <v>NO</v>
      </c>
      <c r="AE622" t="str">
        <f t="shared" si="10"/>
        <v>NO</v>
      </c>
      <c r="AF622" t="str">
        <f t="shared" si="11"/>
        <v>YES</v>
      </c>
    </row>
    <row r="623" spans="1:32" ht="15" x14ac:dyDescent="0.35">
      <c r="A623" s="7" t="s">
        <v>1280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>LEFT($A623,FIND("_",$A623)-1)</f>
        <v>AVATAR</v>
      </c>
      <c r="P623" s="13" t="str">
        <f>IF($O623="ACS", "True Search", IF($O623="Arja", "Evolutionary Search", IF($O623="AVATAR", "True Pattern", IF($O623="CapGen", "Search Like Pattern", IF($O623="Cardumen", "True Semantic", IF($O623="DynaMoth", "True Semantic", IF($O623="FixMiner", "True Pattern", IF($O623="GenProg-A", "Evolutionary Search", IF($O623="Hercules", "Learning Pattern", IF($O623="Jaid", "True Semantic",
IF($O623="Kali-A", "True Search", IF($O623="kPAR", "True Pattern", IF($O623="Nopol", "True Semantic", IF($O623="RSRepair-A", "Evolutionary Search", IF($O623="SequenceR", "Deep Learning", IF($O623="SimFix", "Search Like Pattern", IF($O623="SketchFix", "True Pattern", IF($O623="SOFix", "True Pattern", IF($O623="ssFix", "Search Like Pattern", IF($O623="TBar", "True Pattern", ""))))))))))))))))))))</f>
        <v>True Pattern</v>
      </c>
      <c r="Q623" s="13" t="str">
        <f>IF(NOT(ISERR(SEARCH("*_Buggy",$A623))), "Buggy", IF(NOT(ISERR(SEARCH("*_Fixed",$A623))), "Fixed", IF(NOT(ISERR(SEARCH("*_Repaired",$A623))), "Repaired", "")))</f>
        <v>Fixed</v>
      </c>
      <c r="R623" s="13" t="s">
        <v>1669</v>
      </c>
      <c r="S623" s="25">
        <v>2</v>
      </c>
      <c r="T623" s="25">
        <v>2</v>
      </c>
      <c r="U623" s="25">
        <v>19</v>
      </c>
      <c r="V623" s="13">
        <v>19</v>
      </c>
      <c r="W623" s="13" t="str">
        <f>MID(A623, SEARCH("_", A623) +1, SEARCH("_", A623, SEARCH("_", A623) +1) - SEARCH("_", A623) -1)</f>
        <v>Closure-21</v>
      </c>
      <c r="Y623" s="1" t="str">
        <f t="shared" si="6"/>
        <v>NO</v>
      </c>
      <c r="Z623" s="1" t="str">
        <f t="shared" si="7"/>
        <v>YES</v>
      </c>
      <c r="AA623" t="str">
        <f>IF(AND(S623&gt;1,S1148&gt;1,S623=V623,S1148=V1148), "YES", "NO")</f>
        <v>NO</v>
      </c>
      <c r="AB623" t="str">
        <f>IF(AND(S623&gt;1,S1148&gt;1,S623&lt;V623,S1148&lt;V1148), "YES", "NO")</f>
        <v>NO</v>
      </c>
      <c r="AC623" t="str">
        <f t="shared" si="8"/>
        <v>NO</v>
      </c>
      <c r="AD623" t="str">
        <f t="shared" si="9"/>
        <v>NO</v>
      </c>
      <c r="AE623" t="str">
        <f t="shared" si="10"/>
        <v>NO</v>
      </c>
      <c r="AF623" t="str">
        <f t="shared" si="11"/>
        <v>NO</v>
      </c>
    </row>
    <row r="624" spans="1:32" ht="15" x14ac:dyDescent="0.35">
      <c r="A624" s="7" t="s">
        <v>944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>LEFT($A624,FIND("_",$A624)-1)</f>
        <v>AVATAR</v>
      </c>
      <c r="P624" s="13" t="str">
        <f>IF($O624="ACS", "True Search", IF($O624="Arja", "Evolutionary Search", IF($O624="AVATAR", "True Pattern", IF($O624="CapGen", "Search Like Pattern", IF($O624="Cardumen", "True Semantic", IF($O624="DynaMoth", "True Semantic", IF($O624="FixMiner", "True Pattern", IF($O624="GenProg-A", "Evolutionary Search", IF($O624="Hercules", "Learning Pattern", IF($O624="Jaid", "True Semantic",
IF($O624="Kali-A", "True Search", IF($O624="kPAR", "True Pattern", IF($O624="Nopol", "True Semantic", IF($O624="RSRepair-A", "Evolutionary Search", IF($O624="SequenceR", "Deep Learning", IF($O624="SimFix", "Search Like Pattern", IF($O624="SketchFix", "True Pattern", IF($O624="SOFix", "True Pattern", IF($O624="ssFix", "Search Like Pattern", IF($O624="TBar", "True Pattern", ""))))))))))))))))))))</f>
        <v>True Pattern</v>
      </c>
      <c r="Q624" s="13" t="str">
        <f>IF(NOT(ISERR(SEARCH("*_Buggy",$A624))), "Buggy", IF(NOT(ISERR(SEARCH("*_Fixed",$A624))), "Fixed", IF(NOT(ISERR(SEARCH("*_Repaired",$A624))), "Repaired", "")))</f>
        <v>Fixed</v>
      </c>
      <c r="R624" s="13" t="s">
        <v>1669</v>
      </c>
      <c r="S624" s="25">
        <v>5</v>
      </c>
      <c r="T624" s="25">
        <v>2</v>
      </c>
      <c r="U624" s="25">
        <v>26</v>
      </c>
      <c r="V624" s="13">
        <v>26</v>
      </c>
      <c r="W624" s="13" t="str">
        <f>MID(A624, SEARCH("_", A624) +1, SEARCH("_", A624, SEARCH("_", A624) +1) - SEARCH("_", A624) -1)</f>
        <v>Closure-22</v>
      </c>
      <c r="Y624" s="1" t="str">
        <f t="shared" si="6"/>
        <v>NO</v>
      </c>
      <c r="Z624" s="1" t="str">
        <f t="shared" si="7"/>
        <v>YES</v>
      </c>
      <c r="AA624" t="str">
        <f>IF(AND(S624&gt;1,S1149&gt;1,S624=V624,S1149=V1149), "YES", "NO")</f>
        <v>NO</v>
      </c>
      <c r="AB624" t="str">
        <f>IF(AND(S624&gt;1,S1149&gt;1,S624&lt;V624,S1149&lt;V1149), "YES", "NO")</f>
        <v>NO</v>
      </c>
      <c r="AC624" t="str">
        <f t="shared" si="8"/>
        <v>NO</v>
      </c>
      <c r="AD624" t="str">
        <f t="shared" si="9"/>
        <v>NO</v>
      </c>
      <c r="AE624" t="str">
        <f t="shared" si="10"/>
        <v>NO</v>
      </c>
      <c r="AF624" t="str">
        <f t="shared" si="11"/>
        <v>NO</v>
      </c>
    </row>
    <row r="625" spans="1:32" ht="15" x14ac:dyDescent="0.35">
      <c r="A625" s="5" t="s">
        <v>941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>LEFT($A625,FIND("_",$A625)-1)</f>
        <v>AVATAR</v>
      </c>
      <c r="P625" s="13" t="str">
        <f>IF($O625="ACS", "True Search", IF($O625="Arja", "Evolutionary Search", IF($O625="AVATAR", "True Pattern", IF($O625="CapGen", "Search Like Pattern", IF($O625="Cardumen", "True Semantic", IF($O625="DynaMoth", "True Semantic", IF($O625="FixMiner", "True Pattern", IF($O625="GenProg-A", "Evolutionary Search", IF($O625="Hercules", "Learning Pattern", IF($O625="Jaid", "True Semantic",
IF($O625="Kali-A", "True Search", IF($O625="kPAR", "True Pattern", IF($O625="Nopol", "True Semantic", IF($O625="RSRepair-A", "Evolutionary Search", IF($O625="SequenceR", "Deep Learning", IF($O625="SimFix", "Search Like Pattern", IF($O625="SketchFix", "True Pattern", IF($O625="SOFix", "True Pattern", IF($O625="ssFix", "Search Like Pattern", IF($O625="TBar", "True Pattern", ""))))))))))))))))))))</f>
        <v>True Pattern</v>
      </c>
      <c r="Q625" s="13" t="str">
        <f>IF(NOT(ISERR(SEARCH("*_Buggy",$A625))), "Buggy", IF(NOT(ISERR(SEARCH("*_Fixed",$A625))), "Fixed", IF(NOT(ISERR(SEARCH("*_Repaired",$A625))), "Repaired", "")))</f>
        <v>Fixed</v>
      </c>
      <c r="R625" s="13" t="s">
        <v>1668</v>
      </c>
      <c r="S625" s="25">
        <v>1</v>
      </c>
      <c r="T625" s="25">
        <v>1</v>
      </c>
      <c r="U625" s="25">
        <v>1</v>
      </c>
      <c r="V625" s="13">
        <v>1</v>
      </c>
      <c r="W625" s="13" t="str">
        <f>MID(A625, SEARCH("_", A625) +1, SEARCH("_", A625, SEARCH("_", A625) +1) - SEARCH("_", A625) -1)</f>
        <v>Closure-38</v>
      </c>
      <c r="Y625" s="1" t="str">
        <f t="shared" si="6"/>
        <v>NO</v>
      </c>
      <c r="Z625" s="1" t="str">
        <f t="shared" si="7"/>
        <v>NO</v>
      </c>
      <c r="AA625" t="str">
        <f>IF(AND(S625&gt;1,S1150&gt;1,S625=V625,S1150=V1150), "YES", "NO")</f>
        <v>NO</v>
      </c>
      <c r="AB625" t="str">
        <f>IF(AND(S625&gt;1,S1150&gt;1,S625&lt;V625,S1150&lt;V1150), "YES", "NO")</f>
        <v>NO</v>
      </c>
      <c r="AC625" t="str">
        <f t="shared" si="8"/>
        <v>YES</v>
      </c>
      <c r="AD625" t="str">
        <f t="shared" si="9"/>
        <v>NO</v>
      </c>
      <c r="AE625" t="str">
        <f t="shared" si="10"/>
        <v>YES</v>
      </c>
      <c r="AF625" t="str">
        <f t="shared" si="11"/>
        <v>NO</v>
      </c>
    </row>
    <row r="626" spans="1:32" ht="15" x14ac:dyDescent="0.35">
      <c r="A626" s="5" t="s">
        <v>227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>LEFT($A626,FIND("_",$A626)-1)</f>
        <v>AVATAR</v>
      </c>
      <c r="P626" s="13" t="str">
        <f>IF($O626="ACS", "True Search", IF($O626="Arja", "Evolutionary Search", IF($O626="AVATAR", "True Pattern", IF($O626="CapGen", "Search Like Pattern", IF($O626="Cardumen", "True Semantic", IF($O626="DynaMoth", "True Semantic", IF($O626="FixMiner", "True Pattern", IF($O626="GenProg-A", "Evolutionary Search", IF($O626="Hercules", "Learning Pattern", IF($O626="Jaid", "True Semantic",
IF($O626="Kali-A", "True Search", IF($O626="kPAR", "True Pattern", IF($O626="Nopol", "True Semantic", IF($O626="RSRepair-A", "Evolutionary Search", IF($O626="SequenceR", "Deep Learning", IF($O626="SimFix", "Search Like Pattern", IF($O626="SketchFix", "True Pattern", IF($O626="SOFix", "True Pattern", IF($O626="ssFix", "Search Like Pattern", IF($O626="TBar", "True Pattern", ""))))))))))))))))))))</f>
        <v>True Pattern</v>
      </c>
      <c r="Q626" s="13" t="str">
        <f>IF(NOT(ISERR(SEARCH("*_Buggy",$A626))), "Buggy", IF(NOT(ISERR(SEARCH("*_Fixed",$A626))), "Fixed", IF(NOT(ISERR(SEARCH("*_Repaired",$A626))), "Repaired", "")))</f>
        <v>Fixed</v>
      </c>
      <c r="R626" s="13" t="s">
        <v>1669</v>
      </c>
      <c r="S626" s="25">
        <v>4</v>
      </c>
      <c r="T626" s="25">
        <v>6</v>
      </c>
      <c r="U626" s="25">
        <v>2</v>
      </c>
      <c r="V626" s="13">
        <v>6</v>
      </c>
      <c r="W626" s="13" t="str">
        <f>MID(A626, SEARCH("_", A626) +1, SEARCH("_", A626, SEARCH("_", A626) +1) - SEARCH("_", A626) -1)</f>
        <v>Closure-45</v>
      </c>
      <c r="Y626" s="1" t="str">
        <f t="shared" si="6"/>
        <v>NO</v>
      </c>
      <c r="Z626" s="1" t="str">
        <f t="shared" si="7"/>
        <v>YES</v>
      </c>
      <c r="AA626" t="str">
        <f>IF(AND(S626&gt;1,S1151&gt;1,S626=V626,S1151=V1151), "YES", "NO")</f>
        <v>NO</v>
      </c>
      <c r="AB626" t="str">
        <f>IF(AND(S626&gt;1,S1151&gt;1,S626&lt;V626,S1151&lt;V1151), "YES", "NO")</f>
        <v>NO</v>
      </c>
      <c r="AC626" t="str">
        <f t="shared" si="8"/>
        <v>NO</v>
      </c>
      <c r="AD626" t="str">
        <f t="shared" si="9"/>
        <v>NO</v>
      </c>
      <c r="AE626" t="str">
        <f t="shared" si="10"/>
        <v>NO</v>
      </c>
      <c r="AF626" t="str">
        <f t="shared" si="11"/>
        <v>YES</v>
      </c>
    </row>
    <row r="627" spans="1:32" ht="15" x14ac:dyDescent="0.35">
      <c r="A627" s="7" t="s">
        <v>660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>LEFT($A627,FIND("_",$A627)-1)</f>
        <v>AVATAR</v>
      </c>
      <c r="P627" s="13" t="str">
        <f>IF($O627="ACS", "True Search", IF($O627="Arja", "Evolutionary Search", IF($O627="AVATAR", "True Pattern", IF($O627="CapGen", "Search Like Pattern", IF($O627="Cardumen", "True Semantic", IF($O627="DynaMoth", "True Semantic", IF($O627="FixMiner", "True Pattern", IF($O627="GenProg-A", "Evolutionary Search", IF($O627="Hercules", "Learning Pattern", IF($O627="Jaid", "True Semantic",
IF($O627="Kali-A", "True Search", IF($O627="kPAR", "True Pattern", IF($O627="Nopol", "True Semantic", IF($O627="RSRepair-A", "Evolutionary Search", IF($O627="SequenceR", "Deep Learning", IF($O627="SimFix", "Search Like Pattern", IF($O627="SketchFix", "True Pattern", IF($O627="SOFix", "True Pattern", IF($O627="ssFix", "Search Like Pattern", IF($O627="TBar", "True Pattern", ""))))))))))))))))))))</f>
        <v>True Pattern</v>
      </c>
      <c r="Q627" s="13" t="str">
        <f>IF(NOT(ISERR(SEARCH("*_Buggy",$A627))), "Buggy", IF(NOT(ISERR(SEARCH("*_Fixed",$A627))), "Fixed", IF(NOT(ISERR(SEARCH("*_Repaired",$A627))), "Repaired", "")))</f>
        <v>Fixed</v>
      </c>
      <c r="R627" s="13" t="s">
        <v>1668</v>
      </c>
      <c r="S627" s="25">
        <v>1</v>
      </c>
      <c r="T627" s="25">
        <v>0</v>
      </c>
      <c r="U627" s="13">
        <v>16</v>
      </c>
      <c r="V627" s="13">
        <v>16</v>
      </c>
      <c r="W627" s="13" t="str">
        <f>MID(A627, SEARCH("_", A627) +1, SEARCH("_", A627, SEARCH("_", A627) +1) - SEARCH("_", A627) -1)</f>
        <v>Closure-46</v>
      </c>
      <c r="Y627" s="1" t="str">
        <f t="shared" si="6"/>
        <v>NO</v>
      </c>
      <c r="Z627" s="1" t="str">
        <f t="shared" si="7"/>
        <v>NO</v>
      </c>
      <c r="AA627" t="str">
        <f>IF(AND(S627&gt;1,S1152&gt;1,S627=V627,S1152=V1152), "YES", "NO")</f>
        <v>NO</v>
      </c>
      <c r="AB627" t="str">
        <f>IF(AND(S627&gt;1,S1152&gt;1,S627&lt;V627,S1152&lt;V1152), "YES", "NO")</f>
        <v>NO</v>
      </c>
      <c r="AC627" t="str">
        <f t="shared" si="8"/>
        <v>NO</v>
      </c>
      <c r="AD627" t="str">
        <f t="shared" si="9"/>
        <v>YES</v>
      </c>
      <c r="AE627" t="str">
        <f t="shared" si="10"/>
        <v>NO</v>
      </c>
      <c r="AF627" t="str">
        <f t="shared" si="11"/>
        <v>YES</v>
      </c>
    </row>
    <row r="628" spans="1:32" ht="15" x14ac:dyDescent="0.35">
      <c r="A628" s="7" t="s">
        <v>899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>LEFT($A628,FIND("_",$A628)-1)</f>
        <v>AVATAR</v>
      </c>
      <c r="P628" s="13" t="str">
        <f>IF($O628="ACS", "True Search", IF($O628="Arja", "Evolutionary Search", IF($O628="AVATAR", "True Pattern", IF($O628="CapGen", "Search Like Pattern", IF($O628="Cardumen", "True Semantic", IF($O628="DynaMoth", "True Semantic", IF($O628="FixMiner", "True Pattern", IF($O628="GenProg-A", "Evolutionary Search", IF($O628="Hercules", "Learning Pattern", IF($O628="Jaid", "True Semantic",
IF($O628="Kali-A", "True Search", IF($O628="kPAR", "True Pattern", IF($O628="Nopol", "True Semantic", IF($O628="RSRepair-A", "Evolutionary Search", IF($O628="SequenceR", "Deep Learning", IF($O628="SimFix", "Search Like Pattern", IF($O628="SketchFix", "True Pattern", IF($O628="SOFix", "True Pattern", IF($O628="ssFix", "Search Like Pattern", IF($O628="TBar", "True Pattern", ""))))))))))))))))))))</f>
        <v>True Pattern</v>
      </c>
      <c r="Q628" s="13" t="str">
        <f>IF(NOT(ISERR(SEARCH("*_Buggy",$A628))), "Buggy", IF(NOT(ISERR(SEARCH("*_Fixed",$A628))), "Fixed", IF(NOT(ISERR(SEARCH("*_Repaired",$A628))), "Repaired", "")))</f>
        <v>Fixed</v>
      </c>
      <c r="R628" s="13" t="s">
        <v>1669</v>
      </c>
      <c r="S628" s="25">
        <v>2</v>
      </c>
      <c r="T628" s="25">
        <v>7</v>
      </c>
      <c r="U628" s="25">
        <v>4</v>
      </c>
      <c r="V628" s="13">
        <v>7</v>
      </c>
      <c r="W628" s="13" t="str">
        <f>MID(A628, SEARCH("_", A628) +1, SEARCH("_", A628, SEARCH("_", A628) +1) - SEARCH("_", A628) -1)</f>
        <v>Closure-48</v>
      </c>
      <c r="Y628" s="1" t="str">
        <f t="shared" si="6"/>
        <v>NO</v>
      </c>
      <c r="Z628" s="1" t="str">
        <f t="shared" si="7"/>
        <v>YES</v>
      </c>
      <c r="AA628" t="str">
        <f>IF(AND(S628&gt;1,S1153&gt;1,S628=V628,S1153=V1153), "YES", "NO")</f>
        <v>NO</v>
      </c>
      <c r="AB628" t="str">
        <f>IF(AND(S628&gt;1,S1153&gt;1,S628&lt;V628,S1153&lt;V1153), "YES", "NO")</f>
        <v>NO</v>
      </c>
      <c r="AC628" t="str">
        <f t="shared" si="8"/>
        <v>NO</v>
      </c>
      <c r="AD628" t="str">
        <f t="shared" si="9"/>
        <v>NO</v>
      </c>
      <c r="AE628" t="str">
        <f t="shared" si="10"/>
        <v>NO</v>
      </c>
      <c r="AF628" t="str">
        <f t="shared" si="11"/>
        <v>NO</v>
      </c>
    </row>
    <row r="629" spans="1:32" ht="15" x14ac:dyDescent="0.35">
      <c r="A629" s="7" t="s">
        <v>1217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>LEFT($A629,FIND("_",$A629)-1)</f>
        <v>AVATAR</v>
      </c>
      <c r="P629" s="13" t="str">
        <f>IF($O629="ACS", "True Search", IF($O629="Arja", "Evolutionary Search", IF($O629="AVATAR", "True Pattern", IF($O629="CapGen", "Search Like Pattern", IF($O629="Cardumen", "True Semantic", IF($O629="DynaMoth", "True Semantic", IF($O629="FixMiner", "True Pattern", IF($O629="GenProg-A", "Evolutionary Search", IF($O629="Hercules", "Learning Pattern", IF($O629="Jaid", "True Semantic",
IF($O629="Kali-A", "True Search", IF($O629="kPAR", "True Pattern", IF($O629="Nopol", "True Semantic", IF($O629="RSRepair-A", "Evolutionary Search", IF($O629="SequenceR", "Deep Learning", IF($O629="SimFix", "Search Like Pattern", IF($O629="SketchFix", "True Pattern", IF($O629="SOFix", "True Pattern", IF($O629="ssFix", "Search Like Pattern", IF($O629="TBar", "True Pattern", ""))))))))))))))))))))</f>
        <v>True Pattern</v>
      </c>
      <c r="Q629" s="13" t="str">
        <f>IF(NOT(ISERR(SEARCH("*_Buggy",$A629))), "Buggy", IF(NOT(ISERR(SEARCH("*_Fixed",$A629))), "Fixed", IF(NOT(ISERR(SEARCH("*_Repaired",$A629))), "Repaired", "")))</f>
        <v>Fixed</v>
      </c>
      <c r="R629" s="13" t="s">
        <v>1668</v>
      </c>
      <c r="S629" s="25">
        <v>1</v>
      </c>
      <c r="T629" s="25">
        <v>1</v>
      </c>
      <c r="U629" s="25">
        <v>1</v>
      </c>
      <c r="V629" s="13">
        <v>1</v>
      </c>
      <c r="W629" s="13" t="str">
        <f>MID(A629, SEARCH("_", A629) +1, SEARCH("_", A629, SEARCH("_", A629) +1) - SEARCH("_", A629) -1)</f>
        <v>Closure-62</v>
      </c>
      <c r="Y629" s="1" t="str">
        <f t="shared" si="6"/>
        <v>NO</v>
      </c>
      <c r="Z629" s="1" t="str">
        <f t="shared" si="7"/>
        <v>NO</v>
      </c>
      <c r="AA629" t="str">
        <f>IF(AND(S629&gt;1,S1154&gt;1,S629=V629,S1154=V1154), "YES", "NO")</f>
        <v>NO</v>
      </c>
      <c r="AB629" t="str">
        <f>IF(AND(S629&gt;1,S1154&gt;1,S629&lt;V629,S1154&lt;V1154), "YES", "NO")</f>
        <v>NO</v>
      </c>
      <c r="AC629" t="str">
        <f t="shared" si="8"/>
        <v>YES</v>
      </c>
      <c r="AD629" t="str">
        <f t="shared" si="9"/>
        <v>NO</v>
      </c>
      <c r="AE629" t="str">
        <f t="shared" si="10"/>
        <v>YES</v>
      </c>
      <c r="AF629" t="str">
        <f t="shared" si="11"/>
        <v>NO</v>
      </c>
    </row>
    <row r="630" spans="1:32" ht="15" x14ac:dyDescent="0.35">
      <c r="A630" s="5" t="s">
        <v>279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>LEFT($A630,FIND("_",$A630)-1)</f>
        <v>AVATAR</v>
      </c>
      <c r="P630" s="13" t="str">
        <f>IF($O630="ACS", "True Search", IF($O630="Arja", "Evolutionary Search", IF($O630="AVATAR", "True Pattern", IF($O630="CapGen", "Search Like Pattern", IF($O630="Cardumen", "True Semantic", IF($O630="DynaMoth", "True Semantic", IF($O630="FixMiner", "True Pattern", IF($O630="GenProg-A", "Evolutionary Search", IF($O630="Hercules", "Learning Pattern", IF($O630="Jaid", "True Semantic",
IF($O630="Kali-A", "True Search", IF($O630="kPAR", "True Pattern", IF($O630="Nopol", "True Semantic", IF($O630="RSRepair-A", "Evolutionary Search", IF($O630="SequenceR", "Deep Learning", IF($O630="SimFix", "Search Like Pattern", IF($O630="SketchFix", "True Pattern", IF($O630="SOFix", "True Pattern", IF($O630="ssFix", "Search Like Pattern", IF($O630="TBar", "True Pattern", ""))))))))))))))))))))</f>
        <v>True Pattern</v>
      </c>
      <c r="Q630" s="13" t="str">
        <f>IF(NOT(ISERR(SEARCH("*_Buggy",$A630))), "Buggy", IF(NOT(ISERR(SEARCH("*_Fixed",$A630))), "Fixed", IF(NOT(ISERR(SEARCH("*_Repaired",$A630))), "Repaired", "")))</f>
        <v>Fixed</v>
      </c>
      <c r="R630" s="13" t="s">
        <v>1669</v>
      </c>
      <c r="S630" s="25">
        <v>2</v>
      </c>
      <c r="T630" s="13">
        <v>2</v>
      </c>
      <c r="U630" s="25">
        <v>0</v>
      </c>
      <c r="V630" s="13">
        <v>2</v>
      </c>
      <c r="W630" s="13" t="str">
        <f>MID(A630, SEARCH("_", A630) +1, SEARCH("_", A630, SEARCH("_", A630) +1) - SEARCH("_", A630) -1)</f>
        <v>Closure-66</v>
      </c>
      <c r="Y630" s="1" t="str">
        <f t="shared" si="6"/>
        <v>YES</v>
      </c>
      <c r="Z630" s="1" t="str">
        <f t="shared" si="7"/>
        <v>NO</v>
      </c>
      <c r="AA630" t="str">
        <f>IF(AND(S630&gt;1,S1155&gt;1,S630=V630,S1155=V1155), "YES", "NO")</f>
        <v>NO</v>
      </c>
      <c r="AB630" t="str">
        <f>IF(AND(S630&gt;1,S1155&gt;1,S630&lt;V630,S1155&lt;V1155), "YES", "NO")</f>
        <v>NO</v>
      </c>
      <c r="AC630" t="str">
        <f t="shared" si="8"/>
        <v>NO</v>
      </c>
      <c r="AD630" t="str">
        <f t="shared" si="9"/>
        <v>NO</v>
      </c>
      <c r="AE630" t="str">
        <f t="shared" si="10"/>
        <v>NO</v>
      </c>
      <c r="AF630" t="str">
        <f t="shared" si="11"/>
        <v>NO</v>
      </c>
    </row>
    <row r="631" spans="1:32" ht="15" x14ac:dyDescent="0.35">
      <c r="A631" s="5" t="s">
        <v>680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>LEFT($A631,FIND("_",$A631)-1)</f>
        <v>AVATAR</v>
      </c>
      <c r="P631" s="13" t="str">
        <f>IF($O631="ACS", "True Search", IF($O631="Arja", "Evolutionary Search", IF($O631="AVATAR", "True Pattern", IF($O631="CapGen", "Search Like Pattern", IF($O631="Cardumen", "True Semantic", IF($O631="DynaMoth", "True Semantic", IF($O631="FixMiner", "True Pattern", IF($O631="GenProg-A", "Evolutionary Search", IF($O631="Hercules", "Learning Pattern", IF($O631="Jaid", "True Semantic",
IF($O631="Kali-A", "True Search", IF($O631="kPAR", "True Pattern", IF($O631="Nopol", "True Semantic", IF($O631="RSRepair-A", "Evolutionary Search", IF($O631="SequenceR", "Deep Learning", IF($O631="SimFix", "Search Like Pattern", IF($O631="SketchFix", "True Pattern", IF($O631="SOFix", "True Pattern", IF($O631="ssFix", "Search Like Pattern", IF($O631="TBar", "True Pattern", ""))))))))))))))))))))</f>
        <v>True Pattern</v>
      </c>
      <c r="Q631" s="13" t="str">
        <f>IF(NOT(ISERR(SEARCH("*_Buggy",$A631))), "Buggy", IF(NOT(ISERR(SEARCH("*_Fixed",$A631))), "Fixed", IF(NOT(ISERR(SEARCH("*_Repaired",$A631))), "Repaired", "")))</f>
        <v>Fixed</v>
      </c>
      <c r="R631" s="13" t="s">
        <v>1668</v>
      </c>
      <c r="S631" s="25">
        <v>1</v>
      </c>
      <c r="T631" s="25">
        <v>1</v>
      </c>
      <c r="U631" s="25">
        <v>1</v>
      </c>
      <c r="V631" s="13">
        <v>1</v>
      </c>
      <c r="W631" s="13" t="str">
        <f>MID(A631, SEARCH("_", A631) +1, SEARCH("_", A631, SEARCH("_", A631) +1) - SEARCH("_", A631) -1)</f>
        <v>Closure-73</v>
      </c>
      <c r="Y631" s="1" t="str">
        <f t="shared" si="6"/>
        <v>NO</v>
      </c>
      <c r="Z631" s="1" t="str">
        <f t="shared" si="7"/>
        <v>NO</v>
      </c>
      <c r="AA631" t="str">
        <f>IF(AND(S631&gt;1,S1156&gt;1,S631=V631,S1156=V1156), "YES", "NO")</f>
        <v>NO</v>
      </c>
      <c r="AB631" t="str">
        <f>IF(AND(S631&gt;1,S1156&gt;1,S631&lt;V631,S1156&lt;V1156), "YES", "NO")</f>
        <v>NO</v>
      </c>
      <c r="AC631" t="str">
        <f t="shared" si="8"/>
        <v>YES</v>
      </c>
      <c r="AD631" t="str">
        <f t="shared" si="9"/>
        <v>NO</v>
      </c>
      <c r="AE631" t="str">
        <f t="shared" si="10"/>
        <v>YES</v>
      </c>
      <c r="AF631" t="str">
        <f t="shared" si="11"/>
        <v>NO</v>
      </c>
    </row>
    <row r="632" spans="1:32" ht="15" x14ac:dyDescent="0.35">
      <c r="A632" s="7" t="s">
        <v>1142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>LEFT($A632,FIND("_",$A632)-1)</f>
        <v>AVATAR</v>
      </c>
      <c r="P632" s="13" t="str">
        <f>IF($O632="ACS", "True Search", IF($O632="Arja", "Evolutionary Search", IF($O632="AVATAR", "True Pattern", IF($O632="CapGen", "Search Like Pattern", IF($O632="Cardumen", "True Semantic", IF($O632="DynaMoth", "True Semantic", IF($O632="FixMiner", "True Pattern", IF($O632="GenProg-A", "Evolutionary Search", IF($O632="Hercules", "Learning Pattern", IF($O632="Jaid", "True Semantic",
IF($O632="Kali-A", "True Search", IF($O632="kPAR", "True Pattern", IF($O632="Nopol", "True Semantic", IF($O632="RSRepair-A", "Evolutionary Search", IF($O632="SequenceR", "Deep Learning", IF($O632="SimFix", "Search Like Pattern", IF($O632="SketchFix", "True Pattern", IF($O632="SOFix", "True Pattern", IF($O632="ssFix", "Search Like Pattern", IF($O632="TBar", "True Pattern", ""))))))))))))))))))))</f>
        <v>True Pattern</v>
      </c>
      <c r="Q632" s="13" t="str">
        <f>IF(NOT(ISERR(SEARCH("*_Buggy",$A632))), "Buggy", IF(NOT(ISERR(SEARCH("*_Fixed",$A632))), "Fixed", IF(NOT(ISERR(SEARCH("*_Repaired",$A632))), "Repaired", "")))</f>
        <v>Fixed</v>
      </c>
      <c r="R632" s="13" t="s">
        <v>1668</v>
      </c>
      <c r="S632" s="25">
        <v>2</v>
      </c>
      <c r="T632" s="25">
        <v>0</v>
      </c>
      <c r="U632" s="13">
        <v>9</v>
      </c>
      <c r="V632" s="13">
        <v>9</v>
      </c>
      <c r="W632" s="13" t="str">
        <f>MID(A632, SEARCH("_", A632) +1, SEARCH("_", A632, SEARCH("_", A632) +1) - SEARCH("_", A632) -1)</f>
        <v>Lang-10</v>
      </c>
      <c r="Y632" s="1" t="str">
        <f t="shared" si="6"/>
        <v>NO</v>
      </c>
      <c r="Z632" s="1" t="str">
        <f t="shared" si="7"/>
        <v>YES</v>
      </c>
      <c r="AA632" t="str">
        <f>IF(AND(S632&gt;1,S1157&gt;1,S632=V632,S1157=V1157), "YES", "NO")</f>
        <v>NO</v>
      </c>
      <c r="AB632" t="str">
        <f>IF(AND(S632&gt;1,S1157&gt;1,S632&lt;V632,S1157&lt;V1157), "YES", "NO")</f>
        <v>NO</v>
      </c>
      <c r="AC632" t="str">
        <f t="shared" si="8"/>
        <v>NO</v>
      </c>
      <c r="AD632" t="str">
        <f t="shared" si="9"/>
        <v>NO</v>
      </c>
      <c r="AE632" t="str">
        <f t="shared" si="10"/>
        <v>NO</v>
      </c>
      <c r="AF632" t="str">
        <f t="shared" si="11"/>
        <v>YES</v>
      </c>
    </row>
    <row r="633" spans="1:32" ht="15" x14ac:dyDescent="0.35">
      <c r="A633" s="5" t="s">
        <v>508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>LEFT($A633,FIND("_",$A633)-1)</f>
        <v>AVATAR</v>
      </c>
      <c r="P633" s="13" t="str">
        <f>IF($O633="ACS", "True Search", IF($O633="Arja", "Evolutionary Search", IF($O633="AVATAR", "True Pattern", IF($O633="CapGen", "Search Like Pattern", IF($O633="Cardumen", "True Semantic", IF($O633="DynaMoth", "True Semantic", IF($O633="FixMiner", "True Pattern", IF($O633="GenProg-A", "Evolutionary Search", IF($O633="Hercules", "Learning Pattern", IF($O633="Jaid", "True Semantic",
IF($O633="Kali-A", "True Search", IF($O633="kPAR", "True Pattern", IF($O633="Nopol", "True Semantic", IF($O633="RSRepair-A", "Evolutionary Search", IF($O633="SequenceR", "Deep Learning", IF($O633="SimFix", "Search Like Pattern", IF($O633="SketchFix", "True Pattern", IF($O633="SOFix", "True Pattern", IF($O633="ssFix", "Search Like Pattern", IF($O633="TBar", "True Pattern", ""))))))))))))))))))))</f>
        <v>True Pattern</v>
      </c>
      <c r="Q633" s="13" t="str">
        <f>IF(NOT(ISERR(SEARCH("*_Buggy",$A633))), "Buggy", IF(NOT(ISERR(SEARCH("*_Fixed",$A633))), "Fixed", IF(NOT(ISERR(SEARCH("*_Repaired",$A633))), "Repaired", "")))</f>
        <v>Fixed</v>
      </c>
      <c r="R633" s="13" t="s">
        <v>1669</v>
      </c>
      <c r="S633" s="25">
        <v>4</v>
      </c>
      <c r="T633" s="13">
        <v>19</v>
      </c>
      <c r="U633" s="25">
        <v>0</v>
      </c>
      <c r="V633" s="13">
        <v>19</v>
      </c>
      <c r="W633" s="13" t="str">
        <f>MID(A633, SEARCH("_", A633) +1, SEARCH("_", A633, SEARCH("_", A633) +1) - SEARCH("_", A633) -1)</f>
        <v>Lang-13</v>
      </c>
      <c r="Y633" s="1" t="str">
        <f t="shared" si="6"/>
        <v>NO</v>
      </c>
      <c r="Z633" s="1" t="str">
        <f t="shared" si="7"/>
        <v>YES</v>
      </c>
      <c r="AA633" t="str">
        <f>IF(AND(S633&gt;1,S1158&gt;1,S633=V633,S1158=V1158), "YES", "NO")</f>
        <v>NO</v>
      </c>
      <c r="AB633" t="str">
        <f>IF(AND(S633&gt;1,S1158&gt;1,S633&lt;V633,S1158&lt;V1158), "YES", "NO")</f>
        <v>NO</v>
      </c>
      <c r="AC633" t="str">
        <f t="shared" si="8"/>
        <v>NO</v>
      </c>
      <c r="AD633" t="str">
        <f t="shared" si="9"/>
        <v>NO</v>
      </c>
      <c r="AE633" t="str">
        <f t="shared" si="10"/>
        <v>NO</v>
      </c>
      <c r="AF633" t="str">
        <f t="shared" si="11"/>
        <v>YES</v>
      </c>
    </row>
    <row r="634" spans="1:32" ht="15" x14ac:dyDescent="0.35">
      <c r="A634" s="5" t="s">
        <v>339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>LEFT($A634,FIND("_",$A634)-1)</f>
        <v>AVATAR</v>
      </c>
      <c r="P634" s="13" t="str">
        <f>IF($O634="ACS", "True Search", IF($O634="Arja", "Evolutionary Search", IF($O634="AVATAR", "True Pattern", IF($O634="CapGen", "Search Like Pattern", IF($O634="Cardumen", "True Semantic", IF($O634="DynaMoth", "True Semantic", IF($O634="FixMiner", "True Pattern", IF($O634="GenProg-A", "Evolutionary Search", IF($O634="Hercules", "Learning Pattern", IF($O634="Jaid", "True Semantic",
IF($O634="Kali-A", "True Search", IF($O634="kPAR", "True Pattern", IF($O634="Nopol", "True Semantic", IF($O634="RSRepair-A", "Evolutionary Search", IF($O634="SequenceR", "Deep Learning", IF($O634="SimFix", "Search Like Pattern", IF($O634="SketchFix", "True Pattern", IF($O634="SOFix", "True Pattern", IF($O634="ssFix", "Search Like Pattern", IF($O634="TBar", "True Pattern", ""))))))))))))))))))))</f>
        <v>True Pattern</v>
      </c>
      <c r="Q634" s="13" t="str">
        <f>IF(NOT(ISERR(SEARCH("*_Buggy",$A634))), "Buggy", IF(NOT(ISERR(SEARCH("*_Fixed",$A634))), "Fixed", IF(NOT(ISERR(SEARCH("*_Repaired",$A634))), "Repaired", "")))</f>
        <v>Fixed</v>
      </c>
      <c r="R634" s="13" t="s">
        <v>1669</v>
      </c>
      <c r="S634" s="25">
        <v>2</v>
      </c>
      <c r="T634" s="25">
        <v>2</v>
      </c>
      <c r="U634" s="25">
        <v>2</v>
      </c>
      <c r="V634" s="13">
        <v>2</v>
      </c>
      <c r="W634" s="13" t="str">
        <f>MID(A634, SEARCH("_", A634) +1, SEARCH("_", A634, SEARCH("_", A634) +1) - SEARCH("_", A634) -1)</f>
        <v>Lang-20</v>
      </c>
      <c r="Y634" s="1" t="str">
        <f t="shared" si="6"/>
        <v>YES</v>
      </c>
      <c r="Z634" s="1" t="str">
        <f t="shared" si="7"/>
        <v>NO</v>
      </c>
      <c r="AA634" t="str">
        <f>IF(AND(S634&gt;1,S1159&gt;1,S634=V634,S1159=V1159), "YES", "NO")</f>
        <v>NO</v>
      </c>
      <c r="AB634" t="str">
        <f>IF(AND(S634&gt;1,S1159&gt;1,S634&lt;V634,S1159&lt;V1159), "YES", "NO")</f>
        <v>NO</v>
      </c>
      <c r="AC634" t="str">
        <f t="shared" si="8"/>
        <v>NO</v>
      </c>
      <c r="AD634" t="str">
        <f t="shared" si="9"/>
        <v>NO</v>
      </c>
      <c r="AE634" t="str">
        <f t="shared" si="10"/>
        <v>NO</v>
      </c>
      <c r="AF634" t="str">
        <f t="shared" si="11"/>
        <v>NO</v>
      </c>
    </row>
    <row r="635" spans="1:32" ht="15" x14ac:dyDescent="0.35">
      <c r="A635" s="7" t="s">
        <v>686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>LEFT($A635,FIND("_",$A635)-1)</f>
        <v>AVATAR</v>
      </c>
      <c r="P635" s="13" t="str">
        <f>IF($O635="ACS", "True Search", IF($O635="Arja", "Evolutionary Search", IF($O635="AVATAR", "True Pattern", IF($O635="CapGen", "Search Like Pattern", IF($O635="Cardumen", "True Semantic", IF($O635="DynaMoth", "True Semantic", IF($O635="FixMiner", "True Pattern", IF($O635="GenProg-A", "Evolutionary Search", IF($O635="Hercules", "Learning Pattern", IF($O635="Jaid", "True Semantic",
IF($O635="Kali-A", "True Search", IF($O635="kPAR", "True Pattern", IF($O635="Nopol", "True Semantic", IF($O635="RSRepair-A", "Evolutionary Search", IF($O635="SequenceR", "Deep Learning", IF($O635="SimFix", "Search Like Pattern", IF($O635="SketchFix", "True Pattern", IF($O635="SOFix", "True Pattern", IF($O635="ssFix", "Search Like Pattern", IF($O635="TBar", "True Pattern", ""))))))))))))))))))))</f>
        <v>True Pattern</v>
      </c>
      <c r="Q635" s="13" t="str">
        <f>IF(NOT(ISERR(SEARCH("*_Buggy",$A635))), "Buggy", IF(NOT(ISERR(SEARCH("*_Fixed",$A635))), "Fixed", IF(NOT(ISERR(SEARCH("*_Repaired",$A635))), "Repaired", "")))</f>
        <v>Fixed</v>
      </c>
      <c r="R635" s="13" t="s">
        <v>1669</v>
      </c>
      <c r="S635" s="25">
        <v>2</v>
      </c>
      <c r="T635" s="25">
        <v>7</v>
      </c>
      <c r="U635" s="25">
        <v>1</v>
      </c>
      <c r="V635" s="13">
        <v>7</v>
      </c>
      <c r="W635" s="13" t="str">
        <f>MID(A635, SEARCH("_", A635) +1, SEARCH("_", A635, SEARCH("_", A635) +1) - SEARCH("_", A635) -1)</f>
        <v>Lang-22</v>
      </c>
      <c r="Y635" s="1" t="str">
        <f t="shared" si="6"/>
        <v>NO</v>
      </c>
      <c r="Z635" s="1" t="str">
        <f t="shared" si="7"/>
        <v>YES</v>
      </c>
      <c r="AA635" t="str">
        <f>IF(AND(S635&gt;1,S1160&gt;1,S635=V635,S1160=V1160), "YES", "NO")</f>
        <v>NO</v>
      </c>
      <c r="AB635" t="str">
        <f>IF(AND(S635&gt;1,S1160&gt;1,S635&lt;V635,S1160&lt;V1160), "YES", "NO")</f>
        <v>NO</v>
      </c>
      <c r="AC635" t="str">
        <f t="shared" si="8"/>
        <v>NO</v>
      </c>
      <c r="AD635" t="str">
        <f t="shared" si="9"/>
        <v>NO</v>
      </c>
      <c r="AE635" t="str">
        <f t="shared" si="10"/>
        <v>NO</v>
      </c>
      <c r="AF635" t="str">
        <f t="shared" si="11"/>
        <v>NO</v>
      </c>
    </row>
    <row r="636" spans="1:32" ht="15" x14ac:dyDescent="0.35">
      <c r="A636" s="7" t="s">
        <v>188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>LEFT($A636,FIND("_",$A636)-1)</f>
        <v>AVATAR</v>
      </c>
      <c r="P636" s="13" t="str">
        <f>IF($O636="ACS", "True Search", IF($O636="Arja", "Evolutionary Search", IF($O636="AVATAR", "True Pattern", IF($O636="CapGen", "Search Like Pattern", IF($O636="Cardumen", "True Semantic", IF($O636="DynaMoth", "True Semantic", IF($O636="FixMiner", "True Pattern", IF($O636="GenProg-A", "Evolutionary Search", IF($O636="Hercules", "Learning Pattern", IF($O636="Jaid", "True Semantic",
IF($O636="Kali-A", "True Search", IF($O636="kPAR", "True Pattern", IF($O636="Nopol", "True Semantic", IF($O636="RSRepair-A", "Evolutionary Search", IF($O636="SequenceR", "Deep Learning", IF($O636="SimFix", "Search Like Pattern", IF($O636="SketchFix", "True Pattern", IF($O636="SOFix", "True Pattern", IF($O636="ssFix", "Search Like Pattern", IF($O636="TBar", "True Pattern", ""))))))))))))))))))))</f>
        <v>True Pattern</v>
      </c>
      <c r="Q636" s="13" t="str">
        <f>IF(NOT(ISERR(SEARCH("*_Buggy",$A636))), "Buggy", IF(NOT(ISERR(SEARCH("*_Fixed",$A636))), "Fixed", IF(NOT(ISERR(SEARCH("*_Repaired",$A636))), "Repaired", "")))</f>
        <v>Fixed</v>
      </c>
      <c r="R636" s="13" t="s">
        <v>1669</v>
      </c>
      <c r="S636" s="25">
        <v>2</v>
      </c>
      <c r="T636" s="25">
        <v>4</v>
      </c>
      <c r="U636" s="25">
        <v>1</v>
      </c>
      <c r="V636" s="13">
        <v>4</v>
      </c>
      <c r="W636" s="13" t="str">
        <f>MID(A636, SEARCH("_", A636) +1, SEARCH("_", A636, SEARCH("_", A636) +1) - SEARCH("_", A636) -1)</f>
        <v>Lang-27</v>
      </c>
      <c r="Y636" s="1" t="str">
        <f t="shared" si="6"/>
        <v>NO</v>
      </c>
      <c r="Z636" s="1" t="str">
        <f t="shared" si="7"/>
        <v>YES</v>
      </c>
      <c r="AA636" t="str">
        <f>IF(AND(S636&gt;1,S1161&gt;1,S636=V636,S1161=V1161), "YES", "NO")</f>
        <v>NO</v>
      </c>
      <c r="AB636" t="str">
        <f>IF(AND(S636&gt;1,S1161&gt;1,S636&lt;V636,S1161&lt;V1161), "YES", "NO")</f>
        <v>NO</v>
      </c>
      <c r="AC636" t="str">
        <f t="shared" si="8"/>
        <v>NO</v>
      </c>
      <c r="AD636" t="str">
        <f t="shared" si="9"/>
        <v>NO</v>
      </c>
      <c r="AE636" t="str">
        <f t="shared" si="10"/>
        <v>NO</v>
      </c>
      <c r="AF636" t="str">
        <f t="shared" si="11"/>
        <v>NO</v>
      </c>
    </row>
    <row r="637" spans="1:32" ht="15" x14ac:dyDescent="0.35">
      <c r="A637" s="7" t="s">
        <v>1222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>LEFT($A637,FIND("_",$A637)-1)</f>
        <v>AVATAR</v>
      </c>
      <c r="P637" s="13" t="str">
        <f>IF($O637="ACS", "True Search", IF($O637="Arja", "Evolutionary Search", IF($O637="AVATAR", "True Pattern", IF($O637="CapGen", "Search Like Pattern", IF($O637="Cardumen", "True Semantic", IF($O637="DynaMoth", "True Semantic", IF($O637="FixMiner", "True Pattern", IF($O637="GenProg-A", "Evolutionary Search", IF($O637="Hercules", "Learning Pattern", IF($O637="Jaid", "True Semantic",
IF($O637="Kali-A", "True Search", IF($O637="kPAR", "True Pattern", IF($O637="Nopol", "True Semantic", IF($O637="RSRepair-A", "Evolutionary Search", IF($O637="SequenceR", "Deep Learning", IF($O637="SimFix", "Search Like Pattern", IF($O637="SketchFix", "True Pattern", IF($O637="SOFix", "True Pattern", IF($O637="ssFix", "Search Like Pattern", IF($O637="TBar", "True Pattern", ""))))))))))))))))))))</f>
        <v>True Pattern</v>
      </c>
      <c r="Q637" s="13" t="str">
        <f>IF(NOT(ISERR(SEARCH("*_Buggy",$A637))), "Buggy", IF(NOT(ISERR(SEARCH("*_Fixed",$A637))), "Fixed", IF(NOT(ISERR(SEARCH("*_Repaired",$A637))), "Repaired", "")))</f>
        <v>Fixed</v>
      </c>
      <c r="R637" s="13" t="s">
        <v>1669</v>
      </c>
      <c r="S637" s="25">
        <v>1</v>
      </c>
      <c r="T637" s="13">
        <v>3</v>
      </c>
      <c r="U637" s="25">
        <v>0</v>
      </c>
      <c r="V637" s="13">
        <v>3</v>
      </c>
      <c r="W637" s="13" t="str">
        <f>MID(A637, SEARCH("_", A637) +1, SEARCH("_", A637, SEARCH("_", A637) +1) - SEARCH("_", A637) -1)</f>
        <v>Lang-39</v>
      </c>
      <c r="Y637" s="1" t="str">
        <f t="shared" si="6"/>
        <v>NO</v>
      </c>
      <c r="Z637" s="1" t="str">
        <f t="shared" si="7"/>
        <v>NO</v>
      </c>
      <c r="AA637" t="str">
        <f>IF(AND(S637&gt;1,S1162&gt;1,S637=V637,S1162=V1162), "YES", "NO")</f>
        <v>NO</v>
      </c>
      <c r="AB637" t="str">
        <f>IF(AND(S637&gt;1,S1162&gt;1,S637&lt;V637,S1162&lt;V1162), "YES", "NO")</f>
        <v>NO</v>
      </c>
      <c r="AC637" t="str">
        <f t="shared" si="8"/>
        <v>NO</v>
      </c>
      <c r="AD637" t="str">
        <f t="shared" si="9"/>
        <v>NO</v>
      </c>
      <c r="AE637" t="str">
        <f t="shared" si="10"/>
        <v>NO</v>
      </c>
      <c r="AF637" t="str">
        <f t="shared" si="11"/>
        <v>NO</v>
      </c>
    </row>
    <row r="638" spans="1:32" ht="15" x14ac:dyDescent="0.35">
      <c r="A638" s="5" t="s">
        <v>1145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>LEFT($A638,FIND("_",$A638)-1)</f>
        <v>AVATAR</v>
      </c>
      <c r="P638" s="13" t="str">
        <f>IF($O638="ACS", "True Search", IF($O638="Arja", "Evolutionary Search", IF($O638="AVATAR", "True Pattern", IF($O638="CapGen", "Search Like Pattern", IF($O638="Cardumen", "True Semantic", IF($O638="DynaMoth", "True Semantic", IF($O638="FixMiner", "True Pattern", IF($O638="GenProg-A", "Evolutionary Search", IF($O638="Hercules", "Learning Pattern", IF($O638="Jaid", "True Semantic",
IF($O638="Kali-A", "True Search", IF($O638="kPAR", "True Pattern", IF($O638="Nopol", "True Semantic", IF($O638="RSRepair-A", "Evolutionary Search", IF($O638="SequenceR", "Deep Learning", IF($O638="SimFix", "Search Like Pattern", IF($O638="SketchFix", "True Pattern", IF($O638="SOFix", "True Pattern", IF($O638="ssFix", "Search Like Pattern", IF($O638="TBar", "True Pattern", ""))))))))))))))))))))</f>
        <v>True Pattern</v>
      </c>
      <c r="Q638" s="13" t="str">
        <f>IF(NOT(ISERR(SEARCH("*_Buggy",$A638))), "Buggy", IF(NOT(ISERR(SEARCH("*_Fixed",$A638))), "Fixed", IF(NOT(ISERR(SEARCH("*_Repaired",$A638))), "Repaired", "")))</f>
        <v>Fixed</v>
      </c>
      <c r="R638" s="13" t="s">
        <v>1669</v>
      </c>
      <c r="S638" s="25">
        <v>1</v>
      </c>
      <c r="T638" s="13">
        <v>1</v>
      </c>
      <c r="U638" s="25">
        <v>0</v>
      </c>
      <c r="V638" s="13">
        <v>1</v>
      </c>
      <c r="W638" s="13" t="str">
        <f>MID(A638, SEARCH("_", A638) +1, SEARCH("_", A638, SEARCH("_", A638) +1) - SEARCH("_", A638) -1)</f>
        <v>Lang-51</v>
      </c>
      <c r="Y638" s="1" t="str">
        <f t="shared" si="6"/>
        <v>NO</v>
      </c>
      <c r="Z638" s="1" t="str">
        <f t="shared" si="7"/>
        <v>NO</v>
      </c>
      <c r="AA638" t="str">
        <f>IF(AND(S638&gt;1,S1163&gt;1,S638=V638,S1163=V1163), "YES", "NO")</f>
        <v>NO</v>
      </c>
      <c r="AB638" t="str">
        <f>IF(AND(S638&gt;1,S1163&gt;1,S638&lt;V638,S1163&lt;V1163), "YES", "NO")</f>
        <v>NO</v>
      </c>
      <c r="AC638" t="str">
        <f t="shared" si="8"/>
        <v>NO</v>
      </c>
      <c r="AD638" t="str">
        <f t="shared" si="9"/>
        <v>NO</v>
      </c>
      <c r="AE638" t="str">
        <f t="shared" si="10"/>
        <v>NO</v>
      </c>
      <c r="AF638" t="str">
        <f t="shared" si="11"/>
        <v>NO</v>
      </c>
    </row>
    <row r="639" spans="1:32" ht="15" x14ac:dyDescent="0.35">
      <c r="A639" s="7" t="s">
        <v>151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>LEFT($A639,FIND("_",$A639)-1)</f>
        <v>AVATAR</v>
      </c>
      <c r="P639" s="13" t="str">
        <f>IF($O639="ACS", "True Search", IF($O639="Arja", "Evolutionary Search", IF($O639="AVATAR", "True Pattern", IF($O639="CapGen", "Search Like Pattern", IF($O639="Cardumen", "True Semantic", IF($O639="DynaMoth", "True Semantic", IF($O639="FixMiner", "True Pattern", IF($O639="GenProg-A", "Evolutionary Search", IF($O639="Hercules", "Learning Pattern", IF($O639="Jaid", "True Semantic",
IF($O639="Kali-A", "True Search", IF($O639="kPAR", "True Pattern", IF($O639="Nopol", "True Semantic", IF($O639="RSRepair-A", "Evolutionary Search", IF($O639="SequenceR", "Deep Learning", IF($O639="SimFix", "Search Like Pattern", IF($O639="SketchFix", "True Pattern", IF($O639="SOFix", "True Pattern", IF($O639="ssFix", "Search Like Pattern", IF($O639="TBar", "True Pattern", ""))))))))))))))))))))</f>
        <v>True Pattern</v>
      </c>
      <c r="Q639" s="13" t="str">
        <f>IF(NOT(ISERR(SEARCH("*_Buggy",$A639))), "Buggy", IF(NOT(ISERR(SEARCH("*_Fixed",$A639))), "Fixed", IF(NOT(ISERR(SEARCH("*_Repaired",$A639))), "Repaired", "")))</f>
        <v>Fixed</v>
      </c>
      <c r="R639" s="13" t="s">
        <v>1668</v>
      </c>
      <c r="S639" s="25">
        <v>1</v>
      </c>
      <c r="T639" s="25">
        <v>1</v>
      </c>
      <c r="U639" s="25">
        <v>1</v>
      </c>
      <c r="V639" s="13">
        <v>1</v>
      </c>
      <c r="W639" s="13" t="str">
        <f>MID(A639, SEARCH("_", A639) +1, SEARCH("_", A639, SEARCH("_", A639) +1) - SEARCH("_", A639) -1)</f>
        <v>Lang-57</v>
      </c>
      <c r="Y639" s="1" t="str">
        <f t="shared" si="6"/>
        <v>NO</v>
      </c>
      <c r="Z639" s="1" t="str">
        <f t="shared" si="7"/>
        <v>NO</v>
      </c>
      <c r="AA639" t="str">
        <f>IF(AND(S639&gt;1,S1164&gt;1,S639=V639,S1164=V1164), "YES", "NO")</f>
        <v>NO</v>
      </c>
      <c r="AB639" t="str">
        <f>IF(AND(S639&gt;1,S1164&gt;1,S639&lt;V639,S1164&lt;V1164), "YES", "NO")</f>
        <v>NO</v>
      </c>
      <c r="AC639" t="str">
        <f t="shared" si="8"/>
        <v>YES</v>
      </c>
      <c r="AD639" t="str">
        <f t="shared" si="9"/>
        <v>NO</v>
      </c>
      <c r="AE639" t="str">
        <f t="shared" si="10"/>
        <v>YES</v>
      </c>
      <c r="AF639" t="str">
        <f t="shared" si="11"/>
        <v>NO</v>
      </c>
    </row>
    <row r="640" spans="1:32" ht="15" x14ac:dyDescent="0.35">
      <c r="A640" s="5" t="s">
        <v>943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>LEFT($A640,FIND("_",$A640)-1)</f>
        <v>AVATAR</v>
      </c>
      <c r="P640" s="13" t="str">
        <f>IF($O640="ACS", "True Search", IF($O640="Arja", "Evolutionary Search", IF($O640="AVATAR", "True Pattern", IF($O640="CapGen", "Search Like Pattern", IF($O640="Cardumen", "True Semantic", IF($O640="DynaMoth", "True Semantic", IF($O640="FixMiner", "True Pattern", IF($O640="GenProg-A", "Evolutionary Search", IF($O640="Hercules", "Learning Pattern", IF($O640="Jaid", "True Semantic",
IF($O640="Kali-A", "True Search", IF($O640="kPAR", "True Pattern", IF($O640="Nopol", "True Semantic", IF($O640="RSRepair-A", "Evolutionary Search", IF($O640="SequenceR", "Deep Learning", IF($O640="SimFix", "Search Like Pattern", IF($O640="SketchFix", "True Pattern", IF($O640="SOFix", "True Pattern", IF($O640="ssFix", "Search Like Pattern", IF($O640="TBar", "True Pattern", ""))))))))))))))))))))</f>
        <v>True Pattern</v>
      </c>
      <c r="Q640" s="13" t="str">
        <f>IF(NOT(ISERR(SEARCH("*_Buggy",$A640))), "Buggy", IF(NOT(ISERR(SEARCH("*_Fixed",$A640))), "Fixed", IF(NOT(ISERR(SEARCH("*_Repaired",$A640))), "Repaired", "")))</f>
        <v>Fixed</v>
      </c>
      <c r="R640" s="13" t="s">
        <v>1669</v>
      </c>
      <c r="S640" s="25">
        <v>1</v>
      </c>
      <c r="T640" s="25">
        <v>1</v>
      </c>
      <c r="U640" s="25">
        <v>2</v>
      </c>
      <c r="V640" s="13">
        <v>2</v>
      </c>
      <c r="W640" s="13" t="str">
        <f>MID(A640, SEARCH("_", A640) +1, SEARCH("_", A640, SEARCH("_", A640) +1) - SEARCH("_", A640) -1)</f>
        <v>Lang-58</v>
      </c>
      <c r="Y640" s="1" t="str">
        <f t="shared" si="6"/>
        <v>NO</v>
      </c>
      <c r="Z640" s="1" t="str">
        <f t="shared" si="7"/>
        <v>NO</v>
      </c>
      <c r="AA640" t="str">
        <f>IF(AND(S640&gt;1,S1165&gt;1,S640=V640,S1165=V1165), "YES", "NO")</f>
        <v>NO</v>
      </c>
      <c r="AB640" t="str">
        <f>IF(AND(S640&gt;1,S1165&gt;1,S640&lt;V640,S1165&lt;V1165), "YES", "NO")</f>
        <v>NO</v>
      </c>
      <c r="AC640" t="str">
        <f t="shared" si="8"/>
        <v>NO</v>
      </c>
      <c r="AD640" t="str">
        <f t="shared" si="9"/>
        <v>NO</v>
      </c>
      <c r="AE640" t="str">
        <f t="shared" si="10"/>
        <v>NO</v>
      </c>
      <c r="AF640" t="str">
        <f t="shared" si="11"/>
        <v>NO</v>
      </c>
    </row>
    <row r="641" spans="1:32" ht="15" x14ac:dyDescent="0.35">
      <c r="A641" s="5" t="s">
        <v>218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>LEFT($A641,FIND("_",$A641)-1)</f>
        <v>AVATAR</v>
      </c>
      <c r="P641" s="13" t="str">
        <f>IF($O641="ACS", "True Search", IF($O641="Arja", "Evolutionary Search", IF($O641="AVATAR", "True Pattern", IF($O641="CapGen", "Search Like Pattern", IF($O641="Cardumen", "True Semantic", IF($O641="DynaMoth", "True Semantic", IF($O641="FixMiner", "True Pattern", IF($O641="GenProg-A", "Evolutionary Search", IF($O641="Hercules", "Learning Pattern", IF($O641="Jaid", "True Semantic",
IF($O641="Kali-A", "True Search", IF($O641="kPAR", "True Pattern", IF($O641="Nopol", "True Semantic", IF($O641="RSRepair-A", "Evolutionary Search", IF($O641="SequenceR", "Deep Learning", IF($O641="SimFix", "Search Like Pattern", IF($O641="SketchFix", "True Pattern", IF($O641="SOFix", "True Pattern", IF($O641="ssFix", "Search Like Pattern", IF($O641="TBar", "True Pattern", ""))))))))))))))))))))</f>
        <v>True Pattern</v>
      </c>
      <c r="Q641" s="13" t="str">
        <f>IF(NOT(ISERR(SEARCH("*_Buggy",$A641))), "Buggy", IF(NOT(ISERR(SEARCH("*_Fixed",$A641))), "Fixed", IF(NOT(ISERR(SEARCH("*_Repaired",$A641))), "Repaired", "")))</f>
        <v>Fixed</v>
      </c>
      <c r="R641" s="13" t="s">
        <v>1668</v>
      </c>
      <c r="S641" s="25">
        <v>1</v>
      </c>
      <c r="T641" s="25">
        <v>1</v>
      </c>
      <c r="U641" s="25">
        <v>1</v>
      </c>
      <c r="V641" s="13">
        <v>1</v>
      </c>
      <c r="W641" s="13" t="str">
        <f>MID(A641, SEARCH("_", A641) +1, SEARCH("_", A641, SEARCH("_", A641) +1) - SEARCH("_", A641) -1)</f>
        <v>Lang-59</v>
      </c>
      <c r="Y641" s="1" t="str">
        <f t="shared" si="6"/>
        <v>NO</v>
      </c>
      <c r="Z641" s="1" t="str">
        <f t="shared" si="7"/>
        <v>NO</v>
      </c>
      <c r="AA641" t="str">
        <f>IF(AND(S641&gt;1,S1166&gt;1,S641=V641,S1166=V1166), "YES", "NO")</f>
        <v>NO</v>
      </c>
      <c r="AB641" t="str">
        <f>IF(AND(S641&gt;1,S1166&gt;1,S641&lt;V641,S1166&lt;V1166), "YES", "NO")</f>
        <v>NO</v>
      </c>
      <c r="AC641" t="str">
        <f t="shared" si="8"/>
        <v>YES</v>
      </c>
      <c r="AD641" t="str">
        <f t="shared" si="9"/>
        <v>NO</v>
      </c>
      <c r="AE641" t="str">
        <f t="shared" si="10"/>
        <v>YES</v>
      </c>
      <c r="AF641" t="str">
        <f t="shared" si="11"/>
        <v>NO</v>
      </c>
    </row>
    <row r="642" spans="1:32" ht="15" x14ac:dyDescent="0.35">
      <c r="A642" s="7" t="s">
        <v>42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>LEFT($A642,FIND("_",$A642)-1)</f>
        <v>AVATAR</v>
      </c>
      <c r="P642" s="13" t="str">
        <f>IF($O642="ACS", "True Search", IF($O642="Arja", "Evolutionary Search", IF($O642="AVATAR", "True Pattern", IF($O642="CapGen", "Search Like Pattern", IF($O642="Cardumen", "True Semantic", IF($O642="DynaMoth", "True Semantic", IF($O642="FixMiner", "True Pattern", IF($O642="GenProg-A", "Evolutionary Search", IF($O642="Hercules", "Learning Pattern", IF($O642="Jaid", "True Semantic",
IF($O642="Kali-A", "True Search", IF($O642="kPAR", "True Pattern", IF($O642="Nopol", "True Semantic", IF($O642="RSRepair-A", "Evolutionary Search", IF($O642="SequenceR", "Deep Learning", IF($O642="SimFix", "Search Like Pattern", IF($O642="SketchFix", "True Pattern", IF($O642="SOFix", "True Pattern", IF($O642="ssFix", "Search Like Pattern", IF($O642="TBar", "True Pattern", ""))))))))))))))))))))</f>
        <v>True Pattern</v>
      </c>
      <c r="Q642" s="13" t="str">
        <f>IF(NOT(ISERR(SEARCH("*_Buggy",$A642))), "Buggy", IF(NOT(ISERR(SEARCH("*_Fixed",$A642))), "Fixed", IF(NOT(ISERR(SEARCH("*_Repaired",$A642))), "Repaired", "")))</f>
        <v>Fixed</v>
      </c>
      <c r="R642" s="13" t="s">
        <v>1668</v>
      </c>
      <c r="S642" s="25">
        <v>1</v>
      </c>
      <c r="T642" s="25">
        <v>1</v>
      </c>
      <c r="U642" s="25">
        <v>1</v>
      </c>
      <c r="V642" s="13">
        <v>1</v>
      </c>
      <c r="W642" s="13" t="str">
        <f>MID(A642, SEARCH("_", A642) +1, SEARCH("_", A642, SEARCH("_", A642) +1) - SEARCH("_", A642) -1)</f>
        <v>Lang-6</v>
      </c>
      <c r="Y642" s="1" t="str">
        <f t="shared" si="6"/>
        <v>NO</v>
      </c>
      <c r="Z642" s="1" t="str">
        <f t="shared" si="7"/>
        <v>NO</v>
      </c>
      <c r="AA642" t="str">
        <f>IF(AND(S642&gt;1,S1167&gt;1,S642=V642,S1167=V1167), "YES", "NO")</f>
        <v>NO</v>
      </c>
      <c r="AB642" t="str">
        <f>IF(AND(S642&gt;1,S1167&gt;1,S642&lt;V642,S1167&lt;V1167), "YES", "NO")</f>
        <v>NO</v>
      </c>
      <c r="AC642" t="str">
        <f t="shared" si="8"/>
        <v>YES</v>
      </c>
      <c r="AD642" t="str">
        <f t="shared" si="9"/>
        <v>NO</v>
      </c>
      <c r="AE642" t="str">
        <f t="shared" si="10"/>
        <v>YES</v>
      </c>
      <c r="AF642" t="str">
        <f t="shared" si="11"/>
        <v>NO</v>
      </c>
    </row>
    <row r="643" spans="1:32" ht="15" x14ac:dyDescent="0.35">
      <c r="A643" s="7" t="s">
        <v>360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>LEFT($A643,FIND("_",$A643)-1)</f>
        <v>AVATAR</v>
      </c>
      <c r="P643" s="13" t="str">
        <f>IF($O643="ACS", "True Search", IF($O643="Arja", "Evolutionary Search", IF($O643="AVATAR", "True Pattern", IF($O643="CapGen", "Search Like Pattern", IF($O643="Cardumen", "True Semantic", IF($O643="DynaMoth", "True Semantic", IF($O643="FixMiner", "True Pattern", IF($O643="GenProg-A", "Evolutionary Search", IF($O643="Hercules", "Learning Pattern", IF($O643="Jaid", "True Semantic",
IF($O643="Kali-A", "True Search", IF($O643="kPAR", "True Pattern", IF($O643="Nopol", "True Semantic", IF($O643="RSRepair-A", "Evolutionary Search", IF($O643="SequenceR", "Deep Learning", IF($O643="SimFix", "Search Like Pattern", IF($O643="SketchFix", "True Pattern", IF($O643="SOFix", "True Pattern", IF($O643="ssFix", "Search Like Pattern", IF($O643="TBar", "True Pattern", ""))))))))))))))))))))</f>
        <v>True Pattern</v>
      </c>
      <c r="Q643" s="13" t="str">
        <f>IF(NOT(ISERR(SEARCH("*_Buggy",$A643))), "Buggy", IF(NOT(ISERR(SEARCH("*_Fixed",$A643))), "Fixed", IF(NOT(ISERR(SEARCH("*_Repaired",$A643))), "Repaired", "")))</f>
        <v>Fixed</v>
      </c>
      <c r="R643" s="13" t="s">
        <v>1669</v>
      </c>
      <c r="S643" s="25">
        <v>4</v>
      </c>
      <c r="T643" s="25">
        <v>3</v>
      </c>
      <c r="U643" s="25">
        <v>20</v>
      </c>
      <c r="V643" s="13">
        <v>22</v>
      </c>
      <c r="W643" s="13" t="str">
        <f>MID(A643, SEARCH("_", A643) +1, SEARCH("_", A643, SEARCH("_", A643) +1) - SEARCH("_", A643) -1)</f>
        <v>Lang-63</v>
      </c>
      <c r="Y643" s="1" t="str">
        <f t="shared" si="6"/>
        <v>NO</v>
      </c>
      <c r="Z643" s="1" t="str">
        <f t="shared" si="7"/>
        <v>YES</v>
      </c>
      <c r="AA643" t="str">
        <f>IF(AND(S643&gt;1,S1168&gt;1,S643=V643,S1168=V1168), "YES", "NO")</f>
        <v>NO</v>
      </c>
      <c r="AB643" t="str">
        <f>IF(AND(S643&gt;1,S1168&gt;1,S643&lt;V643,S1168&lt;V1168), "YES", "NO")</f>
        <v>NO</v>
      </c>
      <c r="AC643" t="str">
        <f t="shared" si="8"/>
        <v>NO</v>
      </c>
      <c r="AD643" t="str">
        <f t="shared" si="9"/>
        <v>NO</v>
      </c>
      <c r="AE643" t="str">
        <f t="shared" si="10"/>
        <v>NO</v>
      </c>
      <c r="AF643" t="str">
        <f t="shared" si="11"/>
        <v>NO</v>
      </c>
    </row>
    <row r="644" spans="1:32" ht="15" x14ac:dyDescent="0.35">
      <c r="A644" s="7" t="s">
        <v>608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>LEFT($A644,FIND("_",$A644)-1)</f>
        <v>AVATAR</v>
      </c>
      <c r="P644" s="13" t="str">
        <f>IF($O644="ACS", "True Search", IF($O644="Arja", "Evolutionary Search", IF($O644="AVATAR", "True Pattern", IF($O644="CapGen", "Search Like Pattern", IF($O644="Cardumen", "True Semantic", IF($O644="DynaMoth", "True Semantic", IF($O644="FixMiner", "True Pattern", IF($O644="GenProg-A", "Evolutionary Search", IF($O644="Hercules", "Learning Pattern", IF($O644="Jaid", "True Semantic",
IF($O644="Kali-A", "True Search", IF($O644="kPAR", "True Pattern", IF($O644="Nopol", "True Semantic", IF($O644="RSRepair-A", "Evolutionary Search", IF($O644="SequenceR", "Deep Learning", IF($O644="SimFix", "Search Like Pattern", IF($O644="SketchFix", "True Pattern", IF($O644="SOFix", "True Pattern", IF($O644="ssFix", "Search Like Pattern", IF($O644="TBar", "True Pattern", ""))))))))))))))))))))</f>
        <v>True Pattern</v>
      </c>
      <c r="Q644" s="13" t="str">
        <f>IF(NOT(ISERR(SEARCH("*_Buggy",$A644))), "Buggy", IF(NOT(ISERR(SEARCH("*_Fixed",$A644))), "Fixed", IF(NOT(ISERR(SEARCH("*_Repaired",$A644))), "Repaired", "")))</f>
        <v>Fixed</v>
      </c>
      <c r="R644" s="13" t="s">
        <v>1668</v>
      </c>
      <c r="S644" s="25">
        <v>3</v>
      </c>
      <c r="T644" s="25">
        <v>3</v>
      </c>
      <c r="U644" s="25">
        <v>3</v>
      </c>
      <c r="V644" s="13">
        <v>6</v>
      </c>
      <c r="W644" s="13" t="str">
        <f>MID(A644, SEARCH("_", A644) +1, SEARCH("_", A644, SEARCH("_", A644) +1) - SEARCH("_", A644) -1)</f>
        <v>Lang-7</v>
      </c>
      <c r="Y644" s="1" t="str">
        <f t="shared" si="6"/>
        <v>NO</v>
      </c>
      <c r="Z644" s="1" t="str">
        <f t="shared" si="7"/>
        <v>YES</v>
      </c>
      <c r="AA644" t="str">
        <f>IF(AND(S644&gt;1,S1169&gt;1,S644=V644,S1169=V1169), "YES", "NO")</f>
        <v>NO</v>
      </c>
      <c r="AB644" t="str">
        <f>IF(AND(S644&gt;1,S1169&gt;1,S644&lt;V644,S1169&lt;V1169), "YES", "NO")</f>
        <v>NO</v>
      </c>
      <c r="AC644" t="str">
        <f t="shared" si="8"/>
        <v>NO</v>
      </c>
      <c r="AD644" t="str">
        <f t="shared" si="9"/>
        <v>NO</v>
      </c>
      <c r="AE644" t="str">
        <f t="shared" si="10"/>
        <v>NO</v>
      </c>
      <c r="AF644" t="str">
        <f t="shared" si="11"/>
        <v>YES</v>
      </c>
    </row>
    <row r="645" spans="1:32" ht="15" x14ac:dyDescent="0.35">
      <c r="A645" s="5" t="s">
        <v>717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>LEFT($A645,FIND("_",$A645)-1)</f>
        <v>AVATAR</v>
      </c>
      <c r="P645" s="13" t="str">
        <f>IF($O645="ACS", "True Search", IF($O645="Arja", "Evolutionary Search", IF($O645="AVATAR", "True Pattern", IF($O645="CapGen", "Search Like Pattern", IF($O645="Cardumen", "True Semantic", IF($O645="DynaMoth", "True Semantic", IF($O645="FixMiner", "True Pattern", IF($O645="GenProg-A", "Evolutionary Search", IF($O645="Hercules", "Learning Pattern", IF($O645="Jaid", "True Semantic",
IF($O645="Kali-A", "True Search", IF($O645="kPAR", "True Pattern", IF($O645="Nopol", "True Semantic", IF($O645="RSRepair-A", "Evolutionary Search", IF($O645="SequenceR", "Deep Learning", IF($O645="SimFix", "Search Like Pattern", IF($O645="SketchFix", "True Pattern", IF($O645="SOFix", "True Pattern", IF($O645="ssFix", "Search Like Pattern", IF($O645="TBar", "True Pattern", ""))))))))))))))))))))</f>
        <v>True Pattern</v>
      </c>
      <c r="Q645" s="13" t="str">
        <f>IF(NOT(ISERR(SEARCH("*_Buggy",$A645))), "Buggy", IF(NOT(ISERR(SEARCH("*_Fixed",$A645))), "Fixed", IF(NOT(ISERR(SEARCH("*_Repaired",$A645))), "Repaired", "")))</f>
        <v>Fixed</v>
      </c>
      <c r="R645" s="13" t="s">
        <v>1669</v>
      </c>
      <c r="S645" s="25">
        <v>1</v>
      </c>
      <c r="T645" s="25">
        <v>1</v>
      </c>
      <c r="U645" s="25">
        <v>1</v>
      </c>
      <c r="V645" s="13">
        <v>1</v>
      </c>
      <c r="W645" s="13" t="str">
        <f>MID(A645, SEARCH("_", A645) +1, SEARCH("_", A645, SEARCH("_", A645) +1) - SEARCH("_", A645) -1)</f>
        <v>Math-104</v>
      </c>
      <c r="Y645" s="1" t="str">
        <f t="shared" si="6"/>
        <v>NO</v>
      </c>
      <c r="Z645" s="1" t="str">
        <f t="shared" si="7"/>
        <v>NO</v>
      </c>
      <c r="AA645" t="str">
        <f>IF(AND(S645&gt;1,S1170&gt;1,S645=V645,S1170=V1170), "YES", "NO")</f>
        <v>NO</v>
      </c>
      <c r="AB645" t="str">
        <f>IF(AND(S645&gt;1,S1170&gt;1,S645&lt;V645,S1170&lt;V1170), "YES", "NO")</f>
        <v>NO</v>
      </c>
      <c r="AC645" t="str">
        <f t="shared" si="8"/>
        <v>YES</v>
      </c>
      <c r="AD645" t="str">
        <f t="shared" si="9"/>
        <v>NO</v>
      </c>
      <c r="AE645" t="str">
        <f t="shared" si="10"/>
        <v>YES</v>
      </c>
      <c r="AF645" t="str">
        <f t="shared" si="11"/>
        <v>NO</v>
      </c>
    </row>
    <row r="646" spans="1:32" ht="15" x14ac:dyDescent="0.35">
      <c r="A646" s="7" t="s">
        <v>24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>LEFT($A646,FIND("_",$A646)-1)</f>
        <v>AVATAR</v>
      </c>
      <c r="P646" s="13" t="str">
        <f>IF($O646="ACS", "True Search", IF($O646="Arja", "Evolutionary Search", IF($O646="AVATAR", "True Pattern", IF($O646="CapGen", "Search Like Pattern", IF($O646="Cardumen", "True Semantic", IF($O646="DynaMoth", "True Semantic", IF($O646="FixMiner", "True Pattern", IF($O646="GenProg-A", "Evolutionary Search", IF($O646="Hercules", "Learning Pattern", IF($O646="Jaid", "True Semantic",
IF($O646="Kali-A", "True Search", IF($O646="kPAR", "True Pattern", IF($O646="Nopol", "True Semantic", IF($O646="RSRepair-A", "Evolutionary Search", IF($O646="SequenceR", "Deep Learning", IF($O646="SimFix", "Search Like Pattern", IF($O646="SketchFix", "True Pattern", IF($O646="SOFix", "True Pattern", IF($O646="ssFix", "Search Like Pattern", IF($O646="TBar", "True Pattern", ""))))))))))))))))))))</f>
        <v>True Pattern</v>
      </c>
      <c r="Q646" s="13" t="str">
        <f>IF(NOT(ISERR(SEARCH("*_Buggy",$A646))), "Buggy", IF(NOT(ISERR(SEARCH("*_Fixed",$A646))), "Fixed", IF(NOT(ISERR(SEARCH("*_Repaired",$A646))), "Repaired", "")))</f>
        <v>Fixed</v>
      </c>
      <c r="R646" s="13" t="s">
        <v>1669</v>
      </c>
      <c r="S646" s="25">
        <v>4</v>
      </c>
      <c r="T646" s="13">
        <v>4</v>
      </c>
      <c r="U646" s="25">
        <v>0</v>
      </c>
      <c r="V646" s="13">
        <v>4</v>
      </c>
      <c r="W646" s="13" t="str">
        <f>MID(A646, SEARCH("_", A646) +1, SEARCH("_", A646, SEARCH("_", A646) +1) - SEARCH("_", A646) -1)</f>
        <v>Math-28</v>
      </c>
      <c r="Y646" s="1" t="str">
        <f t="shared" si="6"/>
        <v>YES</v>
      </c>
      <c r="Z646" s="1" t="str">
        <f t="shared" si="7"/>
        <v>NO</v>
      </c>
      <c r="AA646" t="str">
        <f>IF(AND(S646&gt;1,S1171&gt;1,S646=V646,S1171=V1171), "YES", "NO")</f>
        <v>NO</v>
      </c>
      <c r="AB646" t="str">
        <f>IF(AND(S646&gt;1,S1171&gt;1,S646&lt;V646,S1171&lt;V1171), "YES", "NO")</f>
        <v>NO</v>
      </c>
      <c r="AC646" t="str">
        <f t="shared" si="8"/>
        <v>NO</v>
      </c>
      <c r="AD646" t="str">
        <f t="shared" si="9"/>
        <v>NO</v>
      </c>
      <c r="AE646" t="str">
        <f t="shared" si="10"/>
        <v>NO</v>
      </c>
      <c r="AF646" t="str">
        <f t="shared" si="11"/>
        <v>YES</v>
      </c>
    </row>
    <row r="647" spans="1:32" ht="15" x14ac:dyDescent="0.35">
      <c r="A647" s="7" t="s">
        <v>561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>LEFT($A647,FIND("_",$A647)-1)</f>
        <v>AVATAR</v>
      </c>
      <c r="P647" s="13" t="str">
        <f>IF($O647="ACS", "True Search", IF($O647="Arja", "Evolutionary Search", IF($O647="AVATAR", "True Pattern", IF($O647="CapGen", "Search Like Pattern", IF($O647="Cardumen", "True Semantic", IF($O647="DynaMoth", "True Semantic", IF($O647="FixMiner", "True Pattern", IF($O647="GenProg-A", "Evolutionary Search", IF($O647="Hercules", "Learning Pattern", IF($O647="Jaid", "True Semantic",
IF($O647="Kali-A", "True Search", IF($O647="kPAR", "True Pattern", IF($O647="Nopol", "True Semantic", IF($O647="RSRepair-A", "Evolutionary Search", IF($O647="SequenceR", "Deep Learning", IF($O647="SimFix", "Search Like Pattern", IF($O647="SketchFix", "True Pattern", IF($O647="SOFix", "True Pattern", IF($O647="ssFix", "Search Like Pattern", IF($O647="TBar", "True Pattern", ""))))))))))))))))))))</f>
        <v>True Pattern</v>
      </c>
      <c r="Q647" s="13" t="str">
        <f>IF(NOT(ISERR(SEARCH("*_Buggy",$A647))), "Buggy", IF(NOT(ISERR(SEARCH("*_Fixed",$A647))), "Fixed", IF(NOT(ISERR(SEARCH("*_Repaired",$A647))), "Repaired", "")))</f>
        <v>Fixed</v>
      </c>
      <c r="R647" s="13" t="s">
        <v>1668</v>
      </c>
      <c r="S647" s="25">
        <v>1</v>
      </c>
      <c r="T647" s="25">
        <v>1</v>
      </c>
      <c r="U647" s="25">
        <v>1</v>
      </c>
      <c r="V647" s="13">
        <v>1</v>
      </c>
      <c r="W647" s="13" t="str">
        <f>MID(A647, SEARCH("_", A647) +1, SEARCH("_", A647, SEARCH("_", A647) +1) - SEARCH("_", A647) -1)</f>
        <v>Math-33</v>
      </c>
      <c r="Y647" s="1" t="str">
        <f t="shared" si="6"/>
        <v>NO</v>
      </c>
      <c r="Z647" s="1" t="str">
        <f t="shared" si="7"/>
        <v>NO</v>
      </c>
      <c r="AA647" t="str">
        <f>IF(AND(S647&gt;1,S1172&gt;1,S647=V647,S1172=V1172), "YES", "NO")</f>
        <v>NO</v>
      </c>
      <c r="AB647" t="str">
        <f>IF(AND(S647&gt;1,S1172&gt;1,S647&lt;V647,S1172&lt;V1172), "YES", "NO")</f>
        <v>NO</v>
      </c>
      <c r="AC647" t="str">
        <f t="shared" si="8"/>
        <v>YES</v>
      </c>
      <c r="AD647" t="str">
        <f t="shared" si="9"/>
        <v>NO</v>
      </c>
      <c r="AE647" t="str">
        <f t="shared" si="10"/>
        <v>YES</v>
      </c>
      <c r="AF647" t="str">
        <f t="shared" si="11"/>
        <v>NO</v>
      </c>
    </row>
    <row r="648" spans="1:32" ht="15" x14ac:dyDescent="0.35">
      <c r="A648" s="5" t="s">
        <v>739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>LEFT($A648,FIND("_",$A648)-1)</f>
        <v>AVATAR</v>
      </c>
      <c r="P648" s="13" t="str">
        <f>IF($O648="ACS", "True Search", IF($O648="Arja", "Evolutionary Search", IF($O648="AVATAR", "True Pattern", IF($O648="CapGen", "Search Like Pattern", IF($O648="Cardumen", "True Semantic", IF($O648="DynaMoth", "True Semantic", IF($O648="FixMiner", "True Pattern", IF($O648="GenProg-A", "Evolutionary Search", IF($O648="Hercules", "Learning Pattern", IF($O648="Jaid", "True Semantic",
IF($O648="Kali-A", "True Search", IF($O648="kPAR", "True Pattern", IF($O648="Nopol", "True Semantic", IF($O648="RSRepair-A", "Evolutionary Search", IF($O648="SequenceR", "Deep Learning", IF($O648="SimFix", "Search Like Pattern", IF($O648="SketchFix", "True Pattern", IF($O648="SOFix", "True Pattern", IF($O648="ssFix", "Search Like Pattern", IF($O648="TBar", "True Pattern", ""))))))))))))))))))))</f>
        <v>True Pattern</v>
      </c>
      <c r="Q648" s="13" t="str">
        <f>IF(NOT(ISERR(SEARCH("*_Buggy",$A648))), "Buggy", IF(NOT(ISERR(SEARCH("*_Fixed",$A648))), "Fixed", IF(NOT(ISERR(SEARCH("*_Repaired",$A648))), "Repaired", "")))</f>
        <v>Fixed</v>
      </c>
      <c r="R648" s="13" t="s">
        <v>1669</v>
      </c>
      <c r="S648" s="25">
        <v>1</v>
      </c>
      <c r="T648" s="25">
        <v>0</v>
      </c>
      <c r="U648" s="13">
        <v>4</v>
      </c>
      <c r="V648" s="13">
        <v>4</v>
      </c>
      <c r="W648" s="13" t="str">
        <f>MID(A648, SEARCH("_", A648) +1, SEARCH("_", A648, SEARCH("_", A648) +1) - SEARCH("_", A648) -1)</f>
        <v>Math-50</v>
      </c>
      <c r="Y648" s="1" t="str">
        <f t="shared" si="6"/>
        <v>NO</v>
      </c>
      <c r="Z648" s="1" t="str">
        <f t="shared" si="7"/>
        <v>NO</v>
      </c>
      <c r="AA648" t="str">
        <f>IF(AND(S648&gt;1,S1173&gt;1,S648=V648,S1173=V1173), "YES", "NO")</f>
        <v>NO</v>
      </c>
      <c r="AB648" t="str">
        <f>IF(AND(S648&gt;1,S1173&gt;1,S648&lt;V648,S1173&lt;V1173), "YES", "NO")</f>
        <v>NO</v>
      </c>
      <c r="AC648" t="str">
        <f t="shared" si="8"/>
        <v>NO</v>
      </c>
      <c r="AD648" t="str">
        <f t="shared" si="9"/>
        <v>NO</v>
      </c>
      <c r="AE648" t="str">
        <f t="shared" si="10"/>
        <v>NO</v>
      </c>
      <c r="AF648" t="str">
        <f t="shared" si="11"/>
        <v>NO</v>
      </c>
    </row>
    <row r="649" spans="1:32" ht="15" x14ac:dyDescent="0.35">
      <c r="A649" s="7" t="s">
        <v>670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>LEFT($A649,FIND("_",$A649)-1)</f>
        <v>AVATAR</v>
      </c>
      <c r="P649" s="13" t="str">
        <f>IF($O649="ACS", "True Search", IF($O649="Arja", "Evolutionary Search", IF($O649="AVATAR", "True Pattern", IF($O649="CapGen", "Search Like Pattern", IF($O649="Cardumen", "True Semantic", IF($O649="DynaMoth", "True Semantic", IF($O649="FixMiner", "True Pattern", IF($O649="GenProg-A", "Evolutionary Search", IF($O649="Hercules", "Learning Pattern", IF($O649="Jaid", "True Semantic",
IF($O649="Kali-A", "True Search", IF($O649="kPAR", "True Pattern", IF($O649="Nopol", "True Semantic", IF($O649="RSRepair-A", "Evolutionary Search", IF($O649="SequenceR", "Deep Learning", IF($O649="SimFix", "Search Like Pattern", IF($O649="SketchFix", "True Pattern", IF($O649="SOFix", "True Pattern", IF($O649="ssFix", "Search Like Pattern", IF($O649="TBar", "True Pattern", ""))))))))))))))))))))</f>
        <v>True Pattern</v>
      </c>
      <c r="Q649" s="13" t="str">
        <f>IF(NOT(ISERR(SEARCH("*_Buggy",$A649))), "Buggy", IF(NOT(ISERR(SEARCH("*_Fixed",$A649))), "Fixed", IF(NOT(ISERR(SEARCH("*_Repaired",$A649))), "Repaired", "")))</f>
        <v>Fixed</v>
      </c>
      <c r="R649" s="13" t="s">
        <v>1669</v>
      </c>
      <c r="S649" s="25">
        <v>1</v>
      </c>
      <c r="T649" s="25">
        <v>1</v>
      </c>
      <c r="U649" s="25">
        <v>1</v>
      </c>
      <c r="V649" s="13">
        <v>1</v>
      </c>
      <c r="W649" s="13" t="str">
        <f>MID(A649, SEARCH("_", A649) +1, SEARCH("_", A649, SEARCH("_", A649) +1) - SEARCH("_", A649) -1)</f>
        <v>Math-57</v>
      </c>
      <c r="Y649" s="1" t="str">
        <f t="shared" si="6"/>
        <v>NO</v>
      </c>
      <c r="Z649" s="1" t="str">
        <f t="shared" si="7"/>
        <v>NO</v>
      </c>
      <c r="AA649" t="str">
        <f>IF(AND(S649&gt;1,S1174&gt;1,S649=V649,S1174=V1174), "YES", "NO")</f>
        <v>NO</v>
      </c>
      <c r="AB649" t="str">
        <f>IF(AND(S649&gt;1,S1174&gt;1,S649&lt;V649,S1174&lt;V1174), "YES", "NO")</f>
        <v>NO</v>
      </c>
      <c r="AC649" t="str">
        <f t="shared" si="8"/>
        <v>YES</v>
      </c>
      <c r="AD649" t="str">
        <f t="shared" si="9"/>
        <v>NO</v>
      </c>
      <c r="AE649" t="str">
        <f t="shared" si="10"/>
        <v>YES</v>
      </c>
      <c r="AF649" t="str">
        <f t="shared" si="11"/>
        <v>NO</v>
      </c>
    </row>
    <row r="650" spans="1:32" ht="15" x14ac:dyDescent="0.35">
      <c r="A650" s="7" t="s">
        <v>1039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>LEFT($A650,FIND("_",$A650)-1)</f>
        <v>AVATAR</v>
      </c>
      <c r="P650" s="13" t="str">
        <f>IF($O650="ACS", "True Search", IF($O650="Arja", "Evolutionary Search", IF($O650="AVATAR", "True Pattern", IF($O650="CapGen", "Search Like Pattern", IF($O650="Cardumen", "True Semantic", IF($O650="DynaMoth", "True Semantic", IF($O650="FixMiner", "True Pattern", IF($O650="GenProg-A", "Evolutionary Search", IF($O650="Hercules", "Learning Pattern", IF($O650="Jaid", "True Semantic",
IF($O650="Kali-A", "True Search", IF($O650="kPAR", "True Pattern", IF($O650="Nopol", "True Semantic", IF($O650="RSRepair-A", "Evolutionary Search", IF($O650="SequenceR", "Deep Learning", IF($O650="SimFix", "Search Like Pattern", IF($O650="SketchFix", "True Pattern", IF($O650="SOFix", "True Pattern", IF($O650="ssFix", "Search Like Pattern", IF($O650="TBar", "True Pattern", ""))))))))))))))))))))</f>
        <v>True Pattern</v>
      </c>
      <c r="Q650" s="13" t="str">
        <f>IF(NOT(ISERR(SEARCH("*_Buggy",$A650))), "Buggy", IF(NOT(ISERR(SEARCH("*_Fixed",$A650))), "Fixed", IF(NOT(ISERR(SEARCH("*_Repaired",$A650))), "Repaired", "")))</f>
        <v>Fixed</v>
      </c>
      <c r="R650" s="13" t="s">
        <v>1669</v>
      </c>
      <c r="S650" s="25">
        <v>2</v>
      </c>
      <c r="T650" s="25">
        <v>3</v>
      </c>
      <c r="U650" s="25">
        <v>4</v>
      </c>
      <c r="V650" s="13">
        <v>4</v>
      </c>
      <c r="W650" s="13" t="str">
        <f>MID(A650, SEARCH("_", A650) +1, SEARCH("_", A650, SEARCH("_", A650) +1) - SEARCH("_", A650) -1)</f>
        <v>Math-62</v>
      </c>
      <c r="Y650" s="1" t="str">
        <f t="shared" si="6"/>
        <v>NO</v>
      </c>
      <c r="Z650" s="1" t="str">
        <f t="shared" si="7"/>
        <v>YES</v>
      </c>
      <c r="AA650" t="str">
        <f>IF(AND(S650&gt;1,S1175&gt;1,S650=V650,S1175=V1175), "YES", "NO")</f>
        <v>NO</v>
      </c>
      <c r="AB650" t="str">
        <f>IF(AND(S650&gt;1,S1175&gt;1,S650&lt;V650,S1175&lt;V1175), "YES", "NO")</f>
        <v>NO</v>
      </c>
      <c r="AC650" t="str">
        <f t="shared" si="8"/>
        <v>NO</v>
      </c>
      <c r="AD650" t="str">
        <f t="shared" si="9"/>
        <v>NO</v>
      </c>
      <c r="AE650" t="str">
        <f t="shared" si="10"/>
        <v>NO</v>
      </c>
      <c r="AF650" t="str">
        <f t="shared" si="11"/>
        <v>NO</v>
      </c>
    </row>
    <row r="651" spans="1:32" ht="15" x14ac:dyDescent="0.35">
      <c r="A651" s="7" t="s">
        <v>413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>LEFT($A651,FIND("_",$A651)-1)</f>
        <v>AVATAR</v>
      </c>
      <c r="P651" s="13" t="str">
        <f>IF($O651="ACS", "True Search", IF($O651="Arja", "Evolutionary Search", IF($O651="AVATAR", "True Pattern", IF($O651="CapGen", "Search Like Pattern", IF($O651="Cardumen", "True Semantic", IF($O651="DynaMoth", "True Semantic", IF($O651="FixMiner", "True Pattern", IF($O651="GenProg-A", "Evolutionary Search", IF($O651="Hercules", "Learning Pattern", IF($O651="Jaid", "True Semantic",
IF($O651="Kali-A", "True Search", IF($O651="kPAR", "True Pattern", IF($O651="Nopol", "True Semantic", IF($O651="RSRepair-A", "Evolutionary Search", IF($O651="SequenceR", "Deep Learning", IF($O651="SimFix", "Search Like Pattern", IF($O651="SketchFix", "True Pattern", IF($O651="SOFix", "True Pattern", IF($O651="ssFix", "Search Like Pattern", IF($O651="TBar", "True Pattern", ""))))))))))))))))))))</f>
        <v>True Pattern</v>
      </c>
      <c r="Q651" s="13" t="str">
        <f>IF(NOT(ISERR(SEARCH("*_Buggy",$A651))), "Buggy", IF(NOT(ISERR(SEARCH("*_Fixed",$A651))), "Fixed", IF(NOT(ISERR(SEARCH("*_Repaired",$A651))), "Repaired", "")))</f>
        <v>Fixed</v>
      </c>
      <c r="R651" s="13" t="s">
        <v>1669</v>
      </c>
      <c r="S651" s="25">
        <v>1</v>
      </c>
      <c r="T651" s="25">
        <v>1</v>
      </c>
      <c r="U651" s="25">
        <v>1</v>
      </c>
      <c r="V651" s="13">
        <v>1</v>
      </c>
      <c r="W651" s="13" t="str">
        <f>MID(A651, SEARCH("_", A651) +1, SEARCH("_", A651, SEARCH("_", A651) +1) - SEARCH("_", A651) -1)</f>
        <v>Math-80</v>
      </c>
      <c r="Y651" s="1" t="str">
        <f t="shared" si="6"/>
        <v>NO</v>
      </c>
      <c r="Z651" s="1" t="str">
        <f t="shared" si="7"/>
        <v>NO</v>
      </c>
      <c r="AA651" t="str">
        <f>IF(AND(S651&gt;1,S1176&gt;1,S651=V651,S1176=V1176), "YES", "NO")</f>
        <v>NO</v>
      </c>
      <c r="AB651" t="str">
        <f>IF(AND(S651&gt;1,S1176&gt;1,S651&lt;V651,S1176&lt;V1176), "YES", "NO")</f>
        <v>NO</v>
      </c>
      <c r="AC651" t="str">
        <f t="shared" si="8"/>
        <v>YES</v>
      </c>
      <c r="AD651" t="str">
        <f t="shared" si="9"/>
        <v>NO</v>
      </c>
      <c r="AE651" t="str">
        <f t="shared" si="10"/>
        <v>YES</v>
      </c>
      <c r="AF651" t="str">
        <f t="shared" si="11"/>
        <v>NO</v>
      </c>
    </row>
    <row r="652" spans="1:32" ht="15" x14ac:dyDescent="0.35">
      <c r="A652" s="7" t="s">
        <v>607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>LEFT($A652,FIND("_",$A652)-1)</f>
        <v>AVATAR</v>
      </c>
      <c r="P652" s="13" t="str">
        <f>IF($O652="ACS", "True Search", IF($O652="Arja", "Evolutionary Search", IF($O652="AVATAR", "True Pattern", IF($O652="CapGen", "Search Like Pattern", IF($O652="Cardumen", "True Semantic", IF($O652="DynaMoth", "True Semantic", IF($O652="FixMiner", "True Pattern", IF($O652="GenProg-A", "Evolutionary Search", IF($O652="Hercules", "Learning Pattern", IF($O652="Jaid", "True Semantic",
IF($O652="Kali-A", "True Search", IF($O652="kPAR", "True Pattern", IF($O652="Nopol", "True Semantic", IF($O652="RSRepair-A", "Evolutionary Search", IF($O652="SequenceR", "Deep Learning", IF($O652="SimFix", "Search Like Pattern", IF($O652="SketchFix", "True Pattern", IF($O652="SOFix", "True Pattern", IF($O652="ssFix", "Search Like Pattern", IF($O652="TBar", "True Pattern", ""))))))))))))))))))))</f>
        <v>True Pattern</v>
      </c>
      <c r="Q652" s="13" t="str">
        <f>IF(NOT(ISERR(SEARCH("*_Buggy",$A652))), "Buggy", IF(NOT(ISERR(SEARCH("*_Fixed",$A652))), "Fixed", IF(NOT(ISERR(SEARCH("*_Repaired",$A652))), "Repaired", "")))</f>
        <v>Fixed</v>
      </c>
      <c r="R652" s="13" t="s">
        <v>1669</v>
      </c>
      <c r="S652" s="25">
        <v>3</v>
      </c>
      <c r="T652" s="25">
        <v>4</v>
      </c>
      <c r="U652" s="25">
        <v>3</v>
      </c>
      <c r="V652" s="13">
        <v>4</v>
      </c>
      <c r="W652" s="13" t="str">
        <f>MID(A652, SEARCH("_", A652) +1, SEARCH("_", A652, SEARCH("_", A652) +1) - SEARCH("_", A652) -1)</f>
        <v>Math-81</v>
      </c>
      <c r="Y652" s="1" t="str">
        <f t="shared" si="6"/>
        <v>NO</v>
      </c>
      <c r="Z652" s="1" t="str">
        <f t="shared" si="7"/>
        <v>YES</v>
      </c>
      <c r="AA652" t="str">
        <f>IF(AND(S652&gt;1,S1177&gt;1,S652=V652,S1177=V1177), "YES", "NO")</f>
        <v>NO</v>
      </c>
      <c r="AB652" t="str">
        <f>IF(AND(S652&gt;1,S1177&gt;1,S652&lt;V652,S1177&lt;V1177), "YES", "NO")</f>
        <v>NO</v>
      </c>
      <c r="AC652" t="str">
        <f t="shared" si="8"/>
        <v>NO</v>
      </c>
      <c r="AD652" t="str">
        <f t="shared" si="9"/>
        <v>NO</v>
      </c>
      <c r="AE652" t="str">
        <f t="shared" si="10"/>
        <v>NO</v>
      </c>
      <c r="AF652" t="str">
        <f t="shared" si="11"/>
        <v>NO</v>
      </c>
    </row>
    <row r="653" spans="1:32" ht="15" x14ac:dyDescent="0.35">
      <c r="A653" s="5" t="s">
        <v>101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>LEFT($A653,FIND("_",$A653)-1)</f>
        <v>AVATAR</v>
      </c>
      <c r="P653" s="13" t="str">
        <f>IF($O653="ACS", "True Search", IF($O653="Arja", "Evolutionary Search", IF($O653="AVATAR", "True Pattern", IF($O653="CapGen", "Search Like Pattern", IF($O653="Cardumen", "True Semantic", IF($O653="DynaMoth", "True Semantic", IF($O653="FixMiner", "True Pattern", IF($O653="GenProg-A", "Evolutionary Search", IF($O653="Hercules", "Learning Pattern", IF($O653="Jaid", "True Semantic",
IF($O653="Kali-A", "True Search", IF($O653="kPAR", "True Pattern", IF($O653="Nopol", "True Semantic", IF($O653="RSRepair-A", "Evolutionary Search", IF($O653="SequenceR", "Deep Learning", IF($O653="SimFix", "Search Like Pattern", IF($O653="SketchFix", "True Pattern", IF($O653="SOFix", "True Pattern", IF($O653="ssFix", "Search Like Pattern", IF($O653="TBar", "True Pattern", ""))))))))))))))))))))</f>
        <v>True Pattern</v>
      </c>
      <c r="Q653" s="13" t="str">
        <f>IF(NOT(ISERR(SEARCH("*_Buggy",$A653))), "Buggy", IF(NOT(ISERR(SEARCH("*_Fixed",$A653))), "Fixed", IF(NOT(ISERR(SEARCH("*_Repaired",$A653))), "Repaired", "")))</f>
        <v>Fixed</v>
      </c>
      <c r="R653" s="13" t="s">
        <v>1668</v>
      </c>
      <c r="S653" s="25">
        <v>1</v>
      </c>
      <c r="T653" s="25">
        <v>1</v>
      </c>
      <c r="U653" s="25">
        <v>1</v>
      </c>
      <c r="V653" s="13">
        <v>1</v>
      </c>
      <c r="W653" s="13" t="str">
        <f>MID(A653, SEARCH("_", A653) +1, SEARCH("_", A653, SEARCH("_", A653) +1) - SEARCH("_", A653) -1)</f>
        <v>Math-82</v>
      </c>
      <c r="Y653" s="1" t="str">
        <f t="shared" si="6"/>
        <v>NO</v>
      </c>
      <c r="Z653" s="1" t="str">
        <f t="shared" si="7"/>
        <v>NO</v>
      </c>
      <c r="AA653" t="str">
        <f>IF(AND(S653&gt;1,S1178&gt;1,S653=V653,S1178=V1178), "YES", "NO")</f>
        <v>NO</v>
      </c>
      <c r="AB653" t="str">
        <f>IF(AND(S653&gt;1,S1178&gt;1,S653&lt;V653,S1178&lt;V1178), "YES", "NO")</f>
        <v>NO</v>
      </c>
      <c r="AC653" t="str">
        <f t="shared" si="8"/>
        <v>YES</v>
      </c>
      <c r="AD653" t="str">
        <f t="shared" si="9"/>
        <v>NO</v>
      </c>
      <c r="AE653" t="str">
        <f t="shared" si="10"/>
        <v>YES</v>
      </c>
      <c r="AF653" t="str">
        <f t="shared" si="11"/>
        <v>NO</v>
      </c>
    </row>
    <row r="654" spans="1:32" ht="15" x14ac:dyDescent="0.35">
      <c r="A654" s="5" t="s">
        <v>649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>LEFT($A654,FIND("_",$A654)-1)</f>
        <v>AVATAR</v>
      </c>
      <c r="P654" s="13" t="str">
        <f>IF($O654="ACS", "True Search", IF($O654="Arja", "Evolutionary Search", IF($O654="AVATAR", "True Pattern", IF($O654="CapGen", "Search Like Pattern", IF($O654="Cardumen", "True Semantic", IF($O654="DynaMoth", "True Semantic", IF($O654="FixMiner", "True Pattern", IF($O654="GenProg-A", "Evolutionary Search", IF($O654="Hercules", "Learning Pattern", IF($O654="Jaid", "True Semantic",
IF($O654="Kali-A", "True Search", IF($O654="kPAR", "True Pattern", IF($O654="Nopol", "True Semantic", IF($O654="RSRepair-A", "Evolutionary Search", IF($O654="SequenceR", "Deep Learning", IF($O654="SimFix", "Search Like Pattern", IF($O654="SketchFix", "True Pattern", IF($O654="SOFix", "True Pattern", IF($O654="ssFix", "Search Like Pattern", IF($O654="TBar", "True Pattern", ""))))))))))))))))))))</f>
        <v>True Pattern</v>
      </c>
      <c r="Q654" s="13" t="str">
        <f>IF(NOT(ISERR(SEARCH("*_Buggy",$A654))), "Buggy", IF(NOT(ISERR(SEARCH("*_Fixed",$A654))), "Fixed", IF(NOT(ISERR(SEARCH("*_Repaired",$A654))), "Repaired", "")))</f>
        <v>Fixed</v>
      </c>
      <c r="R654" s="13" t="s">
        <v>1669</v>
      </c>
      <c r="S654" s="25">
        <v>3</v>
      </c>
      <c r="T654" s="13">
        <v>9</v>
      </c>
      <c r="U654" s="25">
        <v>0</v>
      </c>
      <c r="V654" s="13">
        <v>9</v>
      </c>
      <c r="W654" s="13" t="str">
        <f>MID(A654, SEARCH("_", A654) +1, SEARCH("_", A654, SEARCH("_", A654) +1) - SEARCH("_", A654) -1)</f>
        <v>Math-84</v>
      </c>
      <c r="Y654" s="1" t="str">
        <f t="shared" si="6"/>
        <v>NO</v>
      </c>
      <c r="Z654" s="1" t="str">
        <f t="shared" si="7"/>
        <v>YES</v>
      </c>
      <c r="AA654" t="str">
        <f>IF(AND(S654&gt;1,S1179&gt;1,S654=V654,S1179=V1179), "YES", "NO")</f>
        <v>NO</v>
      </c>
      <c r="AB654" t="str">
        <f>IF(AND(S654&gt;1,S1179&gt;1,S654&lt;V654,S1179&lt;V1179), "YES", "NO")</f>
        <v>NO</v>
      </c>
      <c r="AC654" t="str">
        <f t="shared" si="8"/>
        <v>NO</v>
      </c>
      <c r="AD654" t="str">
        <f t="shared" si="9"/>
        <v>NO</v>
      </c>
      <c r="AE654" t="str">
        <f t="shared" si="10"/>
        <v>NO</v>
      </c>
      <c r="AF654" t="str">
        <f t="shared" si="11"/>
        <v>NO</v>
      </c>
    </row>
    <row r="655" spans="1:32" ht="15" x14ac:dyDescent="0.35">
      <c r="A655" s="7" t="s">
        <v>988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>LEFT($A655,FIND("_",$A655)-1)</f>
        <v>AVATAR</v>
      </c>
      <c r="P655" s="13" t="str">
        <f>IF($O655="ACS", "True Search", IF($O655="Arja", "Evolutionary Search", IF($O655="AVATAR", "True Pattern", IF($O655="CapGen", "Search Like Pattern", IF($O655="Cardumen", "True Semantic", IF($O655="DynaMoth", "True Semantic", IF($O655="FixMiner", "True Pattern", IF($O655="GenProg-A", "Evolutionary Search", IF($O655="Hercules", "Learning Pattern", IF($O655="Jaid", "True Semantic",
IF($O655="Kali-A", "True Search", IF($O655="kPAR", "True Pattern", IF($O655="Nopol", "True Semantic", IF($O655="RSRepair-A", "Evolutionary Search", IF($O655="SequenceR", "Deep Learning", IF($O655="SimFix", "Search Like Pattern", IF($O655="SketchFix", "True Pattern", IF($O655="SOFix", "True Pattern", IF($O655="ssFix", "Search Like Pattern", IF($O655="TBar", "True Pattern", ""))))))))))))))))))))</f>
        <v>True Pattern</v>
      </c>
      <c r="Q655" s="13" t="str">
        <f>IF(NOT(ISERR(SEARCH("*_Buggy",$A655))), "Buggy", IF(NOT(ISERR(SEARCH("*_Fixed",$A655))), "Fixed", IF(NOT(ISERR(SEARCH("*_Repaired",$A655))), "Repaired", "")))</f>
        <v>Fixed</v>
      </c>
      <c r="R655" s="13" t="s">
        <v>1668</v>
      </c>
      <c r="S655" s="25">
        <v>1</v>
      </c>
      <c r="T655" s="25">
        <v>1</v>
      </c>
      <c r="U655" s="25">
        <v>1</v>
      </c>
      <c r="V655" s="13">
        <v>1</v>
      </c>
      <c r="W655" s="13" t="str">
        <f>MID(A655, SEARCH("_", A655) +1, SEARCH("_", A655, SEARCH("_", A655) +1) - SEARCH("_", A655) -1)</f>
        <v>Math-85</v>
      </c>
      <c r="Y655" s="1" t="str">
        <f t="shared" si="6"/>
        <v>NO</v>
      </c>
      <c r="Z655" s="1" t="str">
        <f t="shared" si="7"/>
        <v>NO</v>
      </c>
      <c r="AA655" t="str">
        <f>IF(AND(S655&gt;1,S1180&gt;1,S655=V655,S1180=V1180), "YES", "NO")</f>
        <v>NO</v>
      </c>
      <c r="AB655" t="str">
        <f>IF(AND(S655&gt;1,S1180&gt;1,S655&lt;V655,S1180&lt;V1180), "YES", "NO")</f>
        <v>NO</v>
      </c>
      <c r="AC655" t="str">
        <f t="shared" si="8"/>
        <v>YES</v>
      </c>
      <c r="AD655" t="str">
        <f t="shared" si="9"/>
        <v>NO</v>
      </c>
      <c r="AE655" t="str">
        <f t="shared" si="10"/>
        <v>YES</v>
      </c>
      <c r="AF655" t="str">
        <f t="shared" si="11"/>
        <v>NO</v>
      </c>
    </row>
    <row r="656" spans="1:32" ht="15" x14ac:dyDescent="0.35">
      <c r="A656" s="5" t="s">
        <v>1267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>LEFT($A656,FIND("_",$A656)-1)</f>
        <v>AVATAR</v>
      </c>
      <c r="P656" s="13" t="str">
        <f>IF($O656="ACS", "True Search", IF($O656="Arja", "Evolutionary Search", IF($O656="AVATAR", "True Pattern", IF($O656="CapGen", "Search Like Pattern", IF($O656="Cardumen", "True Semantic", IF($O656="DynaMoth", "True Semantic", IF($O656="FixMiner", "True Pattern", IF($O656="GenProg-A", "Evolutionary Search", IF($O656="Hercules", "Learning Pattern", IF($O656="Jaid", "True Semantic",
IF($O656="Kali-A", "True Search", IF($O656="kPAR", "True Pattern", IF($O656="Nopol", "True Semantic", IF($O656="RSRepair-A", "Evolutionary Search", IF($O656="SequenceR", "Deep Learning", IF($O656="SimFix", "Search Like Pattern", IF($O656="SketchFix", "True Pattern", IF($O656="SOFix", "True Pattern", IF($O656="ssFix", "Search Like Pattern", IF($O656="TBar", "True Pattern", ""))))))))))))))))))))</f>
        <v>True Pattern</v>
      </c>
      <c r="Q656" s="13" t="str">
        <f>IF(NOT(ISERR(SEARCH("*_Buggy",$A656))), "Buggy", IF(NOT(ISERR(SEARCH("*_Fixed",$A656))), "Fixed", IF(NOT(ISERR(SEARCH("*_Repaired",$A656))), "Repaired", "")))</f>
        <v>Fixed</v>
      </c>
      <c r="R656" s="13" t="s">
        <v>1669</v>
      </c>
      <c r="S656" s="25">
        <v>4</v>
      </c>
      <c r="T656" s="25">
        <v>5</v>
      </c>
      <c r="U656" s="25">
        <v>6</v>
      </c>
      <c r="V656" s="13">
        <v>11</v>
      </c>
      <c r="W656" s="13" t="str">
        <f>MID(A656, SEARCH("_", A656) +1, SEARCH("_", A656, SEARCH("_", A656) +1) - SEARCH("_", A656) -1)</f>
        <v>Math-88</v>
      </c>
      <c r="Y656" s="1" t="str">
        <f t="shared" si="6"/>
        <v>NO</v>
      </c>
      <c r="Z656" s="1" t="str">
        <f t="shared" si="7"/>
        <v>YES</v>
      </c>
      <c r="AA656" t="str">
        <f>IF(AND(S656&gt;1,S1181&gt;1,S656=V656,S1181=V1181), "YES", "NO")</f>
        <v>NO</v>
      </c>
      <c r="AB656" t="str">
        <f>IF(AND(S656&gt;1,S1181&gt;1,S656&lt;V656,S1181&lt;V1181), "YES", "NO")</f>
        <v>NO</v>
      </c>
      <c r="AC656" t="str">
        <f t="shared" si="8"/>
        <v>NO</v>
      </c>
      <c r="AD656" t="str">
        <f t="shared" si="9"/>
        <v>NO</v>
      </c>
      <c r="AE656" t="str">
        <f t="shared" si="10"/>
        <v>NO</v>
      </c>
      <c r="AF656" t="str">
        <f t="shared" si="11"/>
        <v>NO</v>
      </c>
    </row>
    <row r="657" spans="1:32" ht="15" x14ac:dyDescent="0.35">
      <c r="A657" s="5" t="s">
        <v>989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>LEFT($A657,FIND("_",$A657)-1)</f>
        <v>AVATAR</v>
      </c>
      <c r="P657" s="13" t="str">
        <f>IF($O657="ACS", "True Search", IF($O657="Arja", "Evolutionary Search", IF($O657="AVATAR", "True Pattern", IF($O657="CapGen", "Search Like Pattern", IF($O657="Cardumen", "True Semantic", IF($O657="DynaMoth", "True Semantic", IF($O657="FixMiner", "True Pattern", IF($O657="GenProg-A", "Evolutionary Search", IF($O657="Hercules", "Learning Pattern", IF($O657="Jaid", "True Semantic",
IF($O657="Kali-A", "True Search", IF($O657="kPAR", "True Pattern", IF($O657="Nopol", "True Semantic", IF($O657="RSRepair-A", "Evolutionary Search", IF($O657="SequenceR", "Deep Learning", IF($O657="SimFix", "Search Like Pattern", IF($O657="SketchFix", "True Pattern", IF($O657="SOFix", "True Pattern", IF($O657="ssFix", "Search Like Pattern", IF($O657="TBar", "True Pattern", ""))))))))))))))))))))</f>
        <v>True Pattern</v>
      </c>
      <c r="Q657" s="13" t="str">
        <f>IF(NOT(ISERR(SEARCH("*_Buggy",$A657))), "Buggy", IF(NOT(ISERR(SEARCH("*_Fixed",$A657))), "Fixed", IF(NOT(ISERR(SEARCH("*_Repaired",$A657))), "Repaired", "")))</f>
        <v>Fixed</v>
      </c>
      <c r="R657" s="13" t="s">
        <v>1668</v>
      </c>
      <c r="S657" s="25">
        <v>2</v>
      </c>
      <c r="T657" s="13">
        <v>4</v>
      </c>
      <c r="U657" s="25">
        <v>0</v>
      </c>
      <c r="V657" s="13">
        <v>4</v>
      </c>
      <c r="W657" s="13" t="str">
        <f>MID(A657, SEARCH("_", A657) +1, SEARCH("_", A657, SEARCH("_", A657) +1) - SEARCH("_", A657) -1)</f>
        <v>Math-89</v>
      </c>
      <c r="Y657" s="1" t="str">
        <f t="shared" si="6"/>
        <v>NO</v>
      </c>
      <c r="Z657" s="1" t="str">
        <f t="shared" si="7"/>
        <v>YES</v>
      </c>
      <c r="AA657" t="str">
        <f>IF(AND(S657&gt;1,S1182&gt;1,S657=V657,S1182=V1182), "YES", "NO")</f>
        <v>NO</v>
      </c>
      <c r="AB657" t="str">
        <f>IF(AND(S657&gt;1,S1182&gt;1,S657&lt;V657,S1182&lt;V1182), "YES", "NO")</f>
        <v>NO</v>
      </c>
      <c r="AC657" t="str">
        <f t="shared" si="8"/>
        <v>NO</v>
      </c>
      <c r="AD657" t="str">
        <f t="shared" si="9"/>
        <v>NO</v>
      </c>
      <c r="AE657" t="str">
        <f t="shared" si="10"/>
        <v>NO</v>
      </c>
      <c r="AF657" t="str">
        <f t="shared" si="11"/>
        <v>YES</v>
      </c>
    </row>
    <row r="658" spans="1:32" ht="15" x14ac:dyDescent="0.35">
      <c r="A658" s="7" t="s">
        <v>166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>LEFT($A658,FIND("_",$A658)-1)</f>
        <v>AVATAR</v>
      </c>
      <c r="P658" s="13" t="str">
        <f>IF($O658="ACS", "True Search", IF($O658="Arja", "Evolutionary Search", IF($O658="AVATAR", "True Pattern", IF($O658="CapGen", "Search Like Pattern", IF($O658="Cardumen", "True Semantic", IF($O658="DynaMoth", "True Semantic", IF($O658="FixMiner", "True Pattern", IF($O658="GenProg-A", "Evolutionary Search", IF($O658="Hercules", "Learning Pattern", IF($O658="Jaid", "True Semantic",
IF($O658="Kali-A", "True Search", IF($O658="kPAR", "True Pattern", IF($O658="Nopol", "True Semantic", IF($O658="RSRepair-A", "Evolutionary Search", IF($O658="SequenceR", "Deep Learning", IF($O658="SimFix", "Search Like Pattern", IF($O658="SketchFix", "True Pattern", IF($O658="SOFix", "True Pattern", IF($O658="ssFix", "Search Like Pattern", IF($O658="TBar", "True Pattern", ""))))))))))))))))))))</f>
        <v>True Pattern</v>
      </c>
      <c r="Q658" s="13" t="str">
        <f>IF(NOT(ISERR(SEARCH("*_Buggy",$A658))), "Buggy", IF(NOT(ISERR(SEARCH("*_Fixed",$A658))), "Fixed", IF(NOT(ISERR(SEARCH("*_Repaired",$A658))), "Repaired", "")))</f>
        <v>Fixed</v>
      </c>
      <c r="R658" s="13" t="s">
        <v>1669</v>
      </c>
      <c r="S658" s="25">
        <v>3</v>
      </c>
      <c r="T658" s="25">
        <v>3</v>
      </c>
      <c r="U658" s="25">
        <v>1</v>
      </c>
      <c r="V658" s="13">
        <v>3</v>
      </c>
      <c r="W658" s="13" t="str">
        <f>MID(A658, SEARCH("_", A658) +1, SEARCH("_", A658, SEARCH("_", A658) +1) - SEARCH("_", A658) -1)</f>
        <v>Math-95</v>
      </c>
      <c r="Y658" s="1" t="str">
        <f t="shared" si="6"/>
        <v>YES</v>
      </c>
      <c r="Z658" s="1" t="str">
        <f t="shared" si="7"/>
        <v>NO</v>
      </c>
      <c r="AA658" t="str">
        <f>IF(AND(S658&gt;1,S1183&gt;1,S658=V658,S1183=V1183), "YES", "NO")</f>
        <v>NO</v>
      </c>
      <c r="AB658" t="str">
        <f>IF(AND(S658&gt;1,S1183&gt;1,S658&lt;V658,S1183&lt;V1183), "YES", "NO")</f>
        <v>NO</v>
      </c>
      <c r="AC658" t="str">
        <f t="shared" si="8"/>
        <v>NO</v>
      </c>
      <c r="AD658" t="str">
        <f t="shared" si="9"/>
        <v>NO</v>
      </c>
      <c r="AE658" t="str">
        <f t="shared" si="10"/>
        <v>NO</v>
      </c>
      <c r="AF658" t="str">
        <f t="shared" si="11"/>
        <v>NO</v>
      </c>
    </row>
    <row r="659" spans="1:32" ht="15" x14ac:dyDescent="0.35">
      <c r="A659" s="7" t="s">
        <v>103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>LEFT($A659,FIND("_",$A659)-1)</f>
        <v>AVATAR</v>
      </c>
      <c r="P659" s="13" t="str">
        <f>IF($O659="ACS", "True Search", IF($O659="Arja", "Evolutionary Search", IF($O659="AVATAR", "True Pattern", IF($O659="CapGen", "Search Like Pattern", IF($O659="Cardumen", "True Semantic", IF($O659="DynaMoth", "True Semantic", IF($O659="FixMiner", "True Pattern", IF($O659="GenProg-A", "Evolutionary Search", IF($O659="Hercules", "Learning Pattern", IF($O659="Jaid", "True Semantic",
IF($O659="Kali-A", "True Search", IF($O659="kPAR", "True Pattern", IF($O659="Nopol", "True Semantic", IF($O659="RSRepair-A", "Evolutionary Search", IF($O659="SequenceR", "Deep Learning", IF($O659="SimFix", "Search Like Pattern", IF($O659="SketchFix", "True Pattern", IF($O659="SOFix", "True Pattern", IF($O659="ssFix", "Search Like Pattern", IF($O659="TBar", "True Pattern", ""))))))))))))))))))))</f>
        <v>True Pattern</v>
      </c>
      <c r="Q659" s="13" t="str">
        <f>IF(NOT(ISERR(SEARCH("*_Buggy",$A659))), "Buggy", IF(NOT(ISERR(SEARCH("*_Fixed",$A659))), "Fixed", IF(NOT(ISERR(SEARCH("*_Repaired",$A659))), "Repaired", "")))</f>
        <v>Fixed</v>
      </c>
      <c r="R659" s="13" t="s">
        <v>1668</v>
      </c>
      <c r="S659" s="25">
        <v>1</v>
      </c>
      <c r="T659" s="25">
        <v>1</v>
      </c>
      <c r="U659" s="25">
        <v>1</v>
      </c>
      <c r="V659" s="13">
        <v>1</v>
      </c>
      <c r="W659" s="13" t="str">
        <f>MID(A659, SEARCH("_", A659) +1, SEARCH("_", A659, SEARCH("_", A659) +1) - SEARCH("_", A659) -1)</f>
        <v>Mockito-29</v>
      </c>
      <c r="Y659" s="1" t="str">
        <f t="shared" si="6"/>
        <v>NO</v>
      </c>
      <c r="Z659" s="1" t="str">
        <f t="shared" si="7"/>
        <v>NO</v>
      </c>
      <c r="AA659" t="str">
        <f>IF(AND(S659&gt;1,S1184&gt;1,S659=V659,S1184=V1184), "YES", "NO")</f>
        <v>NO</v>
      </c>
      <c r="AB659" t="str">
        <f>IF(AND(S659&gt;1,S1184&gt;1,S659&lt;V659,S1184&lt;V1184), "YES", "NO")</f>
        <v>NO</v>
      </c>
      <c r="AC659" t="str">
        <f t="shared" si="8"/>
        <v>NO</v>
      </c>
      <c r="AD659" t="str">
        <f t="shared" si="9"/>
        <v>NO</v>
      </c>
      <c r="AE659" t="str">
        <f t="shared" si="10"/>
        <v>NO</v>
      </c>
      <c r="AF659" t="str">
        <f t="shared" si="11"/>
        <v>NO</v>
      </c>
    </row>
    <row r="660" spans="1:32" ht="15" x14ac:dyDescent="0.35">
      <c r="A660" s="5" t="s">
        <v>1139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>LEFT($A660,FIND("_",$A660)-1)</f>
        <v>AVATAR</v>
      </c>
      <c r="P660" s="13" t="str">
        <f>IF($O660="ACS", "True Search", IF($O660="Arja", "Evolutionary Search", IF($O660="AVATAR", "True Pattern", IF($O660="CapGen", "Search Like Pattern", IF($O660="Cardumen", "True Semantic", IF($O660="DynaMoth", "True Semantic", IF($O660="FixMiner", "True Pattern", IF($O660="GenProg-A", "Evolutionary Search", IF($O660="Hercules", "Learning Pattern", IF($O660="Jaid", "True Semantic",
IF($O660="Kali-A", "True Search", IF($O660="kPAR", "True Pattern", IF($O660="Nopol", "True Semantic", IF($O660="RSRepair-A", "Evolutionary Search", IF($O660="SequenceR", "Deep Learning", IF($O660="SimFix", "Search Like Pattern", IF($O660="SketchFix", "True Pattern", IF($O660="SOFix", "True Pattern", IF($O660="ssFix", "Search Like Pattern", IF($O660="TBar", "True Pattern", ""))))))))))))))))))))</f>
        <v>True Pattern</v>
      </c>
      <c r="Q660" s="13" t="str">
        <f>IF(NOT(ISERR(SEARCH("*_Buggy",$A660))), "Buggy", IF(NOT(ISERR(SEARCH("*_Fixed",$A660))), "Fixed", IF(NOT(ISERR(SEARCH("*_Repaired",$A660))), "Repaired", "")))</f>
        <v>Fixed</v>
      </c>
      <c r="R660" s="13" t="s">
        <v>1668</v>
      </c>
      <c r="S660" s="25">
        <v>1</v>
      </c>
      <c r="T660" s="25">
        <v>1</v>
      </c>
      <c r="U660" s="25">
        <v>1</v>
      </c>
      <c r="V660" s="13">
        <v>1</v>
      </c>
      <c r="W660" s="13" t="str">
        <f>MID(A660, SEARCH("_", A660) +1, SEARCH("_", A660, SEARCH("_", A660) +1) - SEARCH("_", A660) -1)</f>
        <v>Mockito-38</v>
      </c>
      <c r="Y660" s="1" t="str">
        <f t="shared" si="6"/>
        <v>NO</v>
      </c>
      <c r="Z660" s="1" t="str">
        <f t="shared" si="7"/>
        <v>NO</v>
      </c>
      <c r="AA660" t="str">
        <f>IF(AND(S660&gt;1,S1185&gt;1,S660=V660,S1185=V1185), "YES", "NO")</f>
        <v>NO</v>
      </c>
      <c r="AB660" t="str">
        <f>IF(AND(S660&gt;1,S1185&gt;1,S660&lt;V660,S1185&lt;V1185), "YES", "NO")</f>
        <v>NO</v>
      </c>
      <c r="AC660" t="str">
        <f t="shared" si="8"/>
        <v>NO</v>
      </c>
      <c r="AD660" t="str">
        <f t="shared" si="9"/>
        <v>NO</v>
      </c>
      <c r="AE660" t="str">
        <f t="shared" si="10"/>
        <v>NO</v>
      </c>
      <c r="AF660" t="str">
        <f t="shared" si="11"/>
        <v>NO</v>
      </c>
    </row>
    <row r="661" spans="1:32" ht="15" x14ac:dyDescent="0.35">
      <c r="A661" s="5" t="s">
        <v>750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>LEFT($A661,FIND("_",$A661)-1)</f>
        <v>AVATAR</v>
      </c>
      <c r="P661" s="13" t="str">
        <f>IF($O661="ACS", "True Search", IF($O661="Arja", "Evolutionary Search", IF($O661="AVATAR", "True Pattern", IF($O661="CapGen", "Search Like Pattern", IF($O661="Cardumen", "True Semantic", IF($O661="DynaMoth", "True Semantic", IF($O661="FixMiner", "True Pattern", IF($O661="GenProg-A", "Evolutionary Search", IF($O661="Hercules", "Learning Pattern", IF($O661="Jaid", "True Semantic",
IF($O661="Kali-A", "True Search", IF($O661="kPAR", "True Pattern", IF($O661="Nopol", "True Semantic", IF($O661="RSRepair-A", "Evolutionary Search", IF($O661="SequenceR", "Deep Learning", IF($O661="SimFix", "Search Like Pattern", IF($O661="SketchFix", "True Pattern", IF($O661="SOFix", "True Pattern", IF($O661="ssFix", "Search Like Pattern", IF($O661="TBar", "True Pattern", ""))))))))))))))))))))</f>
        <v>True Pattern</v>
      </c>
      <c r="Q661" s="13" t="str">
        <f>IF(NOT(ISERR(SEARCH("*_Buggy",$A661))), "Buggy", IF(NOT(ISERR(SEARCH("*_Fixed",$A661))), "Fixed", IF(NOT(ISERR(SEARCH("*_Repaired",$A661))), "Repaired", "")))</f>
        <v>Fixed</v>
      </c>
      <c r="R661" s="13" t="s">
        <v>1669</v>
      </c>
      <c r="S661" s="25">
        <v>2</v>
      </c>
      <c r="T661" s="13">
        <v>12</v>
      </c>
      <c r="U661" s="25">
        <v>0</v>
      </c>
      <c r="V661" s="13">
        <v>12</v>
      </c>
      <c r="W661" s="13" t="str">
        <f>MID(A661, SEARCH("_", A661) +1, SEARCH("_", A661, SEARCH("_", A661) +1) - SEARCH("_", A661) -1)</f>
        <v>Time-18</v>
      </c>
      <c r="Y661" s="1" t="str">
        <f t="shared" si="6"/>
        <v>NO</v>
      </c>
      <c r="Z661" s="1" t="str">
        <f t="shared" si="7"/>
        <v>YES</v>
      </c>
      <c r="AA661" t="str">
        <f>IF(AND(S661&gt;1,S1186&gt;1,S661=V661,S1186=V1186), "YES", "NO")</f>
        <v>NO</v>
      </c>
      <c r="AB661" t="str">
        <f>IF(AND(S661&gt;1,S1186&gt;1,S661&lt;V661,S1186&lt;V1186), "YES", "NO")</f>
        <v>NO</v>
      </c>
      <c r="AC661" t="str">
        <f t="shared" si="8"/>
        <v>NO</v>
      </c>
      <c r="AD661" t="str">
        <f t="shared" si="9"/>
        <v>NO</v>
      </c>
      <c r="AE661" t="str">
        <f t="shared" si="10"/>
        <v>NO</v>
      </c>
      <c r="AF661" t="str">
        <f t="shared" si="11"/>
        <v>YES</v>
      </c>
    </row>
    <row r="662" spans="1:32" ht="15" x14ac:dyDescent="0.35">
      <c r="A662" s="5" t="s">
        <v>533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>LEFT($A662,FIND("_",$A662)-1)</f>
        <v>DynaMoth</v>
      </c>
      <c r="P662" s="13" t="str">
        <f>IF($O662="ACS", "True Search", IF($O662="Arja", "Evolutionary Search", IF($O662="AVATAR", "True Pattern", IF($O662="CapGen", "Search Like Pattern", IF($O662="Cardumen", "True Semantic", IF($O662="DynaMoth", "True Semantic", IF($O662="FixMiner", "True Pattern", IF($O662="GenProg-A", "Evolutionary Search", IF($O662="Hercules", "Learning Pattern", IF($O662="Jaid", "True Semantic",
IF($O662="Kali-A", "True Search", IF($O662="kPAR", "True Pattern", IF($O662="Nopol", "True Semantic", IF($O662="RSRepair-A", "Evolutionary Search", IF($O662="SequenceR", "Deep Learning", IF($O662="SimFix", "Search Like Pattern", IF($O662="SketchFix", "True Pattern", IF($O662="SOFix", "True Pattern", IF($O662="ssFix", "Search Like Pattern", IF($O662="TBar", "True Pattern", ""))))))))))))))))))))</f>
        <v>True Semantic</v>
      </c>
      <c r="Q662" s="13" t="str">
        <f>IF(NOT(ISERR(SEARCH("*_Buggy",$A662))), "Buggy", IF(NOT(ISERR(SEARCH("*_Fixed",$A662))), "Fixed", IF(NOT(ISERR(SEARCH("*_Repaired",$A662))), "Repaired", "")))</f>
        <v>Fixed</v>
      </c>
      <c r="R662" s="13" t="s">
        <v>1669</v>
      </c>
      <c r="S662" s="25">
        <v>1</v>
      </c>
      <c r="T662" s="25">
        <v>1</v>
      </c>
      <c r="U662" s="25">
        <v>1</v>
      </c>
      <c r="V662" s="13">
        <v>1</v>
      </c>
      <c r="W662" s="13" t="str">
        <f>MID(A662, SEARCH("_", A662) +1, SEARCH("_", A662, SEARCH("_", A662) +1) - SEARCH("_", A662) -1)</f>
        <v>Chart-1</v>
      </c>
      <c r="Y662" s="1" t="str">
        <f t="shared" si="6"/>
        <v>NO</v>
      </c>
      <c r="Z662" s="1" t="str">
        <f t="shared" si="7"/>
        <v>NO</v>
      </c>
      <c r="AA662" t="str">
        <f>IF(AND(S662&gt;1,S1187&gt;1,S662=V662,S1187=V1187), "YES", "NO")</f>
        <v>NO</v>
      </c>
      <c r="AB662" t="str">
        <f>IF(AND(S662&gt;1,S1187&gt;1,S662&lt;V662,S1187&lt;V1187), "YES", "NO")</f>
        <v>NO</v>
      </c>
      <c r="AC662" t="str">
        <f t="shared" si="8"/>
        <v>NO</v>
      </c>
      <c r="AD662" t="str">
        <f t="shared" si="9"/>
        <v>NO</v>
      </c>
      <c r="AE662" t="str">
        <f t="shared" si="10"/>
        <v>NO</v>
      </c>
      <c r="AF662" t="str">
        <f t="shared" si="11"/>
        <v>NO</v>
      </c>
    </row>
    <row r="663" spans="1:32" ht="15" x14ac:dyDescent="0.35">
      <c r="A663" s="5" t="s">
        <v>965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>LEFT($A663,FIND("_",$A663)-1)</f>
        <v>DynaMoth</v>
      </c>
      <c r="P663" s="13" t="str">
        <f>IF($O663="ACS", "True Search", IF($O663="Arja", "Evolutionary Search", IF($O663="AVATAR", "True Pattern", IF($O663="CapGen", "Search Like Pattern", IF($O663="Cardumen", "True Semantic", IF($O663="DynaMoth", "True Semantic", IF($O663="FixMiner", "True Pattern", IF($O663="GenProg-A", "Evolutionary Search", IF($O663="Hercules", "Learning Pattern", IF($O663="Jaid", "True Semantic",
IF($O663="Kali-A", "True Search", IF($O663="kPAR", "True Pattern", IF($O663="Nopol", "True Semantic", IF($O663="RSRepair-A", "Evolutionary Search", IF($O663="SequenceR", "Deep Learning", IF($O663="SimFix", "Search Like Pattern", IF($O663="SketchFix", "True Pattern", IF($O663="SOFix", "True Pattern", IF($O663="ssFix", "Search Like Pattern", IF($O663="TBar", "True Pattern", ""))))))))))))))))))))</f>
        <v>True Semantic</v>
      </c>
      <c r="Q663" s="13" t="str">
        <f>IF(NOT(ISERR(SEARCH("*_Buggy",$A663))), "Buggy", IF(NOT(ISERR(SEARCH("*_Fixed",$A663))), "Fixed", IF(NOT(ISERR(SEARCH("*_Repaired",$A663))), "Repaired", "")))</f>
        <v>Fixed</v>
      </c>
      <c r="R663" s="13" t="s">
        <v>1669</v>
      </c>
      <c r="S663" s="25">
        <v>1</v>
      </c>
      <c r="T663" s="25">
        <v>1</v>
      </c>
      <c r="U663" s="25">
        <v>1</v>
      </c>
      <c r="V663" s="13">
        <v>1</v>
      </c>
      <c r="W663" s="13" t="str">
        <f>MID(A663, SEARCH("_", A663) +1, SEARCH("_", A663, SEARCH("_", A663) +1) - SEARCH("_", A663) -1)</f>
        <v>Chart-13</v>
      </c>
      <c r="Y663" s="1" t="str">
        <f t="shared" si="6"/>
        <v>NO</v>
      </c>
      <c r="Z663" s="1" t="str">
        <f t="shared" si="7"/>
        <v>NO</v>
      </c>
      <c r="AA663" t="str">
        <f>IF(AND(S663&gt;1,S1188&gt;1,S663=V663,S1188=V1188), "YES", "NO")</f>
        <v>NO</v>
      </c>
      <c r="AB663" t="str">
        <f>IF(AND(S663&gt;1,S1188&gt;1,S663&lt;V663,S1188&lt;V1188), "YES", "NO")</f>
        <v>NO</v>
      </c>
      <c r="AC663" t="str">
        <f t="shared" si="8"/>
        <v>NO</v>
      </c>
      <c r="AD663" t="str">
        <f t="shared" si="9"/>
        <v>NO</v>
      </c>
      <c r="AE663" t="str">
        <f t="shared" si="10"/>
        <v>NO</v>
      </c>
      <c r="AF663" t="str">
        <f t="shared" si="11"/>
        <v>NO</v>
      </c>
    </row>
    <row r="664" spans="1:32" ht="15" x14ac:dyDescent="0.35">
      <c r="A664" s="7" t="s">
        <v>136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>LEFT($A664,FIND("_",$A664)-1)</f>
        <v>DynaMoth</v>
      </c>
      <c r="P664" s="13" t="str">
        <f>IF($O664="ACS", "True Search", IF($O664="Arja", "Evolutionary Search", IF($O664="AVATAR", "True Pattern", IF($O664="CapGen", "Search Like Pattern", IF($O664="Cardumen", "True Semantic", IF($O664="DynaMoth", "True Semantic", IF($O664="FixMiner", "True Pattern", IF($O664="GenProg-A", "Evolutionary Search", IF($O664="Hercules", "Learning Pattern", IF($O664="Jaid", "True Semantic",
IF($O664="Kali-A", "True Search", IF($O664="kPAR", "True Pattern", IF($O664="Nopol", "True Semantic", IF($O664="RSRepair-A", "Evolutionary Search", IF($O664="SequenceR", "Deep Learning", IF($O664="SimFix", "Search Like Pattern", IF($O664="SketchFix", "True Pattern", IF($O664="SOFix", "True Pattern", IF($O664="ssFix", "Search Like Pattern", IF($O664="TBar", "True Pattern", ""))))))))))))))))))))</f>
        <v>True Semantic</v>
      </c>
      <c r="Q664" s="13" t="str">
        <f>IF(NOT(ISERR(SEARCH("*_Buggy",$A664))), "Buggy", IF(NOT(ISERR(SEARCH("*_Fixed",$A664))), "Fixed", IF(NOT(ISERR(SEARCH("*_Repaired",$A664))), "Repaired", "")))</f>
        <v>Fixed</v>
      </c>
      <c r="R664" s="13" t="s">
        <v>1669</v>
      </c>
      <c r="S664" s="25">
        <v>6</v>
      </c>
      <c r="T664" s="25">
        <v>14</v>
      </c>
      <c r="U664" s="25">
        <v>2</v>
      </c>
      <c r="V664" s="13">
        <v>14</v>
      </c>
      <c r="W664" s="13" t="str">
        <f>MID(A664, SEARCH("_", A664) +1, SEARCH("_", A664, SEARCH("_", A664) +1) - SEARCH("_", A664) -1)</f>
        <v>Chart-25</v>
      </c>
      <c r="Y664" s="1" t="str">
        <f t="shared" si="6"/>
        <v>NO</v>
      </c>
      <c r="Z664" s="1" t="str">
        <f t="shared" si="7"/>
        <v>YES</v>
      </c>
      <c r="AA664" t="str">
        <f>IF(AND(S664&gt;1,S1189&gt;1,S664=V664,S1189=V1189), "YES", "NO")</f>
        <v>NO</v>
      </c>
      <c r="AB664" t="str">
        <f>IF(AND(S664&gt;1,S1189&gt;1,S664&lt;V664,S1189&lt;V1189), "YES", "NO")</f>
        <v>NO</v>
      </c>
      <c r="AC664" t="str">
        <f t="shared" si="8"/>
        <v>NO</v>
      </c>
      <c r="AD664" t="str">
        <f t="shared" si="9"/>
        <v>NO</v>
      </c>
      <c r="AE664" t="str">
        <f t="shared" si="10"/>
        <v>NO</v>
      </c>
      <c r="AF664" t="str">
        <f t="shared" si="11"/>
        <v>YES</v>
      </c>
    </row>
    <row r="665" spans="1:32" ht="15" x14ac:dyDescent="0.35">
      <c r="A665" s="7" t="s">
        <v>541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>LEFT($A665,FIND("_",$A665)-1)</f>
        <v>DynaMoth</v>
      </c>
      <c r="P665" s="13" t="str">
        <f>IF($O665="ACS", "True Search", IF($O665="Arja", "Evolutionary Search", IF($O665="AVATAR", "True Pattern", IF($O665="CapGen", "Search Like Pattern", IF($O665="Cardumen", "True Semantic", IF($O665="DynaMoth", "True Semantic", IF($O665="FixMiner", "True Pattern", IF($O665="GenProg-A", "Evolutionary Search", IF($O665="Hercules", "Learning Pattern", IF($O665="Jaid", "True Semantic",
IF($O665="Kali-A", "True Search", IF($O665="kPAR", "True Pattern", IF($O665="Nopol", "True Semantic", IF($O665="RSRepair-A", "Evolutionary Search", IF($O665="SequenceR", "Deep Learning", IF($O665="SimFix", "Search Like Pattern", IF($O665="SketchFix", "True Pattern", IF($O665="SOFix", "True Pattern", IF($O665="ssFix", "Search Like Pattern", IF($O665="TBar", "True Pattern", ""))))))))))))))))))))</f>
        <v>True Semantic</v>
      </c>
      <c r="Q665" s="13" t="str">
        <f>IF(NOT(ISERR(SEARCH("*_Buggy",$A665))), "Buggy", IF(NOT(ISERR(SEARCH("*_Fixed",$A665))), "Fixed", IF(NOT(ISERR(SEARCH("*_Repaired",$A665))), "Repaired", "")))</f>
        <v>Fixed</v>
      </c>
      <c r="R665" s="13" t="s">
        <v>1669</v>
      </c>
      <c r="S665" s="25">
        <v>2</v>
      </c>
      <c r="T665" s="25">
        <v>5</v>
      </c>
      <c r="U665" s="25">
        <v>1</v>
      </c>
      <c r="V665" s="13">
        <v>5</v>
      </c>
      <c r="W665" s="13" t="str">
        <f>MID(A665, SEARCH("_", A665) +1, SEARCH("_", A665, SEARCH("_", A665) +1) - SEARCH("_", A665) -1)</f>
        <v>Chart-5</v>
      </c>
      <c r="Y665" s="1" t="str">
        <f t="shared" si="6"/>
        <v>NO</v>
      </c>
      <c r="Z665" s="1" t="str">
        <f t="shared" si="7"/>
        <v>YES</v>
      </c>
      <c r="AA665" t="str">
        <f>IF(AND(S665&gt;1,S1190&gt;1,S665=V665,S1190=V1190), "YES", "NO")</f>
        <v>NO</v>
      </c>
      <c r="AB665" t="str">
        <f>IF(AND(S665&gt;1,S1190&gt;1,S665&lt;V665,S1190&lt;V1190), "YES", "NO")</f>
        <v>NO</v>
      </c>
      <c r="AC665" t="str">
        <f t="shared" si="8"/>
        <v>NO</v>
      </c>
      <c r="AD665" t="str">
        <f t="shared" si="9"/>
        <v>NO</v>
      </c>
      <c r="AE665" t="str">
        <f t="shared" si="10"/>
        <v>NO</v>
      </c>
      <c r="AF665" t="str">
        <f t="shared" si="11"/>
        <v>NO</v>
      </c>
    </row>
    <row r="666" spans="1:32" ht="15" x14ac:dyDescent="0.35">
      <c r="A666" s="7" t="s">
        <v>1156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>LEFT($A666,FIND("_",$A666)-1)</f>
        <v>DynaMoth</v>
      </c>
      <c r="P666" s="13" t="str">
        <f>IF($O666="ACS", "True Search", IF($O666="Arja", "Evolutionary Search", IF($O666="AVATAR", "True Pattern", IF($O666="CapGen", "Search Like Pattern", IF($O666="Cardumen", "True Semantic", IF($O666="DynaMoth", "True Semantic", IF($O666="FixMiner", "True Pattern", IF($O666="GenProg-A", "Evolutionary Search", IF($O666="Hercules", "Learning Pattern", IF($O666="Jaid", "True Semantic",
IF($O666="Kali-A", "True Search", IF($O666="kPAR", "True Pattern", IF($O666="Nopol", "True Semantic", IF($O666="RSRepair-A", "Evolutionary Search", IF($O666="SequenceR", "Deep Learning", IF($O666="SimFix", "Search Like Pattern", IF($O666="SketchFix", "True Pattern", IF($O666="SOFix", "True Pattern", IF($O666="ssFix", "Search Like Pattern", IF($O666="TBar", "True Pattern", ""))))))))))))))))))))</f>
        <v>True Semantic</v>
      </c>
      <c r="Q666" s="13" t="str">
        <f>IF(NOT(ISERR(SEARCH("*_Buggy",$A666))), "Buggy", IF(NOT(ISERR(SEARCH("*_Fixed",$A666))), "Fixed", IF(NOT(ISERR(SEARCH("*_Repaired",$A666))), "Repaired", "")))</f>
        <v>Fixed</v>
      </c>
      <c r="R666" s="13" t="s">
        <v>1668</v>
      </c>
      <c r="S666" s="25">
        <v>9</v>
      </c>
      <c r="T666" s="25">
        <v>10</v>
      </c>
      <c r="U666" s="25">
        <v>7</v>
      </c>
      <c r="V666" s="13">
        <v>10</v>
      </c>
      <c r="W666" s="13" t="str">
        <f>MID(A666, SEARCH("_", A666) +1, SEARCH("_", A666, SEARCH("_", A666) +1) - SEARCH("_", A666) -1)</f>
        <v>Lang-46</v>
      </c>
      <c r="Y666" s="1" t="str">
        <f t="shared" si="6"/>
        <v>NO</v>
      </c>
      <c r="Z666" s="1" t="str">
        <f t="shared" si="7"/>
        <v>YES</v>
      </c>
      <c r="AA666" t="str">
        <f>IF(AND(S666&gt;1,S1191&gt;1,S666=V666,S1191=V1191), "YES", "NO")</f>
        <v>NO</v>
      </c>
      <c r="AB666" t="str">
        <f>IF(AND(S666&gt;1,S1191&gt;1,S666&lt;V666,S1191&lt;V1191), "YES", "NO")</f>
        <v>NO</v>
      </c>
      <c r="AC666" t="str">
        <f t="shared" si="8"/>
        <v>NO</v>
      </c>
      <c r="AD666" t="str">
        <f t="shared" si="9"/>
        <v>NO</v>
      </c>
      <c r="AE666" t="str">
        <f t="shared" si="10"/>
        <v>NO</v>
      </c>
      <c r="AF666" t="str">
        <f t="shared" si="11"/>
        <v>YES</v>
      </c>
    </row>
    <row r="667" spans="1:32" ht="15" x14ac:dyDescent="0.35">
      <c r="A667" s="5" t="s">
        <v>923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>LEFT($A667,FIND("_",$A667)-1)</f>
        <v>DynaMoth</v>
      </c>
      <c r="P667" s="13" t="str">
        <f>IF($O667="ACS", "True Search", IF($O667="Arja", "Evolutionary Search", IF($O667="AVATAR", "True Pattern", IF($O667="CapGen", "Search Like Pattern", IF($O667="Cardumen", "True Semantic", IF($O667="DynaMoth", "True Semantic", IF($O667="FixMiner", "True Pattern", IF($O667="GenProg-A", "Evolutionary Search", IF($O667="Hercules", "Learning Pattern", IF($O667="Jaid", "True Semantic",
IF($O667="Kali-A", "True Search", IF($O667="kPAR", "True Pattern", IF($O667="Nopol", "True Semantic", IF($O667="RSRepair-A", "Evolutionary Search", IF($O667="SequenceR", "Deep Learning", IF($O667="SimFix", "Search Like Pattern", IF($O667="SketchFix", "True Pattern", IF($O667="SOFix", "True Pattern", IF($O667="ssFix", "Search Like Pattern", IF($O667="TBar", "True Pattern", ""))))))))))))))))))))</f>
        <v>True Semantic</v>
      </c>
      <c r="Q667" s="13" t="str">
        <f>IF(NOT(ISERR(SEARCH("*_Buggy",$A667))), "Buggy", IF(NOT(ISERR(SEARCH("*_Fixed",$A667))), "Fixed", IF(NOT(ISERR(SEARCH("*_Repaired",$A667))), "Repaired", "")))</f>
        <v>Fixed</v>
      </c>
      <c r="R667" s="13" t="s">
        <v>1669</v>
      </c>
      <c r="S667" s="25">
        <v>1</v>
      </c>
      <c r="T667" s="13">
        <v>1</v>
      </c>
      <c r="U667" s="25">
        <v>0</v>
      </c>
      <c r="V667" s="13">
        <v>1</v>
      </c>
      <c r="W667" s="13" t="str">
        <f>MID(A667, SEARCH("_", A667) +1, SEARCH("_", A667, SEARCH("_", A667) +1) - SEARCH("_", A667) -1)</f>
        <v>Lang-51</v>
      </c>
      <c r="Y667" s="1" t="str">
        <f t="shared" si="6"/>
        <v>NO</v>
      </c>
      <c r="Z667" s="1" t="str">
        <f t="shared" si="7"/>
        <v>NO</v>
      </c>
      <c r="AA667" t="str">
        <f>IF(AND(S667&gt;1,S1192&gt;1,S667=V667,S1192=V1192), "YES", "NO")</f>
        <v>NO</v>
      </c>
      <c r="AB667" t="str">
        <f>IF(AND(S667&gt;1,S1192&gt;1,S667&lt;V667,S1192&lt;V1192), "YES", "NO")</f>
        <v>NO</v>
      </c>
      <c r="AC667" t="str">
        <f t="shared" si="8"/>
        <v>NO</v>
      </c>
      <c r="AD667" t="str">
        <f t="shared" si="9"/>
        <v>NO</v>
      </c>
      <c r="AE667" t="str">
        <f t="shared" si="10"/>
        <v>NO</v>
      </c>
      <c r="AF667" t="str">
        <f t="shared" si="11"/>
        <v>NO</v>
      </c>
    </row>
    <row r="668" spans="1:32" ht="15" x14ac:dyDescent="0.35">
      <c r="A668" s="5" t="s">
        <v>295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>LEFT($A668,FIND("_",$A668)-1)</f>
        <v>DynaMoth</v>
      </c>
      <c r="P668" s="13" t="str">
        <f>IF($O668="ACS", "True Search", IF($O668="Arja", "Evolutionary Search", IF($O668="AVATAR", "True Pattern", IF($O668="CapGen", "Search Like Pattern", IF($O668="Cardumen", "True Semantic", IF($O668="DynaMoth", "True Semantic", IF($O668="FixMiner", "True Pattern", IF($O668="GenProg-A", "Evolutionary Search", IF($O668="Hercules", "Learning Pattern", IF($O668="Jaid", "True Semantic",
IF($O668="Kali-A", "True Search", IF($O668="kPAR", "True Pattern", IF($O668="Nopol", "True Semantic", IF($O668="RSRepair-A", "Evolutionary Search", IF($O668="SequenceR", "Deep Learning", IF($O668="SimFix", "Search Like Pattern", IF($O668="SketchFix", "True Pattern", IF($O668="SOFix", "True Pattern", IF($O668="ssFix", "Search Like Pattern", IF($O668="TBar", "True Pattern", ""))))))))))))))))))))</f>
        <v>True Semantic</v>
      </c>
      <c r="Q668" s="13" t="str">
        <f>IF(NOT(ISERR(SEARCH("*_Buggy",$A668))), "Buggy", IF(NOT(ISERR(SEARCH("*_Fixed",$A668))), "Fixed", IF(NOT(ISERR(SEARCH("*_Repaired",$A668))), "Repaired", "")))</f>
        <v>Fixed</v>
      </c>
      <c r="R668" s="13" t="s">
        <v>1668</v>
      </c>
      <c r="S668" s="25">
        <v>2</v>
      </c>
      <c r="T668" s="13">
        <v>2</v>
      </c>
      <c r="U668" s="25">
        <v>0</v>
      </c>
      <c r="V668" s="13">
        <v>2</v>
      </c>
      <c r="W668" s="13" t="str">
        <f>MID(A668, SEARCH("_", A668) +1, SEARCH("_", A668, SEARCH("_", A668) +1) - SEARCH("_", A668) -1)</f>
        <v>Lang-55</v>
      </c>
      <c r="Y668" s="1" t="str">
        <f t="shared" si="6"/>
        <v>YES</v>
      </c>
      <c r="Z668" s="1" t="str">
        <f t="shared" si="7"/>
        <v>NO</v>
      </c>
      <c r="AA668" t="str">
        <f>IF(AND(S668&gt;1,S1193&gt;1,S668=V668,S1193=V1193), "YES", "NO")</f>
        <v>NO</v>
      </c>
      <c r="AB668" t="str">
        <f>IF(AND(S668&gt;1,S1193&gt;1,S668&lt;V668,S1193&lt;V1193), "YES", "NO")</f>
        <v>NO</v>
      </c>
      <c r="AC668" t="str">
        <f t="shared" si="8"/>
        <v>NO</v>
      </c>
      <c r="AD668" t="str">
        <f t="shared" si="9"/>
        <v>NO</v>
      </c>
      <c r="AE668" t="str">
        <f t="shared" si="10"/>
        <v>NO</v>
      </c>
      <c r="AF668" t="str">
        <f t="shared" si="11"/>
        <v>YES</v>
      </c>
    </row>
    <row r="669" spans="1:32" ht="15" x14ac:dyDescent="0.35">
      <c r="A669" s="5" t="s">
        <v>1118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>LEFT($A669,FIND("_",$A669)-1)</f>
        <v>DynaMoth</v>
      </c>
      <c r="P669" s="13" t="str">
        <f>IF($O669="ACS", "True Search", IF($O669="Arja", "Evolutionary Search", IF($O669="AVATAR", "True Pattern", IF($O669="CapGen", "Search Like Pattern", IF($O669="Cardumen", "True Semantic", IF($O669="DynaMoth", "True Semantic", IF($O669="FixMiner", "True Pattern", IF($O669="GenProg-A", "Evolutionary Search", IF($O669="Hercules", "Learning Pattern", IF($O669="Jaid", "True Semantic",
IF($O669="Kali-A", "True Search", IF($O669="kPAR", "True Pattern", IF($O669="Nopol", "True Semantic", IF($O669="RSRepair-A", "Evolutionary Search", IF($O669="SequenceR", "Deep Learning", IF($O669="SimFix", "Search Like Pattern", IF($O669="SketchFix", "True Pattern", IF($O669="SOFix", "True Pattern", IF($O669="ssFix", "Search Like Pattern", IF($O669="TBar", "True Pattern", ""))))))))))))))))))))</f>
        <v>True Semantic</v>
      </c>
      <c r="Q669" s="13" t="str">
        <f>IF(NOT(ISERR(SEARCH("*_Buggy",$A669))), "Buggy", IF(NOT(ISERR(SEARCH("*_Fixed",$A669))), "Fixed", IF(NOT(ISERR(SEARCH("*_Repaired",$A669))), "Repaired", "")))</f>
        <v>Fixed</v>
      </c>
      <c r="R669" s="13" t="s">
        <v>1669</v>
      </c>
      <c r="S669" s="25">
        <v>1</v>
      </c>
      <c r="T669" s="25">
        <v>1</v>
      </c>
      <c r="U669" s="25">
        <v>2</v>
      </c>
      <c r="V669" s="13">
        <v>2</v>
      </c>
      <c r="W669" s="13" t="str">
        <f>MID(A669, SEARCH("_", A669) +1, SEARCH("_", A669, SEARCH("_", A669) +1) - SEARCH("_", A669) -1)</f>
        <v>Lang-58</v>
      </c>
      <c r="Y669" s="1" t="str">
        <f t="shared" si="6"/>
        <v>NO</v>
      </c>
      <c r="Z669" s="1" t="str">
        <f t="shared" si="7"/>
        <v>NO</v>
      </c>
      <c r="AA669" t="str">
        <f>IF(AND(S669&gt;1,S1194&gt;1,S669=V669,S1194=V1194), "YES", "NO")</f>
        <v>NO</v>
      </c>
      <c r="AB669" t="str">
        <f>IF(AND(S669&gt;1,S1194&gt;1,S669&lt;V669,S1194&lt;V1194), "YES", "NO")</f>
        <v>NO</v>
      </c>
      <c r="AC669" t="str">
        <f t="shared" si="8"/>
        <v>NO</v>
      </c>
      <c r="AD669" t="str">
        <f t="shared" si="9"/>
        <v>NO</v>
      </c>
      <c r="AE669" t="str">
        <f t="shared" si="10"/>
        <v>NO</v>
      </c>
      <c r="AF669" t="str">
        <f t="shared" si="11"/>
        <v>YES</v>
      </c>
    </row>
    <row r="670" spans="1:32" ht="15" x14ac:dyDescent="0.35">
      <c r="A670" s="5" t="s">
        <v>1082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>LEFT($A670,FIND("_",$A670)-1)</f>
        <v>DynaMoth</v>
      </c>
      <c r="P670" s="13" t="str">
        <f>IF($O670="ACS", "True Search", IF($O670="Arja", "Evolutionary Search", IF($O670="AVATAR", "True Pattern", IF($O670="CapGen", "Search Like Pattern", IF($O670="Cardumen", "True Semantic", IF($O670="DynaMoth", "True Semantic", IF($O670="FixMiner", "True Pattern", IF($O670="GenProg-A", "Evolutionary Search", IF($O670="Hercules", "Learning Pattern", IF($O670="Jaid", "True Semantic",
IF($O670="Kali-A", "True Search", IF($O670="kPAR", "True Pattern", IF($O670="Nopol", "True Semantic", IF($O670="RSRepair-A", "Evolutionary Search", IF($O670="SequenceR", "Deep Learning", IF($O670="SimFix", "Search Like Pattern", IF($O670="SketchFix", "True Pattern", IF($O670="SOFix", "True Pattern", IF($O670="ssFix", "Search Like Pattern", IF($O670="TBar", "True Pattern", ""))))))))))))))))))))</f>
        <v>True Semantic</v>
      </c>
      <c r="Q670" s="13" t="str">
        <f>IF(NOT(ISERR(SEARCH("*_Buggy",$A670))), "Buggy", IF(NOT(ISERR(SEARCH("*_Fixed",$A670))), "Fixed", IF(NOT(ISERR(SEARCH("*_Repaired",$A670))), "Repaired", "")))</f>
        <v>Fixed</v>
      </c>
      <c r="R670" s="13" t="s">
        <v>1669</v>
      </c>
      <c r="S670" s="25">
        <v>4</v>
      </c>
      <c r="T670" s="25">
        <v>3</v>
      </c>
      <c r="U670" s="25">
        <v>20</v>
      </c>
      <c r="V670" s="13">
        <v>22</v>
      </c>
      <c r="W670" s="13" t="str">
        <f>MID(A670, SEARCH("_", A670) +1, SEARCH("_", A670, SEARCH("_", A670) +1) - SEARCH("_", A670) -1)</f>
        <v>Lang-63</v>
      </c>
      <c r="Y670" s="1" t="str">
        <f t="shared" si="6"/>
        <v>NO</v>
      </c>
      <c r="Z670" s="1" t="str">
        <f t="shared" si="7"/>
        <v>YES</v>
      </c>
      <c r="AA670" t="str">
        <f>IF(AND(S670&gt;1,S1195&gt;1,S670=V670,S1195=V1195), "YES", "NO")</f>
        <v>NO</v>
      </c>
      <c r="AB670" t="str">
        <f>IF(AND(S670&gt;1,S1195&gt;1,S670&lt;V670,S1195&lt;V1195), "YES", "NO")</f>
        <v>NO</v>
      </c>
      <c r="AC670" t="str">
        <f t="shared" si="8"/>
        <v>NO</v>
      </c>
      <c r="AD670" t="str">
        <f t="shared" si="9"/>
        <v>NO</v>
      </c>
      <c r="AE670" t="str">
        <f t="shared" si="10"/>
        <v>NO</v>
      </c>
      <c r="AF670" t="str">
        <f t="shared" si="11"/>
        <v>YES</v>
      </c>
    </row>
    <row r="671" spans="1:32" ht="15" x14ac:dyDescent="0.35">
      <c r="A671" s="5" t="s">
        <v>1279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>LEFT($A671,FIND("_",$A671)-1)</f>
        <v>DynaMoth</v>
      </c>
      <c r="P671" s="13" t="str">
        <f>IF($O671="ACS", "True Search", IF($O671="Arja", "Evolutionary Search", IF($O671="AVATAR", "True Pattern", IF($O671="CapGen", "Search Like Pattern", IF($O671="Cardumen", "True Semantic", IF($O671="DynaMoth", "True Semantic", IF($O671="FixMiner", "True Pattern", IF($O671="GenProg-A", "Evolutionary Search", IF($O671="Hercules", "Learning Pattern", IF($O671="Jaid", "True Semantic",
IF($O671="Kali-A", "True Search", IF($O671="kPAR", "True Pattern", IF($O671="Nopol", "True Semantic", IF($O671="RSRepair-A", "Evolutionary Search", IF($O671="SequenceR", "Deep Learning", IF($O671="SimFix", "Search Like Pattern", IF($O671="SketchFix", "True Pattern", IF($O671="SOFix", "True Pattern", IF($O671="ssFix", "Search Like Pattern", IF($O671="TBar", "True Pattern", ""))))))))))))))))))))</f>
        <v>True Semantic</v>
      </c>
      <c r="Q671" s="13" t="str">
        <f>IF(NOT(ISERR(SEARCH("*_Buggy",$A671))), "Buggy", IF(NOT(ISERR(SEARCH("*_Fixed",$A671))), "Fixed", IF(NOT(ISERR(SEARCH("*_Repaired",$A671))), "Repaired", "")))</f>
        <v>Fixed</v>
      </c>
      <c r="R671" s="13" t="s">
        <v>1669</v>
      </c>
      <c r="S671" s="25">
        <v>1</v>
      </c>
      <c r="T671" s="25">
        <v>2</v>
      </c>
      <c r="U671" s="25">
        <v>1</v>
      </c>
      <c r="V671" s="13">
        <v>2</v>
      </c>
      <c r="W671" s="13" t="str">
        <f>MID(A671, SEARCH("_", A671) +1, SEARCH("_", A671, SEARCH("_", A671) +1) - SEARCH("_", A671) -1)</f>
        <v>Math-101</v>
      </c>
      <c r="Y671" s="1" t="str">
        <f t="shared" si="6"/>
        <v>NO</v>
      </c>
      <c r="Z671" s="1" t="str">
        <f t="shared" si="7"/>
        <v>NO</v>
      </c>
      <c r="AA671" t="str">
        <f>IF(AND(S671&gt;1,S1196&gt;1,S671=V671,S1196=V1196), "YES", "NO")</f>
        <v>NO</v>
      </c>
      <c r="AB671" t="str">
        <f>IF(AND(S671&gt;1,S1196&gt;1,S671&lt;V671,S1196&lt;V1196), "YES", "NO")</f>
        <v>NO</v>
      </c>
      <c r="AC671" t="str">
        <f t="shared" si="8"/>
        <v>NO</v>
      </c>
      <c r="AD671" t="str">
        <f t="shared" si="9"/>
        <v>YES</v>
      </c>
      <c r="AE671" t="str">
        <f t="shared" si="10"/>
        <v>NO</v>
      </c>
      <c r="AF671" t="str">
        <f t="shared" si="11"/>
        <v>YES</v>
      </c>
    </row>
    <row r="672" spans="1:32" ht="15" x14ac:dyDescent="0.35">
      <c r="A672" s="5" t="s">
        <v>31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>LEFT($A672,FIND("_",$A672)-1)</f>
        <v>DynaMoth</v>
      </c>
      <c r="P672" s="13" t="str">
        <f>IF($O672="ACS", "True Search", IF($O672="Arja", "Evolutionary Search", IF($O672="AVATAR", "True Pattern", IF($O672="CapGen", "Search Like Pattern", IF($O672="Cardumen", "True Semantic", IF($O672="DynaMoth", "True Semantic", IF($O672="FixMiner", "True Pattern", IF($O672="GenProg-A", "Evolutionary Search", IF($O672="Hercules", "Learning Pattern", IF($O672="Jaid", "True Semantic",
IF($O672="Kali-A", "True Search", IF($O672="kPAR", "True Pattern", IF($O672="Nopol", "True Semantic", IF($O672="RSRepair-A", "Evolutionary Search", IF($O672="SequenceR", "Deep Learning", IF($O672="SimFix", "Search Like Pattern", IF($O672="SketchFix", "True Pattern", IF($O672="SOFix", "True Pattern", IF($O672="ssFix", "Search Like Pattern", IF($O672="TBar", "True Pattern", ""))))))))))))))))))))</f>
        <v>True Semantic</v>
      </c>
      <c r="Q672" s="13" t="str">
        <f>IF(NOT(ISERR(SEARCH("*_Buggy",$A672))), "Buggy", IF(NOT(ISERR(SEARCH("*_Fixed",$A672))), "Fixed", IF(NOT(ISERR(SEARCH("*_Repaired",$A672))), "Repaired", "")))</f>
        <v>Fixed</v>
      </c>
      <c r="R672" s="13" t="s">
        <v>1669</v>
      </c>
      <c r="S672" s="25">
        <v>1</v>
      </c>
      <c r="T672" s="25">
        <v>1</v>
      </c>
      <c r="U672" s="25">
        <v>1</v>
      </c>
      <c r="V672" s="13">
        <v>1</v>
      </c>
      <c r="W672" s="13" t="str">
        <f>MID(A672, SEARCH("_", A672) +1, SEARCH("_", A672, SEARCH("_", A672) +1) - SEARCH("_", A672) -1)</f>
        <v>Math-105</v>
      </c>
      <c r="Y672" s="1" t="str">
        <f t="shared" si="6"/>
        <v>NO</v>
      </c>
      <c r="Z672" s="1" t="str">
        <f t="shared" si="7"/>
        <v>NO</v>
      </c>
      <c r="AA672" t="str">
        <f>IF(AND(S672&gt;1,S1197&gt;1,S672=V672,S1197=V1197), "YES", "NO")</f>
        <v>NO</v>
      </c>
      <c r="AB672" t="str">
        <f>IF(AND(S672&gt;1,S1197&gt;1,S672&lt;V672,S1197&lt;V1197), "YES", "NO")</f>
        <v>NO</v>
      </c>
      <c r="AC672" t="str">
        <f t="shared" si="8"/>
        <v>NO</v>
      </c>
      <c r="AD672" t="str">
        <f t="shared" si="9"/>
        <v>NO</v>
      </c>
      <c r="AE672" t="str">
        <f t="shared" si="10"/>
        <v>NO</v>
      </c>
      <c r="AF672" t="str">
        <f t="shared" si="11"/>
        <v>NO</v>
      </c>
    </row>
    <row r="673" spans="1:32" ht="15" x14ac:dyDescent="0.35">
      <c r="A673" s="7" t="s">
        <v>1001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>LEFT($A673,FIND("_",$A673)-1)</f>
        <v>DynaMoth</v>
      </c>
      <c r="P673" s="13" t="str">
        <f>IF($O673="ACS", "True Search", IF($O673="Arja", "Evolutionary Search", IF($O673="AVATAR", "True Pattern", IF($O673="CapGen", "Search Like Pattern", IF($O673="Cardumen", "True Semantic", IF($O673="DynaMoth", "True Semantic", IF($O673="FixMiner", "True Pattern", IF($O673="GenProg-A", "Evolutionary Search", IF($O673="Hercules", "Learning Pattern", IF($O673="Jaid", "True Semantic",
IF($O673="Kali-A", "True Search", IF($O673="kPAR", "True Pattern", IF($O673="Nopol", "True Semantic", IF($O673="RSRepair-A", "Evolutionary Search", IF($O673="SequenceR", "Deep Learning", IF($O673="SimFix", "Search Like Pattern", IF($O673="SketchFix", "True Pattern", IF($O673="SOFix", "True Pattern", IF($O673="ssFix", "Search Like Pattern", IF($O673="TBar", "True Pattern", ""))))))))))))))))))))</f>
        <v>True Semantic</v>
      </c>
      <c r="Q673" s="13" t="str">
        <f>IF(NOT(ISERR(SEARCH("*_Buggy",$A673))), "Buggy", IF(NOT(ISERR(SEARCH("*_Fixed",$A673))), "Fixed", IF(NOT(ISERR(SEARCH("*_Repaired",$A673))), "Repaired", "")))</f>
        <v>Fixed</v>
      </c>
      <c r="R673" s="13" t="s">
        <v>1669</v>
      </c>
      <c r="S673" s="25">
        <v>1</v>
      </c>
      <c r="T673" s="25">
        <v>2</v>
      </c>
      <c r="U673" s="25">
        <v>1</v>
      </c>
      <c r="V673" s="13">
        <v>2</v>
      </c>
      <c r="W673" s="13" t="str">
        <f>MID(A673, SEARCH("_", A673) +1, SEARCH("_", A673, SEARCH("_", A673) +1) - SEARCH("_", A673) -1)</f>
        <v>Math-20</v>
      </c>
      <c r="Y673" s="1" t="str">
        <f t="shared" si="6"/>
        <v>NO</v>
      </c>
      <c r="Z673" s="1" t="str">
        <f t="shared" si="7"/>
        <v>NO</v>
      </c>
      <c r="AA673" t="str">
        <f>IF(AND(S673&gt;1,S1198&gt;1,S673=V673,S1198=V1198), "YES", "NO")</f>
        <v>NO</v>
      </c>
      <c r="AB673" t="str">
        <f>IF(AND(S673&gt;1,S1198&gt;1,S673&lt;V673,S1198&lt;V1198), "YES", "NO")</f>
        <v>NO</v>
      </c>
      <c r="AC673" t="str">
        <f t="shared" si="8"/>
        <v>NO</v>
      </c>
      <c r="AD673" t="str">
        <f t="shared" si="9"/>
        <v>NO</v>
      </c>
      <c r="AE673" t="str">
        <f t="shared" si="10"/>
        <v>NO</v>
      </c>
      <c r="AF673" t="str">
        <f t="shared" si="11"/>
        <v>NO</v>
      </c>
    </row>
    <row r="674" spans="1:32" ht="15" x14ac:dyDescent="0.35">
      <c r="A674" s="7" t="s">
        <v>831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>LEFT($A674,FIND("_",$A674)-1)</f>
        <v>DynaMoth</v>
      </c>
      <c r="P674" s="13" t="str">
        <f>IF($O674="ACS", "True Search", IF($O674="Arja", "Evolutionary Search", IF($O674="AVATAR", "True Pattern", IF($O674="CapGen", "Search Like Pattern", IF($O674="Cardumen", "True Semantic", IF($O674="DynaMoth", "True Semantic", IF($O674="FixMiner", "True Pattern", IF($O674="GenProg-A", "Evolutionary Search", IF($O674="Hercules", "Learning Pattern", IF($O674="Jaid", "True Semantic",
IF($O674="Kali-A", "True Search", IF($O674="kPAR", "True Pattern", IF($O674="Nopol", "True Semantic", IF($O674="RSRepair-A", "Evolutionary Search", IF($O674="SequenceR", "Deep Learning", IF($O674="SimFix", "Search Like Pattern", IF($O674="SketchFix", "True Pattern", IF($O674="SOFix", "True Pattern", IF($O674="ssFix", "Search Like Pattern", IF($O674="TBar", "True Pattern", ""))))))))))))))))))))</f>
        <v>True Semantic</v>
      </c>
      <c r="Q674" s="13" t="str">
        <f>IF(NOT(ISERR(SEARCH("*_Buggy",$A674))), "Buggy", IF(NOT(ISERR(SEARCH("*_Fixed",$A674))), "Fixed", IF(NOT(ISERR(SEARCH("*_Repaired",$A674))), "Repaired", "")))</f>
        <v>Fixed</v>
      </c>
      <c r="R674" s="13" t="s">
        <v>1669</v>
      </c>
      <c r="S674" s="25">
        <v>4</v>
      </c>
      <c r="T674" s="13">
        <v>4</v>
      </c>
      <c r="U674" s="25">
        <v>0</v>
      </c>
      <c r="V674" s="13">
        <v>4</v>
      </c>
      <c r="W674" s="13" t="str">
        <f>MID(A674, SEARCH("_", A674) +1, SEARCH("_", A674, SEARCH("_", A674) +1) - SEARCH("_", A674) -1)</f>
        <v>Math-28</v>
      </c>
      <c r="Y674" s="1" t="str">
        <f t="shared" si="6"/>
        <v>YES</v>
      </c>
      <c r="Z674" s="1" t="str">
        <f t="shared" si="7"/>
        <v>NO</v>
      </c>
      <c r="AA674" t="str">
        <f>IF(AND(S674&gt;1,S1199&gt;1,S674=V674,S1199=V1199), "YES", "NO")</f>
        <v>NO</v>
      </c>
      <c r="AB674" t="str">
        <f>IF(AND(S674&gt;1,S1199&gt;1,S674&lt;V674,S1199&lt;V1199), "YES", "NO")</f>
        <v>NO</v>
      </c>
      <c r="AC674" t="str">
        <f t="shared" si="8"/>
        <v>NO</v>
      </c>
      <c r="AD674" t="str">
        <f t="shared" si="9"/>
        <v>NO</v>
      </c>
      <c r="AE674" t="str">
        <f t="shared" si="10"/>
        <v>NO</v>
      </c>
      <c r="AF674" t="str">
        <f t="shared" si="11"/>
        <v>YES</v>
      </c>
    </row>
    <row r="675" spans="1:32" ht="15" x14ac:dyDescent="0.35">
      <c r="A675" s="5" t="s">
        <v>880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>LEFT($A675,FIND("_",$A675)-1)</f>
        <v>DynaMoth</v>
      </c>
      <c r="P675" s="13" t="str">
        <f>IF($O675="ACS", "True Search", IF($O675="Arja", "Evolutionary Search", IF($O675="AVATAR", "True Pattern", IF($O675="CapGen", "Search Like Pattern", IF($O675="Cardumen", "True Semantic", IF($O675="DynaMoth", "True Semantic", IF($O675="FixMiner", "True Pattern", IF($O675="GenProg-A", "Evolutionary Search", IF($O675="Hercules", "Learning Pattern", IF($O675="Jaid", "True Semantic",
IF($O675="Kali-A", "True Search", IF($O675="kPAR", "True Pattern", IF($O675="Nopol", "True Semantic", IF($O675="RSRepair-A", "Evolutionary Search", IF($O675="SequenceR", "Deep Learning", IF($O675="SimFix", "Search Like Pattern", IF($O675="SketchFix", "True Pattern", IF($O675="SOFix", "True Pattern", IF($O675="ssFix", "Search Like Pattern", IF($O675="TBar", "True Pattern", ""))))))))))))))))))))</f>
        <v>True Semantic</v>
      </c>
      <c r="Q675" s="13" t="str">
        <f>IF(NOT(ISERR(SEARCH("*_Buggy",$A675))), "Buggy", IF(NOT(ISERR(SEARCH("*_Fixed",$A675))), "Fixed", IF(NOT(ISERR(SEARCH("*_Repaired",$A675))), "Repaired", "")))</f>
        <v>Fixed</v>
      </c>
      <c r="R675" s="13" t="s">
        <v>1669</v>
      </c>
      <c r="S675" s="25">
        <v>1</v>
      </c>
      <c r="T675" s="25">
        <v>1</v>
      </c>
      <c r="U675" s="25">
        <v>1</v>
      </c>
      <c r="V675" s="13">
        <v>1</v>
      </c>
      <c r="W675" s="13" t="str">
        <f>MID(A675, SEARCH("_", A675) +1, SEARCH("_", A675, SEARCH("_", A675) +1) - SEARCH("_", A675) -1)</f>
        <v>Math-32</v>
      </c>
      <c r="Y675" s="1" t="str">
        <f t="shared" si="6"/>
        <v>NO</v>
      </c>
      <c r="Z675" s="1" t="str">
        <f t="shared" si="7"/>
        <v>NO</v>
      </c>
      <c r="AA675" t="str">
        <f>IF(AND(S675&gt;1,S1200&gt;1,S675=V675,S1200=V1200), "YES", "NO")</f>
        <v>NO</v>
      </c>
      <c r="AB675" t="str">
        <f>IF(AND(S675&gt;1,S1200&gt;1,S675&lt;V675,S1200&lt;V1200), "YES", "NO")</f>
        <v>NO</v>
      </c>
      <c r="AC675" t="str">
        <f t="shared" si="8"/>
        <v>YES</v>
      </c>
      <c r="AD675" t="str">
        <f t="shared" si="9"/>
        <v>NO</v>
      </c>
      <c r="AE675" t="str">
        <f t="shared" si="10"/>
        <v>YES</v>
      </c>
      <c r="AF675" t="str">
        <f t="shared" si="11"/>
        <v>NO</v>
      </c>
    </row>
    <row r="676" spans="1:32" ht="15" x14ac:dyDescent="0.35">
      <c r="A676" s="5" t="s">
        <v>694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>LEFT($A676,FIND("_",$A676)-1)</f>
        <v>DynaMoth</v>
      </c>
      <c r="P676" s="13" t="str">
        <f>IF($O676="ACS", "True Search", IF($O676="Arja", "Evolutionary Search", IF($O676="AVATAR", "True Pattern", IF($O676="CapGen", "Search Like Pattern", IF($O676="Cardumen", "True Semantic", IF($O676="DynaMoth", "True Semantic", IF($O676="FixMiner", "True Pattern", IF($O676="GenProg-A", "Evolutionary Search", IF($O676="Hercules", "Learning Pattern", IF($O676="Jaid", "True Semantic",
IF($O676="Kali-A", "True Search", IF($O676="kPAR", "True Pattern", IF($O676="Nopol", "True Semantic", IF($O676="RSRepair-A", "Evolutionary Search", IF($O676="SequenceR", "Deep Learning", IF($O676="SimFix", "Search Like Pattern", IF($O676="SketchFix", "True Pattern", IF($O676="SOFix", "True Pattern", IF($O676="ssFix", "Search Like Pattern", IF($O676="TBar", "True Pattern", ""))))))))))))))))))))</f>
        <v>True Semantic</v>
      </c>
      <c r="Q676" s="13" t="str">
        <f>IF(NOT(ISERR(SEARCH("*_Buggy",$A676))), "Buggy", IF(NOT(ISERR(SEARCH("*_Fixed",$A676))), "Fixed", IF(NOT(ISERR(SEARCH("*_Repaired",$A676))), "Repaired", "")))</f>
        <v>Fixed</v>
      </c>
      <c r="R676" s="13" t="s">
        <v>1669</v>
      </c>
      <c r="S676" s="25">
        <v>1</v>
      </c>
      <c r="T676" s="25">
        <v>1</v>
      </c>
      <c r="U676" s="25">
        <v>1</v>
      </c>
      <c r="V676" s="13">
        <v>1</v>
      </c>
      <c r="W676" s="13" t="str">
        <f>MID(A676, SEARCH("_", A676) +1, SEARCH("_", A676, SEARCH("_", A676) +1) - SEARCH("_", A676) -1)</f>
        <v>Math-41</v>
      </c>
      <c r="Y676" s="1" t="str">
        <f t="shared" si="6"/>
        <v>NO</v>
      </c>
      <c r="Z676" s="1" t="str">
        <f t="shared" si="7"/>
        <v>NO</v>
      </c>
      <c r="AA676" t="str">
        <f>IF(AND(S676&gt;1,S1201&gt;1,S676=V676,S1201=V1201), "YES", "NO")</f>
        <v>NO</v>
      </c>
      <c r="AB676" t="str">
        <f>IF(AND(S676&gt;1,S1201&gt;1,S676&lt;V676,S1201&lt;V1201), "YES", "NO")</f>
        <v>NO</v>
      </c>
      <c r="AC676" t="str">
        <f t="shared" si="8"/>
        <v>NO</v>
      </c>
      <c r="AD676" t="str">
        <f t="shared" si="9"/>
        <v>NO</v>
      </c>
      <c r="AE676" t="str">
        <f t="shared" si="10"/>
        <v>NO</v>
      </c>
      <c r="AF676" t="str">
        <f t="shared" si="11"/>
        <v>NO</v>
      </c>
    </row>
    <row r="677" spans="1:32" ht="15" x14ac:dyDescent="0.35">
      <c r="A677" s="7" t="s">
        <v>594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>LEFT($A677,FIND("_",$A677)-1)</f>
        <v>DynaMoth</v>
      </c>
      <c r="P677" s="13" t="str">
        <f>IF($O677="ACS", "True Search", IF($O677="Arja", "Evolutionary Search", IF($O677="AVATAR", "True Pattern", IF($O677="CapGen", "Search Like Pattern", IF($O677="Cardumen", "True Semantic", IF($O677="DynaMoth", "True Semantic", IF($O677="FixMiner", "True Pattern", IF($O677="GenProg-A", "Evolutionary Search", IF($O677="Hercules", "Learning Pattern", IF($O677="Jaid", "True Semantic",
IF($O677="Kali-A", "True Search", IF($O677="kPAR", "True Pattern", IF($O677="Nopol", "True Semantic", IF($O677="RSRepair-A", "Evolutionary Search", IF($O677="SequenceR", "Deep Learning", IF($O677="SimFix", "Search Like Pattern", IF($O677="SketchFix", "True Pattern", IF($O677="SOFix", "True Pattern", IF($O677="ssFix", "Search Like Pattern", IF($O677="TBar", "True Pattern", ""))))))))))))))))))))</f>
        <v>True Semantic</v>
      </c>
      <c r="Q677" s="13" t="str">
        <f>IF(NOT(ISERR(SEARCH("*_Buggy",$A677))), "Buggy", IF(NOT(ISERR(SEARCH("*_Fixed",$A677))), "Fixed", IF(NOT(ISERR(SEARCH("*_Repaired",$A677))), "Repaired", "")))</f>
        <v>Fixed</v>
      </c>
      <c r="R677" s="13" t="s">
        <v>1669</v>
      </c>
      <c r="S677" s="25">
        <v>4</v>
      </c>
      <c r="T677" s="25">
        <v>4</v>
      </c>
      <c r="U677" s="25">
        <v>4</v>
      </c>
      <c r="V677" s="13">
        <v>4</v>
      </c>
      <c r="W677" s="13" t="str">
        <f>MID(A677, SEARCH("_", A677) +1, SEARCH("_", A677, SEARCH("_", A677) +1) - SEARCH("_", A677) -1)</f>
        <v>Math-49</v>
      </c>
      <c r="Y677" s="1" t="str">
        <f t="shared" si="6"/>
        <v>YES</v>
      </c>
      <c r="Z677" s="1" t="str">
        <f t="shared" si="7"/>
        <v>NO</v>
      </c>
      <c r="AA677" t="str">
        <f>IF(AND(S677&gt;1,S1202&gt;1,S677=V677,S1202=V1202), "YES", "NO")</f>
        <v>NO</v>
      </c>
      <c r="AB677" t="str">
        <f>IF(AND(S677&gt;1,S1202&gt;1,S677&lt;V677,S1202&lt;V1202), "YES", "NO")</f>
        <v>NO</v>
      </c>
      <c r="AC677" t="str">
        <f t="shared" si="8"/>
        <v>NO</v>
      </c>
      <c r="AD677" t="str">
        <f t="shared" si="9"/>
        <v>NO</v>
      </c>
      <c r="AE677" t="str">
        <f t="shared" si="10"/>
        <v>NO</v>
      </c>
      <c r="AF677" t="str">
        <f t="shared" si="11"/>
        <v>YES</v>
      </c>
    </row>
    <row r="678" spans="1:32" ht="15" x14ac:dyDescent="0.35">
      <c r="A678" s="5" t="s">
        <v>714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>LEFT($A678,FIND("_",$A678)-1)</f>
        <v>DynaMoth</v>
      </c>
      <c r="P678" s="13" t="str">
        <f>IF($O678="ACS", "True Search", IF($O678="Arja", "Evolutionary Search", IF($O678="AVATAR", "True Pattern", IF($O678="CapGen", "Search Like Pattern", IF($O678="Cardumen", "True Semantic", IF($O678="DynaMoth", "True Semantic", IF($O678="FixMiner", "True Pattern", IF($O678="GenProg-A", "Evolutionary Search", IF($O678="Hercules", "Learning Pattern", IF($O678="Jaid", "True Semantic",
IF($O678="Kali-A", "True Search", IF($O678="kPAR", "True Pattern", IF($O678="Nopol", "True Semantic", IF($O678="RSRepair-A", "Evolutionary Search", IF($O678="SequenceR", "Deep Learning", IF($O678="SimFix", "Search Like Pattern", IF($O678="SketchFix", "True Pattern", IF($O678="SOFix", "True Pattern", IF($O678="ssFix", "Search Like Pattern", IF($O678="TBar", "True Pattern", ""))))))))))))))))))))</f>
        <v>True Semantic</v>
      </c>
      <c r="Q678" s="13" t="str">
        <f>IF(NOT(ISERR(SEARCH("*_Buggy",$A678))), "Buggy", IF(NOT(ISERR(SEARCH("*_Fixed",$A678))), "Fixed", IF(NOT(ISERR(SEARCH("*_Repaired",$A678))), "Repaired", "")))</f>
        <v>Fixed</v>
      </c>
      <c r="R678" s="13" t="s">
        <v>1668</v>
      </c>
      <c r="S678" s="25">
        <v>1</v>
      </c>
      <c r="T678" s="25">
        <v>0</v>
      </c>
      <c r="U678" s="13">
        <v>4</v>
      </c>
      <c r="V678" s="13">
        <v>4</v>
      </c>
      <c r="W678" s="13" t="str">
        <f>MID(A678, SEARCH("_", A678) +1, SEARCH("_", A678, SEARCH("_", A678) +1) - SEARCH("_", A678) -1)</f>
        <v>Math-50</v>
      </c>
      <c r="Y678" s="1" t="str">
        <f t="shared" ref="Y678:Y741" si="12">IF(AND(S678&gt;1,S678=V678), "YES", "NO")</f>
        <v>NO</v>
      </c>
      <c r="Z678" s="1" t="str">
        <f t="shared" ref="Z678:Z741" si="13">IF(AND(S678&gt;1,S678&lt;V678), "YES", "NO")</f>
        <v>NO</v>
      </c>
      <c r="AA678" t="str">
        <f>IF(AND(S678&gt;1,S1203&gt;1,S678=V678,S1203=V1203), "YES", "NO")</f>
        <v>NO</v>
      </c>
      <c r="AB678" t="str">
        <f>IF(AND(S678&gt;1,S1203&gt;1,S678&lt;V678,S1203&lt;V1203), "YES", "NO")</f>
        <v>NO</v>
      </c>
      <c r="AC678" t="str">
        <f t="shared" ref="AC678:AC741" si="14">IF(AND($S678=1,$S1203=1,$S678=$V678,$S1203=$V1203), "YES", "NO")</f>
        <v>NO</v>
      </c>
      <c r="AD678" t="str">
        <f t="shared" ref="AD678:AD741" si="15">IF(AND($S678=1,$S1203=1,$S678&lt;$V678,$S1203&lt;$V1203), "YES", "NO")</f>
        <v>YES</v>
      </c>
      <c r="AE678" t="str">
        <f t="shared" ref="AE678:AE741" si="16">IF(AND($V678=1,$V1203=1), "YES", "NO")</f>
        <v>NO</v>
      </c>
      <c r="AF678" t="str">
        <f t="shared" ref="AF678:AF741" si="17">IF(AND($V678&gt;1,$V1203&gt;1), "YES", "NO")</f>
        <v>YES</v>
      </c>
    </row>
    <row r="679" spans="1:32" ht="15" x14ac:dyDescent="0.35">
      <c r="A679" s="5" t="s">
        <v>106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>LEFT($A679,FIND("_",$A679)-1)</f>
        <v>DynaMoth</v>
      </c>
      <c r="P679" s="13" t="str">
        <f>IF($O679="ACS", "True Search", IF($O679="Arja", "Evolutionary Search", IF($O679="AVATAR", "True Pattern", IF($O679="CapGen", "Search Like Pattern", IF($O679="Cardumen", "True Semantic", IF($O679="DynaMoth", "True Semantic", IF($O679="FixMiner", "True Pattern", IF($O679="GenProg-A", "Evolutionary Search", IF($O679="Hercules", "Learning Pattern", IF($O679="Jaid", "True Semantic",
IF($O679="Kali-A", "True Search", IF($O679="kPAR", "True Pattern", IF($O679="Nopol", "True Semantic", IF($O679="RSRepair-A", "Evolutionary Search", IF($O679="SequenceR", "Deep Learning", IF($O679="SimFix", "Search Like Pattern", IF($O679="SketchFix", "True Pattern", IF($O679="SOFix", "True Pattern", IF($O679="ssFix", "Search Like Pattern", IF($O679="TBar", "True Pattern", ""))))))))))))))))))))</f>
        <v>True Semantic</v>
      </c>
      <c r="Q679" s="13" t="str">
        <f>IF(NOT(ISERR(SEARCH("*_Buggy",$A679))), "Buggy", IF(NOT(ISERR(SEARCH("*_Fixed",$A679))), "Fixed", IF(NOT(ISERR(SEARCH("*_Repaired",$A679))), "Repaired", "")))</f>
        <v>Fixed</v>
      </c>
      <c r="R679" s="13" t="s">
        <v>1669</v>
      </c>
      <c r="S679" s="25">
        <v>2</v>
      </c>
      <c r="T679" s="25">
        <v>2</v>
      </c>
      <c r="U679" s="25">
        <v>2</v>
      </c>
      <c r="V679" s="13">
        <v>2</v>
      </c>
      <c r="W679" s="13" t="str">
        <f>MID(A679, SEARCH("_", A679) +1, SEARCH("_", A679, SEARCH("_", A679) +1) - SEARCH("_", A679) -1)</f>
        <v>Math-8</v>
      </c>
      <c r="Y679" s="1" t="str">
        <f t="shared" si="12"/>
        <v>YES</v>
      </c>
      <c r="Z679" s="1" t="str">
        <f t="shared" si="13"/>
        <v>NO</v>
      </c>
      <c r="AA679" t="str">
        <f>IF(AND(S679&gt;1,S1204&gt;1,S679=V679,S1204=V1204), "YES", "NO")</f>
        <v>NO</v>
      </c>
      <c r="AB679" t="str">
        <f>IF(AND(S679&gt;1,S1204&gt;1,S679&lt;V679,S1204&lt;V1204), "YES", "NO")</f>
        <v>NO</v>
      </c>
      <c r="AC679" t="str">
        <f t="shared" si="14"/>
        <v>NO</v>
      </c>
      <c r="AD679" t="str">
        <f t="shared" si="15"/>
        <v>NO</v>
      </c>
      <c r="AE679" t="str">
        <f t="shared" si="16"/>
        <v>NO</v>
      </c>
      <c r="AF679" t="str">
        <f t="shared" si="17"/>
        <v>YES</v>
      </c>
    </row>
    <row r="680" spans="1:32" ht="15" x14ac:dyDescent="0.35">
      <c r="A680" s="7" t="s">
        <v>1246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>LEFT($A680,FIND("_",$A680)-1)</f>
        <v>DynaMoth</v>
      </c>
      <c r="P680" s="13" t="str">
        <f>IF($O680="ACS", "True Search", IF($O680="Arja", "Evolutionary Search", IF($O680="AVATAR", "True Pattern", IF($O680="CapGen", "Search Like Pattern", IF($O680="Cardumen", "True Semantic", IF($O680="DynaMoth", "True Semantic", IF($O680="FixMiner", "True Pattern", IF($O680="GenProg-A", "Evolutionary Search", IF($O680="Hercules", "Learning Pattern", IF($O680="Jaid", "True Semantic",
IF($O680="Kali-A", "True Search", IF($O680="kPAR", "True Pattern", IF($O680="Nopol", "True Semantic", IF($O680="RSRepair-A", "Evolutionary Search", IF($O680="SequenceR", "Deep Learning", IF($O680="SimFix", "Search Like Pattern", IF($O680="SketchFix", "True Pattern", IF($O680="SOFix", "True Pattern", IF($O680="ssFix", "Search Like Pattern", IF($O680="TBar", "True Pattern", ""))))))))))))))))))))</f>
        <v>True Semantic</v>
      </c>
      <c r="Q680" s="13" t="str">
        <f>IF(NOT(ISERR(SEARCH("*_Buggy",$A680))), "Buggy", IF(NOT(ISERR(SEARCH("*_Fixed",$A680))), "Fixed", IF(NOT(ISERR(SEARCH("*_Repaired",$A680))), "Repaired", "")))</f>
        <v>Fixed</v>
      </c>
      <c r="R680" s="13" t="s">
        <v>1669</v>
      </c>
      <c r="S680" s="25">
        <v>1</v>
      </c>
      <c r="T680" s="25">
        <v>1</v>
      </c>
      <c r="U680" s="25">
        <v>1</v>
      </c>
      <c r="V680" s="13">
        <v>1</v>
      </c>
      <c r="W680" s="13" t="str">
        <f>MID(A680, SEARCH("_", A680) +1, SEARCH("_", A680, SEARCH("_", A680) +1) - SEARCH("_", A680) -1)</f>
        <v>Math-80</v>
      </c>
      <c r="Y680" s="1" t="str">
        <f t="shared" si="12"/>
        <v>NO</v>
      </c>
      <c r="Z680" s="1" t="str">
        <f t="shared" si="13"/>
        <v>NO</v>
      </c>
      <c r="AA680" t="str">
        <f>IF(AND(S680&gt;1,S1205&gt;1,S680=V680,S1205=V1205), "YES", "NO")</f>
        <v>NO</v>
      </c>
      <c r="AB680" t="str">
        <f>IF(AND(S680&gt;1,S1205&gt;1,S680&lt;V680,S1205&lt;V1205), "YES", "NO")</f>
        <v>NO</v>
      </c>
      <c r="AC680" t="str">
        <f t="shared" si="14"/>
        <v>NO</v>
      </c>
      <c r="AD680" t="str">
        <f t="shared" si="15"/>
        <v>NO</v>
      </c>
      <c r="AE680" t="str">
        <f t="shared" si="16"/>
        <v>NO</v>
      </c>
      <c r="AF680" t="str">
        <f t="shared" si="17"/>
        <v>NO</v>
      </c>
    </row>
    <row r="681" spans="1:32" ht="15" x14ac:dyDescent="0.35">
      <c r="A681" s="5" t="s">
        <v>879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>LEFT($A681,FIND("_",$A681)-1)</f>
        <v>DynaMoth</v>
      </c>
      <c r="P681" s="13" t="str">
        <f>IF($O681="ACS", "True Search", IF($O681="Arja", "Evolutionary Search", IF($O681="AVATAR", "True Pattern", IF($O681="CapGen", "Search Like Pattern", IF($O681="Cardumen", "True Semantic", IF($O681="DynaMoth", "True Semantic", IF($O681="FixMiner", "True Pattern", IF($O681="GenProg-A", "Evolutionary Search", IF($O681="Hercules", "Learning Pattern", IF($O681="Jaid", "True Semantic",
IF($O681="Kali-A", "True Search", IF($O681="kPAR", "True Pattern", IF($O681="Nopol", "True Semantic", IF($O681="RSRepair-A", "Evolutionary Search", IF($O681="SequenceR", "Deep Learning", IF($O681="SimFix", "Search Like Pattern", IF($O681="SketchFix", "True Pattern", IF($O681="SOFix", "True Pattern", IF($O681="ssFix", "Search Like Pattern", IF($O681="TBar", "True Pattern", ""))))))))))))))))))))</f>
        <v>True Semantic</v>
      </c>
      <c r="Q681" s="13" t="str">
        <f>IF(NOT(ISERR(SEARCH("*_Buggy",$A681))), "Buggy", IF(NOT(ISERR(SEARCH("*_Fixed",$A681))), "Fixed", IF(NOT(ISERR(SEARCH("*_Repaired",$A681))), "Repaired", "")))</f>
        <v>Fixed</v>
      </c>
      <c r="R681" s="13" t="s">
        <v>1669</v>
      </c>
      <c r="S681" s="25">
        <v>3</v>
      </c>
      <c r="T681" s="25">
        <v>4</v>
      </c>
      <c r="U681" s="25">
        <v>3</v>
      </c>
      <c r="V681" s="13">
        <v>4</v>
      </c>
      <c r="W681" s="13" t="str">
        <f>MID(A681, SEARCH("_", A681) +1, SEARCH("_", A681, SEARCH("_", A681) +1) - SEARCH("_", A681) -1)</f>
        <v>Math-81</v>
      </c>
      <c r="Y681" s="1" t="str">
        <f t="shared" si="12"/>
        <v>NO</v>
      </c>
      <c r="Z681" s="1" t="str">
        <f t="shared" si="13"/>
        <v>YES</v>
      </c>
      <c r="AA681" t="str">
        <f>IF(AND(S681&gt;1,S1206&gt;1,S681=V681,S1206=V1206), "YES", "NO")</f>
        <v>NO</v>
      </c>
      <c r="AB681" t="str">
        <f>IF(AND(S681&gt;1,S1206&gt;1,S681&lt;V681,S1206&lt;V1206), "YES", "NO")</f>
        <v>YES</v>
      </c>
      <c r="AC681" t="str">
        <f t="shared" si="14"/>
        <v>NO</v>
      </c>
      <c r="AD681" t="str">
        <f t="shared" si="15"/>
        <v>NO</v>
      </c>
      <c r="AE681" t="str">
        <f t="shared" si="16"/>
        <v>NO</v>
      </c>
      <c r="AF681" t="str">
        <f t="shared" si="17"/>
        <v>YES</v>
      </c>
    </row>
    <row r="682" spans="1:32" ht="15" x14ac:dyDescent="0.35">
      <c r="A682" s="7" t="s">
        <v>1019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>LEFT($A682,FIND("_",$A682)-1)</f>
        <v>DynaMoth</v>
      </c>
      <c r="P682" s="13" t="str">
        <f>IF($O682="ACS", "True Search", IF($O682="Arja", "Evolutionary Search", IF($O682="AVATAR", "True Pattern", IF($O682="CapGen", "Search Like Pattern", IF($O682="Cardumen", "True Semantic", IF($O682="DynaMoth", "True Semantic", IF($O682="FixMiner", "True Pattern", IF($O682="GenProg-A", "Evolutionary Search", IF($O682="Hercules", "Learning Pattern", IF($O682="Jaid", "True Semantic",
IF($O682="Kali-A", "True Search", IF($O682="kPAR", "True Pattern", IF($O682="Nopol", "True Semantic", IF($O682="RSRepair-A", "Evolutionary Search", IF($O682="SequenceR", "Deep Learning", IF($O682="SimFix", "Search Like Pattern", IF($O682="SketchFix", "True Pattern", IF($O682="SOFix", "True Pattern", IF($O682="ssFix", "Search Like Pattern", IF($O682="TBar", "True Pattern", ""))))))))))))))))))))</f>
        <v>True Semantic</v>
      </c>
      <c r="Q682" s="13" t="str">
        <f>IF(NOT(ISERR(SEARCH("*_Buggy",$A682))), "Buggy", IF(NOT(ISERR(SEARCH("*_Fixed",$A682))), "Fixed", IF(NOT(ISERR(SEARCH("*_Repaired",$A682))), "Repaired", "")))</f>
        <v>Fixed</v>
      </c>
      <c r="R682" s="13" t="s">
        <v>1669</v>
      </c>
      <c r="S682" s="25">
        <v>1</v>
      </c>
      <c r="T682" s="25">
        <v>1</v>
      </c>
      <c r="U682" s="25">
        <v>1</v>
      </c>
      <c r="V682" s="13">
        <v>1</v>
      </c>
      <c r="W682" s="13" t="str">
        <f>MID(A682, SEARCH("_", A682) +1, SEARCH("_", A682, SEARCH("_", A682) +1) - SEARCH("_", A682) -1)</f>
        <v>Math-82</v>
      </c>
      <c r="Y682" s="1" t="str">
        <f t="shared" si="12"/>
        <v>NO</v>
      </c>
      <c r="Z682" s="1" t="str">
        <f t="shared" si="13"/>
        <v>NO</v>
      </c>
      <c r="AA682" t="str">
        <f>IF(AND(S682&gt;1,S1207&gt;1,S682=V682,S1207=V1207), "YES", "NO")</f>
        <v>NO</v>
      </c>
      <c r="AB682" t="str">
        <f>IF(AND(S682&gt;1,S1207&gt;1,S682&lt;V682,S1207&lt;V1207), "YES", "NO")</f>
        <v>NO</v>
      </c>
      <c r="AC682" t="str">
        <f t="shared" si="14"/>
        <v>NO</v>
      </c>
      <c r="AD682" t="str">
        <f t="shared" si="15"/>
        <v>NO</v>
      </c>
      <c r="AE682" t="str">
        <f t="shared" si="16"/>
        <v>NO</v>
      </c>
      <c r="AF682" t="str">
        <f t="shared" si="17"/>
        <v>NO</v>
      </c>
    </row>
    <row r="683" spans="1:32" ht="15" x14ac:dyDescent="0.35">
      <c r="A683" s="7" t="s">
        <v>537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>LEFT($A683,FIND("_",$A683)-1)</f>
        <v>DynaMoth</v>
      </c>
      <c r="P683" s="13" t="str">
        <f>IF($O683="ACS", "True Search", IF($O683="Arja", "Evolutionary Search", IF($O683="AVATAR", "True Pattern", IF($O683="CapGen", "Search Like Pattern", IF($O683="Cardumen", "True Semantic", IF($O683="DynaMoth", "True Semantic", IF($O683="FixMiner", "True Pattern", IF($O683="GenProg-A", "Evolutionary Search", IF($O683="Hercules", "Learning Pattern", IF($O683="Jaid", "True Semantic",
IF($O683="Kali-A", "True Search", IF($O683="kPAR", "True Pattern", IF($O683="Nopol", "True Semantic", IF($O683="RSRepair-A", "Evolutionary Search", IF($O683="SequenceR", "Deep Learning", IF($O683="SimFix", "Search Like Pattern", IF($O683="SketchFix", "True Pattern", IF($O683="SOFix", "True Pattern", IF($O683="ssFix", "Search Like Pattern", IF($O683="TBar", "True Pattern", ""))))))))))))))))))))</f>
        <v>True Semantic</v>
      </c>
      <c r="Q683" s="13" t="str">
        <f>IF(NOT(ISERR(SEARCH("*_Buggy",$A683))), "Buggy", IF(NOT(ISERR(SEARCH("*_Fixed",$A683))), "Fixed", IF(NOT(ISERR(SEARCH("*_Repaired",$A683))), "Repaired", "")))</f>
        <v>Fixed</v>
      </c>
      <c r="R683" s="13" t="s">
        <v>1669</v>
      </c>
      <c r="S683" s="25">
        <v>1</v>
      </c>
      <c r="T683" s="25">
        <v>1</v>
      </c>
      <c r="U683" s="25">
        <v>1</v>
      </c>
      <c r="V683" s="13">
        <v>1</v>
      </c>
      <c r="W683" s="13" t="str">
        <f>MID(A683, SEARCH("_", A683) +1, SEARCH("_", A683, SEARCH("_", A683) +1) - SEARCH("_", A683) -1)</f>
        <v>Math-85</v>
      </c>
      <c r="Y683" s="1" t="str">
        <f t="shared" si="12"/>
        <v>NO</v>
      </c>
      <c r="Z683" s="1" t="str">
        <f t="shared" si="13"/>
        <v>NO</v>
      </c>
      <c r="AA683" t="str">
        <f>IF(AND(S683&gt;1,S1208&gt;1,S683=V683,S1208=V1208), "YES", "NO")</f>
        <v>NO</v>
      </c>
      <c r="AB683" t="str">
        <f>IF(AND(S683&gt;1,S1208&gt;1,S683&lt;V683,S1208&lt;V1208), "YES", "NO")</f>
        <v>NO</v>
      </c>
      <c r="AC683" t="str">
        <f t="shared" si="14"/>
        <v>NO</v>
      </c>
      <c r="AD683" t="str">
        <f t="shared" si="15"/>
        <v>NO</v>
      </c>
      <c r="AE683" t="str">
        <f t="shared" si="16"/>
        <v>NO</v>
      </c>
      <c r="AF683" t="str">
        <f t="shared" si="17"/>
        <v>NO</v>
      </c>
    </row>
    <row r="684" spans="1:32" ht="15" x14ac:dyDescent="0.35">
      <c r="A684" s="7" t="s">
        <v>1101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>LEFT($A684,FIND("_",$A684)-1)</f>
        <v>DynaMoth</v>
      </c>
      <c r="P684" s="13" t="str">
        <f>IF($O684="ACS", "True Search", IF($O684="Arja", "Evolutionary Search", IF($O684="AVATAR", "True Pattern", IF($O684="CapGen", "Search Like Pattern", IF($O684="Cardumen", "True Semantic", IF($O684="DynaMoth", "True Semantic", IF($O684="FixMiner", "True Pattern", IF($O684="GenProg-A", "Evolutionary Search", IF($O684="Hercules", "Learning Pattern", IF($O684="Jaid", "True Semantic",
IF($O684="Kali-A", "True Search", IF($O684="kPAR", "True Pattern", IF($O684="Nopol", "True Semantic", IF($O684="RSRepair-A", "Evolutionary Search", IF($O684="SequenceR", "Deep Learning", IF($O684="SimFix", "Search Like Pattern", IF($O684="SketchFix", "True Pattern", IF($O684="SOFix", "True Pattern", IF($O684="ssFix", "Search Like Pattern", IF($O684="TBar", "True Pattern", ""))))))))))))))))))))</f>
        <v>True Semantic</v>
      </c>
      <c r="Q684" s="13" t="str">
        <f>IF(NOT(ISERR(SEARCH("*_Buggy",$A684))), "Buggy", IF(NOT(ISERR(SEARCH("*_Fixed",$A684))), "Fixed", IF(NOT(ISERR(SEARCH("*_Repaired",$A684))), "Repaired", "")))</f>
        <v>Fixed</v>
      </c>
      <c r="R684" s="13" t="s">
        <v>1669</v>
      </c>
      <c r="S684" s="25">
        <v>4</v>
      </c>
      <c r="T684" s="25">
        <v>5</v>
      </c>
      <c r="U684" s="25">
        <v>6</v>
      </c>
      <c r="V684" s="13">
        <v>11</v>
      </c>
      <c r="W684" s="13" t="str">
        <f>MID(A684, SEARCH("_", A684) +1, SEARCH("_", A684, SEARCH("_", A684) +1) - SEARCH("_", A684) -1)</f>
        <v>Math-88</v>
      </c>
      <c r="Y684" s="1" t="str">
        <f t="shared" si="12"/>
        <v>NO</v>
      </c>
      <c r="Z684" s="1" t="str">
        <f t="shared" si="13"/>
        <v>YES</v>
      </c>
      <c r="AA684" t="str">
        <f>IF(AND(S684&gt;1,S1209&gt;1,S684=V684,S1209=V1209), "YES", "NO")</f>
        <v>NO</v>
      </c>
      <c r="AB684" t="str">
        <f>IF(AND(S684&gt;1,S1209&gt;1,S684&lt;V684,S1209&lt;V1209), "YES", "NO")</f>
        <v>NO</v>
      </c>
      <c r="AC684" t="str">
        <f t="shared" si="14"/>
        <v>NO</v>
      </c>
      <c r="AD684" t="str">
        <f t="shared" si="15"/>
        <v>NO</v>
      </c>
      <c r="AE684" t="str">
        <f t="shared" si="16"/>
        <v>NO</v>
      </c>
      <c r="AF684" t="str">
        <f t="shared" si="17"/>
        <v>YES</v>
      </c>
    </row>
    <row r="685" spans="1:32" ht="15" x14ac:dyDescent="0.35">
      <c r="A685" s="7" t="s">
        <v>1058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>LEFT($A685,FIND("_",$A685)-1)</f>
        <v>DynaMoth</v>
      </c>
      <c r="P685" s="13" t="str">
        <f>IF($O685="ACS", "True Search", IF($O685="Arja", "Evolutionary Search", IF($O685="AVATAR", "True Pattern", IF($O685="CapGen", "Search Like Pattern", IF($O685="Cardumen", "True Semantic", IF($O685="DynaMoth", "True Semantic", IF($O685="FixMiner", "True Pattern", IF($O685="GenProg-A", "Evolutionary Search", IF($O685="Hercules", "Learning Pattern", IF($O685="Jaid", "True Semantic",
IF($O685="Kali-A", "True Search", IF($O685="kPAR", "True Pattern", IF($O685="Nopol", "True Semantic", IF($O685="RSRepair-A", "Evolutionary Search", IF($O685="SequenceR", "Deep Learning", IF($O685="SimFix", "Search Like Pattern", IF($O685="SketchFix", "True Pattern", IF($O685="SOFix", "True Pattern", IF($O685="ssFix", "Search Like Pattern", IF($O685="TBar", "True Pattern", ""))))))))))))))))))))</f>
        <v>True Semantic</v>
      </c>
      <c r="Q685" s="13" t="str">
        <f>IF(NOT(ISERR(SEARCH("*_Buggy",$A685))), "Buggy", IF(NOT(ISERR(SEARCH("*_Fixed",$A685))), "Fixed", IF(NOT(ISERR(SEARCH("*_Repaired",$A685))), "Repaired", "")))</f>
        <v>Fixed</v>
      </c>
      <c r="R685" s="13" t="s">
        <v>1669</v>
      </c>
      <c r="S685" s="25">
        <v>5</v>
      </c>
      <c r="T685" s="25">
        <v>16</v>
      </c>
      <c r="U685" s="25">
        <v>2</v>
      </c>
      <c r="V685" s="13">
        <v>16</v>
      </c>
      <c r="W685" s="13" t="str">
        <f>MID(A685, SEARCH("_", A685) +1, SEARCH("_", A685, SEARCH("_", A685) +1) - SEARCH("_", A685) -1)</f>
        <v>Math-97</v>
      </c>
      <c r="Y685" s="1" t="str">
        <f t="shared" si="12"/>
        <v>NO</v>
      </c>
      <c r="Z685" s="1" t="str">
        <f t="shared" si="13"/>
        <v>YES</v>
      </c>
      <c r="AA685" t="str">
        <f>IF(AND(S685&gt;1,S1210&gt;1,S685=V685,S1210=V1210), "YES", "NO")</f>
        <v>NO</v>
      </c>
      <c r="AB685" t="str">
        <f>IF(AND(S685&gt;1,S1210&gt;1,S685&lt;V685,S1210&lt;V1210), "YES", "NO")</f>
        <v>YES</v>
      </c>
      <c r="AC685" t="str">
        <f t="shared" si="14"/>
        <v>NO</v>
      </c>
      <c r="AD685" t="str">
        <f t="shared" si="15"/>
        <v>NO</v>
      </c>
      <c r="AE685" t="str">
        <f t="shared" si="16"/>
        <v>NO</v>
      </c>
      <c r="AF685" t="str">
        <f t="shared" si="17"/>
        <v>YES</v>
      </c>
    </row>
    <row r="686" spans="1:32" ht="15" x14ac:dyDescent="0.35">
      <c r="A686" s="7" t="s">
        <v>543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>LEFT($A686,FIND("_",$A686)-1)</f>
        <v>FixMiner</v>
      </c>
      <c r="P686" s="13" t="str">
        <f>IF($O686="ACS", "True Search", IF($O686="Arja", "Evolutionary Search", IF($O686="AVATAR", "True Pattern", IF($O686="CapGen", "Search Like Pattern", IF($O686="Cardumen", "True Semantic", IF($O686="DynaMoth", "True Semantic", IF($O686="FixMiner", "True Pattern", IF($O686="GenProg-A", "Evolutionary Search", IF($O686="Hercules", "Learning Pattern", IF($O686="Jaid", "True Semantic",
IF($O686="Kali-A", "True Search", IF($O686="kPAR", "True Pattern", IF($O686="Nopol", "True Semantic", IF($O686="RSRepair-A", "Evolutionary Search", IF($O686="SequenceR", "Deep Learning", IF($O686="SimFix", "Search Like Pattern", IF($O686="SketchFix", "True Pattern", IF($O686="SOFix", "True Pattern", IF($O686="ssFix", "Search Like Pattern", IF($O686="TBar", "True Pattern", ""))))))))))))))))))))</f>
        <v>True Pattern</v>
      </c>
      <c r="Q686" s="13" t="str">
        <f>IF(NOT(ISERR(SEARCH("*_Buggy",$A686))), "Buggy", IF(NOT(ISERR(SEARCH("*_Fixed",$A686))), "Fixed", IF(NOT(ISERR(SEARCH("*_Repaired",$A686))), "Repaired", "")))</f>
        <v>Fixed</v>
      </c>
      <c r="R686" s="13" t="s">
        <v>1668</v>
      </c>
      <c r="S686" s="25">
        <v>1</v>
      </c>
      <c r="T686" s="25">
        <v>1</v>
      </c>
      <c r="U686" s="25">
        <v>1</v>
      </c>
      <c r="V686" s="13">
        <v>1</v>
      </c>
      <c r="W686" s="13" t="str">
        <f>MID(A686, SEARCH("_", A686) +1, SEARCH("_", A686, SEARCH("_", A686) +1) - SEARCH("_", A686) -1)</f>
        <v>Chart-1</v>
      </c>
      <c r="Y686" s="1" t="str">
        <f t="shared" si="12"/>
        <v>NO</v>
      </c>
      <c r="Z686" s="1" t="str">
        <f t="shared" si="13"/>
        <v>NO</v>
      </c>
      <c r="AA686" t="str">
        <f>IF(AND(S686&gt;1,S1211&gt;1,S686=V686,S1211=V1211), "YES", "NO")</f>
        <v>NO</v>
      </c>
      <c r="AB686" t="str">
        <f>IF(AND(S686&gt;1,S1211&gt;1,S686&lt;V686,S1211&lt;V1211), "YES", "NO")</f>
        <v>NO</v>
      </c>
      <c r="AC686" t="str">
        <f t="shared" si="14"/>
        <v>YES</v>
      </c>
      <c r="AD686" t="str">
        <f t="shared" si="15"/>
        <v>NO</v>
      </c>
      <c r="AE686" t="str">
        <f t="shared" si="16"/>
        <v>YES</v>
      </c>
      <c r="AF686" t="str">
        <f t="shared" si="17"/>
        <v>NO</v>
      </c>
    </row>
    <row r="687" spans="1:32" ht="15" x14ac:dyDescent="0.35">
      <c r="A687" s="7" t="s">
        <v>716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>LEFT($A687,FIND("_",$A687)-1)</f>
        <v>FixMiner</v>
      </c>
      <c r="P687" s="13" t="str">
        <f>IF($O687="ACS", "True Search", IF($O687="Arja", "Evolutionary Search", IF($O687="AVATAR", "True Pattern", IF($O687="CapGen", "Search Like Pattern", IF($O687="Cardumen", "True Semantic", IF($O687="DynaMoth", "True Semantic", IF($O687="FixMiner", "True Pattern", IF($O687="GenProg-A", "Evolutionary Search", IF($O687="Hercules", "Learning Pattern", IF($O687="Jaid", "True Semantic",
IF($O687="Kali-A", "True Search", IF($O687="kPAR", "True Pattern", IF($O687="Nopol", "True Semantic", IF($O687="RSRepair-A", "Evolutionary Search", IF($O687="SequenceR", "Deep Learning", IF($O687="SimFix", "Search Like Pattern", IF($O687="SketchFix", "True Pattern", IF($O687="SOFix", "True Pattern", IF($O687="ssFix", "Search Like Pattern", IF($O687="TBar", "True Pattern", ""))))))))))))))))))))</f>
        <v>True Pattern</v>
      </c>
      <c r="Q687" s="13" t="str">
        <f>IF(NOT(ISERR(SEARCH("*_Buggy",$A687))), "Buggy", IF(NOT(ISERR(SEARCH("*_Fixed",$A687))), "Fixed", IF(NOT(ISERR(SEARCH("*_Repaired",$A687))), "Repaired", "")))</f>
        <v>Fixed</v>
      </c>
      <c r="R687" s="13" t="s">
        <v>1668</v>
      </c>
      <c r="S687" s="25">
        <v>1</v>
      </c>
      <c r="T687" s="25">
        <v>1</v>
      </c>
      <c r="U687" s="25">
        <v>1</v>
      </c>
      <c r="V687" s="13">
        <v>1</v>
      </c>
      <c r="W687" s="13" t="str">
        <f>MID(A687, SEARCH("_", A687) +1, SEARCH("_", A687, SEARCH("_", A687) +1) - SEARCH("_", A687) -1)</f>
        <v>Chart-11</v>
      </c>
      <c r="Y687" s="1" t="str">
        <f t="shared" si="12"/>
        <v>NO</v>
      </c>
      <c r="Z687" s="1" t="str">
        <f t="shared" si="13"/>
        <v>NO</v>
      </c>
      <c r="AA687" t="str">
        <f>IF(AND(S687&gt;1,S1212&gt;1,S687=V687,S1212=V1212), "YES", "NO")</f>
        <v>NO</v>
      </c>
      <c r="AB687" t="str">
        <f>IF(AND(S687&gt;1,S1212&gt;1,S687&lt;V687,S1212&lt;V1212), "YES", "NO")</f>
        <v>NO</v>
      </c>
      <c r="AC687" t="str">
        <f t="shared" si="14"/>
        <v>YES</v>
      </c>
      <c r="AD687" t="str">
        <f t="shared" si="15"/>
        <v>NO</v>
      </c>
      <c r="AE687" t="str">
        <f t="shared" si="16"/>
        <v>YES</v>
      </c>
      <c r="AF687" t="str">
        <f t="shared" si="17"/>
        <v>NO</v>
      </c>
    </row>
    <row r="688" spans="1:32" ht="15" x14ac:dyDescent="0.35">
      <c r="A688" s="7" t="s">
        <v>768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>LEFT($A688,FIND("_",$A688)-1)</f>
        <v>FixMiner</v>
      </c>
      <c r="P688" s="13" t="str">
        <f>IF($O688="ACS", "True Search", IF($O688="Arja", "Evolutionary Search", IF($O688="AVATAR", "True Pattern", IF($O688="CapGen", "Search Like Pattern", IF($O688="Cardumen", "True Semantic", IF($O688="DynaMoth", "True Semantic", IF($O688="FixMiner", "True Pattern", IF($O688="GenProg-A", "Evolutionary Search", IF($O688="Hercules", "Learning Pattern", IF($O688="Jaid", "True Semantic",
IF($O688="Kali-A", "True Search", IF($O688="kPAR", "True Pattern", IF($O688="Nopol", "True Semantic", IF($O688="RSRepair-A", "Evolutionary Search", IF($O688="SequenceR", "Deep Learning", IF($O688="SimFix", "Search Like Pattern", IF($O688="SketchFix", "True Pattern", IF($O688="SOFix", "True Pattern", IF($O688="ssFix", "Search Like Pattern", IF($O688="TBar", "True Pattern", ""))))))))))))))))))))</f>
        <v>True Pattern</v>
      </c>
      <c r="Q688" s="13" t="str">
        <f>IF(NOT(ISERR(SEARCH("*_Buggy",$A688))), "Buggy", IF(NOT(ISERR(SEARCH("*_Fixed",$A688))), "Fixed", IF(NOT(ISERR(SEARCH("*_Repaired",$A688))), "Repaired", "")))</f>
        <v>Fixed</v>
      </c>
      <c r="R688" s="13" t="s">
        <v>1668</v>
      </c>
      <c r="S688" s="25">
        <v>1</v>
      </c>
      <c r="T688" s="25">
        <v>1</v>
      </c>
      <c r="U688" s="25">
        <v>1</v>
      </c>
      <c r="V688" s="13">
        <v>1</v>
      </c>
      <c r="W688" s="13" t="str">
        <f>MID(A688, SEARCH("_", A688) +1, SEARCH("_", A688, SEARCH("_", A688) +1) - SEARCH("_", A688) -1)</f>
        <v>Chart-12</v>
      </c>
      <c r="Y688" s="1" t="str">
        <f t="shared" si="12"/>
        <v>NO</v>
      </c>
      <c r="Z688" s="1" t="str">
        <f t="shared" si="13"/>
        <v>NO</v>
      </c>
      <c r="AA688" t="str">
        <f>IF(AND(S688&gt;1,S1213&gt;1,S688=V688,S1213=V1213), "YES", "NO")</f>
        <v>NO</v>
      </c>
      <c r="AB688" t="str">
        <f>IF(AND(S688&gt;1,S1213&gt;1,S688&lt;V688,S1213&lt;V1213), "YES", "NO")</f>
        <v>NO</v>
      </c>
      <c r="AC688" t="str">
        <f t="shared" si="14"/>
        <v>YES</v>
      </c>
      <c r="AD688" t="str">
        <f t="shared" si="15"/>
        <v>NO</v>
      </c>
      <c r="AE688" t="str">
        <f t="shared" si="16"/>
        <v>YES</v>
      </c>
      <c r="AF688" t="str">
        <f t="shared" si="17"/>
        <v>NO</v>
      </c>
    </row>
    <row r="689" spans="1:32" ht="15" x14ac:dyDescent="0.35">
      <c r="A689" s="5" t="s">
        <v>324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>LEFT($A689,FIND("_",$A689)-1)</f>
        <v>FixMiner</v>
      </c>
      <c r="P689" s="13" t="str">
        <f>IF($O689="ACS", "True Search", IF($O689="Arja", "Evolutionary Search", IF($O689="AVATAR", "True Pattern", IF($O689="CapGen", "Search Like Pattern", IF($O689="Cardumen", "True Semantic", IF($O689="DynaMoth", "True Semantic", IF($O689="FixMiner", "True Pattern", IF($O689="GenProg-A", "Evolutionary Search", IF($O689="Hercules", "Learning Pattern", IF($O689="Jaid", "True Semantic",
IF($O689="Kali-A", "True Search", IF($O689="kPAR", "True Pattern", IF($O689="Nopol", "True Semantic", IF($O689="RSRepair-A", "Evolutionary Search", IF($O689="SequenceR", "Deep Learning", IF($O689="SimFix", "Search Like Pattern", IF($O689="SketchFix", "True Pattern", IF($O689="SOFix", "True Pattern", IF($O689="ssFix", "Search Like Pattern", IF($O689="TBar", "True Pattern", ""))))))))))))))))))))</f>
        <v>True Pattern</v>
      </c>
      <c r="Q689" s="13" t="str">
        <f>IF(NOT(ISERR(SEARCH("*_Buggy",$A689))), "Buggy", IF(NOT(ISERR(SEARCH("*_Fixed",$A689))), "Fixed", IF(NOT(ISERR(SEARCH("*_Repaired",$A689))), "Repaired", "")))</f>
        <v>Fixed</v>
      </c>
      <c r="R689" s="13" t="s">
        <v>1669</v>
      </c>
      <c r="S689" s="25">
        <v>1</v>
      </c>
      <c r="T689" s="25">
        <v>1</v>
      </c>
      <c r="U689" s="25">
        <v>1</v>
      </c>
      <c r="V689" s="13">
        <v>1</v>
      </c>
      <c r="W689" s="13" t="str">
        <f>MID(A689, SEARCH("_", A689) +1, SEARCH("_", A689, SEARCH("_", A689) +1) - SEARCH("_", A689) -1)</f>
        <v>Chart-13</v>
      </c>
      <c r="Y689" s="1" t="str">
        <f t="shared" si="12"/>
        <v>NO</v>
      </c>
      <c r="Z689" s="1" t="str">
        <f t="shared" si="13"/>
        <v>NO</v>
      </c>
      <c r="AA689" t="str">
        <f>IF(AND(S689&gt;1,S1214&gt;1,S689=V689,S1214=V1214), "YES", "NO")</f>
        <v>NO</v>
      </c>
      <c r="AB689" t="str">
        <f>IF(AND(S689&gt;1,S1214&gt;1,S689&lt;V689,S1214&lt;V1214), "YES", "NO")</f>
        <v>NO</v>
      </c>
      <c r="AC689" t="str">
        <f t="shared" si="14"/>
        <v>YES</v>
      </c>
      <c r="AD689" t="str">
        <f t="shared" si="15"/>
        <v>NO</v>
      </c>
      <c r="AE689" t="str">
        <f t="shared" si="16"/>
        <v>YES</v>
      </c>
      <c r="AF689" t="str">
        <f t="shared" si="17"/>
        <v>NO</v>
      </c>
    </row>
    <row r="690" spans="1:32" ht="15" x14ac:dyDescent="0.35">
      <c r="A690" s="7" t="s">
        <v>248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>LEFT($A690,FIND("_",$A690)-1)</f>
        <v>FixMiner</v>
      </c>
      <c r="P690" s="13" t="str">
        <f>IF($O690="ACS", "True Search", IF($O690="Arja", "Evolutionary Search", IF($O690="AVATAR", "True Pattern", IF($O690="CapGen", "Search Like Pattern", IF($O690="Cardumen", "True Semantic", IF($O690="DynaMoth", "True Semantic", IF($O690="FixMiner", "True Pattern", IF($O690="GenProg-A", "Evolutionary Search", IF($O690="Hercules", "Learning Pattern", IF($O690="Jaid", "True Semantic",
IF($O690="Kali-A", "True Search", IF($O690="kPAR", "True Pattern", IF($O690="Nopol", "True Semantic", IF($O690="RSRepair-A", "Evolutionary Search", IF($O690="SequenceR", "Deep Learning", IF($O690="SimFix", "Search Like Pattern", IF($O690="SketchFix", "True Pattern", IF($O690="SOFix", "True Pattern", IF($O690="ssFix", "Search Like Pattern", IF($O690="TBar", "True Pattern", ""))))))))))))))))))))</f>
        <v>True Pattern</v>
      </c>
      <c r="Q690" s="13" t="str">
        <f>IF(NOT(ISERR(SEARCH("*_Buggy",$A690))), "Buggy", IF(NOT(ISERR(SEARCH("*_Fixed",$A690))), "Fixed", IF(NOT(ISERR(SEARCH("*_Repaired",$A690))), "Repaired", "")))</f>
        <v>Fixed</v>
      </c>
      <c r="R690" s="13" t="s">
        <v>1669</v>
      </c>
      <c r="S690" s="25">
        <v>1</v>
      </c>
      <c r="T690" s="25">
        <v>2</v>
      </c>
      <c r="U690" s="25">
        <v>1</v>
      </c>
      <c r="V690" s="13">
        <v>2</v>
      </c>
      <c r="W690" s="13" t="str">
        <f>MID(A690, SEARCH("_", A690) +1, SEARCH("_", A690, SEARCH("_", A690) +1) - SEARCH("_", A690) -1)</f>
        <v>Chart-17</v>
      </c>
      <c r="Y690" s="1" t="str">
        <f t="shared" si="12"/>
        <v>NO</v>
      </c>
      <c r="Z690" s="1" t="str">
        <f t="shared" si="13"/>
        <v>NO</v>
      </c>
      <c r="AA690" t="str">
        <f>IF(AND(S690&gt;1,S1215&gt;1,S690=V690,S1215=V1215), "YES", "NO")</f>
        <v>NO</v>
      </c>
      <c r="AB690" t="str">
        <f>IF(AND(S690&gt;1,S1215&gt;1,S690&lt;V690,S1215&lt;V1215), "YES", "NO")</f>
        <v>NO</v>
      </c>
      <c r="AC690" t="str">
        <f t="shared" si="14"/>
        <v>NO</v>
      </c>
      <c r="AD690" t="str">
        <f t="shared" si="15"/>
        <v>NO</v>
      </c>
      <c r="AE690" t="str">
        <f t="shared" si="16"/>
        <v>NO</v>
      </c>
      <c r="AF690" t="str">
        <f t="shared" si="17"/>
        <v>NO</v>
      </c>
    </row>
    <row r="691" spans="1:32" ht="15" x14ac:dyDescent="0.35">
      <c r="A691" s="5" t="s">
        <v>987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>LEFT($A691,FIND("_",$A691)-1)</f>
        <v>FixMiner</v>
      </c>
      <c r="P691" s="13" t="str">
        <f>IF($O691="ACS", "True Search", IF($O691="Arja", "Evolutionary Search", IF($O691="AVATAR", "True Pattern", IF($O691="CapGen", "Search Like Pattern", IF($O691="Cardumen", "True Semantic", IF($O691="DynaMoth", "True Semantic", IF($O691="FixMiner", "True Pattern", IF($O691="GenProg-A", "Evolutionary Search", IF($O691="Hercules", "Learning Pattern", IF($O691="Jaid", "True Semantic",
IF($O691="Kali-A", "True Search", IF($O691="kPAR", "True Pattern", IF($O691="Nopol", "True Semantic", IF($O691="RSRepair-A", "Evolutionary Search", IF($O691="SequenceR", "Deep Learning", IF($O691="SimFix", "Search Like Pattern", IF($O691="SketchFix", "True Pattern", IF($O691="SOFix", "True Pattern", IF($O691="ssFix", "Search Like Pattern", IF($O691="TBar", "True Pattern", ""))))))))))))))))))))</f>
        <v>True Pattern</v>
      </c>
      <c r="Q691" s="13" t="str">
        <f>IF(NOT(ISERR(SEARCH("*_Buggy",$A691))), "Buggy", IF(NOT(ISERR(SEARCH("*_Fixed",$A691))), "Fixed", IF(NOT(ISERR(SEARCH("*_Repaired",$A691))), "Repaired", "")))</f>
        <v>Fixed</v>
      </c>
      <c r="R691" s="13" t="s">
        <v>1668</v>
      </c>
      <c r="S691" s="25">
        <v>2</v>
      </c>
      <c r="T691" s="13">
        <v>6</v>
      </c>
      <c r="U691" s="25">
        <v>0</v>
      </c>
      <c r="V691" s="13">
        <v>6</v>
      </c>
      <c r="W691" s="13" t="str">
        <f>MID(A691, SEARCH("_", A691) +1, SEARCH("_", A691, SEARCH("_", A691) +1) - SEARCH("_", A691) -1)</f>
        <v>Chart-19</v>
      </c>
      <c r="Y691" s="1" t="str">
        <f t="shared" si="12"/>
        <v>NO</v>
      </c>
      <c r="Z691" s="1" t="str">
        <f t="shared" si="13"/>
        <v>YES</v>
      </c>
      <c r="AA691" t="str">
        <f>IF(AND(S691&gt;1,S1216&gt;1,S691=V691,S1216=V1216), "YES", "NO")</f>
        <v>NO</v>
      </c>
      <c r="AB691" t="str">
        <f>IF(AND(S691&gt;1,S1216&gt;1,S691&lt;V691,S1216&lt;V1216), "YES", "NO")</f>
        <v>NO</v>
      </c>
      <c r="AC691" t="str">
        <f t="shared" si="14"/>
        <v>NO</v>
      </c>
      <c r="AD691" t="str">
        <f t="shared" si="15"/>
        <v>NO</v>
      </c>
      <c r="AE691" t="str">
        <f t="shared" si="16"/>
        <v>NO</v>
      </c>
      <c r="AF691" t="str">
        <f t="shared" si="17"/>
        <v>YES</v>
      </c>
    </row>
    <row r="692" spans="1:32" ht="15" x14ac:dyDescent="0.35">
      <c r="A692" s="7" t="s">
        <v>734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>LEFT($A692,FIND("_",$A692)-1)</f>
        <v>FixMiner</v>
      </c>
      <c r="P692" s="13" t="str">
        <f>IF($O692="ACS", "True Search", IF($O692="Arja", "Evolutionary Search", IF($O692="AVATAR", "True Pattern", IF($O692="CapGen", "Search Like Pattern", IF($O692="Cardumen", "True Semantic", IF($O692="DynaMoth", "True Semantic", IF($O692="FixMiner", "True Pattern", IF($O692="GenProg-A", "Evolutionary Search", IF($O692="Hercules", "Learning Pattern", IF($O692="Jaid", "True Semantic",
IF($O692="Kali-A", "True Search", IF($O692="kPAR", "True Pattern", IF($O692="Nopol", "True Semantic", IF($O692="RSRepair-A", "Evolutionary Search", IF($O692="SequenceR", "Deep Learning", IF($O692="SimFix", "Search Like Pattern", IF($O692="SketchFix", "True Pattern", IF($O692="SOFix", "True Pattern", IF($O692="ssFix", "Search Like Pattern", IF($O692="TBar", "True Pattern", ""))))))))))))))))))))</f>
        <v>True Pattern</v>
      </c>
      <c r="Q692" s="13" t="str">
        <f>IF(NOT(ISERR(SEARCH("*_Buggy",$A692))), "Buggy", IF(NOT(ISERR(SEARCH("*_Fixed",$A692))), "Fixed", IF(NOT(ISERR(SEARCH("*_Repaired",$A692))), "Repaired", "")))</f>
        <v>Fixed</v>
      </c>
      <c r="R692" s="13" t="s">
        <v>1668</v>
      </c>
      <c r="S692" s="25">
        <v>1</v>
      </c>
      <c r="T692" s="25">
        <v>1</v>
      </c>
      <c r="U692" s="25">
        <v>1</v>
      </c>
      <c r="V692" s="13">
        <v>1</v>
      </c>
      <c r="W692" s="13" t="str">
        <f>MID(A692, SEARCH("_", A692) +1, SEARCH("_", A692, SEARCH("_", A692) +1) - SEARCH("_", A692) -1)</f>
        <v>Chart-24</v>
      </c>
      <c r="Y692" s="1" t="str">
        <f t="shared" si="12"/>
        <v>NO</v>
      </c>
      <c r="Z692" s="1" t="str">
        <f t="shared" si="13"/>
        <v>NO</v>
      </c>
      <c r="AA692" t="str">
        <f>IF(AND(S692&gt;1,S1217&gt;1,S692=V692,S1217=V1217), "YES", "NO")</f>
        <v>NO</v>
      </c>
      <c r="AB692" t="str">
        <f>IF(AND(S692&gt;1,S1217&gt;1,S692&lt;V692,S1217&lt;V1217), "YES", "NO")</f>
        <v>NO</v>
      </c>
      <c r="AC692" t="str">
        <f t="shared" si="14"/>
        <v>YES</v>
      </c>
      <c r="AD692" t="str">
        <f t="shared" si="15"/>
        <v>NO</v>
      </c>
      <c r="AE692" t="str">
        <f t="shared" si="16"/>
        <v>YES</v>
      </c>
      <c r="AF692" t="str">
        <f t="shared" si="17"/>
        <v>NO</v>
      </c>
    </row>
    <row r="693" spans="1:32" ht="15" x14ac:dyDescent="0.35">
      <c r="A693" s="7" t="s">
        <v>436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>LEFT($A693,FIND("_",$A693)-1)</f>
        <v>FixMiner</v>
      </c>
      <c r="P693" s="13" t="str">
        <f>IF($O693="ACS", "True Search", IF($O693="Arja", "Evolutionary Search", IF($O693="AVATAR", "True Pattern", IF($O693="CapGen", "Search Like Pattern", IF($O693="Cardumen", "True Semantic", IF($O693="DynaMoth", "True Semantic", IF($O693="FixMiner", "True Pattern", IF($O693="GenProg-A", "Evolutionary Search", IF($O693="Hercules", "Learning Pattern", IF($O693="Jaid", "True Semantic",
IF($O693="Kali-A", "True Search", IF($O693="kPAR", "True Pattern", IF($O693="Nopol", "True Semantic", IF($O693="RSRepair-A", "Evolutionary Search", IF($O693="SequenceR", "Deep Learning", IF($O693="SimFix", "Search Like Pattern", IF($O693="SketchFix", "True Pattern", IF($O693="SOFix", "True Pattern", IF($O693="ssFix", "Search Like Pattern", IF($O693="TBar", "True Pattern", ""))))))))))))))))))))</f>
        <v>True Pattern</v>
      </c>
      <c r="Q693" s="13" t="str">
        <f>IF(NOT(ISERR(SEARCH("*_Buggy",$A693))), "Buggy", IF(NOT(ISERR(SEARCH("*_Fixed",$A693))), "Fixed", IF(NOT(ISERR(SEARCH("*_Repaired",$A693))), "Repaired", "")))</f>
        <v>Fixed</v>
      </c>
      <c r="R693" s="13" t="s">
        <v>1668</v>
      </c>
      <c r="S693" s="25">
        <v>2</v>
      </c>
      <c r="T693" s="13">
        <v>2</v>
      </c>
      <c r="U693" s="25">
        <v>0</v>
      </c>
      <c r="V693" s="13">
        <v>2</v>
      </c>
      <c r="W693" s="13" t="str">
        <f>MID(A693, SEARCH("_", A693) +1, SEARCH("_", A693, SEARCH("_", A693) +1) - SEARCH("_", A693) -1)</f>
        <v>Chart-26</v>
      </c>
      <c r="Y693" s="1" t="str">
        <f t="shared" si="12"/>
        <v>YES</v>
      </c>
      <c r="Z693" s="1" t="str">
        <f t="shared" si="13"/>
        <v>NO</v>
      </c>
      <c r="AA693" t="str">
        <f>IF(AND(S693&gt;1,S1218&gt;1,S693=V693,S1218=V1218), "YES", "NO")</f>
        <v>NO</v>
      </c>
      <c r="AB693" t="str">
        <f>IF(AND(S693&gt;1,S1218&gt;1,S693&lt;V693,S1218&lt;V1218), "YES", "NO")</f>
        <v>NO</v>
      </c>
      <c r="AC693" t="str">
        <f t="shared" si="14"/>
        <v>NO</v>
      </c>
      <c r="AD693" t="str">
        <f t="shared" si="15"/>
        <v>NO</v>
      </c>
      <c r="AE693" t="str">
        <f t="shared" si="16"/>
        <v>NO</v>
      </c>
      <c r="AF693" t="str">
        <f t="shared" si="17"/>
        <v>YES</v>
      </c>
    </row>
    <row r="694" spans="1:32" ht="15" x14ac:dyDescent="0.35">
      <c r="A694" s="7" t="s">
        <v>1176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>LEFT($A694,FIND("_",$A694)-1)</f>
        <v>FixMiner</v>
      </c>
      <c r="P694" s="13" t="str">
        <f>IF($O694="ACS", "True Search", IF($O694="Arja", "Evolutionary Search", IF($O694="AVATAR", "True Pattern", IF($O694="CapGen", "Search Like Pattern", IF($O694="Cardumen", "True Semantic", IF($O694="DynaMoth", "True Semantic", IF($O694="FixMiner", "True Pattern", IF($O694="GenProg-A", "Evolutionary Search", IF($O694="Hercules", "Learning Pattern", IF($O694="Jaid", "True Semantic",
IF($O694="Kali-A", "True Search", IF($O694="kPAR", "True Pattern", IF($O694="Nopol", "True Semantic", IF($O694="RSRepair-A", "Evolutionary Search", IF($O694="SequenceR", "Deep Learning", IF($O694="SimFix", "Search Like Pattern", IF($O694="SketchFix", "True Pattern", IF($O694="SOFix", "True Pattern", IF($O694="ssFix", "Search Like Pattern", IF($O694="TBar", "True Pattern", ""))))))))))))))))))))</f>
        <v>True Pattern</v>
      </c>
      <c r="Q694" s="13" t="str">
        <f>IF(NOT(ISERR(SEARCH("*_Buggy",$A694))), "Buggy", IF(NOT(ISERR(SEARCH("*_Fixed",$A694))), "Fixed", IF(NOT(ISERR(SEARCH("*_Repaired",$A694))), "Repaired", "")))</f>
        <v>Fixed</v>
      </c>
      <c r="R694" s="13" t="s">
        <v>1669</v>
      </c>
      <c r="S694" s="25">
        <v>1</v>
      </c>
      <c r="T694" s="13">
        <v>2</v>
      </c>
      <c r="U694" s="25">
        <v>0</v>
      </c>
      <c r="V694" s="13">
        <v>2</v>
      </c>
      <c r="W694" s="13" t="str">
        <f>MID(A694, SEARCH("_", A694) +1, SEARCH("_", A694, SEARCH("_", A694) +1) - SEARCH("_", A694) -1)</f>
        <v>Chart-3</v>
      </c>
      <c r="Y694" s="1" t="str">
        <f t="shared" si="12"/>
        <v>NO</v>
      </c>
      <c r="Z694" s="1" t="str">
        <f t="shared" si="13"/>
        <v>NO</v>
      </c>
      <c r="AA694" t="str">
        <f>IF(AND(S694&gt;1,S1219&gt;1,S694=V694,S1219=V1219), "YES", "NO")</f>
        <v>NO</v>
      </c>
      <c r="AB694" t="str">
        <f>IF(AND(S694&gt;1,S1219&gt;1,S694&lt;V694,S1219&lt;V1219), "YES", "NO")</f>
        <v>NO</v>
      </c>
      <c r="AC694" t="str">
        <f t="shared" si="14"/>
        <v>NO</v>
      </c>
      <c r="AD694" t="str">
        <f t="shared" si="15"/>
        <v>NO</v>
      </c>
      <c r="AE694" t="str">
        <f t="shared" si="16"/>
        <v>NO</v>
      </c>
      <c r="AF694" t="str">
        <f t="shared" si="17"/>
        <v>NO</v>
      </c>
    </row>
    <row r="695" spans="1:32" ht="15" x14ac:dyDescent="0.35">
      <c r="A695" s="7" t="s">
        <v>245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>LEFT($A695,FIND("_",$A695)-1)</f>
        <v>FixMiner</v>
      </c>
      <c r="P695" s="13" t="str">
        <f>IF($O695="ACS", "True Search", IF($O695="Arja", "Evolutionary Search", IF($O695="AVATAR", "True Pattern", IF($O695="CapGen", "Search Like Pattern", IF($O695="Cardumen", "True Semantic", IF($O695="DynaMoth", "True Semantic", IF($O695="FixMiner", "True Pattern", IF($O695="GenProg-A", "Evolutionary Search", IF($O695="Hercules", "Learning Pattern", IF($O695="Jaid", "True Semantic",
IF($O695="Kali-A", "True Search", IF($O695="kPAR", "True Pattern", IF($O695="Nopol", "True Semantic", IF($O695="RSRepair-A", "Evolutionary Search", IF($O695="SequenceR", "Deep Learning", IF($O695="SimFix", "Search Like Pattern", IF($O695="SketchFix", "True Pattern", IF($O695="SOFix", "True Pattern", IF($O695="ssFix", "Search Like Pattern", IF($O695="TBar", "True Pattern", ""))))))))))))))))))))</f>
        <v>True Pattern</v>
      </c>
      <c r="Q695" s="13" t="str">
        <f>IF(NOT(ISERR(SEARCH("*_Buggy",$A695))), "Buggy", IF(NOT(ISERR(SEARCH("*_Fixed",$A695))), "Fixed", IF(NOT(ISERR(SEARCH("*_Repaired",$A695))), "Repaired", "")))</f>
        <v>Fixed</v>
      </c>
      <c r="R695" s="13" t="s">
        <v>1668</v>
      </c>
      <c r="S695" s="25">
        <v>2</v>
      </c>
      <c r="T695" s="13">
        <v>2</v>
      </c>
      <c r="U695" s="25">
        <v>0</v>
      </c>
      <c r="V695" s="13">
        <v>2</v>
      </c>
      <c r="W695" s="13" t="str">
        <f>MID(A695, SEARCH("_", A695) +1, SEARCH("_", A695, SEARCH("_", A695) +1) - SEARCH("_", A695) -1)</f>
        <v>Chart-4</v>
      </c>
      <c r="Y695" s="1" t="str">
        <f t="shared" si="12"/>
        <v>YES</v>
      </c>
      <c r="Z695" s="1" t="str">
        <f t="shared" si="13"/>
        <v>NO</v>
      </c>
      <c r="AA695" t="str">
        <f>IF(AND(S695&gt;1,S1220&gt;1,S695=V695,S1220=V1220), "YES", "NO")</f>
        <v>NO</v>
      </c>
      <c r="AB695" t="str">
        <f>IF(AND(S695&gt;1,S1220&gt;1,S695&lt;V695,S1220&lt;V1220), "YES", "NO")</f>
        <v>NO</v>
      </c>
      <c r="AC695" t="str">
        <f t="shared" si="14"/>
        <v>NO</v>
      </c>
      <c r="AD695" t="str">
        <f t="shared" si="15"/>
        <v>NO</v>
      </c>
      <c r="AE695" t="str">
        <f t="shared" si="16"/>
        <v>NO</v>
      </c>
      <c r="AF695" t="str">
        <f t="shared" si="17"/>
        <v>YES</v>
      </c>
    </row>
    <row r="696" spans="1:32" ht="15" x14ac:dyDescent="0.35">
      <c r="A696" s="5" t="s">
        <v>677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>LEFT($A696,FIND("_",$A696)-1)</f>
        <v>FixMiner</v>
      </c>
      <c r="P696" s="13" t="str">
        <f>IF($O696="ACS", "True Search", IF($O696="Arja", "Evolutionary Search", IF($O696="AVATAR", "True Pattern", IF($O696="CapGen", "Search Like Pattern", IF($O696="Cardumen", "True Semantic", IF($O696="DynaMoth", "True Semantic", IF($O696="FixMiner", "True Pattern", IF($O696="GenProg-A", "Evolutionary Search", IF($O696="Hercules", "Learning Pattern", IF($O696="Jaid", "True Semantic",
IF($O696="Kali-A", "True Search", IF($O696="kPAR", "True Pattern", IF($O696="Nopol", "True Semantic", IF($O696="RSRepair-A", "Evolutionary Search", IF($O696="SequenceR", "Deep Learning", IF($O696="SimFix", "Search Like Pattern", IF($O696="SketchFix", "True Pattern", IF($O696="SOFix", "True Pattern", IF($O696="ssFix", "Search Like Pattern", IF($O696="TBar", "True Pattern", ""))))))))))))))))))))</f>
        <v>True Pattern</v>
      </c>
      <c r="Q696" s="13" t="str">
        <f>IF(NOT(ISERR(SEARCH("*_Buggy",$A696))), "Buggy", IF(NOT(ISERR(SEARCH("*_Fixed",$A696))), "Fixed", IF(NOT(ISERR(SEARCH("*_Repaired",$A696))), "Repaired", "")))</f>
        <v>Fixed</v>
      </c>
      <c r="R696" s="13" t="s">
        <v>1669</v>
      </c>
      <c r="S696" s="25">
        <v>2</v>
      </c>
      <c r="T696" s="25">
        <v>2</v>
      </c>
      <c r="U696" s="25">
        <v>2</v>
      </c>
      <c r="V696" s="13">
        <v>2</v>
      </c>
      <c r="W696" s="13" t="str">
        <f>MID(A696, SEARCH("_", A696) +1, SEARCH("_", A696, SEARCH("_", A696) +1) - SEARCH("_", A696) -1)</f>
        <v>Chart-7</v>
      </c>
      <c r="Y696" s="1" t="str">
        <f t="shared" si="12"/>
        <v>YES</v>
      </c>
      <c r="Z696" s="1" t="str">
        <f t="shared" si="13"/>
        <v>NO</v>
      </c>
      <c r="AA696" t="str">
        <f>IF(AND(S696&gt;1,S1221&gt;1,S696=V696,S1221=V1221), "YES", "NO")</f>
        <v>NO</v>
      </c>
      <c r="AB696" t="str">
        <f>IF(AND(S696&gt;1,S1221&gt;1,S696&lt;V696,S1221&lt;V1221), "YES", "NO")</f>
        <v>NO</v>
      </c>
      <c r="AC696" t="str">
        <f t="shared" si="14"/>
        <v>NO</v>
      </c>
      <c r="AD696" t="str">
        <f t="shared" si="15"/>
        <v>NO</v>
      </c>
      <c r="AE696" t="str">
        <f t="shared" si="16"/>
        <v>NO</v>
      </c>
      <c r="AF696" t="str">
        <f t="shared" si="17"/>
        <v>NO</v>
      </c>
    </row>
    <row r="697" spans="1:32" ht="15" x14ac:dyDescent="0.35">
      <c r="A697" s="5" t="s">
        <v>425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>LEFT($A697,FIND("_",$A697)-1)</f>
        <v>FixMiner</v>
      </c>
      <c r="P697" s="13" t="str">
        <f>IF($O697="ACS", "True Search", IF($O697="Arja", "Evolutionary Search", IF($O697="AVATAR", "True Pattern", IF($O697="CapGen", "Search Like Pattern", IF($O697="Cardumen", "True Semantic", IF($O697="DynaMoth", "True Semantic", IF($O697="FixMiner", "True Pattern", IF($O697="GenProg-A", "Evolutionary Search", IF($O697="Hercules", "Learning Pattern", IF($O697="Jaid", "True Semantic",
IF($O697="Kali-A", "True Search", IF($O697="kPAR", "True Pattern", IF($O697="Nopol", "True Semantic", IF($O697="RSRepair-A", "Evolutionary Search", IF($O697="SequenceR", "Deep Learning", IF($O697="SimFix", "Search Like Pattern", IF($O697="SketchFix", "True Pattern", IF($O697="SOFix", "True Pattern", IF($O697="ssFix", "Search Like Pattern", IF($O697="TBar", "True Pattern", ""))))))))))))))))))))</f>
        <v>True Pattern</v>
      </c>
      <c r="Q697" s="13" t="str">
        <f>IF(NOT(ISERR(SEARCH("*_Buggy",$A697))), "Buggy", IF(NOT(ISERR(SEARCH("*_Fixed",$A697))), "Fixed", IF(NOT(ISERR(SEARCH("*_Repaired",$A697))), "Repaired", "")))</f>
        <v>Fixed</v>
      </c>
      <c r="R697" s="13" t="s">
        <v>1668</v>
      </c>
      <c r="S697" s="25">
        <v>1</v>
      </c>
      <c r="T697" s="25">
        <v>1</v>
      </c>
      <c r="U697" s="25">
        <v>1</v>
      </c>
      <c r="V697" s="13">
        <v>1</v>
      </c>
      <c r="W697" s="13" t="str">
        <f>MID(A697, SEARCH("_", A697) +1, SEARCH("_", A697, SEARCH("_", A697) +1) - SEARCH("_", A697) -1)</f>
        <v>Closure-10</v>
      </c>
      <c r="Y697" s="1" t="str">
        <f t="shared" si="12"/>
        <v>NO</v>
      </c>
      <c r="Z697" s="1" t="str">
        <f t="shared" si="13"/>
        <v>NO</v>
      </c>
      <c r="AA697" t="str">
        <f>IF(AND(S697&gt;1,S1222&gt;1,S697=V697,S1222=V1222), "YES", "NO")</f>
        <v>NO</v>
      </c>
      <c r="AB697" t="str">
        <f>IF(AND(S697&gt;1,S1222&gt;1,S697&lt;V697,S1222&lt;V1222), "YES", "NO")</f>
        <v>NO</v>
      </c>
      <c r="AC697" t="str">
        <f t="shared" si="14"/>
        <v>YES</v>
      </c>
      <c r="AD697" t="str">
        <f t="shared" si="15"/>
        <v>NO</v>
      </c>
      <c r="AE697" t="str">
        <f t="shared" si="16"/>
        <v>YES</v>
      </c>
      <c r="AF697" t="str">
        <f t="shared" si="17"/>
        <v>NO</v>
      </c>
    </row>
    <row r="698" spans="1:32" ht="15" x14ac:dyDescent="0.35">
      <c r="A698" s="7" t="s">
        <v>499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>LEFT($A698,FIND("_",$A698)-1)</f>
        <v>FixMiner</v>
      </c>
      <c r="P698" s="13" t="str">
        <f>IF($O698="ACS", "True Search", IF($O698="Arja", "Evolutionary Search", IF($O698="AVATAR", "True Pattern", IF($O698="CapGen", "Search Like Pattern", IF($O698="Cardumen", "True Semantic", IF($O698="DynaMoth", "True Semantic", IF($O698="FixMiner", "True Pattern", IF($O698="GenProg-A", "Evolutionary Search", IF($O698="Hercules", "Learning Pattern", IF($O698="Jaid", "True Semantic",
IF($O698="Kali-A", "True Search", IF($O698="kPAR", "True Pattern", IF($O698="Nopol", "True Semantic", IF($O698="RSRepair-A", "Evolutionary Search", IF($O698="SequenceR", "Deep Learning", IF($O698="SimFix", "Search Like Pattern", IF($O698="SketchFix", "True Pattern", IF($O698="SOFix", "True Pattern", IF($O698="ssFix", "Search Like Pattern", IF($O698="TBar", "True Pattern", ""))))))))))))))))))))</f>
        <v>True Pattern</v>
      </c>
      <c r="Q698" s="13" t="str">
        <f>IF(NOT(ISERR(SEARCH("*_Buggy",$A698))), "Buggy", IF(NOT(ISERR(SEARCH("*_Fixed",$A698))), "Fixed", IF(NOT(ISERR(SEARCH("*_Repaired",$A698))), "Repaired", "")))</f>
        <v>Fixed</v>
      </c>
      <c r="R698" s="13" t="s">
        <v>1669</v>
      </c>
      <c r="S698" s="25">
        <v>2</v>
      </c>
      <c r="T698" s="25">
        <v>0</v>
      </c>
      <c r="U698" s="13">
        <v>11</v>
      </c>
      <c r="V698" s="13">
        <v>11</v>
      </c>
      <c r="W698" s="13" t="str">
        <f>MID(A698, SEARCH("_", A698) +1, SEARCH("_", A698, SEARCH("_", A698) +1) - SEARCH("_", A698) -1)</f>
        <v>Closure-115</v>
      </c>
      <c r="Y698" s="1" t="str">
        <f t="shared" si="12"/>
        <v>NO</v>
      </c>
      <c r="Z698" s="1" t="str">
        <f t="shared" si="13"/>
        <v>YES</v>
      </c>
      <c r="AA698" t="str">
        <f>IF(AND(S698&gt;1,S1223&gt;1,S698=V698,S1223=V1223), "YES", "NO")</f>
        <v>NO</v>
      </c>
      <c r="AB698" t="str">
        <f>IF(AND(S698&gt;1,S1223&gt;1,S698&lt;V698,S1223&lt;V1223), "YES", "NO")</f>
        <v>NO</v>
      </c>
      <c r="AC698" t="str">
        <f t="shared" si="14"/>
        <v>NO</v>
      </c>
      <c r="AD698" t="str">
        <f t="shared" si="15"/>
        <v>NO</v>
      </c>
      <c r="AE698" t="str">
        <f t="shared" si="16"/>
        <v>NO</v>
      </c>
      <c r="AF698" t="str">
        <f t="shared" si="17"/>
        <v>NO</v>
      </c>
    </row>
    <row r="699" spans="1:32" ht="15" x14ac:dyDescent="0.35">
      <c r="A699" s="5" t="s">
        <v>149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>LEFT($A699,FIND("_",$A699)-1)</f>
        <v>FixMiner</v>
      </c>
      <c r="P699" s="13" t="str">
        <f>IF($O699="ACS", "True Search", IF($O699="Arja", "Evolutionary Search", IF($O699="AVATAR", "True Pattern", IF($O699="CapGen", "Search Like Pattern", IF($O699="Cardumen", "True Semantic", IF($O699="DynaMoth", "True Semantic", IF($O699="FixMiner", "True Pattern", IF($O699="GenProg-A", "Evolutionary Search", IF($O699="Hercules", "Learning Pattern", IF($O699="Jaid", "True Semantic",
IF($O699="Kali-A", "True Search", IF($O699="kPAR", "True Pattern", IF($O699="Nopol", "True Semantic", IF($O699="RSRepair-A", "Evolutionary Search", IF($O699="SequenceR", "Deep Learning", IF($O699="SimFix", "Search Like Pattern", IF($O699="SketchFix", "True Pattern", IF($O699="SOFix", "True Pattern", IF($O699="ssFix", "Search Like Pattern", IF($O699="TBar", "True Pattern", ""))))))))))))))))))))</f>
        <v>True Pattern</v>
      </c>
      <c r="Q699" s="13" t="str">
        <f>IF(NOT(ISERR(SEARCH("*_Buggy",$A699))), "Buggy", IF(NOT(ISERR(SEARCH("*_Fixed",$A699))), "Fixed", IF(NOT(ISERR(SEARCH("*_Repaired",$A699))), "Repaired", "")))</f>
        <v>Fixed</v>
      </c>
      <c r="R699" s="13" t="s">
        <v>1668</v>
      </c>
      <c r="S699" s="25">
        <v>2</v>
      </c>
      <c r="T699" s="25">
        <v>1</v>
      </c>
      <c r="U699" s="25">
        <v>1</v>
      </c>
      <c r="V699" s="13">
        <v>2</v>
      </c>
      <c r="W699" s="13" t="str">
        <f>MID(A699, SEARCH("_", A699) +1, SEARCH("_", A699, SEARCH("_", A699) +1) - SEARCH("_", A699) -1)</f>
        <v>Closure-13</v>
      </c>
      <c r="Y699" s="1" t="str">
        <f t="shared" si="12"/>
        <v>YES</v>
      </c>
      <c r="Z699" s="1" t="str">
        <f t="shared" si="13"/>
        <v>NO</v>
      </c>
      <c r="AA699" t="str">
        <f>IF(AND(S699&gt;1,S1224&gt;1,S699=V699,S1224=V1224), "YES", "NO")</f>
        <v>NO</v>
      </c>
      <c r="AB699" t="str">
        <f>IF(AND(S699&gt;1,S1224&gt;1,S699&lt;V699,S1224&lt;V1224), "YES", "NO")</f>
        <v>NO</v>
      </c>
      <c r="AC699" t="str">
        <f t="shared" si="14"/>
        <v>NO</v>
      </c>
      <c r="AD699" t="str">
        <f t="shared" si="15"/>
        <v>NO</v>
      </c>
      <c r="AE699" t="str">
        <f t="shared" si="16"/>
        <v>NO</v>
      </c>
      <c r="AF699" t="str">
        <f t="shared" si="17"/>
        <v>YES</v>
      </c>
    </row>
    <row r="700" spans="1:32" ht="15" x14ac:dyDescent="0.35">
      <c r="A700" s="7" t="s">
        <v>1164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>LEFT($A700,FIND("_",$A700)-1)</f>
        <v>FixMiner</v>
      </c>
      <c r="P700" s="13" t="str">
        <f>IF($O700="ACS", "True Search", IF($O700="Arja", "Evolutionary Search", IF($O700="AVATAR", "True Pattern", IF($O700="CapGen", "Search Like Pattern", IF($O700="Cardumen", "True Semantic", IF($O700="DynaMoth", "True Semantic", IF($O700="FixMiner", "True Pattern", IF($O700="GenProg-A", "Evolutionary Search", IF($O700="Hercules", "Learning Pattern", IF($O700="Jaid", "True Semantic",
IF($O700="Kali-A", "True Search", IF($O700="kPAR", "True Pattern", IF($O700="Nopol", "True Semantic", IF($O700="RSRepair-A", "Evolutionary Search", IF($O700="SequenceR", "Deep Learning", IF($O700="SimFix", "Search Like Pattern", IF($O700="SketchFix", "True Pattern", IF($O700="SOFix", "True Pattern", IF($O700="ssFix", "Search Like Pattern", IF($O700="TBar", "True Pattern", ""))))))))))))))))))))</f>
        <v>True Pattern</v>
      </c>
      <c r="Q700" s="13" t="str">
        <f>IF(NOT(ISERR(SEARCH("*_Buggy",$A700))), "Buggy", IF(NOT(ISERR(SEARCH("*_Fixed",$A700))), "Fixed", IF(NOT(ISERR(SEARCH("*_Repaired",$A700))), "Repaired", "")))</f>
        <v>Fixed</v>
      </c>
      <c r="R700" s="13" t="s">
        <v>1669</v>
      </c>
      <c r="S700" s="25">
        <v>2</v>
      </c>
      <c r="T700" s="13">
        <v>2</v>
      </c>
      <c r="U700" s="25">
        <v>0</v>
      </c>
      <c r="V700" s="13">
        <v>2</v>
      </c>
      <c r="W700" s="13" t="str">
        <f>MID(A700, SEARCH("_", A700) +1, SEARCH("_", A700, SEARCH("_", A700) +1) - SEARCH("_", A700) -1)</f>
        <v>Closure-19</v>
      </c>
      <c r="Y700" s="1" t="str">
        <f t="shared" si="12"/>
        <v>YES</v>
      </c>
      <c r="Z700" s="1" t="str">
        <f t="shared" si="13"/>
        <v>NO</v>
      </c>
      <c r="AA700" t="str">
        <f>IF(AND(S700&gt;1,S1225&gt;1,S700=V700,S1225=V1225), "YES", "NO")</f>
        <v>NO</v>
      </c>
      <c r="AB700" t="str">
        <f>IF(AND(S700&gt;1,S1225&gt;1,S700&lt;V700,S1225&lt;V1225), "YES", "NO")</f>
        <v>NO</v>
      </c>
      <c r="AC700" t="str">
        <f t="shared" si="14"/>
        <v>NO</v>
      </c>
      <c r="AD700" t="str">
        <f t="shared" si="15"/>
        <v>NO</v>
      </c>
      <c r="AE700" t="str">
        <f t="shared" si="16"/>
        <v>NO</v>
      </c>
      <c r="AF700" t="str">
        <f t="shared" si="17"/>
        <v>YES</v>
      </c>
    </row>
    <row r="701" spans="1:32" ht="15" x14ac:dyDescent="0.35">
      <c r="A701" s="7" t="s">
        <v>573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>LEFT($A701,FIND("_",$A701)-1)</f>
        <v>FixMiner</v>
      </c>
      <c r="P701" s="13" t="str">
        <f>IF($O701="ACS", "True Search", IF($O701="Arja", "Evolutionary Search", IF($O701="AVATAR", "True Pattern", IF($O701="CapGen", "Search Like Pattern", IF($O701="Cardumen", "True Semantic", IF($O701="DynaMoth", "True Semantic", IF($O701="FixMiner", "True Pattern", IF($O701="GenProg-A", "Evolutionary Search", IF($O701="Hercules", "Learning Pattern", IF($O701="Jaid", "True Semantic",
IF($O701="Kali-A", "True Search", IF($O701="kPAR", "True Pattern", IF($O701="Nopol", "True Semantic", IF($O701="RSRepair-A", "Evolutionary Search", IF($O701="SequenceR", "Deep Learning", IF($O701="SimFix", "Search Like Pattern", IF($O701="SketchFix", "True Pattern", IF($O701="SOFix", "True Pattern", IF($O701="ssFix", "Search Like Pattern", IF($O701="TBar", "True Pattern", ""))))))))))))))))))))</f>
        <v>True Pattern</v>
      </c>
      <c r="Q701" s="13" t="str">
        <f>IF(NOT(ISERR(SEARCH("*_Buggy",$A701))), "Buggy", IF(NOT(ISERR(SEARCH("*_Fixed",$A701))), "Fixed", IF(NOT(ISERR(SEARCH("*_Repaired",$A701))), "Repaired", "")))</f>
        <v>Fixed</v>
      </c>
      <c r="R701" s="13" t="s">
        <v>1668</v>
      </c>
      <c r="S701" s="25">
        <v>3</v>
      </c>
      <c r="T701" s="13">
        <v>4</v>
      </c>
      <c r="U701" s="25">
        <v>0</v>
      </c>
      <c r="V701" s="13">
        <v>4</v>
      </c>
      <c r="W701" s="13" t="str">
        <f>MID(A701, SEARCH("_", A701) +1, SEARCH("_", A701, SEARCH("_", A701) +1) - SEARCH("_", A701) -1)</f>
        <v>Closure-2</v>
      </c>
      <c r="Y701" s="1" t="str">
        <f t="shared" si="12"/>
        <v>NO</v>
      </c>
      <c r="Z701" s="1" t="str">
        <f t="shared" si="13"/>
        <v>YES</v>
      </c>
      <c r="AA701" t="str">
        <f>IF(AND(S701&gt;1,S1226&gt;1,S701=V701,S1226=V1226), "YES", "NO")</f>
        <v>NO</v>
      </c>
      <c r="AB701" t="str">
        <f>IF(AND(S701&gt;1,S1226&gt;1,S701&lt;V701,S1226&lt;V1226), "YES", "NO")</f>
        <v>NO</v>
      </c>
      <c r="AC701" t="str">
        <f t="shared" si="14"/>
        <v>NO</v>
      </c>
      <c r="AD701" t="str">
        <f t="shared" si="15"/>
        <v>NO</v>
      </c>
      <c r="AE701" t="str">
        <f t="shared" si="16"/>
        <v>NO</v>
      </c>
      <c r="AF701" t="str">
        <f t="shared" si="17"/>
        <v>YES</v>
      </c>
    </row>
    <row r="702" spans="1:32" ht="15" x14ac:dyDescent="0.35">
      <c r="A702" s="7" t="s">
        <v>1028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>LEFT($A702,FIND("_",$A702)-1)</f>
        <v>FixMiner</v>
      </c>
      <c r="P702" s="13" t="str">
        <f>IF($O702="ACS", "True Search", IF($O702="Arja", "Evolutionary Search", IF($O702="AVATAR", "True Pattern", IF($O702="CapGen", "Search Like Pattern", IF($O702="Cardumen", "True Semantic", IF($O702="DynaMoth", "True Semantic", IF($O702="FixMiner", "True Pattern", IF($O702="GenProg-A", "Evolutionary Search", IF($O702="Hercules", "Learning Pattern", IF($O702="Jaid", "True Semantic",
IF($O702="Kali-A", "True Search", IF($O702="kPAR", "True Pattern", IF($O702="Nopol", "True Semantic", IF($O702="RSRepair-A", "Evolutionary Search", IF($O702="SequenceR", "Deep Learning", IF($O702="SimFix", "Search Like Pattern", IF($O702="SketchFix", "True Pattern", IF($O702="SOFix", "True Pattern", IF($O702="ssFix", "Search Like Pattern", IF($O702="TBar", "True Pattern", ""))))))))))))))))))))</f>
        <v>True Pattern</v>
      </c>
      <c r="Q702" s="13" t="str">
        <f>IF(NOT(ISERR(SEARCH("*_Buggy",$A702))), "Buggy", IF(NOT(ISERR(SEARCH("*_Fixed",$A702))), "Fixed", IF(NOT(ISERR(SEARCH("*_Repaired",$A702))), "Repaired", "")))</f>
        <v>Fixed</v>
      </c>
      <c r="R702" s="13" t="s">
        <v>1668</v>
      </c>
      <c r="S702" s="25">
        <v>1</v>
      </c>
      <c r="T702" s="25">
        <v>1</v>
      </c>
      <c r="U702" s="25">
        <v>1</v>
      </c>
      <c r="V702" s="13">
        <v>1</v>
      </c>
      <c r="W702" s="13" t="str">
        <f>MID(A702, SEARCH("_", A702) +1, SEARCH("_", A702, SEARCH("_", A702) +1) - SEARCH("_", A702) -1)</f>
        <v>Closure-38</v>
      </c>
      <c r="Y702" s="1" t="str">
        <f t="shared" si="12"/>
        <v>NO</v>
      </c>
      <c r="Z702" s="1" t="str">
        <f t="shared" si="13"/>
        <v>NO</v>
      </c>
      <c r="AA702" t="str">
        <f>IF(AND(S702&gt;1,S1227&gt;1,S702=V702,S1227=V1227), "YES", "NO")</f>
        <v>NO</v>
      </c>
      <c r="AB702" t="str">
        <f>IF(AND(S702&gt;1,S1227&gt;1,S702&lt;V702,S1227&lt;V1227), "YES", "NO")</f>
        <v>NO</v>
      </c>
      <c r="AC702" t="str">
        <f t="shared" si="14"/>
        <v>YES</v>
      </c>
      <c r="AD702" t="str">
        <f t="shared" si="15"/>
        <v>NO</v>
      </c>
      <c r="AE702" t="str">
        <f t="shared" si="16"/>
        <v>YES</v>
      </c>
      <c r="AF702" t="str">
        <f t="shared" si="17"/>
        <v>NO</v>
      </c>
    </row>
    <row r="703" spans="1:32" ht="15" x14ac:dyDescent="0.35">
      <c r="A703" s="7" t="s">
        <v>88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>LEFT($A703,FIND("_",$A703)-1)</f>
        <v>FixMiner</v>
      </c>
      <c r="P703" s="13" t="str">
        <f>IF($O703="ACS", "True Search", IF($O703="Arja", "Evolutionary Search", IF($O703="AVATAR", "True Pattern", IF($O703="CapGen", "Search Like Pattern", IF($O703="Cardumen", "True Semantic", IF($O703="DynaMoth", "True Semantic", IF($O703="FixMiner", "True Pattern", IF($O703="GenProg-A", "Evolutionary Search", IF($O703="Hercules", "Learning Pattern", IF($O703="Jaid", "True Semantic",
IF($O703="Kali-A", "True Search", IF($O703="kPAR", "True Pattern", IF($O703="Nopol", "True Semantic", IF($O703="RSRepair-A", "Evolutionary Search", IF($O703="SequenceR", "Deep Learning", IF($O703="SimFix", "Search Like Pattern", IF($O703="SketchFix", "True Pattern", IF($O703="SOFix", "True Pattern", IF($O703="ssFix", "Search Like Pattern", IF($O703="TBar", "True Pattern", ""))))))))))))))))))))</f>
        <v>True Pattern</v>
      </c>
      <c r="Q703" s="13" t="str">
        <f>IF(NOT(ISERR(SEARCH("*_Buggy",$A703))), "Buggy", IF(NOT(ISERR(SEARCH("*_Fixed",$A703))), "Fixed", IF(NOT(ISERR(SEARCH("*_Repaired",$A703))), "Repaired", "")))</f>
        <v>Fixed</v>
      </c>
      <c r="R703" s="13" t="s">
        <v>1668</v>
      </c>
      <c r="S703" s="25">
        <v>1</v>
      </c>
      <c r="T703" s="25">
        <v>0</v>
      </c>
      <c r="U703" s="13">
        <v>16</v>
      </c>
      <c r="V703" s="13">
        <v>16</v>
      </c>
      <c r="W703" s="13" t="str">
        <f>MID(A703, SEARCH("_", A703) +1, SEARCH("_", A703, SEARCH("_", A703) +1) - SEARCH("_", A703) -1)</f>
        <v>Closure-46</v>
      </c>
      <c r="Y703" s="1" t="str">
        <f t="shared" si="12"/>
        <v>NO</v>
      </c>
      <c r="Z703" s="1" t="str">
        <f t="shared" si="13"/>
        <v>NO</v>
      </c>
      <c r="AA703" t="str">
        <f>IF(AND(S703&gt;1,S1228&gt;1,S703=V703,S1228=V1228), "YES", "NO")</f>
        <v>NO</v>
      </c>
      <c r="AB703" t="str">
        <f>IF(AND(S703&gt;1,S1228&gt;1,S703&lt;V703,S1228&lt;V1228), "YES", "NO")</f>
        <v>NO</v>
      </c>
      <c r="AC703" t="str">
        <f t="shared" si="14"/>
        <v>NO</v>
      </c>
      <c r="AD703" t="str">
        <f t="shared" si="15"/>
        <v>YES</v>
      </c>
      <c r="AE703" t="str">
        <f t="shared" si="16"/>
        <v>NO</v>
      </c>
      <c r="AF703" t="str">
        <f t="shared" si="17"/>
        <v>YES</v>
      </c>
    </row>
    <row r="704" spans="1:32" ht="15" x14ac:dyDescent="0.35">
      <c r="A704" s="7" t="s">
        <v>186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>LEFT($A704,FIND("_",$A704)-1)</f>
        <v>FixMiner</v>
      </c>
      <c r="P704" s="13" t="str">
        <f>IF($O704="ACS", "True Search", IF($O704="Arja", "Evolutionary Search", IF($O704="AVATAR", "True Pattern", IF($O704="CapGen", "Search Like Pattern", IF($O704="Cardumen", "True Semantic", IF($O704="DynaMoth", "True Semantic", IF($O704="FixMiner", "True Pattern", IF($O704="GenProg-A", "Evolutionary Search", IF($O704="Hercules", "Learning Pattern", IF($O704="Jaid", "True Semantic",
IF($O704="Kali-A", "True Search", IF($O704="kPAR", "True Pattern", IF($O704="Nopol", "True Semantic", IF($O704="RSRepair-A", "Evolutionary Search", IF($O704="SequenceR", "Deep Learning", IF($O704="SimFix", "Search Like Pattern", IF($O704="SketchFix", "True Pattern", IF($O704="SOFix", "True Pattern", IF($O704="ssFix", "Search Like Pattern", IF($O704="TBar", "True Pattern", ""))))))))))))))))))))</f>
        <v>True Pattern</v>
      </c>
      <c r="Q704" s="13" t="str">
        <f>IF(NOT(ISERR(SEARCH("*_Buggy",$A704))), "Buggy", IF(NOT(ISERR(SEARCH("*_Fixed",$A704))), "Fixed", IF(NOT(ISERR(SEARCH("*_Repaired",$A704))), "Repaired", "")))</f>
        <v>Fixed</v>
      </c>
      <c r="R704" s="13" t="s">
        <v>1669</v>
      </c>
      <c r="S704" s="25">
        <v>1</v>
      </c>
      <c r="T704" s="25">
        <v>1</v>
      </c>
      <c r="U704" s="25">
        <v>1</v>
      </c>
      <c r="V704" s="13">
        <v>1</v>
      </c>
      <c r="W704" s="13" t="str">
        <f>MID(A704, SEARCH("_", A704) +1, SEARCH("_", A704, SEARCH("_", A704) +1) - SEARCH("_", A704) -1)</f>
        <v>Closure-62</v>
      </c>
      <c r="Y704" s="1" t="str">
        <f t="shared" si="12"/>
        <v>NO</v>
      </c>
      <c r="Z704" s="1" t="str">
        <f t="shared" si="13"/>
        <v>NO</v>
      </c>
      <c r="AA704" t="str">
        <f>IF(AND(S704&gt;1,S1229&gt;1,S704=V704,S1229=V1229), "YES", "NO")</f>
        <v>NO</v>
      </c>
      <c r="AB704" t="str">
        <f>IF(AND(S704&gt;1,S1229&gt;1,S704&lt;V704,S1229&lt;V1229), "YES", "NO")</f>
        <v>NO</v>
      </c>
      <c r="AC704" t="str">
        <f t="shared" si="14"/>
        <v>YES</v>
      </c>
      <c r="AD704" t="str">
        <f t="shared" si="15"/>
        <v>NO</v>
      </c>
      <c r="AE704" t="str">
        <f t="shared" si="16"/>
        <v>YES</v>
      </c>
      <c r="AF704" t="str">
        <f t="shared" si="17"/>
        <v>NO</v>
      </c>
    </row>
    <row r="705" spans="1:32" ht="15" x14ac:dyDescent="0.35">
      <c r="A705" s="7" t="s">
        <v>1081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>LEFT($A705,FIND("_",$A705)-1)</f>
        <v>FixMiner</v>
      </c>
      <c r="P705" s="13" t="str">
        <f>IF($O705="ACS", "True Search", IF($O705="Arja", "Evolutionary Search", IF($O705="AVATAR", "True Pattern", IF($O705="CapGen", "Search Like Pattern", IF($O705="Cardumen", "True Semantic", IF($O705="DynaMoth", "True Semantic", IF($O705="FixMiner", "True Pattern", IF($O705="GenProg-A", "Evolutionary Search", IF($O705="Hercules", "Learning Pattern", IF($O705="Jaid", "True Semantic",
IF($O705="Kali-A", "True Search", IF($O705="kPAR", "True Pattern", IF($O705="Nopol", "True Semantic", IF($O705="RSRepair-A", "Evolutionary Search", IF($O705="SequenceR", "Deep Learning", IF($O705="SimFix", "Search Like Pattern", IF($O705="SketchFix", "True Pattern", IF($O705="SOFix", "True Pattern", IF($O705="ssFix", "Search Like Pattern", IF($O705="TBar", "True Pattern", ""))))))))))))))))))))</f>
        <v>True Pattern</v>
      </c>
      <c r="Q705" s="13" t="str">
        <f>IF(NOT(ISERR(SEARCH("*_Buggy",$A705))), "Buggy", IF(NOT(ISERR(SEARCH("*_Fixed",$A705))), "Fixed", IF(NOT(ISERR(SEARCH("*_Repaired",$A705))), "Repaired", "")))</f>
        <v>Fixed</v>
      </c>
      <c r="R705" s="13" t="s">
        <v>1668</v>
      </c>
      <c r="S705" s="25">
        <v>1</v>
      </c>
      <c r="T705" s="25">
        <v>1</v>
      </c>
      <c r="U705" s="25">
        <v>1</v>
      </c>
      <c r="V705" s="13">
        <v>1</v>
      </c>
      <c r="W705" s="13" t="str">
        <f>MID(A705, SEARCH("_", A705) +1, SEARCH("_", A705, SEARCH("_", A705) +1) - SEARCH("_", A705) -1)</f>
        <v>Closure-73</v>
      </c>
      <c r="Y705" s="1" t="str">
        <f t="shared" si="12"/>
        <v>NO</v>
      </c>
      <c r="Z705" s="1" t="str">
        <f t="shared" si="13"/>
        <v>NO</v>
      </c>
      <c r="AA705" t="str">
        <f>IF(AND(S705&gt;1,S1230&gt;1,S705=V705,S1230=V1230), "YES", "NO")</f>
        <v>NO</v>
      </c>
      <c r="AB705" t="str">
        <f>IF(AND(S705&gt;1,S1230&gt;1,S705&lt;V705,S1230&lt;V1230), "YES", "NO")</f>
        <v>NO</v>
      </c>
      <c r="AC705" t="str">
        <f t="shared" si="14"/>
        <v>YES</v>
      </c>
      <c r="AD705" t="str">
        <f t="shared" si="15"/>
        <v>NO</v>
      </c>
      <c r="AE705" t="str">
        <f t="shared" si="16"/>
        <v>YES</v>
      </c>
      <c r="AF705" t="str">
        <f t="shared" si="17"/>
        <v>NO</v>
      </c>
    </row>
    <row r="706" spans="1:32" ht="15" x14ac:dyDescent="0.35">
      <c r="A706" s="7" t="s">
        <v>545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>LEFT($A706,FIND("_",$A706)-1)</f>
        <v>FixMiner</v>
      </c>
      <c r="P706" s="13" t="str">
        <f>IF($O706="ACS", "True Search", IF($O706="Arja", "Evolutionary Search", IF($O706="AVATAR", "True Pattern", IF($O706="CapGen", "Search Like Pattern", IF($O706="Cardumen", "True Semantic", IF($O706="DynaMoth", "True Semantic", IF($O706="FixMiner", "True Pattern", IF($O706="GenProg-A", "Evolutionary Search", IF($O706="Hercules", "Learning Pattern", IF($O706="Jaid", "True Semantic",
IF($O706="Kali-A", "True Search", IF($O706="kPAR", "True Pattern", IF($O706="Nopol", "True Semantic", IF($O706="RSRepair-A", "Evolutionary Search", IF($O706="SequenceR", "Deep Learning", IF($O706="SimFix", "Search Like Pattern", IF($O706="SketchFix", "True Pattern", IF($O706="SOFix", "True Pattern", IF($O706="ssFix", "Search Like Pattern", IF($O706="TBar", "True Pattern", ""))))))))))))))))))))</f>
        <v>True Pattern</v>
      </c>
      <c r="Q706" s="13" t="str">
        <f>IF(NOT(ISERR(SEARCH("*_Buggy",$A706))), "Buggy", IF(NOT(ISERR(SEARCH("*_Fixed",$A706))), "Fixed", IF(NOT(ISERR(SEARCH("*_Repaired",$A706))), "Repaired", "")))</f>
        <v>Fixed</v>
      </c>
      <c r="R706" s="13" t="s">
        <v>1668</v>
      </c>
      <c r="S706" s="25">
        <v>2</v>
      </c>
      <c r="T706" s="25">
        <v>0</v>
      </c>
      <c r="U706" s="13">
        <v>9</v>
      </c>
      <c r="V706" s="13">
        <v>9</v>
      </c>
      <c r="W706" s="13" t="str">
        <f>MID(A706, SEARCH("_", A706) +1, SEARCH("_", A706, SEARCH("_", A706) +1) - SEARCH("_", A706) -1)</f>
        <v>Lang-10</v>
      </c>
      <c r="Y706" s="1" t="str">
        <f t="shared" si="12"/>
        <v>NO</v>
      </c>
      <c r="Z706" s="1" t="str">
        <f t="shared" si="13"/>
        <v>YES</v>
      </c>
      <c r="AA706" t="str">
        <f>IF(AND(S706&gt;1,S1231&gt;1,S706=V706,S1231=V1231), "YES", "NO")</f>
        <v>NO</v>
      </c>
      <c r="AB706" t="str">
        <f>IF(AND(S706&gt;1,S1231&gt;1,S706&lt;V706,S1231&lt;V1231), "YES", "NO")</f>
        <v>NO</v>
      </c>
      <c r="AC706" t="str">
        <f t="shared" si="14"/>
        <v>NO</v>
      </c>
      <c r="AD706" t="str">
        <f t="shared" si="15"/>
        <v>NO</v>
      </c>
      <c r="AE706" t="str">
        <f t="shared" si="16"/>
        <v>NO</v>
      </c>
      <c r="AF706" t="str">
        <f t="shared" si="17"/>
        <v>YES</v>
      </c>
    </row>
    <row r="707" spans="1:32" ht="15" x14ac:dyDescent="0.35">
      <c r="A707" s="7" t="s">
        <v>1159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>LEFT($A707,FIND("_",$A707)-1)</f>
        <v>FixMiner</v>
      </c>
      <c r="P707" s="13" t="str">
        <f>IF($O707="ACS", "True Search", IF($O707="Arja", "Evolutionary Search", IF($O707="AVATAR", "True Pattern", IF($O707="CapGen", "Search Like Pattern", IF($O707="Cardumen", "True Semantic", IF($O707="DynaMoth", "True Semantic", IF($O707="FixMiner", "True Pattern", IF($O707="GenProg-A", "Evolutionary Search", IF($O707="Hercules", "Learning Pattern", IF($O707="Jaid", "True Semantic",
IF($O707="Kali-A", "True Search", IF($O707="kPAR", "True Pattern", IF($O707="Nopol", "True Semantic", IF($O707="RSRepair-A", "Evolutionary Search", IF($O707="SequenceR", "Deep Learning", IF($O707="SimFix", "Search Like Pattern", IF($O707="SketchFix", "True Pattern", IF($O707="SOFix", "True Pattern", IF($O707="ssFix", "Search Like Pattern", IF($O707="TBar", "True Pattern", ""))))))))))))))))))))</f>
        <v>True Pattern</v>
      </c>
      <c r="Q707" s="13" t="str">
        <f>IF(NOT(ISERR(SEARCH("*_Buggy",$A707))), "Buggy", IF(NOT(ISERR(SEARCH("*_Fixed",$A707))), "Fixed", IF(NOT(ISERR(SEARCH("*_Repaired",$A707))), "Repaired", "")))</f>
        <v>Fixed</v>
      </c>
      <c r="R707" s="13" t="s">
        <v>1669</v>
      </c>
      <c r="S707" s="25">
        <v>5</v>
      </c>
      <c r="T707" s="25">
        <v>9</v>
      </c>
      <c r="U707" s="25">
        <v>3</v>
      </c>
      <c r="V707" s="13">
        <v>9</v>
      </c>
      <c r="W707" s="13" t="str">
        <f>MID(A707, SEARCH("_", A707) +1, SEARCH("_", A707, SEARCH("_", A707) +1) - SEARCH("_", A707) -1)</f>
        <v>Lang-19</v>
      </c>
      <c r="Y707" s="1" t="str">
        <f t="shared" si="12"/>
        <v>NO</v>
      </c>
      <c r="Z707" s="1" t="str">
        <f t="shared" si="13"/>
        <v>YES</v>
      </c>
      <c r="AA707" t="str">
        <f>IF(AND(S707&gt;1,S1232&gt;1,S707=V707,S1232=V1232), "YES", "NO")</f>
        <v>NO</v>
      </c>
      <c r="AB707" t="str">
        <f>IF(AND(S707&gt;1,S1232&gt;1,S707&lt;V707,S1232&lt;V1232), "YES", "NO")</f>
        <v>NO</v>
      </c>
      <c r="AC707" t="str">
        <f t="shared" si="14"/>
        <v>NO</v>
      </c>
      <c r="AD707" t="str">
        <f t="shared" si="15"/>
        <v>NO</v>
      </c>
      <c r="AE707" t="str">
        <f t="shared" si="16"/>
        <v>NO</v>
      </c>
      <c r="AF707" t="str">
        <f t="shared" si="17"/>
        <v>NO</v>
      </c>
    </row>
    <row r="708" spans="1:32" ht="15" x14ac:dyDescent="0.35">
      <c r="A708" s="7" t="s">
        <v>672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>LEFT($A708,FIND("_",$A708)-1)</f>
        <v>FixMiner</v>
      </c>
      <c r="P708" s="13" t="str">
        <f>IF($O708="ACS", "True Search", IF($O708="Arja", "Evolutionary Search", IF($O708="AVATAR", "True Pattern", IF($O708="CapGen", "Search Like Pattern", IF($O708="Cardumen", "True Semantic", IF($O708="DynaMoth", "True Semantic", IF($O708="FixMiner", "True Pattern", IF($O708="GenProg-A", "Evolutionary Search", IF($O708="Hercules", "Learning Pattern", IF($O708="Jaid", "True Semantic",
IF($O708="Kali-A", "True Search", IF($O708="kPAR", "True Pattern", IF($O708="Nopol", "True Semantic", IF($O708="RSRepair-A", "Evolutionary Search", IF($O708="SequenceR", "Deep Learning", IF($O708="SimFix", "Search Like Pattern", IF($O708="SketchFix", "True Pattern", IF($O708="SOFix", "True Pattern", IF($O708="ssFix", "Search Like Pattern", IF($O708="TBar", "True Pattern", ""))))))))))))))))))))</f>
        <v>True Pattern</v>
      </c>
      <c r="Q708" s="13" t="str">
        <f>IF(NOT(ISERR(SEARCH("*_Buggy",$A708))), "Buggy", IF(NOT(ISERR(SEARCH("*_Fixed",$A708))), "Fixed", IF(NOT(ISERR(SEARCH("*_Repaired",$A708))), "Repaired", "")))</f>
        <v>Fixed</v>
      </c>
      <c r="R708" s="13" t="s">
        <v>1669</v>
      </c>
      <c r="S708" s="25">
        <v>2</v>
      </c>
      <c r="T708" s="25">
        <v>7</v>
      </c>
      <c r="U708" s="25">
        <v>1</v>
      </c>
      <c r="V708" s="13">
        <v>7</v>
      </c>
      <c r="W708" s="13" t="str">
        <f>MID(A708, SEARCH("_", A708) +1, SEARCH("_", A708, SEARCH("_", A708) +1) - SEARCH("_", A708) -1)</f>
        <v>Lang-22</v>
      </c>
      <c r="Y708" s="1" t="str">
        <f t="shared" si="12"/>
        <v>NO</v>
      </c>
      <c r="Z708" s="1" t="str">
        <f t="shared" si="13"/>
        <v>YES</v>
      </c>
      <c r="AA708" t="str">
        <f>IF(AND(S708&gt;1,S1233&gt;1,S708=V708,S1233=V1233), "YES", "NO")</f>
        <v>NO</v>
      </c>
      <c r="AB708" t="str">
        <f>IF(AND(S708&gt;1,S1233&gt;1,S708&lt;V708,S1233&lt;V1233), "YES", "NO")</f>
        <v>NO</v>
      </c>
      <c r="AC708" t="str">
        <f t="shared" si="14"/>
        <v>NO</v>
      </c>
      <c r="AD708" t="str">
        <f t="shared" si="15"/>
        <v>NO</v>
      </c>
      <c r="AE708" t="str">
        <f t="shared" si="16"/>
        <v>NO</v>
      </c>
      <c r="AF708" t="str">
        <f t="shared" si="17"/>
        <v>NO</v>
      </c>
    </row>
    <row r="709" spans="1:32" ht="15" x14ac:dyDescent="0.35">
      <c r="A709" s="5" t="s">
        <v>353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>LEFT($A709,FIND("_",$A709)-1)</f>
        <v>FixMiner</v>
      </c>
      <c r="P709" s="13" t="str">
        <f>IF($O709="ACS", "True Search", IF($O709="Arja", "Evolutionary Search", IF($O709="AVATAR", "True Pattern", IF($O709="CapGen", "Search Like Pattern", IF($O709="Cardumen", "True Semantic", IF($O709="DynaMoth", "True Semantic", IF($O709="FixMiner", "True Pattern", IF($O709="GenProg-A", "Evolutionary Search", IF($O709="Hercules", "Learning Pattern", IF($O709="Jaid", "True Semantic",
IF($O709="Kali-A", "True Search", IF($O709="kPAR", "True Pattern", IF($O709="Nopol", "True Semantic", IF($O709="RSRepair-A", "Evolutionary Search", IF($O709="SequenceR", "Deep Learning", IF($O709="SimFix", "Search Like Pattern", IF($O709="SketchFix", "True Pattern", IF($O709="SOFix", "True Pattern", IF($O709="ssFix", "Search Like Pattern", IF($O709="TBar", "True Pattern", ""))))))))))))))))))))</f>
        <v>True Pattern</v>
      </c>
      <c r="Q709" s="13" t="str">
        <f>IF(NOT(ISERR(SEARCH("*_Buggy",$A709))), "Buggy", IF(NOT(ISERR(SEARCH("*_Fixed",$A709))), "Fixed", IF(NOT(ISERR(SEARCH("*_Repaired",$A709))), "Repaired", "")))</f>
        <v>Fixed</v>
      </c>
      <c r="R709" s="13" t="s">
        <v>1668</v>
      </c>
      <c r="S709" s="25">
        <v>3</v>
      </c>
      <c r="T709" s="25">
        <v>6</v>
      </c>
      <c r="U709" s="25">
        <v>2</v>
      </c>
      <c r="V709" s="13">
        <v>6</v>
      </c>
      <c r="W709" s="13" t="str">
        <f>MID(A709, SEARCH("_", A709) +1, SEARCH("_", A709, SEARCH("_", A709) +1) - SEARCH("_", A709) -1)</f>
        <v>Lang-56</v>
      </c>
      <c r="Y709" s="1" t="str">
        <f t="shared" si="12"/>
        <v>NO</v>
      </c>
      <c r="Z709" s="1" t="str">
        <f t="shared" si="13"/>
        <v>YES</v>
      </c>
      <c r="AA709" t="str">
        <f>IF(AND(S709&gt;1,S1234&gt;1,S709=V709,S1234=V1234), "YES", "NO")</f>
        <v>NO</v>
      </c>
      <c r="AB709" t="str">
        <f>IF(AND(S709&gt;1,S1234&gt;1,S709&lt;V709,S1234&lt;V1234), "YES", "NO")</f>
        <v>NO</v>
      </c>
      <c r="AC709" t="str">
        <f t="shared" si="14"/>
        <v>NO</v>
      </c>
      <c r="AD709" t="str">
        <f t="shared" si="15"/>
        <v>NO</v>
      </c>
      <c r="AE709" t="str">
        <f t="shared" si="16"/>
        <v>NO</v>
      </c>
      <c r="AF709" t="str">
        <f t="shared" si="17"/>
        <v>NO</v>
      </c>
    </row>
    <row r="710" spans="1:32" ht="15" x14ac:dyDescent="0.35">
      <c r="A710" s="5" t="s">
        <v>85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>LEFT($A710,FIND("_",$A710)-1)</f>
        <v>FixMiner</v>
      </c>
      <c r="P710" s="13" t="str">
        <f>IF($O710="ACS", "True Search", IF($O710="Arja", "Evolutionary Search", IF($O710="AVATAR", "True Pattern", IF($O710="CapGen", "Search Like Pattern", IF($O710="Cardumen", "True Semantic", IF($O710="DynaMoth", "True Semantic", IF($O710="FixMiner", "True Pattern", IF($O710="GenProg-A", "Evolutionary Search", IF($O710="Hercules", "Learning Pattern", IF($O710="Jaid", "True Semantic",
IF($O710="Kali-A", "True Search", IF($O710="kPAR", "True Pattern", IF($O710="Nopol", "True Semantic", IF($O710="RSRepair-A", "Evolutionary Search", IF($O710="SequenceR", "Deep Learning", IF($O710="SimFix", "Search Like Pattern", IF($O710="SketchFix", "True Pattern", IF($O710="SOFix", "True Pattern", IF($O710="ssFix", "Search Like Pattern", IF($O710="TBar", "True Pattern", ""))))))))))))))))))))</f>
        <v>True Pattern</v>
      </c>
      <c r="Q710" s="13" t="str">
        <f>IF(NOT(ISERR(SEARCH("*_Buggy",$A710))), "Buggy", IF(NOT(ISERR(SEARCH("*_Fixed",$A710))), "Fixed", IF(NOT(ISERR(SEARCH("*_Repaired",$A710))), "Repaired", "")))</f>
        <v>Fixed</v>
      </c>
      <c r="R710" s="13" t="s">
        <v>1668</v>
      </c>
      <c r="S710" s="25">
        <v>1</v>
      </c>
      <c r="T710" s="25">
        <v>1</v>
      </c>
      <c r="U710" s="25">
        <v>1</v>
      </c>
      <c r="V710" s="13">
        <v>1</v>
      </c>
      <c r="W710" s="13" t="str">
        <f>MID(A710, SEARCH("_", A710) +1, SEARCH("_", A710, SEARCH("_", A710) +1) - SEARCH("_", A710) -1)</f>
        <v>Lang-57</v>
      </c>
      <c r="Y710" s="1" t="str">
        <f t="shared" si="12"/>
        <v>NO</v>
      </c>
      <c r="Z710" s="1" t="str">
        <f t="shared" si="13"/>
        <v>NO</v>
      </c>
      <c r="AA710" t="str">
        <f>IF(AND(S710&gt;1,S1235&gt;1,S710=V710,S1235=V1235), "YES", "NO")</f>
        <v>NO</v>
      </c>
      <c r="AB710" t="str">
        <f>IF(AND(S710&gt;1,S1235&gt;1,S710&lt;V710,S1235&lt;V1235), "YES", "NO")</f>
        <v>NO</v>
      </c>
      <c r="AC710" t="str">
        <f t="shared" si="14"/>
        <v>YES</v>
      </c>
      <c r="AD710" t="str">
        <f t="shared" si="15"/>
        <v>NO</v>
      </c>
      <c r="AE710" t="str">
        <f t="shared" si="16"/>
        <v>YES</v>
      </c>
      <c r="AF710" t="str">
        <f t="shared" si="17"/>
        <v>NO</v>
      </c>
    </row>
    <row r="711" spans="1:32" ht="15" x14ac:dyDescent="0.35">
      <c r="A711" s="5" t="s">
        <v>628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>LEFT($A711,FIND("_",$A711)-1)</f>
        <v>FixMiner</v>
      </c>
      <c r="P711" s="13" t="str">
        <f>IF($O711="ACS", "True Search", IF($O711="Arja", "Evolutionary Search", IF($O711="AVATAR", "True Pattern", IF($O711="CapGen", "Search Like Pattern", IF($O711="Cardumen", "True Semantic", IF($O711="DynaMoth", "True Semantic", IF($O711="FixMiner", "True Pattern", IF($O711="GenProg-A", "Evolutionary Search", IF($O711="Hercules", "Learning Pattern", IF($O711="Jaid", "True Semantic",
IF($O711="Kali-A", "True Search", IF($O711="kPAR", "True Pattern", IF($O711="Nopol", "True Semantic", IF($O711="RSRepair-A", "Evolutionary Search", IF($O711="SequenceR", "Deep Learning", IF($O711="SimFix", "Search Like Pattern", IF($O711="SketchFix", "True Pattern", IF($O711="SOFix", "True Pattern", IF($O711="ssFix", "Search Like Pattern", IF($O711="TBar", "True Pattern", ""))))))))))))))))))))</f>
        <v>True Pattern</v>
      </c>
      <c r="Q711" s="13" t="str">
        <f>IF(NOT(ISERR(SEARCH("*_Buggy",$A711))), "Buggy", IF(NOT(ISERR(SEARCH("*_Fixed",$A711))), "Fixed", IF(NOT(ISERR(SEARCH("*_Repaired",$A711))), "Repaired", "")))</f>
        <v>Fixed</v>
      </c>
      <c r="R711" s="13" t="s">
        <v>1669</v>
      </c>
      <c r="S711" s="25">
        <v>1</v>
      </c>
      <c r="T711" s="25">
        <v>1</v>
      </c>
      <c r="U711" s="25">
        <v>2</v>
      </c>
      <c r="V711" s="13">
        <v>2</v>
      </c>
      <c r="W711" s="13" t="str">
        <f>MID(A711, SEARCH("_", A711) +1, SEARCH("_", A711, SEARCH("_", A711) +1) - SEARCH("_", A711) -1)</f>
        <v>Lang-58</v>
      </c>
      <c r="Y711" s="1" t="str">
        <f t="shared" si="12"/>
        <v>NO</v>
      </c>
      <c r="Z711" s="1" t="str">
        <f t="shared" si="13"/>
        <v>NO</v>
      </c>
      <c r="AA711" t="str">
        <f>IF(AND(S711&gt;1,S1236&gt;1,S711=V711,S1236=V1236), "YES", "NO")</f>
        <v>NO</v>
      </c>
      <c r="AB711" t="str">
        <f>IF(AND(S711&gt;1,S1236&gt;1,S711&lt;V711,S1236&lt;V1236), "YES", "NO")</f>
        <v>NO</v>
      </c>
      <c r="AC711" t="str">
        <f t="shared" si="14"/>
        <v>NO</v>
      </c>
      <c r="AD711" t="str">
        <f t="shared" si="15"/>
        <v>YES</v>
      </c>
      <c r="AE711" t="str">
        <f t="shared" si="16"/>
        <v>NO</v>
      </c>
      <c r="AF711" t="str">
        <f t="shared" si="17"/>
        <v>YES</v>
      </c>
    </row>
    <row r="712" spans="1:32" ht="15" x14ac:dyDescent="0.35">
      <c r="A712" s="7" t="s">
        <v>658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>LEFT($A712,FIND("_",$A712)-1)</f>
        <v>FixMiner</v>
      </c>
      <c r="P712" s="13" t="str">
        <f>IF($O712="ACS", "True Search", IF($O712="Arja", "Evolutionary Search", IF($O712="AVATAR", "True Pattern", IF($O712="CapGen", "Search Like Pattern", IF($O712="Cardumen", "True Semantic", IF($O712="DynaMoth", "True Semantic", IF($O712="FixMiner", "True Pattern", IF($O712="GenProg-A", "Evolutionary Search", IF($O712="Hercules", "Learning Pattern", IF($O712="Jaid", "True Semantic",
IF($O712="Kali-A", "True Search", IF($O712="kPAR", "True Pattern", IF($O712="Nopol", "True Semantic", IF($O712="RSRepair-A", "Evolutionary Search", IF($O712="SequenceR", "Deep Learning", IF($O712="SimFix", "Search Like Pattern", IF($O712="SketchFix", "True Pattern", IF($O712="SOFix", "True Pattern", IF($O712="ssFix", "Search Like Pattern", IF($O712="TBar", "True Pattern", ""))))))))))))))))))))</f>
        <v>True Pattern</v>
      </c>
      <c r="Q712" s="13" t="str">
        <f>IF(NOT(ISERR(SEARCH("*_Buggy",$A712))), "Buggy", IF(NOT(ISERR(SEARCH("*_Fixed",$A712))), "Fixed", IF(NOT(ISERR(SEARCH("*_Repaired",$A712))), "Repaired", "")))</f>
        <v>Fixed</v>
      </c>
      <c r="R712" s="13" t="s">
        <v>1668</v>
      </c>
      <c r="S712" s="25">
        <v>1</v>
      </c>
      <c r="T712" s="25">
        <v>1</v>
      </c>
      <c r="U712" s="25">
        <v>1</v>
      </c>
      <c r="V712" s="13">
        <v>1</v>
      </c>
      <c r="W712" s="13" t="str">
        <f>MID(A712, SEARCH("_", A712) +1, SEARCH("_", A712, SEARCH("_", A712) +1) - SEARCH("_", A712) -1)</f>
        <v>Lang-59</v>
      </c>
      <c r="Y712" s="1" t="str">
        <f t="shared" si="12"/>
        <v>NO</v>
      </c>
      <c r="Z712" s="1" t="str">
        <f t="shared" si="13"/>
        <v>NO</v>
      </c>
      <c r="AA712" t="str">
        <f>IF(AND(S712&gt;1,S1237&gt;1,S712=V712,S1237=V1237), "YES", "NO")</f>
        <v>NO</v>
      </c>
      <c r="AB712" t="str">
        <f>IF(AND(S712&gt;1,S1237&gt;1,S712&lt;V712,S1237&lt;V1237), "YES", "NO")</f>
        <v>NO</v>
      </c>
      <c r="AC712" t="str">
        <f t="shared" si="14"/>
        <v>YES</v>
      </c>
      <c r="AD712" t="str">
        <f t="shared" si="15"/>
        <v>NO</v>
      </c>
      <c r="AE712" t="str">
        <f t="shared" si="16"/>
        <v>YES</v>
      </c>
      <c r="AF712" t="str">
        <f t="shared" si="17"/>
        <v>NO</v>
      </c>
    </row>
    <row r="713" spans="1:32" ht="15" x14ac:dyDescent="0.35">
      <c r="A713" s="5" t="s">
        <v>790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>LEFT($A713,FIND("_",$A713)-1)</f>
        <v>FixMiner</v>
      </c>
      <c r="P713" s="13" t="str">
        <f>IF($O713="ACS", "True Search", IF($O713="Arja", "Evolutionary Search", IF($O713="AVATAR", "True Pattern", IF($O713="CapGen", "Search Like Pattern", IF($O713="Cardumen", "True Semantic", IF($O713="DynaMoth", "True Semantic", IF($O713="FixMiner", "True Pattern", IF($O713="GenProg-A", "Evolutionary Search", IF($O713="Hercules", "Learning Pattern", IF($O713="Jaid", "True Semantic",
IF($O713="Kali-A", "True Search", IF($O713="kPAR", "True Pattern", IF($O713="Nopol", "True Semantic", IF($O713="RSRepair-A", "Evolutionary Search", IF($O713="SequenceR", "Deep Learning", IF($O713="SimFix", "Search Like Pattern", IF($O713="SketchFix", "True Pattern", IF($O713="SOFix", "True Pattern", IF($O713="ssFix", "Search Like Pattern", IF($O713="TBar", "True Pattern", ""))))))))))))))))))))</f>
        <v>True Pattern</v>
      </c>
      <c r="Q713" s="13" t="str">
        <f>IF(NOT(ISERR(SEARCH("*_Buggy",$A713))), "Buggy", IF(NOT(ISERR(SEARCH("*_Fixed",$A713))), "Fixed", IF(NOT(ISERR(SEARCH("*_Repaired",$A713))), "Repaired", "")))</f>
        <v>Fixed</v>
      </c>
      <c r="R713" s="13" t="s">
        <v>1669</v>
      </c>
      <c r="S713" s="25">
        <v>4</v>
      </c>
      <c r="T713" s="25">
        <v>3</v>
      </c>
      <c r="U713" s="25">
        <v>20</v>
      </c>
      <c r="V713" s="13">
        <v>22</v>
      </c>
      <c r="W713" s="13" t="str">
        <f>MID(A713, SEARCH("_", A713) +1, SEARCH("_", A713, SEARCH("_", A713) +1) - SEARCH("_", A713) -1)</f>
        <v>Lang-63</v>
      </c>
      <c r="Y713" s="1" t="str">
        <f t="shared" si="12"/>
        <v>NO</v>
      </c>
      <c r="Z713" s="1" t="str">
        <f t="shared" si="13"/>
        <v>YES</v>
      </c>
      <c r="AA713" t="str">
        <f>IF(AND(S713&gt;1,S1238&gt;1,S713=V713,S1238=V1238), "YES", "NO")</f>
        <v>NO</v>
      </c>
      <c r="AB713" t="str">
        <f>IF(AND(S713&gt;1,S1238&gt;1,S713&lt;V713,S1238&lt;V1238), "YES", "NO")</f>
        <v>YES</v>
      </c>
      <c r="AC713" t="str">
        <f t="shared" si="14"/>
        <v>NO</v>
      </c>
      <c r="AD713" t="str">
        <f t="shared" si="15"/>
        <v>NO</v>
      </c>
      <c r="AE713" t="str">
        <f t="shared" si="16"/>
        <v>NO</v>
      </c>
      <c r="AF713" t="str">
        <f t="shared" si="17"/>
        <v>YES</v>
      </c>
    </row>
    <row r="714" spans="1:32" ht="15" x14ac:dyDescent="0.35">
      <c r="A714" s="7" t="s">
        <v>1186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>LEFT($A714,FIND("_",$A714)-1)</f>
        <v>FixMiner</v>
      </c>
      <c r="P714" s="13" t="str">
        <f>IF($O714="ACS", "True Search", IF($O714="Arja", "Evolutionary Search", IF($O714="AVATAR", "True Pattern", IF($O714="CapGen", "Search Like Pattern", IF($O714="Cardumen", "True Semantic", IF($O714="DynaMoth", "True Semantic", IF($O714="FixMiner", "True Pattern", IF($O714="GenProg-A", "Evolutionary Search", IF($O714="Hercules", "Learning Pattern", IF($O714="Jaid", "True Semantic",
IF($O714="Kali-A", "True Search", IF($O714="kPAR", "True Pattern", IF($O714="Nopol", "True Semantic", IF($O714="RSRepair-A", "Evolutionary Search", IF($O714="SequenceR", "Deep Learning", IF($O714="SimFix", "Search Like Pattern", IF($O714="SketchFix", "True Pattern", IF($O714="SOFix", "True Pattern", IF($O714="ssFix", "Search Like Pattern", IF($O714="TBar", "True Pattern", ""))))))))))))))))))))</f>
        <v>True Pattern</v>
      </c>
      <c r="Q714" s="13" t="str">
        <f>IF(NOT(ISERR(SEARCH("*_Buggy",$A714))), "Buggy", IF(NOT(ISERR(SEARCH("*_Fixed",$A714))), "Fixed", IF(NOT(ISERR(SEARCH("*_Repaired",$A714))), "Repaired", "")))</f>
        <v>Fixed</v>
      </c>
      <c r="R714" s="13" t="s">
        <v>1669</v>
      </c>
      <c r="S714" s="25">
        <v>3</v>
      </c>
      <c r="T714" s="25">
        <v>3</v>
      </c>
      <c r="U714" s="25">
        <v>3</v>
      </c>
      <c r="V714" s="13">
        <v>6</v>
      </c>
      <c r="W714" s="13" t="str">
        <f>MID(A714, SEARCH("_", A714) +1, SEARCH("_", A714, SEARCH("_", A714) +1) - SEARCH("_", A714) -1)</f>
        <v>Lang-7</v>
      </c>
      <c r="Y714" s="1" t="str">
        <f t="shared" si="12"/>
        <v>NO</v>
      </c>
      <c r="Z714" s="1" t="str">
        <f t="shared" si="13"/>
        <v>YES</v>
      </c>
      <c r="AA714" t="str">
        <f>IF(AND(S714&gt;1,S1239&gt;1,S714=V714,S1239=V1239), "YES", "NO")</f>
        <v>NO</v>
      </c>
      <c r="AB714" t="str">
        <f>IF(AND(S714&gt;1,S1239&gt;1,S714&lt;V714,S1239&lt;V1239), "YES", "NO")</f>
        <v>NO</v>
      </c>
      <c r="AC714" t="str">
        <f t="shared" si="14"/>
        <v>NO</v>
      </c>
      <c r="AD714" t="str">
        <f t="shared" si="15"/>
        <v>NO</v>
      </c>
      <c r="AE714" t="str">
        <f t="shared" si="16"/>
        <v>NO</v>
      </c>
      <c r="AF714" t="str">
        <f t="shared" si="17"/>
        <v>NO</v>
      </c>
    </row>
    <row r="715" spans="1:32" ht="15" x14ac:dyDescent="0.35">
      <c r="A715" s="5" t="s">
        <v>319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>LEFT($A715,FIND("_",$A715)-1)</f>
        <v>FixMiner</v>
      </c>
      <c r="P715" s="13" t="str">
        <f>IF($O715="ACS", "True Search", IF($O715="Arja", "Evolutionary Search", IF($O715="AVATAR", "True Pattern", IF($O715="CapGen", "Search Like Pattern", IF($O715="Cardumen", "True Semantic", IF($O715="DynaMoth", "True Semantic", IF($O715="FixMiner", "True Pattern", IF($O715="GenProg-A", "Evolutionary Search", IF($O715="Hercules", "Learning Pattern", IF($O715="Jaid", "True Semantic",
IF($O715="Kali-A", "True Search", IF($O715="kPAR", "True Pattern", IF($O715="Nopol", "True Semantic", IF($O715="RSRepair-A", "Evolutionary Search", IF($O715="SequenceR", "Deep Learning", IF($O715="SimFix", "Search Like Pattern", IF($O715="SketchFix", "True Pattern", IF($O715="SOFix", "True Pattern", IF($O715="ssFix", "Search Like Pattern", IF($O715="TBar", "True Pattern", ""))))))))))))))))))))</f>
        <v>True Pattern</v>
      </c>
      <c r="Q715" s="13" t="str">
        <f>IF(NOT(ISERR(SEARCH("*_Buggy",$A715))), "Buggy", IF(NOT(ISERR(SEARCH("*_Fixed",$A715))), "Fixed", IF(NOT(ISERR(SEARCH("*_Repaired",$A715))), "Repaired", "")))</f>
        <v>Fixed</v>
      </c>
      <c r="R715" s="13" t="s">
        <v>1669</v>
      </c>
      <c r="S715" s="25">
        <v>1</v>
      </c>
      <c r="T715" s="25">
        <v>2</v>
      </c>
      <c r="U715" s="25">
        <v>1</v>
      </c>
      <c r="V715" s="13">
        <v>2</v>
      </c>
      <c r="W715" s="13" t="str">
        <f>MID(A715, SEARCH("_", A715) +1, SEARCH("_", A715, SEARCH("_", A715) +1) - SEARCH("_", A715) -1)</f>
        <v>Math-20</v>
      </c>
      <c r="Y715" s="1" t="str">
        <f t="shared" si="12"/>
        <v>NO</v>
      </c>
      <c r="Z715" s="1" t="str">
        <f t="shared" si="13"/>
        <v>NO</v>
      </c>
      <c r="AA715" t="str">
        <f>IF(AND(S715&gt;1,S1240&gt;1,S715=V715,S1240=V1240), "YES", "NO")</f>
        <v>NO</v>
      </c>
      <c r="AB715" t="str">
        <f>IF(AND(S715&gt;1,S1240&gt;1,S715&lt;V715,S1240&lt;V1240), "YES", "NO")</f>
        <v>NO</v>
      </c>
      <c r="AC715" t="str">
        <f t="shared" si="14"/>
        <v>NO</v>
      </c>
      <c r="AD715" t="str">
        <f t="shared" si="15"/>
        <v>NO</v>
      </c>
      <c r="AE715" t="str">
        <f t="shared" si="16"/>
        <v>NO</v>
      </c>
      <c r="AF715" t="str">
        <f t="shared" si="17"/>
        <v>NO</v>
      </c>
    </row>
    <row r="716" spans="1:32" ht="15" x14ac:dyDescent="0.35">
      <c r="A716" s="5" t="s">
        <v>1048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>LEFT($A716,FIND("_",$A716)-1)</f>
        <v>FixMiner</v>
      </c>
      <c r="P716" s="13" t="str">
        <f>IF($O716="ACS", "True Search", IF($O716="Arja", "Evolutionary Search", IF($O716="AVATAR", "True Pattern", IF($O716="CapGen", "Search Like Pattern", IF($O716="Cardumen", "True Semantic", IF($O716="DynaMoth", "True Semantic", IF($O716="FixMiner", "True Pattern", IF($O716="GenProg-A", "Evolutionary Search", IF($O716="Hercules", "Learning Pattern", IF($O716="Jaid", "True Semantic",
IF($O716="Kali-A", "True Search", IF($O716="kPAR", "True Pattern", IF($O716="Nopol", "True Semantic", IF($O716="RSRepair-A", "Evolutionary Search", IF($O716="SequenceR", "Deep Learning", IF($O716="SimFix", "Search Like Pattern", IF($O716="SketchFix", "True Pattern", IF($O716="SOFix", "True Pattern", IF($O716="ssFix", "Search Like Pattern", IF($O716="TBar", "True Pattern", ""))))))))))))))))))))</f>
        <v>True Pattern</v>
      </c>
      <c r="Q716" s="13" t="str">
        <f>IF(NOT(ISERR(SEARCH("*_Buggy",$A716))), "Buggy", IF(NOT(ISERR(SEARCH("*_Fixed",$A716))), "Fixed", IF(NOT(ISERR(SEARCH("*_Repaired",$A716))), "Repaired", "")))</f>
        <v>Fixed</v>
      </c>
      <c r="R716" s="13" t="s">
        <v>1669</v>
      </c>
      <c r="S716" s="25">
        <v>4</v>
      </c>
      <c r="T716" s="13">
        <v>4</v>
      </c>
      <c r="U716" s="25">
        <v>0</v>
      </c>
      <c r="V716" s="13">
        <v>4</v>
      </c>
      <c r="W716" s="13" t="str">
        <f>MID(A716, SEARCH("_", A716) +1, SEARCH("_", A716, SEARCH("_", A716) +1) - SEARCH("_", A716) -1)</f>
        <v>Math-28</v>
      </c>
      <c r="Y716" s="1" t="str">
        <f t="shared" si="12"/>
        <v>YES</v>
      </c>
      <c r="Z716" s="1" t="str">
        <f t="shared" si="13"/>
        <v>NO</v>
      </c>
      <c r="AA716" t="str">
        <f>IF(AND(S716&gt;1,S1241&gt;1,S716=V716,S1241=V1241), "YES", "NO")</f>
        <v>NO</v>
      </c>
      <c r="AB716" t="str">
        <f>IF(AND(S716&gt;1,S1241&gt;1,S716&lt;V716,S1241&lt;V1241), "YES", "NO")</f>
        <v>NO</v>
      </c>
      <c r="AC716" t="str">
        <f t="shared" si="14"/>
        <v>NO</v>
      </c>
      <c r="AD716" t="str">
        <f t="shared" si="15"/>
        <v>NO</v>
      </c>
      <c r="AE716" t="str">
        <f t="shared" si="16"/>
        <v>NO</v>
      </c>
      <c r="AF716" t="str">
        <f t="shared" si="17"/>
        <v>YES</v>
      </c>
    </row>
    <row r="717" spans="1:32" ht="15" x14ac:dyDescent="0.35">
      <c r="A717" s="7" t="s">
        <v>976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>LEFT($A717,FIND("_",$A717)-1)</f>
        <v>FixMiner</v>
      </c>
      <c r="P717" s="13" t="str">
        <f>IF($O717="ACS", "True Search", IF($O717="Arja", "Evolutionary Search", IF($O717="AVATAR", "True Pattern", IF($O717="CapGen", "Search Like Pattern", IF($O717="Cardumen", "True Semantic", IF($O717="DynaMoth", "True Semantic", IF($O717="FixMiner", "True Pattern", IF($O717="GenProg-A", "Evolutionary Search", IF($O717="Hercules", "Learning Pattern", IF($O717="Jaid", "True Semantic",
IF($O717="Kali-A", "True Search", IF($O717="kPAR", "True Pattern", IF($O717="Nopol", "True Semantic", IF($O717="RSRepair-A", "Evolutionary Search", IF($O717="SequenceR", "Deep Learning", IF($O717="SimFix", "Search Like Pattern", IF($O717="SketchFix", "True Pattern", IF($O717="SOFix", "True Pattern", IF($O717="ssFix", "Search Like Pattern", IF($O717="TBar", "True Pattern", ""))))))))))))))))))))</f>
        <v>True Pattern</v>
      </c>
      <c r="Q717" s="13" t="str">
        <f>IF(NOT(ISERR(SEARCH("*_Buggy",$A717))), "Buggy", IF(NOT(ISERR(SEARCH("*_Fixed",$A717))), "Fixed", IF(NOT(ISERR(SEARCH("*_Repaired",$A717))), "Repaired", "")))</f>
        <v>Fixed</v>
      </c>
      <c r="R717" s="13" t="s">
        <v>1668</v>
      </c>
      <c r="S717" s="25">
        <v>1</v>
      </c>
      <c r="T717" s="25">
        <v>1</v>
      </c>
      <c r="U717" s="25">
        <v>1</v>
      </c>
      <c r="V717" s="13">
        <v>1</v>
      </c>
      <c r="W717" s="13" t="str">
        <f>MID(A717, SEARCH("_", A717) +1, SEARCH("_", A717, SEARCH("_", A717) +1) - SEARCH("_", A717) -1)</f>
        <v>Math-30</v>
      </c>
      <c r="Y717" s="1" t="str">
        <f t="shared" si="12"/>
        <v>NO</v>
      </c>
      <c r="Z717" s="1" t="str">
        <f t="shared" si="13"/>
        <v>NO</v>
      </c>
      <c r="AA717" t="str">
        <f>IF(AND(S717&gt;1,S1242&gt;1,S717=V717,S1242=V1242), "YES", "NO")</f>
        <v>NO</v>
      </c>
      <c r="AB717" t="str">
        <f>IF(AND(S717&gt;1,S1242&gt;1,S717&lt;V717,S1242&lt;V1242), "YES", "NO")</f>
        <v>NO</v>
      </c>
      <c r="AC717" t="str">
        <f t="shared" si="14"/>
        <v>YES</v>
      </c>
      <c r="AD717" t="str">
        <f t="shared" si="15"/>
        <v>NO</v>
      </c>
      <c r="AE717" t="str">
        <f t="shared" si="16"/>
        <v>YES</v>
      </c>
      <c r="AF717" t="str">
        <f t="shared" si="17"/>
        <v>NO</v>
      </c>
    </row>
    <row r="718" spans="1:32" ht="15" x14ac:dyDescent="0.35">
      <c r="A718" s="5" t="s">
        <v>1228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>LEFT($A718,FIND("_",$A718)-1)</f>
        <v>FixMiner</v>
      </c>
      <c r="P718" s="13" t="str">
        <f>IF($O718="ACS", "True Search", IF($O718="Arja", "Evolutionary Search", IF($O718="AVATAR", "True Pattern", IF($O718="CapGen", "Search Like Pattern", IF($O718="Cardumen", "True Semantic", IF($O718="DynaMoth", "True Semantic", IF($O718="FixMiner", "True Pattern", IF($O718="GenProg-A", "Evolutionary Search", IF($O718="Hercules", "Learning Pattern", IF($O718="Jaid", "True Semantic",
IF($O718="Kali-A", "True Search", IF($O718="kPAR", "True Pattern", IF($O718="Nopol", "True Semantic", IF($O718="RSRepair-A", "Evolutionary Search", IF($O718="SequenceR", "Deep Learning", IF($O718="SimFix", "Search Like Pattern", IF($O718="SketchFix", "True Pattern", IF($O718="SOFix", "True Pattern", IF($O718="ssFix", "Search Like Pattern", IF($O718="TBar", "True Pattern", ""))))))))))))))))))))</f>
        <v>True Pattern</v>
      </c>
      <c r="Q718" s="13" t="str">
        <f>IF(NOT(ISERR(SEARCH("*_Buggy",$A718))), "Buggy", IF(NOT(ISERR(SEARCH("*_Fixed",$A718))), "Fixed", IF(NOT(ISERR(SEARCH("*_Repaired",$A718))), "Repaired", "")))</f>
        <v>Fixed</v>
      </c>
      <c r="R718" s="13" t="s">
        <v>1668</v>
      </c>
      <c r="S718" s="25">
        <v>1</v>
      </c>
      <c r="T718" s="25">
        <v>1</v>
      </c>
      <c r="U718" s="25">
        <v>1</v>
      </c>
      <c r="V718" s="13">
        <v>1</v>
      </c>
      <c r="W718" s="13" t="str">
        <f>MID(A718, SEARCH("_", A718) +1, SEARCH("_", A718, SEARCH("_", A718) +1) - SEARCH("_", A718) -1)</f>
        <v>Math-33</v>
      </c>
      <c r="Y718" s="1" t="str">
        <f t="shared" si="12"/>
        <v>NO</v>
      </c>
      <c r="Z718" s="1" t="str">
        <f t="shared" si="13"/>
        <v>NO</v>
      </c>
      <c r="AA718" t="str">
        <f>IF(AND(S718&gt;1,S1243&gt;1,S718=V718,S1243=V1243), "YES", "NO")</f>
        <v>NO</v>
      </c>
      <c r="AB718" t="str">
        <f>IF(AND(S718&gt;1,S1243&gt;1,S718&lt;V718,S1243&lt;V1243), "YES", "NO")</f>
        <v>NO</v>
      </c>
      <c r="AC718" t="str">
        <f t="shared" si="14"/>
        <v>YES</v>
      </c>
      <c r="AD718" t="str">
        <f t="shared" si="15"/>
        <v>NO</v>
      </c>
      <c r="AE718" t="str">
        <f t="shared" si="16"/>
        <v>YES</v>
      </c>
      <c r="AF718" t="str">
        <f t="shared" si="17"/>
        <v>NO</v>
      </c>
    </row>
    <row r="719" spans="1:32" ht="15" x14ac:dyDescent="0.35">
      <c r="A719" s="7" t="s">
        <v>156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>LEFT($A719,FIND("_",$A719)-1)</f>
        <v>FixMiner</v>
      </c>
      <c r="P719" s="13" t="str">
        <f>IF($O719="ACS", "True Search", IF($O719="Arja", "Evolutionary Search", IF($O719="AVATAR", "True Pattern", IF($O719="CapGen", "Search Like Pattern", IF($O719="Cardumen", "True Semantic", IF($O719="DynaMoth", "True Semantic", IF($O719="FixMiner", "True Pattern", IF($O719="GenProg-A", "Evolutionary Search", IF($O719="Hercules", "Learning Pattern", IF($O719="Jaid", "True Semantic",
IF($O719="Kali-A", "True Search", IF($O719="kPAR", "True Pattern", IF($O719="Nopol", "True Semantic", IF($O719="RSRepair-A", "Evolutionary Search", IF($O719="SequenceR", "Deep Learning", IF($O719="SimFix", "Search Like Pattern", IF($O719="SketchFix", "True Pattern", IF($O719="SOFix", "True Pattern", IF($O719="ssFix", "Search Like Pattern", IF($O719="TBar", "True Pattern", ""))))))))))))))))))))</f>
        <v>True Pattern</v>
      </c>
      <c r="Q719" s="13" t="str">
        <f>IF(NOT(ISERR(SEARCH("*_Buggy",$A719))), "Buggy", IF(NOT(ISERR(SEARCH("*_Fixed",$A719))), "Fixed", IF(NOT(ISERR(SEARCH("*_Repaired",$A719))), "Repaired", "")))</f>
        <v>Fixed</v>
      </c>
      <c r="R719" s="13" t="s">
        <v>1668</v>
      </c>
      <c r="S719" s="25">
        <v>1</v>
      </c>
      <c r="T719" s="25">
        <v>1</v>
      </c>
      <c r="U719" s="25">
        <v>1</v>
      </c>
      <c r="V719" s="13">
        <v>1</v>
      </c>
      <c r="W719" s="13" t="str">
        <f>MID(A719, SEARCH("_", A719) +1, SEARCH("_", A719, SEARCH("_", A719) +1) - SEARCH("_", A719) -1)</f>
        <v>Math-34</v>
      </c>
      <c r="Y719" s="1" t="str">
        <f t="shared" si="12"/>
        <v>NO</v>
      </c>
      <c r="Z719" s="1" t="str">
        <f t="shared" si="13"/>
        <v>NO</v>
      </c>
      <c r="AA719" t="str">
        <f>IF(AND(S719&gt;1,S1244&gt;1,S719=V719,S1244=V1244), "YES", "NO")</f>
        <v>NO</v>
      </c>
      <c r="AB719" t="str">
        <f>IF(AND(S719&gt;1,S1244&gt;1,S719&lt;V719,S1244&lt;V1244), "YES", "NO")</f>
        <v>NO</v>
      </c>
      <c r="AC719" t="str">
        <f t="shared" si="14"/>
        <v>YES</v>
      </c>
      <c r="AD719" t="str">
        <f t="shared" si="15"/>
        <v>NO</v>
      </c>
      <c r="AE719" t="str">
        <f t="shared" si="16"/>
        <v>YES</v>
      </c>
      <c r="AF719" t="str">
        <f t="shared" si="17"/>
        <v>NO</v>
      </c>
    </row>
    <row r="720" spans="1:32" ht="15" x14ac:dyDescent="0.35">
      <c r="A720" s="7" t="s">
        <v>120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>LEFT($A720,FIND("_",$A720)-1)</f>
        <v>FixMiner</v>
      </c>
      <c r="P720" s="13" t="str">
        <f>IF($O720="ACS", "True Search", IF($O720="Arja", "Evolutionary Search", IF($O720="AVATAR", "True Pattern", IF($O720="CapGen", "Search Like Pattern", IF($O720="Cardumen", "True Semantic", IF($O720="DynaMoth", "True Semantic", IF($O720="FixMiner", "True Pattern", IF($O720="GenProg-A", "Evolutionary Search", IF($O720="Hercules", "Learning Pattern", IF($O720="Jaid", "True Semantic",
IF($O720="Kali-A", "True Search", IF($O720="kPAR", "True Pattern", IF($O720="Nopol", "True Semantic", IF($O720="RSRepair-A", "Evolutionary Search", IF($O720="SequenceR", "Deep Learning", IF($O720="SimFix", "Search Like Pattern", IF($O720="SketchFix", "True Pattern", IF($O720="SOFix", "True Pattern", IF($O720="ssFix", "Search Like Pattern", IF($O720="TBar", "True Pattern", ""))))))))))))))))))))</f>
        <v>True Pattern</v>
      </c>
      <c r="Q720" s="13" t="str">
        <f>IF(NOT(ISERR(SEARCH("*_Buggy",$A720))), "Buggy", IF(NOT(ISERR(SEARCH("*_Fixed",$A720))), "Fixed", IF(NOT(ISERR(SEARCH("*_Repaired",$A720))), "Repaired", "")))</f>
        <v>Fixed</v>
      </c>
      <c r="R720" s="13" t="s">
        <v>1668</v>
      </c>
      <c r="S720" s="25">
        <v>2</v>
      </c>
      <c r="T720" s="25">
        <v>2</v>
      </c>
      <c r="U720" s="25">
        <v>2</v>
      </c>
      <c r="V720" s="13">
        <v>2</v>
      </c>
      <c r="W720" s="13" t="str">
        <f>MID(A720, SEARCH("_", A720) +1, SEARCH("_", A720, SEARCH("_", A720) +1) - SEARCH("_", A720) -1)</f>
        <v>Math-35</v>
      </c>
      <c r="Y720" s="1" t="str">
        <f t="shared" si="12"/>
        <v>YES</v>
      </c>
      <c r="Z720" s="1" t="str">
        <f t="shared" si="13"/>
        <v>NO</v>
      </c>
      <c r="AA720" t="str">
        <f>IF(AND(S720&gt;1,S1245&gt;1,S720=V720,S1245=V1245), "YES", "NO")</f>
        <v>NO</v>
      </c>
      <c r="AB720" t="str">
        <f>IF(AND(S720&gt;1,S1245&gt;1,S720&lt;V720,S1245&lt;V1245), "YES", "NO")</f>
        <v>NO</v>
      </c>
      <c r="AC720" t="str">
        <f t="shared" si="14"/>
        <v>NO</v>
      </c>
      <c r="AD720" t="str">
        <f t="shared" si="15"/>
        <v>NO</v>
      </c>
      <c r="AE720" t="str">
        <f t="shared" si="16"/>
        <v>NO</v>
      </c>
      <c r="AF720" t="str">
        <f t="shared" si="17"/>
        <v>NO</v>
      </c>
    </row>
    <row r="721" spans="1:32" ht="15" x14ac:dyDescent="0.35">
      <c r="A721" s="7" t="s">
        <v>1273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>LEFT($A721,FIND("_",$A721)-1)</f>
        <v>FixMiner</v>
      </c>
      <c r="P721" s="13" t="str">
        <f>IF($O721="ACS", "True Search", IF($O721="Arja", "Evolutionary Search", IF($O721="AVATAR", "True Pattern", IF($O721="CapGen", "Search Like Pattern", IF($O721="Cardumen", "True Semantic", IF($O721="DynaMoth", "True Semantic", IF($O721="FixMiner", "True Pattern", IF($O721="GenProg-A", "Evolutionary Search", IF($O721="Hercules", "Learning Pattern", IF($O721="Jaid", "True Semantic",
IF($O721="Kali-A", "True Search", IF($O721="kPAR", "True Pattern", IF($O721="Nopol", "True Semantic", IF($O721="RSRepair-A", "Evolutionary Search", IF($O721="SequenceR", "Deep Learning", IF($O721="SimFix", "Search Like Pattern", IF($O721="SketchFix", "True Pattern", IF($O721="SOFix", "True Pattern", IF($O721="ssFix", "Search Like Pattern", IF($O721="TBar", "True Pattern", ""))))))))))))))))))))</f>
        <v>True Pattern</v>
      </c>
      <c r="Q721" s="13" t="str">
        <f>IF(NOT(ISERR(SEARCH("*_Buggy",$A721))), "Buggy", IF(NOT(ISERR(SEARCH("*_Fixed",$A721))), "Fixed", IF(NOT(ISERR(SEARCH("*_Repaired",$A721))), "Repaired", "")))</f>
        <v>Fixed</v>
      </c>
      <c r="R721" s="13" t="s">
        <v>1669</v>
      </c>
      <c r="S721" s="25">
        <v>1</v>
      </c>
      <c r="T721" s="25">
        <v>0</v>
      </c>
      <c r="U721" s="13">
        <v>4</v>
      </c>
      <c r="V721" s="13">
        <v>4</v>
      </c>
      <c r="W721" s="13" t="str">
        <f>MID(A721, SEARCH("_", A721) +1, SEARCH("_", A721, SEARCH("_", A721) +1) - SEARCH("_", A721) -1)</f>
        <v>Math-50</v>
      </c>
      <c r="Y721" s="1" t="str">
        <f t="shared" si="12"/>
        <v>NO</v>
      </c>
      <c r="Z721" s="1" t="str">
        <f t="shared" si="13"/>
        <v>NO</v>
      </c>
      <c r="AA721" t="str">
        <f>IF(AND(S721&gt;1,S1246&gt;1,S721=V721,S1246=V1246), "YES", "NO")</f>
        <v>NO</v>
      </c>
      <c r="AB721" t="str">
        <f>IF(AND(S721&gt;1,S1246&gt;1,S721&lt;V721,S1246&lt;V1246), "YES", "NO")</f>
        <v>NO</v>
      </c>
      <c r="AC721" t="str">
        <f t="shared" si="14"/>
        <v>NO</v>
      </c>
      <c r="AD721" t="str">
        <f t="shared" si="15"/>
        <v>NO</v>
      </c>
      <c r="AE721" t="str">
        <f t="shared" si="16"/>
        <v>NO</v>
      </c>
      <c r="AF721" t="str">
        <f t="shared" si="17"/>
        <v>NO</v>
      </c>
    </row>
    <row r="722" spans="1:32" ht="15" x14ac:dyDescent="0.35">
      <c r="A722" s="5" t="s">
        <v>321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>LEFT($A722,FIND("_",$A722)-1)</f>
        <v>FixMiner</v>
      </c>
      <c r="P722" s="13" t="str">
        <f>IF($O722="ACS", "True Search", IF($O722="Arja", "Evolutionary Search", IF($O722="AVATAR", "True Pattern", IF($O722="CapGen", "Search Like Pattern", IF($O722="Cardumen", "True Semantic", IF($O722="DynaMoth", "True Semantic", IF($O722="FixMiner", "True Pattern", IF($O722="GenProg-A", "Evolutionary Search", IF($O722="Hercules", "Learning Pattern", IF($O722="Jaid", "True Semantic",
IF($O722="Kali-A", "True Search", IF($O722="kPAR", "True Pattern", IF($O722="Nopol", "True Semantic", IF($O722="RSRepair-A", "Evolutionary Search", IF($O722="SequenceR", "Deep Learning", IF($O722="SimFix", "Search Like Pattern", IF($O722="SketchFix", "True Pattern", IF($O722="SOFix", "True Pattern", IF($O722="ssFix", "Search Like Pattern", IF($O722="TBar", "True Pattern", ""))))))))))))))))))))</f>
        <v>True Pattern</v>
      </c>
      <c r="Q722" s="13" t="str">
        <f>IF(NOT(ISERR(SEARCH("*_Buggy",$A722))), "Buggy", IF(NOT(ISERR(SEARCH("*_Fixed",$A722))), "Fixed", IF(NOT(ISERR(SEARCH("*_Repaired",$A722))), "Repaired", "")))</f>
        <v>Fixed</v>
      </c>
      <c r="R722" s="13" t="s">
        <v>1668</v>
      </c>
      <c r="S722" s="25">
        <v>1</v>
      </c>
      <c r="T722" s="25">
        <v>1</v>
      </c>
      <c r="U722" s="25">
        <v>1</v>
      </c>
      <c r="V722" s="13">
        <v>1</v>
      </c>
      <c r="W722" s="13" t="str">
        <f>MID(A722, SEARCH("_", A722) +1, SEARCH("_", A722, SEARCH("_", A722) +1) - SEARCH("_", A722) -1)</f>
        <v>Math-57</v>
      </c>
      <c r="Y722" s="1" t="str">
        <f t="shared" si="12"/>
        <v>NO</v>
      </c>
      <c r="Z722" s="1" t="str">
        <f t="shared" si="13"/>
        <v>NO</v>
      </c>
      <c r="AA722" t="str">
        <f>IF(AND(S722&gt;1,S1247&gt;1,S722=V722,S1247=V1247), "YES", "NO")</f>
        <v>NO</v>
      </c>
      <c r="AB722" t="str">
        <f>IF(AND(S722&gt;1,S1247&gt;1,S722&lt;V722,S1247&lt;V1247), "YES", "NO")</f>
        <v>NO</v>
      </c>
      <c r="AC722" t="str">
        <f t="shared" si="14"/>
        <v>YES</v>
      </c>
      <c r="AD722" t="str">
        <f t="shared" si="15"/>
        <v>NO</v>
      </c>
      <c r="AE722" t="str">
        <f t="shared" si="16"/>
        <v>YES</v>
      </c>
      <c r="AF722" t="str">
        <f t="shared" si="17"/>
        <v>NO</v>
      </c>
    </row>
    <row r="723" spans="1:32" ht="15" x14ac:dyDescent="0.35">
      <c r="A723" s="5" t="s">
        <v>763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>LEFT($A723,FIND("_",$A723)-1)</f>
        <v>FixMiner</v>
      </c>
      <c r="P723" s="13" t="str">
        <f>IF($O723="ACS", "True Search", IF($O723="Arja", "Evolutionary Search", IF($O723="AVATAR", "True Pattern", IF($O723="CapGen", "Search Like Pattern", IF($O723="Cardumen", "True Semantic", IF($O723="DynaMoth", "True Semantic", IF($O723="FixMiner", "True Pattern", IF($O723="GenProg-A", "Evolutionary Search", IF($O723="Hercules", "Learning Pattern", IF($O723="Jaid", "True Semantic",
IF($O723="Kali-A", "True Search", IF($O723="kPAR", "True Pattern", IF($O723="Nopol", "True Semantic", IF($O723="RSRepair-A", "Evolutionary Search", IF($O723="SequenceR", "Deep Learning", IF($O723="SimFix", "Search Like Pattern", IF($O723="SketchFix", "True Pattern", IF($O723="SOFix", "True Pattern", IF($O723="ssFix", "Search Like Pattern", IF($O723="TBar", "True Pattern", ""))))))))))))))))))))</f>
        <v>True Pattern</v>
      </c>
      <c r="Q723" s="13" t="str">
        <f>IF(NOT(ISERR(SEARCH("*_Buggy",$A723))), "Buggy", IF(NOT(ISERR(SEARCH("*_Fixed",$A723))), "Fixed", IF(NOT(ISERR(SEARCH("*_Repaired",$A723))), "Repaired", "")))</f>
        <v>Fixed</v>
      </c>
      <c r="R723" s="13" t="s">
        <v>1669</v>
      </c>
      <c r="S723" s="25">
        <v>1</v>
      </c>
      <c r="T723" s="25">
        <v>1</v>
      </c>
      <c r="U723" s="25">
        <v>1</v>
      </c>
      <c r="V723" s="13">
        <v>1</v>
      </c>
      <c r="W723" s="13" t="str">
        <f>MID(A723, SEARCH("_", A723) +1, SEARCH("_", A723, SEARCH("_", A723) +1) - SEARCH("_", A723) -1)</f>
        <v>Math-63</v>
      </c>
      <c r="Y723" s="1" t="str">
        <f t="shared" si="12"/>
        <v>NO</v>
      </c>
      <c r="Z723" s="1" t="str">
        <f t="shared" si="13"/>
        <v>NO</v>
      </c>
      <c r="AA723" t="str">
        <f>IF(AND(S723&gt;1,S1248&gt;1,S723=V723,S1248=V1248), "YES", "NO")</f>
        <v>NO</v>
      </c>
      <c r="AB723" t="str">
        <f>IF(AND(S723&gt;1,S1248&gt;1,S723&lt;V723,S1248&lt;V1248), "YES", "NO")</f>
        <v>NO</v>
      </c>
      <c r="AC723" t="str">
        <f t="shared" si="14"/>
        <v>YES</v>
      </c>
      <c r="AD723" t="str">
        <f t="shared" si="15"/>
        <v>NO</v>
      </c>
      <c r="AE723" t="str">
        <f t="shared" si="16"/>
        <v>YES</v>
      </c>
      <c r="AF723" t="str">
        <f t="shared" si="17"/>
        <v>NO</v>
      </c>
    </row>
    <row r="724" spans="1:32" ht="15" x14ac:dyDescent="0.35">
      <c r="A724" s="5" t="s">
        <v>137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>LEFT($A724,FIND("_",$A724)-1)</f>
        <v>FixMiner</v>
      </c>
      <c r="P724" s="13" t="str">
        <f>IF($O724="ACS", "True Search", IF($O724="Arja", "Evolutionary Search", IF($O724="AVATAR", "True Pattern", IF($O724="CapGen", "Search Like Pattern", IF($O724="Cardumen", "True Semantic", IF($O724="DynaMoth", "True Semantic", IF($O724="FixMiner", "True Pattern", IF($O724="GenProg-A", "Evolutionary Search", IF($O724="Hercules", "Learning Pattern", IF($O724="Jaid", "True Semantic",
IF($O724="Kali-A", "True Search", IF($O724="kPAR", "True Pattern", IF($O724="Nopol", "True Semantic", IF($O724="RSRepair-A", "Evolutionary Search", IF($O724="SequenceR", "Deep Learning", IF($O724="SimFix", "Search Like Pattern", IF($O724="SketchFix", "True Pattern", IF($O724="SOFix", "True Pattern", IF($O724="ssFix", "Search Like Pattern", IF($O724="TBar", "True Pattern", ""))))))))))))))))))))</f>
        <v>True Pattern</v>
      </c>
      <c r="Q724" s="13" t="str">
        <f>IF(NOT(ISERR(SEARCH("*_Buggy",$A724))), "Buggy", IF(NOT(ISERR(SEARCH("*_Fixed",$A724))), "Fixed", IF(NOT(ISERR(SEARCH("*_Repaired",$A724))), "Repaired", "")))</f>
        <v>Fixed</v>
      </c>
      <c r="R724" s="13" t="s">
        <v>1669</v>
      </c>
      <c r="S724" s="25">
        <v>13</v>
      </c>
      <c r="T724" s="25">
        <v>22</v>
      </c>
      <c r="U724" s="25">
        <v>8</v>
      </c>
      <c r="V724" s="13">
        <v>27</v>
      </c>
      <c r="W724" s="13" t="str">
        <f>MID(A724, SEARCH("_", A724) +1, SEARCH("_", A724, SEARCH("_", A724) +1) - SEARCH("_", A724) -1)</f>
        <v>Math-64</v>
      </c>
      <c r="Y724" s="1" t="str">
        <f t="shared" si="12"/>
        <v>NO</v>
      </c>
      <c r="Z724" s="1" t="str">
        <f t="shared" si="13"/>
        <v>YES</v>
      </c>
      <c r="AA724" t="str">
        <f>IF(AND(S724&gt;1,S1249&gt;1,S724=V724,S1249=V1249), "YES", "NO")</f>
        <v>NO</v>
      </c>
      <c r="AB724" t="str">
        <f>IF(AND(S724&gt;1,S1249&gt;1,S724&lt;V724,S1249&lt;V1249), "YES", "NO")</f>
        <v>YES</v>
      </c>
      <c r="AC724" t="str">
        <f t="shared" si="14"/>
        <v>NO</v>
      </c>
      <c r="AD724" t="str">
        <f t="shared" si="15"/>
        <v>NO</v>
      </c>
      <c r="AE724" t="str">
        <f t="shared" si="16"/>
        <v>NO</v>
      </c>
      <c r="AF724" t="str">
        <f t="shared" si="17"/>
        <v>YES</v>
      </c>
    </row>
    <row r="725" spans="1:32" ht="15" x14ac:dyDescent="0.35">
      <c r="A725" s="5" t="s">
        <v>487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>LEFT($A725,FIND("_",$A725)-1)</f>
        <v>FixMiner</v>
      </c>
      <c r="P725" s="13" t="str">
        <f>IF($O725="ACS", "True Search", IF($O725="Arja", "Evolutionary Search", IF($O725="AVATAR", "True Pattern", IF($O725="CapGen", "Search Like Pattern", IF($O725="Cardumen", "True Semantic", IF($O725="DynaMoth", "True Semantic", IF($O725="FixMiner", "True Pattern", IF($O725="GenProg-A", "Evolutionary Search", IF($O725="Hercules", "Learning Pattern", IF($O725="Jaid", "True Semantic",
IF($O725="Kali-A", "True Search", IF($O725="kPAR", "True Pattern", IF($O725="Nopol", "True Semantic", IF($O725="RSRepair-A", "Evolutionary Search", IF($O725="SequenceR", "Deep Learning", IF($O725="SimFix", "Search Like Pattern", IF($O725="SketchFix", "True Pattern", IF($O725="SOFix", "True Pattern", IF($O725="ssFix", "Search Like Pattern", IF($O725="TBar", "True Pattern", ""))))))))))))))))))))</f>
        <v>True Pattern</v>
      </c>
      <c r="Q725" s="13" t="str">
        <f>IF(NOT(ISERR(SEARCH("*_Buggy",$A725))), "Buggy", IF(NOT(ISERR(SEARCH("*_Fixed",$A725))), "Fixed", IF(NOT(ISERR(SEARCH("*_Repaired",$A725))), "Repaired", "")))</f>
        <v>Fixed</v>
      </c>
      <c r="R725" s="13" t="s">
        <v>1669</v>
      </c>
      <c r="S725" s="25">
        <v>9</v>
      </c>
      <c r="T725" s="25">
        <v>12</v>
      </c>
      <c r="U725" s="25">
        <v>2</v>
      </c>
      <c r="V725" s="13">
        <v>12</v>
      </c>
      <c r="W725" s="13" t="str">
        <f>MID(A725, SEARCH("_", A725) +1, SEARCH("_", A725, SEARCH("_", A725) +1) - SEARCH("_", A725) -1)</f>
        <v>Math-68</v>
      </c>
      <c r="Y725" s="1" t="str">
        <f t="shared" si="12"/>
        <v>NO</v>
      </c>
      <c r="Z725" s="1" t="str">
        <f t="shared" si="13"/>
        <v>YES</v>
      </c>
      <c r="AA725" t="str">
        <f>IF(AND(S725&gt;1,S1250&gt;1,S725=V725,S1250=V1250), "YES", "NO")</f>
        <v>NO</v>
      </c>
      <c r="AB725" t="str">
        <f>IF(AND(S725&gt;1,S1250&gt;1,S725&lt;V725,S1250&lt;V1250), "YES", "NO")</f>
        <v>YES</v>
      </c>
      <c r="AC725" t="str">
        <f t="shared" si="14"/>
        <v>NO</v>
      </c>
      <c r="AD725" t="str">
        <f t="shared" si="15"/>
        <v>NO</v>
      </c>
      <c r="AE725" t="str">
        <f t="shared" si="16"/>
        <v>NO</v>
      </c>
      <c r="AF725" t="str">
        <f t="shared" si="17"/>
        <v>YES</v>
      </c>
    </row>
    <row r="726" spans="1:32" ht="15" x14ac:dyDescent="0.35">
      <c r="A726" s="5" t="s">
        <v>985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>LEFT($A726,FIND("_",$A726)-1)</f>
        <v>FixMiner</v>
      </c>
      <c r="P726" s="13" t="str">
        <f>IF($O726="ACS", "True Search", IF($O726="Arja", "Evolutionary Search", IF($O726="AVATAR", "True Pattern", IF($O726="CapGen", "Search Like Pattern", IF($O726="Cardumen", "True Semantic", IF($O726="DynaMoth", "True Semantic", IF($O726="FixMiner", "True Pattern", IF($O726="GenProg-A", "Evolutionary Search", IF($O726="Hercules", "Learning Pattern", IF($O726="Jaid", "True Semantic",
IF($O726="Kali-A", "True Search", IF($O726="kPAR", "True Pattern", IF($O726="Nopol", "True Semantic", IF($O726="RSRepair-A", "Evolutionary Search", IF($O726="SequenceR", "Deep Learning", IF($O726="SimFix", "Search Like Pattern", IF($O726="SketchFix", "True Pattern", IF($O726="SOFix", "True Pattern", IF($O726="ssFix", "Search Like Pattern", IF($O726="TBar", "True Pattern", ""))))))))))))))))))))</f>
        <v>True Pattern</v>
      </c>
      <c r="Q726" s="13" t="str">
        <f>IF(NOT(ISERR(SEARCH("*_Buggy",$A726))), "Buggy", IF(NOT(ISERR(SEARCH("*_Fixed",$A726))), "Fixed", IF(NOT(ISERR(SEARCH("*_Repaired",$A726))), "Repaired", "")))</f>
        <v>Fixed</v>
      </c>
      <c r="R726" s="13" t="s">
        <v>1668</v>
      </c>
      <c r="S726" s="25">
        <v>1</v>
      </c>
      <c r="T726" s="25">
        <v>1</v>
      </c>
      <c r="U726" s="25">
        <v>1</v>
      </c>
      <c r="V726" s="13">
        <v>1</v>
      </c>
      <c r="W726" s="13" t="str">
        <f>MID(A726, SEARCH("_", A726) +1, SEARCH("_", A726, SEARCH("_", A726) +1) - SEARCH("_", A726) -1)</f>
        <v>Math-70</v>
      </c>
      <c r="Y726" s="1" t="str">
        <f t="shared" si="12"/>
        <v>NO</v>
      </c>
      <c r="Z726" s="1" t="str">
        <f t="shared" si="13"/>
        <v>NO</v>
      </c>
      <c r="AA726" t="str">
        <f>IF(AND(S726&gt;1,S1251&gt;1,S726=V726,S1251=V1251), "YES", "NO")</f>
        <v>NO</v>
      </c>
      <c r="AB726" t="str">
        <f>IF(AND(S726&gt;1,S1251&gt;1,S726&lt;V726,S1251&lt;V1251), "YES", "NO")</f>
        <v>NO</v>
      </c>
      <c r="AC726" t="str">
        <f t="shared" si="14"/>
        <v>YES</v>
      </c>
      <c r="AD726" t="str">
        <f t="shared" si="15"/>
        <v>NO</v>
      </c>
      <c r="AE726" t="str">
        <f t="shared" si="16"/>
        <v>YES</v>
      </c>
      <c r="AF726" t="str">
        <f t="shared" si="17"/>
        <v>NO</v>
      </c>
    </row>
    <row r="727" spans="1:32" ht="15" x14ac:dyDescent="0.35">
      <c r="A727" s="7" t="s">
        <v>459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>LEFT($A727,FIND("_",$A727)-1)</f>
        <v>FixMiner</v>
      </c>
      <c r="P727" s="13" t="str">
        <f>IF($O727="ACS", "True Search", IF($O727="Arja", "Evolutionary Search", IF($O727="AVATAR", "True Pattern", IF($O727="CapGen", "Search Like Pattern", IF($O727="Cardumen", "True Semantic", IF($O727="DynaMoth", "True Semantic", IF($O727="FixMiner", "True Pattern", IF($O727="GenProg-A", "Evolutionary Search", IF($O727="Hercules", "Learning Pattern", IF($O727="Jaid", "True Semantic",
IF($O727="Kali-A", "True Search", IF($O727="kPAR", "True Pattern", IF($O727="Nopol", "True Semantic", IF($O727="RSRepair-A", "Evolutionary Search", IF($O727="SequenceR", "Deep Learning", IF($O727="SimFix", "Search Like Pattern", IF($O727="SketchFix", "True Pattern", IF($O727="SOFix", "True Pattern", IF($O727="ssFix", "Search Like Pattern", IF($O727="TBar", "True Pattern", ""))))))))))))))))))))</f>
        <v>True Pattern</v>
      </c>
      <c r="Q727" s="13" t="str">
        <f>IF(NOT(ISERR(SEARCH("*_Buggy",$A727))), "Buggy", IF(NOT(ISERR(SEARCH("*_Fixed",$A727))), "Fixed", IF(NOT(ISERR(SEARCH("*_Repaired",$A727))), "Repaired", "")))</f>
        <v>Fixed</v>
      </c>
      <c r="R727" s="13" t="s">
        <v>1668</v>
      </c>
      <c r="S727" s="25">
        <v>1</v>
      </c>
      <c r="T727" s="25">
        <v>1</v>
      </c>
      <c r="U727" s="25">
        <v>1</v>
      </c>
      <c r="V727" s="13">
        <v>1</v>
      </c>
      <c r="W727" s="13" t="str">
        <f>MID(A727, SEARCH("_", A727) +1, SEARCH("_", A727, SEARCH("_", A727) +1) - SEARCH("_", A727) -1)</f>
        <v>Math-75</v>
      </c>
      <c r="Y727" s="1" t="str">
        <f t="shared" si="12"/>
        <v>NO</v>
      </c>
      <c r="Z727" s="1" t="str">
        <f t="shared" si="13"/>
        <v>NO</v>
      </c>
      <c r="AA727" t="str">
        <f>IF(AND(S727&gt;1,S1252&gt;1,S727=V727,S1252=V1252), "YES", "NO")</f>
        <v>NO</v>
      </c>
      <c r="AB727" t="str">
        <f>IF(AND(S727&gt;1,S1252&gt;1,S727&lt;V727,S1252&lt;V1252), "YES", "NO")</f>
        <v>NO</v>
      </c>
      <c r="AC727" t="str">
        <f t="shared" si="14"/>
        <v>YES</v>
      </c>
      <c r="AD727" t="str">
        <f t="shared" si="15"/>
        <v>NO</v>
      </c>
      <c r="AE727" t="str">
        <f t="shared" si="16"/>
        <v>YES</v>
      </c>
      <c r="AF727" t="str">
        <f t="shared" si="17"/>
        <v>NO</v>
      </c>
    </row>
    <row r="728" spans="1:32" ht="15" x14ac:dyDescent="0.35">
      <c r="A728" s="7" t="s">
        <v>800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>LEFT($A728,FIND("_",$A728)-1)</f>
        <v>FixMiner</v>
      </c>
      <c r="P728" s="13" t="str">
        <f>IF($O728="ACS", "True Search", IF($O728="Arja", "Evolutionary Search", IF($O728="AVATAR", "True Pattern", IF($O728="CapGen", "Search Like Pattern", IF($O728="Cardumen", "True Semantic", IF($O728="DynaMoth", "True Semantic", IF($O728="FixMiner", "True Pattern", IF($O728="GenProg-A", "Evolutionary Search", IF($O728="Hercules", "Learning Pattern", IF($O728="Jaid", "True Semantic",
IF($O728="Kali-A", "True Search", IF($O728="kPAR", "True Pattern", IF($O728="Nopol", "True Semantic", IF($O728="RSRepair-A", "Evolutionary Search", IF($O728="SequenceR", "Deep Learning", IF($O728="SimFix", "Search Like Pattern", IF($O728="SketchFix", "True Pattern", IF($O728="SOFix", "True Pattern", IF($O728="ssFix", "Search Like Pattern", IF($O728="TBar", "True Pattern", ""))))))))))))))))))))</f>
        <v>True Pattern</v>
      </c>
      <c r="Q728" s="13" t="str">
        <f>IF(NOT(ISERR(SEARCH("*_Buggy",$A728))), "Buggy", IF(NOT(ISERR(SEARCH("*_Fixed",$A728))), "Fixed", IF(NOT(ISERR(SEARCH("*_Repaired",$A728))), "Repaired", "")))</f>
        <v>Fixed</v>
      </c>
      <c r="R728" s="13" t="s">
        <v>1668</v>
      </c>
      <c r="S728" s="25">
        <v>2</v>
      </c>
      <c r="T728" s="25">
        <v>2</v>
      </c>
      <c r="U728" s="25">
        <v>2</v>
      </c>
      <c r="V728" s="13">
        <v>2</v>
      </c>
      <c r="W728" s="13" t="str">
        <f>MID(A728, SEARCH("_", A728) +1, SEARCH("_", A728, SEARCH("_", A728) +1) - SEARCH("_", A728) -1)</f>
        <v>Math-79</v>
      </c>
      <c r="Y728" s="1" t="str">
        <f t="shared" si="12"/>
        <v>YES</v>
      </c>
      <c r="Z728" s="1" t="str">
        <f t="shared" si="13"/>
        <v>NO</v>
      </c>
      <c r="AA728" t="str">
        <f>IF(AND(S728&gt;1,S1253&gt;1,S728=V728,S1253=V1253), "YES", "NO")</f>
        <v>YES</v>
      </c>
      <c r="AB728" t="str">
        <f>IF(AND(S728&gt;1,S1253&gt;1,S728&lt;V728,S1253&lt;V1253), "YES", "NO")</f>
        <v>NO</v>
      </c>
      <c r="AC728" t="str">
        <f t="shared" si="14"/>
        <v>NO</v>
      </c>
      <c r="AD728" t="str">
        <f t="shared" si="15"/>
        <v>NO</v>
      </c>
      <c r="AE728" t="str">
        <f t="shared" si="16"/>
        <v>NO</v>
      </c>
      <c r="AF728" t="str">
        <f t="shared" si="17"/>
        <v>YES</v>
      </c>
    </row>
    <row r="729" spans="1:32" ht="15" x14ac:dyDescent="0.35">
      <c r="A729" s="5" t="s">
        <v>528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>LEFT($A729,FIND("_",$A729)-1)</f>
        <v>FixMiner</v>
      </c>
      <c r="P729" s="13" t="str">
        <f>IF($O729="ACS", "True Search", IF($O729="Arja", "Evolutionary Search", IF($O729="AVATAR", "True Pattern", IF($O729="CapGen", "Search Like Pattern", IF($O729="Cardumen", "True Semantic", IF($O729="DynaMoth", "True Semantic", IF($O729="FixMiner", "True Pattern", IF($O729="GenProg-A", "Evolutionary Search", IF($O729="Hercules", "Learning Pattern", IF($O729="Jaid", "True Semantic",
IF($O729="Kali-A", "True Search", IF($O729="kPAR", "True Pattern", IF($O729="Nopol", "True Semantic", IF($O729="RSRepair-A", "Evolutionary Search", IF($O729="SequenceR", "Deep Learning", IF($O729="SimFix", "Search Like Pattern", IF($O729="SketchFix", "True Pattern", IF($O729="SOFix", "True Pattern", IF($O729="ssFix", "Search Like Pattern", IF($O729="TBar", "True Pattern", ""))))))))))))))))))))</f>
        <v>True Pattern</v>
      </c>
      <c r="Q729" s="13" t="str">
        <f>IF(NOT(ISERR(SEARCH("*_Buggy",$A729))), "Buggy", IF(NOT(ISERR(SEARCH("*_Fixed",$A729))), "Fixed", IF(NOT(ISERR(SEARCH("*_Repaired",$A729))), "Repaired", "")))</f>
        <v>Fixed</v>
      </c>
      <c r="R729" s="13" t="s">
        <v>1669</v>
      </c>
      <c r="S729" s="25">
        <v>1</v>
      </c>
      <c r="T729" s="25">
        <v>1</v>
      </c>
      <c r="U729" s="25">
        <v>1</v>
      </c>
      <c r="V729" s="13">
        <v>1</v>
      </c>
      <c r="W729" s="13" t="str">
        <f>MID(A729, SEARCH("_", A729) +1, SEARCH("_", A729, SEARCH("_", A729) +1) - SEARCH("_", A729) -1)</f>
        <v>Math-80</v>
      </c>
      <c r="Y729" s="1" t="str">
        <f t="shared" si="12"/>
        <v>NO</v>
      </c>
      <c r="Z729" s="1" t="str">
        <f t="shared" si="13"/>
        <v>NO</v>
      </c>
      <c r="AA729" t="str">
        <f>IF(AND(S729&gt;1,S1254&gt;1,S729=V729,S1254=V1254), "YES", "NO")</f>
        <v>NO</v>
      </c>
      <c r="AB729" t="str">
        <f>IF(AND(S729&gt;1,S1254&gt;1,S729&lt;V729,S1254&lt;V1254), "YES", "NO")</f>
        <v>NO</v>
      </c>
      <c r="AC729" t="str">
        <f t="shared" si="14"/>
        <v>YES</v>
      </c>
      <c r="AD729" t="str">
        <f t="shared" si="15"/>
        <v>NO</v>
      </c>
      <c r="AE729" t="str">
        <f t="shared" si="16"/>
        <v>YES</v>
      </c>
      <c r="AF729" t="str">
        <f t="shared" si="17"/>
        <v>NO</v>
      </c>
    </row>
    <row r="730" spans="1:32" ht="15" x14ac:dyDescent="0.35">
      <c r="A730" s="5" t="s">
        <v>999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>LEFT($A730,FIND("_",$A730)-1)</f>
        <v>FixMiner</v>
      </c>
      <c r="P730" s="13" t="str">
        <f>IF($O730="ACS", "True Search", IF($O730="Arja", "Evolutionary Search", IF($O730="AVATAR", "True Pattern", IF($O730="CapGen", "Search Like Pattern", IF($O730="Cardumen", "True Semantic", IF($O730="DynaMoth", "True Semantic", IF($O730="FixMiner", "True Pattern", IF($O730="GenProg-A", "Evolutionary Search", IF($O730="Hercules", "Learning Pattern", IF($O730="Jaid", "True Semantic",
IF($O730="Kali-A", "True Search", IF($O730="kPAR", "True Pattern", IF($O730="Nopol", "True Semantic", IF($O730="RSRepair-A", "Evolutionary Search", IF($O730="SequenceR", "Deep Learning", IF($O730="SimFix", "Search Like Pattern", IF($O730="SketchFix", "True Pattern", IF($O730="SOFix", "True Pattern", IF($O730="ssFix", "Search Like Pattern", IF($O730="TBar", "True Pattern", ""))))))))))))))))))))</f>
        <v>True Pattern</v>
      </c>
      <c r="Q730" s="13" t="str">
        <f>IF(NOT(ISERR(SEARCH("*_Buggy",$A730))), "Buggy", IF(NOT(ISERR(SEARCH("*_Fixed",$A730))), "Fixed", IF(NOT(ISERR(SEARCH("*_Repaired",$A730))), "Repaired", "")))</f>
        <v>Fixed</v>
      </c>
      <c r="R730" s="13" t="s">
        <v>1669</v>
      </c>
      <c r="S730" s="25">
        <v>3</v>
      </c>
      <c r="T730" s="25">
        <v>4</v>
      </c>
      <c r="U730" s="25">
        <v>3</v>
      </c>
      <c r="V730" s="13">
        <v>4</v>
      </c>
      <c r="W730" s="13" t="str">
        <f>MID(A730, SEARCH("_", A730) +1, SEARCH("_", A730, SEARCH("_", A730) +1) - SEARCH("_", A730) -1)</f>
        <v>Math-81</v>
      </c>
      <c r="Y730" s="1" t="str">
        <f t="shared" si="12"/>
        <v>NO</v>
      </c>
      <c r="Z730" s="1" t="str">
        <f t="shared" si="13"/>
        <v>YES</v>
      </c>
      <c r="AA730" t="str">
        <f>IF(AND(S730&gt;1,S1255&gt;1,S730=V730,S1255=V1255), "YES", "NO")</f>
        <v>NO</v>
      </c>
      <c r="AB730" t="str">
        <f>IF(AND(S730&gt;1,S1255&gt;1,S730&lt;V730,S1255&lt;V1255), "YES", "NO")</f>
        <v>NO</v>
      </c>
      <c r="AC730" t="str">
        <f t="shared" si="14"/>
        <v>NO</v>
      </c>
      <c r="AD730" t="str">
        <f t="shared" si="15"/>
        <v>NO</v>
      </c>
      <c r="AE730" t="str">
        <f t="shared" si="16"/>
        <v>NO</v>
      </c>
      <c r="AF730" t="str">
        <f t="shared" si="17"/>
        <v>NO</v>
      </c>
    </row>
    <row r="731" spans="1:32" ht="15" x14ac:dyDescent="0.35">
      <c r="A731" s="7" t="s">
        <v>688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>LEFT($A731,FIND("_",$A731)-1)</f>
        <v>FixMiner</v>
      </c>
      <c r="P731" s="13" t="str">
        <f>IF($O731="ACS", "True Search", IF($O731="Arja", "Evolutionary Search", IF($O731="AVATAR", "True Pattern", IF($O731="CapGen", "Search Like Pattern", IF($O731="Cardumen", "True Semantic", IF($O731="DynaMoth", "True Semantic", IF($O731="FixMiner", "True Pattern", IF($O731="GenProg-A", "Evolutionary Search", IF($O731="Hercules", "Learning Pattern", IF($O731="Jaid", "True Semantic",
IF($O731="Kali-A", "True Search", IF($O731="kPAR", "True Pattern", IF($O731="Nopol", "True Semantic", IF($O731="RSRepair-A", "Evolutionary Search", IF($O731="SequenceR", "Deep Learning", IF($O731="SimFix", "Search Like Pattern", IF($O731="SketchFix", "True Pattern", IF($O731="SOFix", "True Pattern", IF($O731="ssFix", "Search Like Pattern", IF($O731="TBar", "True Pattern", ""))))))))))))))))))))</f>
        <v>True Pattern</v>
      </c>
      <c r="Q731" s="13" t="str">
        <f>IF(NOT(ISERR(SEARCH("*_Buggy",$A731))), "Buggy", IF(NOT(ISERR(SEARCH("*_Fixed",$A731))), "Fixed", IF(NOT(ISERR(SEARCH("*_Repaired",$A731))), "Repaired", "")))</f>
        <v>Fixed</v>
      </c>
      <c r="R731" s="13" t="s">
        <v>1668</v>
      </c>
      <c r="S731" s="25">
        <v>1</v>
      </c>
      <c r="T731" s="25">
        <v>1</v>
      </c>
      <c r="U731" s="25">
        <v>1</v>
      </c>
      <c r="V731" s="13">
        <v>1</v>
      </c>
      <c r="W731" s="13" t="str">
        <f>MID(A731, SEARCH("_", A731) +1, SEARCH("_", A731, SEARCH("_", A731) +1) - SEARCH("_", A731) -1)</f>
        <v>Math-82</v>
      </c>
      <c r="Y731" s="1" t="str">
        <f t="shared" si="12"/>
        <v>NO</v>
      </c>
      <c r="Z731" s="1" t="str">
        <f t="shared" si="13"/>
        <v>NO</v>
      </c>
      <c r="AA731" t="str">
        <f>IF(AND(S731&gt;1,S1256&gt;1,S731=V731,S1256=V1256), "YES", "NO")</f>
        <v>NO</v>
      </c>
      <c r="AB731" t="str">
        <f>IF(AND(S731&gt;1,S1256&gt;1,S731&lt;V731,S1256&lt;V1256), "YES", "NO")</f>
        <v>NO</v>
      </c>
      <c r="AC731" t="str">
        <f t="shared" si="14"/>
        <v>YES</v>
      </c>
      <c r="AD731" t="str">
        <f t="shared" si="15"/>
        <v>NO</v>
      </c>
      <c r="AE731" t="str">
        <f t="shared" si="16"/>
        <v>YES</v>
      </c>
      <c r="AF731" t="str">
        <f t="shared" si="17"/>
        <v>NO</v>
      </c>
    </row>
    <row r="732" spans="1:32" ht="15" x14ac:dyDescent="0.35">
      <c r="A732" s="7" t="s">
        <v>63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>LEFT($A732,FIND("_",$A732)-1)</f>
        <v>FixMiner</v>
      </c>
      <c r="P732" s="13" t="str">
        <f>IF($O732="ACS", "True Search", IF($O732="Arja", "Evolutionary Search", IF($O732="AVATAR", "True Pattern", IF($O732="CapGen", "Search Like Pattern", IF($O732="Cardumen", "True Semantic", IF($O732="DynaMoth", "True Semantic", IF($O732="FixMiner", "True Pattern", IF($O732="GenProg-A", "Evolutionary Search", IF($O732="Hercules", "Learning Pattern", IF($O732="Jaid", "True Semantic",
IF($O732="Kali-A", "True Search", IF($O732="kPAR", "True Pattern", IF($O732="Nopol", "True Semantic", IF($O732="RSRepair-A", "Evolutionary Search", IF($O732="SequenceR", "Deep Learning", IF($O732="SimFix", "Search Like Pattern", IF($O732="SketchFix", "True Pattern", IF($O732="SOFix", "True Pattern", IF($O732="ssFix", "Search Like Pattern", IF($O732="TBar", "True Pattern", ""))))))))))))))))))))</f>
        <v>True Pattern</v>
      </c>
      <c r="Q732" s="13" t="str">
        <f>IF(NOT(ISERR(SEARCH("*_Buggy",$A732))), "Buggy", IF(NOT(ISERR(SEARCH("*_Fixed",$A732))), "Fixed", IF(NOT(ISERR(SEARCH("*_Repaired",$A732))), "Repaired", "")))</f>
        <v>Fixed</v>
      </c>
      <c r="R732" s="13" t="s">
        <v>1669</v>
      </c>
      <c r="S732" s="25">
        <v>3</v>
      </c>
      <c r="T732" s="13">
        <v>9</v>
      </c>
      <c r="U732" s="25">
        <v>0</v>
      </c>
      <c r="V732" s="13">
        <v>9</v>
      </c>
      <c r="W732" s="13" t="str">
        <f>MID(A732, SEARCH("_", A732) +1, SEARCH("_", A732, SEARCH("_", A732) +1) - SEARCH("_", A732) -1)</f>
        <v>Math-84</v>
      </c>
      <c r="Y732" s="1" t="str">
        <f t="shared" si="12"/>
        <v>NO</v>
      </c>
      <c r="Z732" s="1" t="str">
        <f t="shared" si="13"/>
        <v>YES</v>
      </c>
      <c r="AA732" t="str">
        <f>IF(AND(S732&gt;1,S1257&gt;1,S732=V732,S1257=V1257), "YES", "NO")</f>
        <v>NO</v>
      </c>
      <c r="AB732" t="str">
        <f>IF(AND(S732&gt;1,S1257&gt;1,S732&lt;V732,S1257&lt;V1257), "YES", "NO")</f>
        <v>NO</v>
      </c>
      <c r="AC732" t="str">
        <f t="shared" si="14"/>
        <v>NO</v>
      </c>
      <c r="AD732" t="str">
        <f t="shared" si="15"/>
        <v>NO</v>
      </c>
      <c r="AE732" t="str">
        <f t="shared" si="16"/>
        <v>NO</v>
      </c>
      <c r="AF732" t="str">
        <f t="shared" si="17"/>
        <v>NO</v>
      </c>
    </row>
    <row r="733" spans="1:32" ht="15" x14ac:dyDescent="0.35">
      <c r="A733" s="5" t="s">
        <v>1076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>LEFT($A733,FIND("_",$A733)-1)</f>
        <v>FixMiner</v>
      </c>
      <c r="P733" s="13" t="str">
        <f>IF($O733="ACS", "True Search", IF($O733="Arja", "Evolutionary Search", IF($O733="AVATAR", "True Pattern", IF($O733="CapGen", "Search Like Pattern", IF($O733="Cardumen", "True Semantic", IF($O733="DynaMoth", "True Semantic", IF($O733="FixMiner", "True Pattern", IF($O733="GenProg-A", "Evolutionary Search", IF($O733="Hercules", "Learning Pattern", IF($O733="Jaid", "True Semantic",
IF($O733="Kali-A", "True Search", IF($O733="kPAR", "True Pattern", IF($O733="Nopol", "True Semantic", IF($O733="RSRepair-A", "Evolutionary Search", IF($O733="SequenceR", "Deep Learning", IF($O733="SimFix", "Search Like Pattern", IF($O733="SketchFix", "True Pattern", IF($O733="SOFix", "True Pattern", IF($O733="ssFix", "Search Like Pattern", IF($O733="TBar", "True Pattern", ""))))))))))))))))))))</f>
        <v>True Pattern</v>
      </c>
      <c r="Q733" s="13" t="str">
        <f>IF(NOT(ISERR(SEARCH("*_Buggy",$A733))), "Buggy", IF(NOT(ISERR(SEARCH("*_Fixed",$A733))), "Fixed", IF(NOT(ISERR(SEARCH("*_Repaired",$A733))), "Repaired", "")))</f>
        <v>Fixed</v>
      </c>
      <c r="R733" s="13" t="s">
        <v>1668</v>
      </c>
      <c r="S733" s="25">
        <v>1</v>
      </c>
      <c r="T733" s="25">
        <v>1</v>
      </c>
      <c r="U733" s="25">
        <v>1</v>
      </c>
      <c r="V733" s="13">
        <v>1</v>
      </c>
      <c r="W733" s="13" t="str">
        <f>MID(A733, SEARCH("_", A733) +1, SEARCH("_", A733, SEARCH("_", A733) +1) - SEARCH("_", A733) -1)</f>
        <v>Math-85</v>
      </c>
      <c r="Y733" s="1" t="str">
        <f t="shared" si="12"/>
        <v>NO</v>
      </c>
      <c r="Z733" s="1" t="str">
        <f t="shared" si="13"/>
        <v>NO</v>
      </c>
      <c r="AA733" t="str">
        <f>IF(AND(S733&gt;1,S1258&gt;1,S733=V733,S1258=V1258), "YES", "NO")</f>
        <v>NO</v>
      </c>
      <c r="AB733" t="str">
        <f>IF(AND(S733&gt;1,S1258&gt;1,S733&lt;V733,S1258&lt;V1258), "YES", "NO")</f>
        <v>NO</v>
      </c>
      <c r="AC733" t="str">
        <f t="shared" si="14"/>
        <v>YES</v>
      </c>
      <c r="AD733" t="str">
        <f t="shared" si="15"/>
        <v>NO</v>
      </c>
      <c r="AE733" t="str">
        <f t="shared" si="16"/>
        <v>YES</v>
      </c>
      <c r="AF733" t="str">
        <f t="shared" si="17"/>
        <v>NO</v>
      </c>
    </row>
    <row r="734" spans="1:32" ht="15" x14ac:dyDescent="0.35">
      <c r="A734" s="7" t="s">
        <v>1047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>LEFT($A734,FIND("_",$A734)-1)</f>
        <v>FixMiner</v>
      </c>
      <c r="P734" s="13" t="str">
        <f>IF($O734="ACS", "True Search", IF($O734="Arja", "Evolutionary Search", IF($O734="AVATAR", "True Pattern", IF($O734="CapGen", "Search Like Pattern", IF($O734="Cardumen", "True Semantic", IF($O734="DynaMoth", "True Semantic", IF($O734="FixMiner", "True Pattern", IF($O734="GenProg-A", "Evolutionary Search", IF($O734="Hercules", "Learning Pattern", IF($O734="Jaid", "True Semantic",
IF($O734="Kali-A", "True Search", IF($O734="kPAR", "True Pattern", IF($O734="Nopol", "True Semantic", IF($O734="RSRepair-A", "Evolutionary Search", IF($O734="SequenceR", "Deep Learning", IF($O734="SimFix", "Search Like Pattern", IF($O734="SketchFix", "True Pattern", IF($O734="SOFix", "True Pattern", IF($O734="ssFix", "Search Like Pattern", IF($O734="TBar", "True Pattern", ""))))))))))))))))))))</f>
        <v>True Pattern</v>
      </c>
      <c r="Q734" s="13" t="str">
        <f>IF(NOT(ISERR(SEARCH("*_Buggy",$A734))), "Buggy", IF(NOT(ISERR(SEARCH("*_Fixed",$A734))), "Fixed", IF(NOT(ISERR(SEARCH("*_Repaired",$A734))), "Repaired", "")))</f>
        <v>Fixed</v>
      </c>
      <c r="R734" s="13" t="s">
        <v>1669</v>
      </c>
      <c r="S734" s="25">
        <v>4</v>
      </c>
      <c r="T734" s="25">
        <v>5</v>
      </c>
      <c r="U734" s="25">
        <v>6</v>
      </c>
      <c r="V734" s="13">
        <v>11</v>
      </c>
      <c r="W734" s="13" t="str">
        <f>MID(A734, SEARCH("_", A734) +1, SEARCH("_", A734, SEARCH("_", A734) +1) - SEARCH("_", A734) -1)</f>
        <v>Math-88</v>
      </c>
      <c r="Y734" s="1" t="str">
        <f t="shared" si="12"/>
        <v>NO</v>
      </c>
      <c r="Z734" s="1" t="str">
        <f t="shared" si="13"/>
        <v>YES</v>
      </c>
      <c r="AA734" t="str">
        <f>IF(AND(S734&gt;1,S1259&gt;1,S734=V734,S1259=V1259), "YES", "NO")</f>
        <v>NO</v>
      </c>
      <c r="AB734" t="str">
        <f>IF(AND(S734&gt;1,S1259&gt;1,S734&lt;V734,S1259&lt;V1259), "YES", "NO")</f>
        <v>NO</v>
      </c>
      <c r="AC734" t="str">
        <f t="shared" si="14"/>
        <v>NO</v>
      </c>
      <c r="AD734" t="str">
        <f t="shared" si="15"/>
        <v>NO</v>
      </c>
      <c r="AE734" t="str">
        <f t="shared" si="16"/>
        <v>NO</v>
      </c>
      <c r="AF734" t="str">
        <f t="shared" si="17"/>
        <v>NO</v>
      </c>
    </row>
    <row r="735" spans="1:32" ht="15" x14ac:dyDescent="0.35">
      <c r="A735" s="5" t="s">
        <v>538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>LEFT($A735,FIND("_",$A735)-1)</f>
        <v>FixMiner</v>
      </c>
      <c r="P735" s="13" t="str">
        <f>IF($O735="ACS", "True Search", IF($O735="Arja", "Evolutionary Search", IF($O735="AVATAR", "True Pattern", IF($O735="CapGen", "Search Like Pattern", IF($O735="Cardumen", "True Semantic", IF($O735="DynaMoth", "True Semantic", IF($O735="FixMiner", "True Pattern", IF($O735="GenProg-A", "Evolutionary Search", IF($O735="Hercules", "Learning Pattern", IF($O735="Jaid", "True Semantic",
IF($O735="Kali-A", "True Search", IF($O735="kPAR", "True Pattern", IF($O735="Nopol", "True Semantic", IF($O735="RSRepair-A", "Evolutionary Search", IF($O735="SequenceR", "Deep Learning", IF($O735="SimFix", "Search Like Pattern", IF($O735="SketchFix", "True Pattern", IF($O735="SOFix", "True Pattern", IF($O735="ssFix", "Search Like Pattern", IF($O735="TBar", "True Pattern", ""))))))))))))))))))))</f>
        <v>True Pattern</v>
      </c>
      <c r="Q735" s="13" t="str">
        <f>IF(NOT(ISERR(SEARCH("*_Buggy",$A735))), "Buggy", IF(NOT(ISERR(SEARCH("*_Fixed",$A735))), "Fixed", IF(NOT(ISERR(SEARCH("*_Repaired",$A735))), "Repaired", "")))</f>
        <v>Fixed</v>
      </c>
      <c r="R735" s="13" t="s">
        <v>1669</v>
      </c>
      <c r="S735" s="25">
        <v>3</v>
      </c>
      <c r="T735" s="25">
        <v>3</v>
      </c>
      <c r="U735" s="25">
        <v>1</v>
      </c>
      <c r="V735" s="13">
        <v>3</v>
      </c>
      <c r="W735" s="13" t="str">
        <f>MID(A735, SEARCH("_", A735) +1, SEARCH("_", A735, SEARCH("_", A735) +1) - SEARCH("_", A735) -1)</f>
        <v>Math-95</v>
      </c>
      <c r="Y735" s="1" t="str">
        <f t="shared" si="12"/>
        <v>YES</v>
      </c>
      <c r="Z735" s="1" t="str">
        <f t="shared" si="13"/>
        <v>NO</v>
      </c>
      <c r="AA735" t="str">
        <f>IF(AND(S735&gt;1,S1260&gt;1,S735=V735,S1260=V1260), "YES", "NO")</f>
        <v>NO</v>
      </c>
      <c r="AB735" t="str">
        <f>IF(AND(S735&gt;1,S1260&gt;1,S735&lt;V735,S1260&lt;V1260), "YES", "NO")</f>
        <v>NO</v>
      </c>
      <c r="AC735" t="str">
        <f t="shared" si="14"/>
        <v>NO</v>
      </c>
      <c r="AD735" t="str">
        <f t="shared" si="15"/>
        <v>NO</v>
      </c>
      <c r="AE735" t="str">
        <f t="shared" si="16"/>
        <v>NO</v>
      </c>
      <c r="AF735" t="str">
        <f t="shared" si="17"/>
        <v>NO</v>
      </c>
    </row>
    <row r="736" spans="1:32" ht="15" x14ac:dyDescent="0.35">
      <c r="A736" s="7" t="s">
        <v>633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>LEFT($A736,FIND("_",$A736)-1)</f>
        <v>FixMiner</v>
      </c>
      <c r="P736" s="13" t="str">
        <f>IF($O736="ACS", "True Search", IF($O736="Arja", "Evolutionary Search", IF($O736="AVATAR", "True Pattern", IF($O736="CapGen", "Search Like Pattern", IF($O736="Cardumen", "True Semantic", IF($O736="DynaMoth", "True Semantic", IF($O736="FixMiner", "True Pattern", IF($O736="GenProg-A", "Evolutionary Search", IF($O736="Hercules", "Learning Pattern", IF($O736="Jaid", "True Semantic",
IF($O736="Kali-A", "True Search", IF($O736="kPAR", "True Pattern", IF($O736="Nopol", "True Semantic", IF($O736="RSRepair-A", "Evolutionary Search", IF($O736="SequenceR", "Deep Learning", IF($O736="SimFix", "Search Like Pattern", IF($O736="SketchFix", "True Pattern", IF($O736="SOFix", "True Pattern", IF($O736="ssFix", "Search Like Pattern", IF($O736="TBar", "True Pattern", ""))))))))))))))))))))</f>
        <v>True Pattern</v>
      </c>
      <c r="Q736" s="13" t="str">
        <f>IF(NOT(ISERR(SEARCH("*_Buggy",$A736))), "Buggy", IF(NOT(ISERR(SEARCH("*_Fixed",$A736))), "Fixed", IF(NOT(ISERR(SEARCH("*_Repaired",$A736))), "Repaired", "")))</f>
        <v>Fixed</v>
      </c>
      <c r="R736" s="13" t="s">
        <v>1669</v>
      </c>
      <c r="S736" s="25">
        <v>5</v>
      </c>
      <c r="T736" s="25">
        <v>16</v>
      </c>
      <c r="U736" s="25">
        <v>2</v>
      </c>
      <c r="V736" s="13">
        <v>16</v>
      </c>
      <c r="W736" s="13" t="str">
        <f>MID(A736, SEARCH("_", A736) +1, SEARCH("_", A736, SEARCH("_", A736) +1) - SEARCH("_", A736) -1)</f>
        <v>Math-97</v>
      </c>
      <c r="Y736" s="1" t="str">
        <f t="shared" si="12"/>
        <v>NO</v>
      </c>
      <c r="Z736" s="1" t="str">
        <f t="shared" si="13"/>
        <v>YES</v>
      </c>
      <c r="AA736" t="str">
        <f>IF(AND(S736&gt;1,S1261&gt;1,S736=V736,S1261=V1261), "YES", "NO")</f>
        <v>NO</v>
      </c>
      <c r="AB736" t="str">
        <f>IF(AND(S736&gt;1,S1261&gt;1,S736&lt;V736,S1261&lt;V1261), "YES", "NO")</f>
        <v>NO</v>
      </c>
      <c r="AC736" t="str">
        <f t="shared" si="14"/>
        <v>NO</v>
      </c>
      <c r="AD736" t="str">
        <f t="shared" si="15"/>
        <v>NO</v>
      </c>
      <c r="AE736" t="str">
        <f t="shared" si="16"/>
        <v>NO</v>
      </c>
      <c r="AF736" t="str">
        <f t="shared" si="17"/>
        <v>NO</v>
      </c>
    </row>
    <row r="737" spans="1:32" ht="15" x14ac:dyDescent="0.35">
      <c r="A737" s="7" t="s">
        <v>1092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>LEFT($A737,FIND("_",$A737)-1)</f>
        <v>FixMiner</v>
      </c>
      <c r="P737" s="13" t="str">
        <f>IF($O737="ACS", "True Search", IF($O737="Arja", "Evolutionary Search", IF($O737="AVATAR", "True Pattern", IF($O737="CapGen", "Search Like Pattern", IF($O737="Cardumen", "True Semantic", IF($O737="DynaMoth", "True Semantic", IF($O737="FixMiner", "True Pattern", IF($O737="GenProg-A", "Evolutionary Search", IF($O737="Hercules", "Learning Pattern", IF($O737="Jaid", "True Semantic",
IF($O737="Kali-A", "True Search", IF($O737="kPAR", "True Pattern", IF($O737="Nopol", "True Semantic", IF($O737="RSRepair-A", "Evolutionary Search", IF($O737="SequenceR", "Deep Learning", IF($O737="SimFix", "Search Like Pattern", IF($O737="SketchFix", "True Pattern", IF($O737="SOFix", "True Pattern", IF($O737="ssFix", "Search Like Pattern", IF($O737="TBar", "True Pattern", ""))))))))))))))))))))</f>
        <v>True Pattern</v>
      </c>
      <c r="Q737" s="13" t="str">
        <f>IF(NOT(ISERR(SEARCH("*_Buggy",$A737))), "Buggy", IF(NOT(ISERR(SEARCH("*_Fixed",$A737))), "Fixed", IF(NOT(ISERR(SEARCH("*_Repaired",$A737))), "Repaired", "")))</f>
        <v>Fixed</v>
      </c>
      <c r="R737" s="13" t="s">
        <v>1668</v>
      </c>
      <c r="S737" s="25">
        <v>1</v>
      </c>
      <c r="T737" s="25">
        <v>1</v>
      </c>
      <c r="U737" s="25">
        <v>1</v>
      </c>
      <c r="V737" s="13">
        <v>1</v>
      </c>
      <c r="W737" s="13" t="str">
        <f>MID(A737, SEARCH("_", A737) +1, SEARCH("_", A737, SEARCH("_", A737) +1) - SEARCH("_", A737) -1)</f>
        <v>Mockito-29</v>
      </c>
      <c r="Y737" s="1" t="str">
        <f t="shared" si="12"/>
        <v>NO</v>
      </c>
      <c r="Z737" s="1" t="str">
        <f t="shared" si="13"/>
        <v>NO</v>
      </c>
      <c r="AA737" t="str">
        <f>IF(AND(S737&gt;1,S1262&gt;1,S737=V737,S1262=V1262), "YES", "NO")</f>
        <v>NO</v>
      </c>
      <c r="AB737" t="str">
        <f>IF(AND(S737&gt;1,S1262&gt;1,S737&lt;V737,S1262&lt;V1262), "YES", "NO")</f>
        <v>NO</v>
      </c>
      <c r="AC737" t="str">
        <f t="shared" si="14"/>
        <v>NO</v>
      </c>
      <c r="AD737" t="str">
        <f t="shared" si="15"/>
        <v>NO</v>
      </c>
      <c r="AE737" t="str">
        <f t="shared" si="16"/>
        <v>NO</v>
      </c>
      <c r="AF737" t="str">
        <f t="shared" si="17"/>
        <v>NO</v>
      </c>
    </row>
    <row r="738" spans="1:32" ht="15" x14ac:dyDescent="0.35">
      <c r="A738" s="5" t="s">
        <v>333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>LEFT($A738,FIND("_",$A738)-1)</f>
        <v>FixMiner</v>
      </c>
      <c r="P738" s="13" t="str">
        <f>IF($O738="ACS", "True Search", IF($O738="Arja", "Evolutionary Search", IF($O738="AVATAR", "True Pattern", IF($O738="CapGen", "Search Like Pattern", IF($O738="Cardumen", "True Semantic", IF($O738="DynaMoth", "True Semantic", IF($O738="FixMiner", "True Pattern", IF($O738="GenProg-A", "Evolutionary Search", IF($O738="Hercules", "Learning Pattern", IF($O738="Jaid", "True Semantic",
IF($O738="Kali-A", "True Search", IF($O738="kPAR", "True Pattern", IF($O738="Nopol", "True Semantic", IF($O738="RSRepair-A", "Evolutionary Search", IF($O738="SequenceR", "Deep Learning", IF($O738="SimFix", "Search Like Pattern", IF($O738="SketchFix", "True Pattern", IF($O738="SOFix", "True Pattern", IF($O738="ssFix", "Search Like Pattern", IF($O738="TBar", "True Pattern", ""))))))))))))))))))))</f>
        <v>True Pattern</v>
      </c>
      <c r="Q738" s="13" t="str">
        <f>IF(NOT(ISERR(SEARCH("*_Buggy",$A738))), "Buggy", IF(NOT(ISERR(SEARCH("*_Fixed",$A738))), "Fixed", IF(NOT(ISERR(SEARCH("*_Repaired",$A738))), "Repaired", "")))</f>
        <v>Fixed</v>
      </c>
      <c r="R738" s="13" t="s">
        <v>1668</v>
      </c>
      <c r="S738" s="25">
        <v>1</v>
      </c>
      <c r="T738" s="25">
        <v>1</v>
      </c>
      <c r="U738" s="25">
        <v>1</v>
      </c>
      <c r="V738" s="13">
        <v>1</v>
      </c>
      <c r="W738" s="13" t="str">
        <f>MID(A738, SEARCH("_", A738) +1, SEARCH("_", A738, SEARCH("_", A738) +1) - SEARCH("_", A738) -1)</f>
        <v>Mockito-38</v>
      </c>
      <c r="Y738" s="1" t="str">
        <f t="shared" si="12"/>
        <v>NO</v>
      </c>
      <c r="Z738" s="1" t="str">
        <f t="shared" si="13"/>
        <v>NO</v>
      </c>
      <c r="AA738" t="str">
        <f>IF(AND(S738&gt;1,S1263&gt;1,S738=V738,S1263=V1263), "YES", "NO")</f>
        <v>NO</v>
      </c>
      <c r="AB738" t="str">
        <f>IF(AND(S738&gt;1,S1263&gt;1,S738&lt;V738,S1263&lt;V1263), "YES", "NO")</f>
        <v>NO</v>
      </c>
      <c r="AC738" t="str">
        <f t="shared" si="14"/>
        <v>NO</v>
      </c>
      <c r="AD738" t="str">
        <f t="shared" si="15"/>
        <v>NO</v>
      </c>
      <c r="AE738" t="str">
        <f t="shared" si="16"/>
        <v>NO</v>
      </c>
      <c r="AF738" t="str">
        <f t="shared" si="17"/>
        <v>NO</v>
      </c>
    </row>
    <row r="739" spans="1:32" ht="15" x14ac:dyDescent="0.35">
      <c r="A739" s="5" t="s">
        <v>1444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>LEFT($A739,FIND("_",$A739)-1)</f>
        <v>GenProg-A</v>
      </c>
      <c r="P739" s="13" t="str">
        <f>IF($O739="ACS", "True Search", IF($O739="Arja", "Evolutionary Search", IF($O739="AVATAR", "True Pattern", IF($O739="CapGen", "Search Like Pattern", IF($O739="Cardumen", "True Semantic", IF($O739="DynaMoth", "True Semantic", IF($O739="FixMiner", "True Pattern", IF($O739="GenProg-A", "Evolutionary Search", IF($O739="Hercules", "Learning Pattern", IF($O739="Jaid", "True Semantic",
IF($O739="Kali-A", "True Search", IF($O739="kPAR", "True Pattern", IF($O739="Nopol", "True Semantic", IF($O739="RSRepair-A", "Evolutionary Search", IF($O739="SequenceR", "Deep Learning", IF($O739="SimFix", "Search Like Pattern", IF($O739="SketchFix", "True Pattern", IF($O739="SOFix", "True Pattern", IF($O739="ssFix", "Search Like Pattern", IF($O739="TBar", "True Pattern", ""))))))))))))))))))))</f>
        <v>Evolutionary Search</v>
      </c>
      <c r="Q739" s="13" t="str">
        <f>IF(NOT(ISERR(SEARCH("*_Buggy",$A739))), "Buggy", IF(NOT(ISERR(SEARCH("*_Fixed",$A739))), "Fixed", IF(NOT(ISERR(SEARCH("*_Repaired",$A739))), "Repaired", "")))</f>
        <v>Fixed</v>
      </c>
      <c r="R739" s="13" t="s">
        <v>1669</v>
      </c>
      <c r="S739" s="25">
        <v>1</v>
      </c>
      <c r="T739" s="25">
        <v>1</v>
      </c>
      <c r="U739" s="25">
        <v>1</v>
      </c>
      <c r="V739" s="13">
        <v>1</v>
      </c>
      <c r="W739" s="13" t="str">
        <f>MID(A739, SEARCH("_", A739) +1, SEARCH("_", A739, SEARCH("_", A739) +1) - SEARCH("_", A739) -1)</f>
        <v>Chart-1</v>
      </c>
      <c r="Y739" s="1" t="str">
        <f t="shared" si="12"/>
        <v>NO</v>
      </c>
      <c r="Z739" s="1" t="str">
        <f t="shared" si="13"/>
        <v>NO</v>
      </c>
      <c r="AA739" t="str">
        <f>IF(AND(S739&gt;1,S1264&gt;1,S739=V739,S1264=V1264), "YES", "NO")</f>
        <v>NO</v>
      </c>
      <c r="AB739" t="str">
        <f>IF(AND(S739&gt;1,S1264&gt;1,S739&lt;V739,S1264&lt;V1264), "YES", "NO")</f>
        <v>NO</v>
      </c>
      <c r="AC739" t="str">
        <f t="shared" si="14"/>
        <v>NO</v>
      </c>
      <c r="AD739" t="str">
        <f t="shared" si="15"/>
        <v>NO</v>
      </c>
      <c r="AE739" t="str">
        <f t="shared" si="16"/>
        <v>NO</v>
      </c>
      <c r="AF739" t="str">
        <f t="shared" si="17"/>
        <v>NO</v>
      </c>
    </row>
    <row r="740" spans="1:32" ht="15" x14ac:dyDescent="0.35">
      <c r="A740" s="7" t="s">
        <v>1445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>LEFT($A740,FIND("_",$A740)-1)</f>
        <v>GenProg-A</v>
      </c>
      <c r="P740" s="13" t="str">
        <f>IF($O740="ACS", "True Search", IF($O740="Arja", "Evolutionary Search", IF($O740="AVATAR", "True Pattern", IF($O740="CapGen", "Search Like Pattern", IF($O740="Cardumen", "True Semantic", IF($O740="DynaMoth", "True Semantic", IF($O740="FixMiner", "True Pattern", IF($O740="GenProg-A", "Evolutionary Search", IF($O740="Hercules", "Learning Pattern", IF($O740="Jaid", "True Semantic",
IF($O740="Kali-A", "True Search", IF($O740="kPAR", "True Pattern", IF($O740="Nopol", "True Semantic", IF($O740="RSRepair-A", "Evolutionary Search", IF($O740="SequenceR", "Deep Learning", IF($O740="SimFix", "Search Like Pattern", IF($O740="SketchFix", "True Pattern", IF($O740="SOFix", "True Pattern", IF($O740="ssFix", "Search Like Pattern", IF($O740="TBar", "True Pattern", ""))))))))))))))))))))</f>
        <v>Evolutionary Search</v>
      </c>
      <c r="Q740" s="13" t="str">
        <f>IF(NOT(ISERR(SEARCH("*_Buggy",$A740))), "Buggy", IF(NOT(ISERR(SEARCH("*_Fixed",$A740))), "Fixed", IF(NOT(ISERR(SEARCH("*_Repaired",$A740))), "Repaired", "")))</f>
        <v>Fixed</v>
      </c>
      <c r="R740" s="13" t="s">
        <v>1669</v>
      </c>
      <c r="S740" s="25">
        <v>1</v>
      </c>
      <c r="T740" s="25">
        <v>1</v>
      </c>
      <c r="U740" s="25">
        <v>1</v>
      </c>
      <c r="V740" s="13">
        <v>1</v>
      </c>
      <c r="W740" s="13" t="str">
        <f>MID(A740, SEARCH("_", A740) +1, SEARCH("_", A740, SEARCH("_", A740) +1) - SEARCH("_", A740) -1)</f>
        <v>Chart-12</v>
      </c>
      <c r="Y740" s="1" t="str">
        <f t="shared" si="12"/>
        <v>NO</v>
      </c>
      <c r="Z740" s="1" t="str">
        <f t="shared" si="13"/>
        <v>NO</v>
      </c>
      <c r="AA740" t="str">
        <f>IF(AND(S740&gt;1,S1265&gt;1,S740=V740,S1265=V1265), "YES", "NO")</f>
        <v>NO</v>
      </c>
      <c r="AB740" t="str">
        <f>IF(AND(S740&gt;1,S1265&gt;1,S740&lt;V740,S1265&lt;V1265), "YES", "NO")</f>
        <v>NO</v>
      </c>
      <c r="AC740" t="str">
        <f t="shared" si="14"/>
        <v>NO</v>
      </c>
      <c r="AD740" t="str">
        <f t="shared" si="15"/>
        <v>NO</v>
      </c>
      <c r="AE740" t="str">
        <f t="shared" si="16"/>
        <v>NO</v>
      </c>
      <c r="AF740" t="str">
        <f t="shared" si="17"/>
        <v>NO</v>
      </c>
    </row>
    <row r="741" spans="1:32" ht="15" x14ac:dyDescent="0.35">
      <c r="A741" s="5" t="s">
        <v>1446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>LEFT($A741,FIND("_",$A741)-1)</f>
        <v>GenProg-A</v>
      </c>
      <c r="P741" s="13" t="str">
        <f>IF($O741="ACS", "True Search", IF($O741="Arja", "Evolutionary Search", IF($O741="AVATAR", "True Pattern", IF($O741="CapGen", "Search Like Pattern", IF($O741="Cardumen", "True Semantic", IF($O741="DynaMoth", "True Semantic", IF($O741="FixMiner", "True Pattern", IF($O741="GenProg-A", "Evolutionary Search", IF($O741="Hercules", "Learning Pattern", IF($O741="Jaid", "True Semantic",
IF($O741="Kali-A", "True Search", IF($O741="kPAR", "True Pattern", IF($O741="Nopol", "True Semantic", IF($O741="RSRepair-A", "Evolutionary Search", IF($O741="SequenceR", "Deep Learning", IF($O741="SimFix", "Search Like Pattern", IF($O741="SketchFix", "True Pattern", IF($O741="SOFix", "True Pattern", IF($O741="ssFix", "Search Like Pattern", IF($O741="TBar", "True Pattern", ""))))))))))))))))))))</f>
        <v>Evolutionary Search</v>
      </c>
      <c r="Q741" s="13" t="str">
        <f>IF(NOT(ISERR(SEARCH("*_Buggy",$A741))), "Buggy", IF(NOT(ISERR(SEARCH("*_Fixed",$A741))), "Fixed", IF(NOT(ISERR(SEARCH("*_Repaired",$A741))), "Repaired", "")))</f>
        <v>Fixed</v>
      </c>
      <c r="R741" s="13" t="s">
        <v>1669</v>
      </c>
      <c r="S741" s="25">
        <v>1</v>
      </c>
      <c r="T741" s="25">
        <v>1</v>
      </c>
      <c r="U741" s="25">
        <v>1</v>
      </c>
      <c r="V741" s="13">
        <v>1</v>
      </c>
      <c r="W741" s="13" t="str">
        <f>MID(A741, SEARCH("_", A741) +1, SEARCH("_", A741, SEARCH("_", A741) +1) - SEARCH("_", A741) -1)</f>
        <v>Chart-13</v>
      </c>
      <c r="Y741" s="1" t="str">
        <f t="shared" si="12"/>
        <v>NO</v>
      </c>
      <c r="Z741" s="1" t="str">
        <f t="shared" si="13"/>
        <v>NO</v>
      </c>
      <c r="AA741" t="str">
        <f>IF(AND(S741&gt;1,S1266&gt;1,S741=V741,S1266=V1266), "YES", "NO")</f>
        <v>NO</v>
      </c>
      <c r="AB741" t="str">
        <f>IF(AND(S741&gt;1,S1266&gt;1,S741&lt;V741,S1266&lt;V1266), "YES", "NO")</f>
        <v>NO</v>
      </c>
      <c r="AC741" t="str">
        <f t="shared" si="14"/>
        <v>NO</v>
      </c>
      <c r="AD741" t="str">
        <f t="shared" si="15"/>
        <v>NO</v>
      </c>
      <c r="AE741" t="str">
        <f t="shared" si="16"/>
        <v>NO</v>
      </c>
      <c r="AF741" t="str">
        <f t="shared" si="17"/>
        <v>NO</v>
      </c>
    </row>
    <row r="742" spans="1:32" ht="15" x14ac:dyDescent="0.35">
      <c r="A742" s="7" t="s">
        <v>1447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>LEFT($A742,FIND("_",$A742)-1)</f>
        <v>GenProg-A</v>
      </c>
      <c r="P742" s="13" t="str">
        <f>IF($O742="ACS", "True Search", IF($O742="Arja", "Evolutionary Search", IF($O742="AVATAR", "True Pattern", IF($O742="CapGen", "Search Like Pattern", IF($O742="Cardumen", "True Semantic", IF($O742="DynaMoth", "True Semantic", IF($O742="FixMiner", "True Pattern", IF($O742="GenProg-A", "Evolutionary Search", IF($O742="Hercules", "Learning Pattern", IF($O742="Jaid", "True Semantic",
IF($O742="Kali-A", "True Search", IF($O742="kPAR", "True Pattern", IF($O742="Nopol", "True Semantic", IF($O742="RSRepair-A", "Evolutionary Search", IF($O742="SequenceR", "Deep Learning", IF($O742="SimFix", "Search Like Pattern", IF($O742="SketchFix", "True Pattern", IF($O742="SOFix", "True Pattern", IF($O742="ssFix", "Search Like Pattern", IF($O742="TBar", "True Pattern", ""))))))))))))))))))))</f>
        <v>Evolutionary Search</v>
      </c>
      <c r="Q742" s="13" t="str">
        <f>IF(NOT(ISERR(SEARCH("*_Buggy",$A742))), "Buggy", IF(NOT(ISERR(SEARCH("*_Fixed",$A742))), "Fixed", IF(NOT(ISERR(SEARCH("*_Repaired",$A742))), "Repaired", "")))</f>
        <v>Fixed</v>
      </c>
      <c r="R742" s="13" t="s">
        <v>1669</v>
      </c>
      <c r="S742" s="25">
        <v>1</v>
      </c>
      <c r="T742" s="13">
        <v>2</v>
      </c>
      <c r="U742" s="25">
        <v>0</v>
      </c>
      <c r="V742" s="13">
        <v>2</v>
      </c>
      <c r="W742" s="13" t="str">
        <f>MID(A742, SEARCH("_", A742) +1, SEARCH("_", A742, SEARCH("_", A742) +1) - SEARCH("_", A742) -1)</f>
        <v>Chart-3</v>
      </c>
      <c r="Y742" s="1" t="str">
        <f t="shared" ref="Y742:Y805" si="18">IF(AND(S742&gt;1,S742=V742), "YES", "NO")</f>
        <v>NO</v>
      </c>
      <c r="Z742" s="1" t="str">
        <f t="shared" ref="Z742:Z805" si="19">IF(AND(S742&gt;1,S742&lt;V742), "YES", "NO")</f>
        <v>NO</v>
      </c>
      <c r="AA742" t="str">
        <f>IF(AND(S742&gt;1,S1267&gt;1,S742=V742,S1267=V1267), "YES", "NO")</f>
        <v>NO</v>
      </c>
      <c r="AB742" t="str">
        <f>IF(AND(S742&gt;1,S1267&gt;1,S742&lt;V742,S1267&lt;V1267), "YES", "NO")</f>
        <v>NO</v>
      </c>
      <c r="AC742" t="str">
        <f t="shared" ref="AC742:AC805" si="20">IF(AND($S742=1,$S1267=1,$S742=$V742,$S1267=$V1267), "YES", "NO")</f>
        <v>NO</v>
      </c>
      <c r="AD742" t="str">
        <f t="shared" ref="AD742:AD805" si="21">IF(AND($S742=1,$S1267=1,$S742&lt;$V742,$S1267&lt;$V1267), "YES", "NO")</f>
        <v>YES</v>
      </c>
      <c r="AE742" t="str">
        <f t="shared" ref="AE742:AE805" si="22">IF(AND($V742=1,$V1267=1), "YES", "NO")</f>
        <v>NO</v>
      </c>
      <c r="AF742" t="str">
        <f t="shared" ref="AF742:AF805" si="23">IF(AND($V742&gt;1,$V1267&gt;1), "YES", "NO")</f>
        <v>YES</v>
      </c>
    </row>
    <row r="743" spans="1:32" ht="15" x14ac:dyDescent="0.35">
      <c r="A743" s="5" t="s">
        <v>1448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>LEFT($A743,FIND("_",$A743)-1)</f>
        <v>GenProg-A</v>
      </c>
      <c r="P743" s="13" t="str">
        <f>IF($O743="ACS", "True Search", IF($O743="Arja", "Evolutionary Search", IF($O743="AVATAR", "True Pattern", IF($O743="CapGen", "Search Like Pattern", IF($O743="Cardumen", "True Semantic", IF($O743="DynaMoth", "True Semantic", IF($O743="FixMiner", "True Pattern", IF($O743="GenProg-A", "Evolutionary Search", IF($O743="Hercules", "Learning Pattern", IF($O743="Jaid", "True Semantic",
IF($O743="Kali-A", "True Search", IF($O743="kPAR", "True Pattern", IF($O743="Nopol", "True Semantic", IF($O743="RSRepair-A", "Evolutionary Search", IF($O743="SequenceR", "Deep Learning", IF($O743="SimFix", "Search Like Pattern", IF($O743="SketchFix", "True Pattern", IF($O743="SOFix", "True Pattern", IF($O743="ssFix", "Search Like Pattern", IF($O743="TBar", "True Pattern", ""))))))))))))))))))))</f>
        <v>Evolutionary Search</v>
      </c>
      <c r="Q743" s="13" t="str">
        <f>IF(NOT(ISERR(SEARCH("*_Buggy",$A743))), "Buggy", IF(NOT(ISERR(SEARCH("*_Fixed",$A743))), "Fixed", IF(NOT(ISERR(SEARCH("*_Repaired",$A743))), "Repaired", "")))</f>
        <v>Fixed</v>
      </c>
      <c r="R743" s="13" t="s">
        <v>1669</v>
      </c>
      <c r="S743" s="25">
        <v>1</v>
      </c>
      <c r="T743" s="25">
        <v>9</v>
      </c>
      <c r="U743" s="25">
        <v>3</v>
      </c>
      <c r="V743" s="13">
        <v>9</v>
      </c>
      <c r="W743" s="13" t="str">
        <f>MID(A743, SEARCH("_", A743) +1, SEARCH("_", A743, SEARCH("_", A743) +1) - SEARCH("_", A743) -1)</f>
        <v>Closure-112</v>
      </c>
      <c r="Y743" s="1" t="str">
        <f t="shared" si="18"/>
        <v>NO</v>
      </c>
      <c r="Z743" s="1" t="str">
        <f t="shared" si="19"/>
        <v>NO</v>
      </c>
      <c r="AA743" t="str">
        <f>IF(AND(S743&gt;1,S1268&gt;1,S743=V743,S1268=V1268), "YES", "NO")</f>
        <v>NO</v>
      </c>
      <c r="AB743" t="str">
        <f>IF(AND(S743&gt;1,S1268&gt;1,S743&lt;V743,S1268&lt;V1268), "YES", "NO")</f>
        <v>NO</v>
      </c>
      <c r="AC743" t="str">
        <f t="shared" si="20"/>
        <v>NO</v>
      </c>
      <c r="AD743" t="str">
        <f t="shared" si="21"/>
        <v>YES</v>
      </c>
      <c r="AE743" t="str">
        <f t="shared" si="22"/>
        <v>NO</v>
      </c>
      <c r="AF743" t="str">
        <f t="shared" si="23"/>
        <v>YES</v>
      </c>
    </row>
    <row r="744" spans="1:32" ht="15" x14ac:dyDescent="0.35">
      <c r="A744" s="5" t="s">
        <v>1449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>LEFT($A744,FIND("_",$A744)-1)</f>
        <v>GenProg-A</v>
      </c>
      <c r="P744" s="13" t="str">
        <f>IF($O744="ACS", "True Search", IF($O744="Arja", "Evolutionary Search", IF($O744="AVATAR", "True Pattern", IF($O744="CapGen", "Search Like Pattern", IF($O744="Cardumen", "True Semantic", IF($O744="DynaMoth", "True Semantic", IF($O744="FixMiner", "True Pattern", IF($O744="GenProg-A", "Evolutionary Search", IF($O744="Hercules", "Learning Pattern", IF($O744="Jaid", "True Semantic",
IF($O744="Kali-A", "True Search", IF($O744="kPAR", "True Pattern", IF($O744="Nopol", "True Semantic", IF($O744="RSRepair-A", "Evolutionary Search", IF($O744="SequenceR", "Deep Learning", IF($O744="SimFix", "Search Like Pattern", IF($O744="SketchFix", "True Pattern", IF($O744="SOFix", "True Pattern", IF($O744="ssFix", "Search Like Pattern", IF($O744="TBar", "True Pattern", ""))))))))))))))))))))</f>
        <v>Evolutionary Search</v>
      </c>
      <c r="Q744" s="13" t="str">
        <f>IF(NOT(ISERR(SEARCH("*_Buggy",$A744))), "Buggy", IF(NOT(ISERR(SEARCH("*_Fixed",$A744))), "Fixed", IF(NOT(ISERR(SEARCH("*_Repaired",$A744))), "Repaired", "")))</f>
        <v>Fixed</v>
      </c>
      <c r="R744" s="13" t="s">
        <v>1668</v>
      </c>
      <c r="S744" s="25">
        <v>2</v>
      </c>
      <c r="T744" s="25">
        <v>0</v>
      </c>
      <c r="U744" s="13">
        <v>11</v>
      </c>
      <c r="V744" s="13">
        <v>11</v>
      </c>
      <c r="W744" s="13" t="str">
        <f>MID(A744, SEARCH("_", A744) +1, SEARCH("_", A744, SEARCH("_", A744) +1) - SEARCH("_", A744) -1)</f>
        <v>Closure-115</v>
      </c>
      <c r="Y744" s="1" t="str">
        <f t="shared" si="18"/>
        <v>NO</v>
      </c>
      <c r="Z744" s="1" t="str">
        <f t="shared" si="19"/>
        <v>YES</v>
      </c>
      <c r="AA744" t="str">
        <f>IF(AND(S744&gt;1,S1269&gt;1,S744=V744,S1269=V1269), "YES", "NO")</f>
        <v>NO</v>
      </c>
      <c r="AB744" t="str">
        <f>IF(AND(S744&gt;1,S1269&gt;1,S744&lt;V744,S1269&lt;V1269), "YES", "NO")</f>
        <v>NO</v>
      </c>
      <c r="AC744" t="str">
        <f t="shared" si="20"/>
        <v>NO</v>
      </c>
      <c r="AD744" t="str">
        <f t="shared" si="21"/>
        <v>NO</v>
      </c>
      <c r="AE744" t="str">
        <f t="shared" si="22"/>
        <v>NO</v>
      </c>
      <c r="AF744" t="str">
        <f t="shared" si="23"/>
        <v>YES</v>
      </c>
    </row>
    <row r="745" spans="1:32" ht="15" x14ac:dyDescent="0.35">
      <c r="A745" s="5" t="s">
        <v>1450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>LEFT($A745,FIND("_",$A745)-1)</f>
        <v>GenProg-A</v>
      </c>
      <c r="P745" s="13" t="str">
        <f>IF($O745="ACS", "True Search", IF($O745="Arja", "Evolutionary Search", IF($O745="AVATAR", "True Pattern", IF($O745="CapGen", "Search Like Pattern", IF($O745="Cardumen", "True Semantic", IF($O745="DynaMoth", "True Semantic", IF($O745="FixMiner", "True Pattern", IF($O745="GenProg-A", "Evolutionary Search", IF($O745="Hercules", "Learning Pattern", IF($O745="Jaid", "True Semantic",
IF($O745="Kali-A", "True Search", IF($O745="kPAR", "True Pattern", IF($O745="Nopol", "True Semantic", IF($O745="RSRepair-A", "Evolutionary Search", IF($O745="SequenceR", "Deep Learning", IF($O745="SimFix", "Search Like Pattern", IF($O745="SketchFix", "True Pattern", IF($O745="SOFix", "True Pattern", IF($O745="ssFix", "Search Like Pattern", IF($O745="TBar", "True Pattern", ""))))))))))))))))))))</f>
        <v>Evolutionary Search</v>
      </c>
      <c r="Q745" s="13" t="str">
        <f>IF(NOT(ISERR(SEARCH("*_Buggy",$A745))), "Buggy", IF(NOT(ISERR(SEARCH("*_Fixed",$A745))), "Fixed", IF(NOT(ISERR(SEARCH("*_Repaired",$A745))), "Repaired", "")))</f>
        <v>Fixed</v>
      </c>
      <c r="R745" s="13" t="s">
        <v>1669</v>
      </c>
      <c r="S745" s="25">
        <v>3</v>
      </c>
      <c r="T745" s="25">
        <v>12</v>
      </c>
      <c r="U745" s="25">
        <v>12</v>
      </c>
      <c r="V745" s="13">
        <v>24</v>
      </c>
      <c r="W745" s="13" t="str">
        <f>MID(A745, SEARCH("_", A745) +1, SEARCH("_", A745, SEARCH("_", A745) +1) - SEARCH("_", A745) -1)</f>
        <v>Closure-117</v>
      </c>
      <c r="Y745" s="1" t="str">
        <f t="shared" si="18"/>
        <v>NO</v>
      </c>
      <c r="Z745" s="1" t="str">
        <f t="shared" si="19"/>
        <v>YES</v>
      </c>
      <c r="AA745" t="str">
        <f>IF(AND(S745&gt;1,S1270&gt;1,S745=V745,S1270=V1270), "YES", "NO")</f>
        <v>NO</v>
      </c>
      <c r="AB745" t="str">
        <f>IF(AND(S745&gt;1,S1270&gt;1,S745&lt;V745,S1270&lt;V1270), "YES", "NO")</f>
        <v>NO</v>
      </c>
      <c r="AC745" t="str">
        <f t="shared" si="20"/>
        <v>NO</v>
      </c>
      <c r="AD745" t="str">
        <f t="shared" si="21"/>
        <v>NO</v>
      </c>
      <c r="AE745" t="str">
        <f t="shared" si="22"/>
        <v>NO</v>
      </c>
      <c r="AF745" t="str">
        <f t="shared" si="23"/>
        <v>YES</v>
      </c>
    </row>
    <row r="746" spans="1:32" ht="15" x14ac:dyDescent="0.35">
      <c r="A746" s="7" t="s">
        <v>1451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>LEFT($A746,FIND("_",$A746)-1)</f>
        <v>GenProg-A</v>
      </c>
      <c r="P746" s="13" t="str">
        <f>IF($O746="ACS", "True Search", IF($O746="Arja", "Evolutionary Search", IF($O746="AVATAR", "True Pattern", IF($O746="CapGen", "Search Like Pattern", IF($O746="Cardumen", "True Semantic", IF($O746="DynaMoth", "True Semantic", IF($O746="FixMiner", "True Pattern", IF($O746="GenProg-A", "Evolutionary Search", IF($O746="Hercules", "Learning Pattern", IF($O746="Jaid", "True Semantic",
IF($O746="Kali-A", "True Search", IF($O746="kPAR", "True Pattern", IF($O746="Nopol", "True Semantic", IF($O746="RSRepair-A", "Evolutionary Search", IF($O746="SequenceR", "Deep Learning", IF($O746="SimFix", "Search Like Pattern", IF($O746="SketchFix", "True Pattern", IF($O746="SOFix", "True Pattern", IF($O746="ssFix", "Search Like Pattern", IF($O746="TBar", "True Pattern", ""))))))))))))))))))))</f>
        <v>Evolutionary Search</v>
      </c>
      <c r="Q746" s="13" t="str">
        <f>IF(NOT(ISERR(SEARCH("*_Buggy",$A746))), "Buggy", IF(NOT(ISERR(SEARCH("*_Fixed",$A746))), "Fixed", IF(NOT(ISERR(SEARCH("*_Repaired",$A746))), "Repaired", "")))</f>
        <v>Fixed</v>
      </c>
      <c r="R746" s="13" t="s">
        <v>1669</v>
      </c>
      <c r="S746" s="25">
        <v>2</v>
      </c>
      <c r="T746" s="13">
        <v>2</v>
      </c>
      <c r="U746" s="25">
        <v>0</v>
      </c>
      <c r="V746" s="13">
        <v>2</v>
      </c>
      <c r="W746" s="13" t="str">
        <f>MID(A746, SEARCH("_", A746) +1, SEARCH("_", A746, SEARCH("_", A746) +1) - SEARCH("_", A746) -1)</f>
        <v>Closure-124</v>
      </c>
      <c r="Y746" s="1" t="str">
        <f t="shared" si="18"/>
        <v>YES</v>
      </c>
      <c r="Z746" s="1" t="str">
        <f t="shared" si="19"/>
        <v>NO</v>
      </c>
      <c r="AA746" t="str">
        <f>IF(AND(S746&gt;1,S1271&gt;1,S746=V746,S1271=V1271), "YES", "NO")</f>
        <v>NO</v>
      </c>
      <c r="AB746" t="str">
        <f>IF(AND(S746&gt;1,S1271&gt;1,S746&lt;V746,S1271&lt;V1271), "YES", "NO")</f>
        <v>NO</v>
      </c>
      <c r="AC746" t="str">
        <f t="shared" si="20"/>
        <v>NO</v>
      </c>
      <c r="AD746" t="str">
        <f t="shared" si="21"/>
        <v>NO</v>
      </c>
      <c r="AE746" t="str">
        <f t="shared" si="22"/>
        <v>NO</v>
      </c>
      <c r="AF746" t="str">
        <f t="shared" si="23"/>
        <v>YES</v>
      </c>
    </row>
    <row r="747" spans="1:32" ht="15" x14ac:dyDescent="0.35">
      <c r="A747" s="7" t="s">
        <v>1452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>LEFT($A747,FIND("_",$A747)-1)</f>
        <v>GenProg-A</v>
      </c>
      <c r="P747" s="13" t="str">
        <f>IF($O747="ACS", "True Search", IF($O747="Arja", "Evolutionary Search", IF($O747="AVATAR", "True Pattern", IF($O747="CapGen", "Search Like Pattern", IF($O747="Cardumen", "True Semantic", IF($O747="DynaMoth", "True Semantic", IF($O747="FixMiner", "True Pattern", IF($O747="GenProg-A", "Evolutionary Search", IF($O747="Hercules", "Learning Pattern", IF($O747="Jaid", "True Semantic",
IF($O747="Kali-A", "True Search", IF($O747="kPAR", "True Pattern", IF($O747="Nopol", "True Semantic", IF($O747="RSRepair-A", "Evolutionary Search", IF($O747="SequenceR", "Deep Learning", IF($O747="SimFix", "Search Like Pattern", IF($O747="SketchFix", "True Pattern", IF($O747="SOFix", "True Pattern", IF($O747="ssFix", "Search Like Pattern", IF($O747="TBar", "True Pattern", ""))))))))))))))))))))</f>
        <v>Evolutionary Search</v>
      </c>
      <c r="Q747" s="13" t="str">
        <f>IF(NOT(ISERR(SEARCH("*_Buggy",$A747))), "Buggy", IF(NOT(ISERR(SEARCH("*_Fixed",$A747))), "Fixed", IF(NOT(ISERR(SEARCH("*_Repaired",$A747))), "Repaired", "")))</f>
        <v>Fixed</v>
      </c>
      <c r="R747" s="13" t="s">
        <v>1669</v>
      </c>
      <c r="S747" s="25">
        <v>1</v>
      </c>
      <c r="T747" s="25">
        <v>1</v>
      </c>
      <c r="U747" s="25">
        <v>1</v>
      </c>
      <c r="V747" s="13">
        <v>1</v>
      </c>
      <c r="W747" s="13" t="str">
        <f>MID(A747, SEARCH("_", A747) +1, SEARCH("_", A747, SEARCH("_", A747) +1) - SEARCH("_", A747) -1)</f>
        <v>Closure-125</v>
      </c>
      <c r="Y747" s="1" t="str">
        <f t="shared" si="18"/>
        <v>NO</v>
      </c>
      <c r="Z747" s="1" t="str">
        <f t="shared" si="19"/>
        <v>NO</v>
      </c>
      <c r="AA747" t="str">
        <f>IF(AND(S747&gt;1,S1272&gt;1,S747=V747,S1272=V1272), "YES", "NO")</f>
        <v>NO</v>
      </c>
      <c r="AB747" t="str">
        <f>IF(AND(S747&gt;1,S1272&gt;1,S747&lt;V747,S1272&lt;V1272), "YES", "NO")</f>
        <v>NO</v>
      </c>
      <c r="AC747" t="str">
        <f t="shared" si="20"/>
        <v>NO</v>
      </c>
      <c r="AD747" t="str">
        <f t="shared" si="21"/>
        <v>NO</v>
      </c>
      <c r="AE747" t="str">
        <f t="shared" si="22"/>
        <v>NO</v>
      </c>
      <c r="AF747" t="str">
        <f t="shared" si="23"/>
        <v>NO</v>
      </c>
    </row>
    <row r="748" spans="1:32" ht="15" x14ac:dyDescent="0.35">
      <c r="A748" s="7" t="s">
        <v>1453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>LEFT($A748,FIND("_",$A748)-1)</f>
        <v>GenProg-A</v>
      </c>
      <c r="P748" s="13" t="str">
        <f>IF($O748="ACS", "True Search", IF($O748="Arja", "Evolutionary Search", IF($O748="AVATAR", "True Pattern", IF($O748="CapGen", "Search Like Pattern", IF($O748="Cardumen", "True Semantic", IF($O748="DynaMoth", "True Semantic", IF($O748="FixMiner", "True Pattern", IF($O748="GenProg-A", "Evolutionary Search", IF($O748="Hercules", "Learning Pattern", IF($O748="Jaid", "True Semantic",
IF($O748="Kali-A", "True Search", IF($O748="kPAR", "True Pattern", IF($O748="Nopol", "True Semantic", IF($O748="RSRepair-A", "Evolutionary Search", IF($O748="SequenceR", "Deep Learning", IF($O748="SimFix", "Search Like Pattern", IF($O748="SketchFix", "True Pattern", IF($O748="SOFix", "True Pattern", IF($O748="ssFix", "Search Like Pattern", IF($O748="TBar", "True Pattern", ""))))))))))))))))))))</f>
        <v>Evolutionary Search</v>
      </c>
      <c r="Q748" s="13" t="str">
        <f>IF(NOT(ISERR(SEARCH("*_Buggy",$A748))), "Buggy", IF(NOT(ISERR(SEARCH("*_Fixed",$A748))), "Fixed", IF(NOT(ISERR(SEARCH("*_Repaired",$A748))), "Repaired", "")))</f>
        <v>Fixed</v>
      </c>
      <c r="R748" s="13" t="s">
        <v>1668</v>
      </c>
      <c r="S748" s="25">
        <v>2</v>
      </c>
      <c r="T748" s="25">
        <v>2</v>
      </c>
      <c r="U748" s="25">
        <v>19</v>
      </c>
      <c r="V748" s="13">
        <v>19</v>
      </c>
      <c r="W748" s="13" t="str">
        <f>MID(A748, SEARCH("_", A748) +1, SEARCH("_", A748, SEARCH("_", A748) +1) - SEARCH("_", A748) -1)</f>
        <v>Closure-21</v>
      </c>
      <c r="Y748" s="1" t="str">
        <f t="shared" si="18"/>
        <v>NO</v>
      </c>
      <c r="Z748" s="1" t="str">
        <f t="shared" si="19"/>
        <v>YES</v>
      </c>
      <c r="AA748" t="str">
        <f>IF(AND(S748&gt;1,S1273&gt;1,S748=V748,S1273=V1273), "YES", "NO")</f>
        <v>NO</v>
      </c>
      <c r="AB748" t="str">
        <f>IF(AND(S748&gt;1,S1273&gt;1,S748&lt;V748,S1273&lt;V1273), "YES", "NO")</f>
        <v>NO</v>
      </c>
      <c r="AC748" t="str">
        <f t="shared" si="20"/>
        <v>NO</v>
      </c>
      <c r="AD748" t="str">
        <f t="shared" si="21"/>
        <v>NO</v>
      </c>
      <c r="AE748" t="str">
        <f t="shared" si="22"/>
        <v>NO</v>
      </c>
      <c r="AF748" t="str">
        <f t="shared" si="23"/>
        <v>YES</v>
      </c>
    </row>
    <row r="749" spans="1:32" ht="15" x14ac:dyDescent="0.35">
      <c r="A749" s="5" t="s">
        <v>1454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>LEFT($A749,FIND("_",$A749)-1)</f>
        <v>GenProg-A</v>
      </c>
      <c r="P749" s="13" t="str">
        <f>IF($O749="ACS", "True Search", IF($O749="Arja", "Evolutionary Search", IF($O749="AVATAR", "True Pattern", IF($O749="CapGen", "Search Like Pattern", IF($O749="Cardumen", "True Semantic", IF($O749="DynaMoth", "True Semantic", IF($O749="FixMiner", "True Pattern", IF($O749="GenProg-A", "Evolutionary Search", IF($O749="Hercules", "Learning Pattern", IF($O749="Jaid", "True Semantic",
IF($O749="Kali-A", "True Search", IF($O749="kPAR", "True Pattern", IF($O749="Nopol", "True Semantic", IF($O749="RSRepair-A", "Evolutionary Search", IF($O749="SequenceR", "Deep Learning", IF($O749="SimFix", "Search Like Pattern", IF($O749="SketchFix", "True Pattern", IF($O749="SOFix", "True Pattern", IF($O749="ssFix", "Search Like Pattern", IF($O749="TBar", "True Pattern", ""))))))))))))))))))))</f>
        <v>Evolutionary Search</v>
      </c>
      <c r="Q749" s="13" t="str">
        <f>IF(NOT(ISERR(SEARCH("*_Buggy",$A749))), "Buggy", IF(NOT(ISERR(SEARCH("*_Fixed",$A749))), "Fixed", IF(NOT(ISERR(SEARCH("*_Repaired",$A749))), "Repaired", "")))</f>
        <v>Fixed</v>
      </c>
      <c r="R749" s="13" t="s">
        <v>1669</v>
      </c>
      <c r="S749" s="25">
        <v>5</v>
      </c>
      <c r="T749" s="25">
        <v>2</v>
      </c>
      <c r="U749" s="25">
        <v>26</v>
      </c>
      <c r="V749" s="13">
        <v>26</v>
      </c>
      <c r="W749" s="13" t="str">
        <f>MID(A749, SEARCH("_", A749) +1, SEARCH("_", A749, SEARCH("_", A749) +1) - SEARCH("_", A749) -1)</f>
        <v>Closure-22</v>
      </c>
      <c r="Y749" s="1" t="str">
        <f t="shared" si="18"/>
        <v>NO</v>
      </c>
      <c r="Z749" s="1" t="str">
        <f t="shared" si="19"/>
        <v>YES</v>
      </c>
      <c r="AA749" t="str">
        <f>IF(AND(S749&gt;1,S1274&gt;1,S749=V749,S1274=V1274), "YES", "NO")</f>
        <v>NO</v>
      </c>
      <c r="AB749" t="str">
        <f>IF(AND(S749&gt;1,S1274&gt;1,S749&lt;V749,S1274&lt;V1274), "YES", "NO")</f>
        <v>NO</v>
      </c>
      <c r="AC749" t="str">
        <f t="shared" si="20"/>
        <v>NO</v>
      </c>
      <c r="AD749" t="str">
        <f t="shared" si="21"/>
        <v>NO</v>
      </c>
      <c r="AE749" t="str">
        <f t="shared" si="22"/>
        <v>NO</v>
      </c>
      <c r="AF749" t="str">
        <f t="shared" si="23"/>
        <v>YES</v>
      </c>
    </row>
    <row r="750" spans="1:32" ht="15" x14ac:dyDescent="0.35">
      <c r="A750" s="5" t="s">
        <v>1455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>LEFT($A750,FIND("_",$A750)-1)</f>
        <v>GenProg-A</v>
      </c>
      <c r="P750" s="13" t="str">
        <f>IF($O750="ACS", "True Search", IF($O750="Arja", "Evolutionary Search", IF($O750="AVATAR", "True Pattern", IF($O750="CapGen", "Search Like Pattern", IF($O750="Cardumen", "True Semantic", IF($O750="DynaMoth", "True Semantic", IF($O750="FixMiner", "True Pattern", IF($O750="GenProg-A", "Evolutionary Search", IF($O750="Hercules", "Learning Pattern", IF($O750="Jaid", "True Semantic",
IF($O750="Kali-A", "True Search", IF($O750="kPAR", "True Pattern", IF($O750="Nopol", "True Semantic", IF($O750="RSRepair-A", "Evolutionary Search", IF($O750="SequenceR", "Deep Learning", IF($O750="SimFix", "Search Like Pattern", IF($O750="SketchFix", "True Pattern", IF($O750="SOFix", "True Pattern", IF($O750="ssFix", "Search Like Pattern", IF($O750="TBar", "True Pattern", ""))))))))))))))))))))</f>
        <v>Evolutionary Search</v>
      </c>
      <c r="Q750" s="13" t="str">
        <f>IF(NOT(ISERR(SEARCH("*_Buggy",$A750))), "Buggy", IF(NOT(ISERR(SEARCH("*_Fixed",$A750))), "Fixed", IF(NOT(ISERR(SEARCH("*_Repaired",$A750))), "Repaired", "")))</f>
        <v>Fixed</v>
      </c>
      <c r="R750" s="13" t="s">
        <v>1669</v>
      </c>
      <c r="S750" s="25">
        <v>3</v>
      </c>
      <c r="T750" s="25">
        <v>8</v>
      </c>
      <c r="U750" s="25">
        <v>2</v>
      </c>
      <c r="V750" s="13">
        <v>8</v>
      </c>
      <c r="W750" s="13" t="str">
        <f>MID(A750, SEARCH("_", A750) +1, SEARCH("_", A750, SEARCH("_", A750) +1) - SEARCH("_", A750) -1)</f>
        <v>Closure-3</v>
      </c>
      <c r="Y750" s="1" t="str">
        <f t="shared" si="18"/>
        <v>NO</v>
      </c>
      <c r="Z750" s="1" t="str">
        <f t="shared" si="19"/>
        <v>YES</v>
      </c>
      <c r="AA750" t="str">
        <f>IF(AND(S750&gt;1,S1275&gt;1,S750=V750,S1275=V1275), "YES", "NO")</f>
        <v>NO</v>
      </c>
      <c r="AB750" t="str">
        <f>IF(AND(S750&gt;1,S1275&gt;1,S750&lt;V750,S1275&lt;V1275), "YES", "NO")</f>
        <v>NO</v>
      </c>
      <c r="AC750" t="str">
        <f t="shared" si="20"/>
        <v>NO</v>
      </c>
      <c r="AD750" t="str">
        <f t="shared" si="21"/>
        <v>NO</v>
      </c>
      <c r="AE750" t="str">
        <f t="shared" si="22"/>
        <v>NO</v>
      </c>
      <c r="AF750" t="str">
        <f t="shared" si="23"/>
        <v>YES</v>
      </c>
    </row>
    <row r="751" spans="1:32" ht="15" x14ac:dyDescent="0.35">
      <c r="A751" s="7" t="s">
        <v>1456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>LEFT($A751,FIND("_",$A751)-1)</f>
        <v>GenProg-A</v>
      </c>
      <c r="P751" s="13" t="str">
        <f>IF($O751="ACS", "True Search", IF($O751="Arja", "Evolutionary Search", IF($O751="AVATAR", "True Pattern", IF($O751="CapGen", "Search Like Pattern", IF($O751="Cardumen", "True Semantic", IF($O751="DynaMoth", "True Semantic", IF($O751="FixMiner", "True Pattern", IF($O751="GenProg-A", "Evolutionary Search", IF($O751="Hercules", "Learning Pattern", IF($O751="Jaid", "True Semantic",
IF($O751="Kali-A", "True Search", IF($O751="kPAR", "True Pattern", IF($O751="Nopol", "True Semantic", IF($O751="RSRepair-A", "Evolutionary Search", IF($O751="SequenceR", "Deep Learning", IF($O751="SimFix", "Search Like Pattern", IF($O751="SketchFix", "True Pattern", IF($O751="SOFix", "True Pattern", IF($O751="ssFix", "Search Like Pattern", IF($O751="TBar", "True Pattern", ""))))))))))))))))))))</f>
        <v>Evolutionary Search</v>
      </c>
      <c r="Q751" s="13" t="str">
        <f>IF(NOT(ISERR(SEARCH("*_Buggy",$A751))), "Buggy", IF(NOT(ISERR(SEARCH("*_Fixed",$A751))), "Fixed", IF(NOT(ISERR(SEARCH("*_Repaired",$A751))), "Repaired", "")))</f>
        <v>Fixed</v>
      </c>
      <c r="R751" s="13" t="s">
        <v>1669</v>
      </c>
      <c r="S751" s="25">
        <v>1</v>
      </c>
      <c r="T751" s="13">
        <v>3</v>
      </c>
      <c r="U751" s="25">
        <v>0</v>
      </c>
      <c r="V751" s="13">
        <v>3</v>
      </c>
      <c r="W751" s="13" t="str">
        <f>MID(A751, SEARCH("_", A751) +1, SEARCH("_", A751, SEARCH("_", A751) +1) - SEARCH("_", A751) -1)</f>
        <v>Closure-33</v>
      </c>
      <c r="Y751" s="1" t="str">
        <f t="shared" si="18"/>
        <v>NO</v>
      </c>
      <c r="Z751" s="1" t="str">
        <f t="shared" si="19"/>
        <v>NO</v>
      </c>
      <c r="AA751" t="str">
        <f>IF(AND(S751&gt;1,S1276&gt;1,S751=V751,S1276=V1276), "YES", "NO")</f>
        <v>NO</v>
      </c>
      <c r="AB751" t="str">
        <f>IF(AND(S751&gt;1,S1276&gt;1,S751&lt;V751,S1276&lt;V1276), "YES", "NO")</f>
        <v>NO</v>
      </c>
      <c r="AC751" t="str">
        <f t="shared" si="20"/>
        <v>NO</v>
      </c>
      <c r="AD751" t="str">
        <f t="shared" si="21"/>
        <v>YES</v>
      </c>
      <c r="AE751" t="str">
        <f t="shared" si="22"/>
        <v>NO</v>
      </c>
      <c r="AF751" t="str">
        <f t="shared" si="23"/>
        <v>YES</v>
      </c>
    </row>
    <row r="752" spans="1:32" ht="15" x14ac:dyDescent="0.35">
      <c r="A752" s="5" t="s">
        <v>1457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>LEFT($A752,FIND("_",$A752)-1)</f>
        <v>GenProg-A</v>
      </c>
      <c r="P752" s="13" t="str">
        <f>IF($O752="ACS", "True Search", IF($O752="Arja", "Evolutionary Search", IF($O752="AVATAR", "True Pattern", IF($O752="CapGen", "Search Like Pattern", IF($O752="Cardumen", "True Semantic", IF($O752="DynaMoth", "True Semantic", IF($O752="FixMiner", "True Pattern", IF($O752="GenProg-A", "Evolutionary Search", IF($O752="Hercules", "Learning Pattern", IF($O752="Jaid", "True Semantic",
IF($O752="Kali-A", "True Search", IF($O752="kPAR", "True Pattern", IF($O752="Nopol", "True Semantic", IF($O752="RSRepair-A", "Evolutionary Search", IF($O752="SequenceR", "Deep Learning", IF($O752="SimFix", "Search Like Pattern", IF($O752="SketchFix", "True Pattern", IF($O752="SOFix", "True Pattern", IF($O752="ssFix", "Search Like Pattern", IF($O752="TBar", "True Pattern", ""))))))))))))))))))))</f>
        <v>Evolutionary Search</v>
      </c>
      <c r="Q752" s="13" t="str">
        <f>IF(NOT(ISERR(SEARCH("*_Buggy",$A752))), "Buggy", IF(NOT(ISERR(SEARCH("*_Fixed",$A752))), "Fixed", IF(NOT(ISERR(SEARCH("*_Repaired",$A752))), "Repaired", "")))</f>
        <v>Fixed</v>
      </c>
      <c r="R752" s="13" t="s">
        <v>1669</v>
      </c>
      <c r="S752" s="25">
        <v>1</v>
      </c>
      <c r="T752" s="25">
        <v>2</v>
      </c>
      <c r="U752" s="25">
        <v>1</v>
      </c>
      <c r="V752" s="13">
        <v>2</v>
      </c>
      <c r="W752" s="13" t="str">
        <f>MID(A752, SEARCH("_", A752) +1, SEARCH("_", A752, SEARCH("_", A752) +1) - SEARCH("_", A752) -1)</f>
        <v>Closure-55</v>
      </c>
      <c r="Y752" s="1" t="str">
        <f t="shared" si="18"/>
        <v>NO</v>
      </c>
      <c r="Z752" s="1" t="str">
        <f t="shared" si="19"/>
        <v>NO</v>
      </c>
      <c r="AA752" t="str">
        <f>IF(AND(S752&gt;1,S1277&gt;1,S752=V752,S1277=V1277), "YES", "NO")</f>
        <v>NO</v>
      </c>
      <c r="AB752" t="str">
        <f>IF(AND(S752&gt;1,S1277&gt;1,S752&lt;V752,S1277&lt;V1277), "YES", "NO")</f>
        <v>NO</v>
      </c>
      <c r="AC752" t="str">
        <f t="shared" si="20"/>
        <v>NO</v>
      </c>
      <c r="AD752" t="str">
        <f t="shared" si="21"/>
        <v>NO</v>
      </c>
      <c r="AE752" t="str">
        <f t="shared" si="22"/>
        <v>NO</v>
      </c>
      <c r="AF752" t="str">
        <f t="shared" si="23"/>
        <v>NO</v>
      </c>
    </row>
    <row r="753" spans="1:32" ht="15" x14ac:dyDescent="0.35">
      <c r="A753" s="5" t="s">
        <v>1458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>LEFT($A753,FIND("_",$A753)-1)</f>
        <v>GenProg-A</v>
      </c>
      <c r="P753" s="13" t="str">
        <f>IF($O753="ACS", "True Search", IF($O753="Arja", "Evolutionary Search", IF($O753="AVATAR", "True Pattern", IF($O753="CapGen", "Search Like Pattern", IF($O753="Cardumen", "True Semantic", IF($O753="DynaMoth", "True Semantic", IF($O753="FixMiner", "True Pattern", IF($O753="GenProg-A", "Evolutionary Search", IF($O753="Hercules", "Learning Pattern", IF($O753="Jaid", "True Semantic",
IF($O753="Kali-A", "True Search", IF($O753="kPAR", "True Pattern", IF($O753="Nopol", "True Semantic", IF($O753="RSRepair-A", "Evolutionary Search", IF($O753="SequenceR", "Deep Learning", IF($O753="SimFix", "Search Like Pattern", IF($O753="SketchFix", "True Pattern", IF($O753="SOFix", "True Pattern", IF($O753="ssFix", "Search Like Pattern", IF($O753="TBar", "True Pattern", ""))))))))))))))))))))</f>
        <v>Evolutionary Search</v>
      </c>
      <c r="Q753" s="13" t="str">
        <f>IF(NOT(ISERR(SEARCH("*_Buggy",$A753))), "Buggy", IF(NOT(ISERR(SEARCH("*_Fixed",$A753))), "Fixed", IF(NOT(ISERR(SEARCH("*_Repaired",$A753))), "Repaired", "")))</f>
        <v>Fixed</v>
      </c>
      <c r="R753" s="13" t="s">
        <v>1668</v>
      </c>
      <c r="S753" s="25">
        <v>1</v>
      </c>
      <c r="T753" s="25">
        <v>1</v>
      </c>
      <c r="U753" s="25">
        <v>1</v>
      </c>
      <c r="V753" s="13">
        <v>1</v>
      </c>
      <c r="W753" s="13" t="str">
        <f>MID(A753, SEARCH("_", A753) +1, SEARCH("_", A753, SEARCH("_", A753) +1) - SEARCH("_", A753) -1)</f>
        <v>Closure-86</v>
      </c>
      <c r="Y753" s="1" t="str">
        <f t="shared" si="18"/>
        <v>NO</v>
      </c>
      <c r="Z753" s="1" t="str">
        <f t="shared" si="19"/>
        <v>NO</v>
      </c>
      <c r="AA753" t="str">
        <f>IF(AND(S753&gt;1,S1278&gt;1,S753=V753,S1278=V1278), "YES", "NO")</f>
        <v>NO</v>
      </c>
      <c r="AB753" t="str">
        <f>IF(AND(S753&gt;1,S1278&gt;1,S753&lt;V753,S1278&lt;V1278), "YES", "NO")</f>
        <v>NO</v>
      </c>
      <c r="AC753" t="str">
        <f t="shared" si="20"/>
        <v>NO</v>
      </c>
      <c r="AD753" t="str">
        <f t="shared" si="21"/>
        <v>NO</v>
      </c>
      <c r="AE753" t="str">
        <f t="shared" si="22"/>
        <v>NO</v>
      </c>
      <c r="AF753" t="str">
        <f t="shared" si="23"/>
        <v>NO</v>
      </c>
    </row>
    <row r="754" spans="1:32" ht="15" x14ac:dyDescent="0.35">
      <c r="A754" s="7" t="s">
        <v>1459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>LEFT($A754,FIND("_",$A754)-1)</f>
        <v>GenProg-A</v>
      </c>
      <c r="P754" s="13" t="str">
        <f>IF($O754="ACS", "True Search", IF($O754="Arja", "Evolutionary Search", IF($O754="AVATAR", "True Pattern", IF($O754="CapGen", "Search Like Pattern", IF($O754="Cardumen", "True Semantic", IF($O754="DynaMoth", "True Semantic", IF($O754="FixMiner", "True Pattern", IF($O754="GenProg-A", "Evolutionary Search", IF($O754="Hercules", "Learning Pattern", IF($O754="Jaid", "True Semantic",
IF($O754="Kali-A", "True Search", IF($O754="kPAR", "True Pattern", IF($O754="Nopol", "True Semantic", IF($O754="RSRepair-A", "Evolutionary Search", IF($O754="SequenceR", "Deep Learning", IF($O754="SimFix", "Search Like Pattern", IF($O754="SketchFix", "True Pattern", IF($O754="SOFix", "True Pattern", IF($O754="ssFix", "Search Like Pattern", IF($O754="TBar", "True Pattern", ""))))))))))))))))))))</f>
        <v>Evolutionary Search</v>
      </c>
      <c r="Q754" s="13" t="str">
        <f>IF(NOT(ISERR(SEARCH("*_Buggy",$A754))), "Buggy", IF(NOT(ISERR(SEARCH("*_Fixed",$A754))), "Fixed", IF(NOT(ISERR(SEARCH("*_Repaired",$A754))), "Repaired", "")))</f>
        <v>Fixed</v>
      </c>
      <c r="R754" s="13" t="s">
        <v>1669</v>
      </c>
      <c r="S754" s="25">
        <v>2</v>
      </c>
      <c r="T754" s="13">
        <v>6</v>
      </c>
      <c r="U754" s="25">
        <v>0</v>
      </c>
      <c r="V754" s="13">
        <v>6</v>
      </c>
      <c r="W754" s="13" t="str">
        <f>MID(A754, SEARCH("_", A754) +1, SEARCH("_", A754, SEARCH("_", A754) +1) - SEARCH("_", A754) -1)</f>
        <v>Closure-88</v>
      </c>
      <c r="Y754" s="1" t="str">
        <f t="shared" si="18"/>
        <v>NO</v>
      </c>
      <c r="Z754" s="1" t="str">
        <f t="shared" si="19"/>
        <v>YES</v>
      </c>
      <c r="AA754" t="str">
        <f>IF(AND(S754&gt;1,S1279&gt;1,S754=V754,S1279=V1279), "YES", "NO")</f>
        <v>NO</v>
      </c>
      <c r="AB754" t="str">
        <f>IF(AND(S754&gt;1,S1279&gt;1,S754&lt;V754,S1279&lt;V1279), "YES", "NO")</f>
        <v>NO</v>
      </c>
      <c r="AC754" t="str">
        <f t="shared" si="20"/>
        <v>NO</v>
      </c>
      <c r="AD754" t="str">
        <f t="shared" si="21"/>
        <v>NO</v>
      </c>
      <c r="AE754" t="str">
        <f t="shared" si="22"/>
        <v>NO</v>
      </c>
      <c r="AF754" t="str">
        <f t="shared" si="23"/>
        <v>YES</v>
      </c>
    </row>
    <row r="755" spans="1:32" ht="15" x14ac:dyDescent="0.35">
      <c r="A755" s="7" t="s">
        <v>1460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>LEFT($A755,FIND("_",$A755)-1)</f>
        <v>GenProg-A</v>
      </c>
      <c r="P755" s="13" t="str">
        <f>IF($O755="ACS", "True Search", IF($O755="Arja", "Evolutionary Search", IF($O755="AVATAR", "True Pattern", IF($O755="CapGen", "Search Like Pattern", IF($O755="Cardumen", "True Semantic", IF($O755="DynaMoth", "True Semantic", IF($O755="FixMiner", "True Pattern", IF($O755="GenProg-A", "Evolutionary Search", IF($O755="Hercules", "Learning Pattern", IF($O755="Jaid", "True Semantic",
IF($O755="Kali-A", "True Search", IF($O755="kPAR", "True Pattern", IF($O755="Nopol", "True Semantic", IF($O755="RSRepair-A", "Evolutionary Search", IF($O755="SequenceR", "Deep Learning", IF($O755="SimFix", "Search Like Pattern", IF($O755="SketchFix", "True Pattern", IF($O755="SOFix", "True Pattern", IF($O755="ssFix", "Search Like Pattern", IF($O755="TBar", "True Pattern", ""))))))))))))))))))))</f>
        <v>Evolutionary Search</v>
      </c>
      <c r="Q755" s="13" t="str">
        <f>IF(NOT(ISERR(SEARCH("*_Buggy",$A755))), "Buggy", IF(NOT(ISERR(SEARCH("*_Fixed",$A755))), "Fixed", IF(NOT(ISERR(SEARCH("*_Repaired",$A755))), "Repaired", "")))</f>
        <v>Fixed</v>
      </c>
      <c r="R755" s="13" t="s">
        <v>1668</v>
      </c>
      <c r="S755" s="25">
        <v>1</v>
      </c>
      <c r="T755" s="13">
        <v>1</v>
      </c>
      <c r="U755" s="25">
        <v>0</v>
      </c>
      <c r="V755" s="13">
        <v>1</v>
      </c>
      <c r="W755" s="13" t="str">
        <f>MID(A755, SEARCH("_", A755) +1, SEARCH("_", A755, SEARCH("_", A755) +1) - SEARCH("_", A755) -1)</f>
        <v>Lang-43</v>
      </c>
      <c r="Y755" s="1" t="str">
        <f t="shared" si="18"/>
        <v>NO</v>
      </c>
      <c r="Z755" s="1" t="str">
        <f t="shared" si="19"/>
        <v>NO</v>
      </c>
      <c r="AA755" t="str">
        <f>IF(AND(S755&gt;1,S1280&gt;1,S755=V755,S1280=V1280), "YES", "NO")</f>
        <v>NO</v>
      </c>
      <c r="AB755" t="str">
        <f>IF(AND(S755&gt;1,S1280&gt;1,S755&lt;V755,S1280&lt;V1280), "YES", "NO")</f>
        <v>NO</v>
      </c>
      <c r="AC755" t="str">
        <f t="shared" si="20"/>
        <v>NO</v>
      </c>
      <c r="AD755" t="str">
        <f t="shared" si="21"/>
        <v>NO</v>
      </c>
      <c r="AE755" t="str">
        <f t="shared" si="22"/>
        <v>NO</v>
      </c>
      <c r="AF755" t="str">
        <f t="shared" si="23"/>
        <v>NO</v>
      </c>
    </row>
    <row r="756" spans="1:32" ht="15" x14ac:dyDescent="0.35">
      <c r="A756" s="5" t="s">
        <v>1461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>LEFT($A756,FIND("_",$A756)-1)</f>
        <v>GenProg-A</v>
      </c>
      <c r="P756" s="13" t="str">
        <f>IF($O756="ACS", "True Search", IF($O756="Arja", "Evolutionary Search", IF($O756="AVATAR", "True Pattern", IF($O756="CapGen", "Search Like Pattern", IF($O756="Cardumen", "True Semantic", IF($O756="DynaMoth", "True Semantic", IF($O756="FixMiner", "True Pattern", IF($O756="GenProg-A", "Evolutionary Search", IF($O756="Hercules", "Learning Pattern", IF($O756="Jaid", "True Semantic",
IF($O756="Kali-A", "True Search", IF($O756="kPAR", "True Pattern", IF($O756="Nopol", "True Semantic", IF($O756="RSRepair-A", "Evolutionary Search", IF($O756="SequenceR", "Deep Learning", IF($O756="SimFix", "Search Like Pattern", IF($O756="SketchFix", "True Pattern", IF($O756="SOFix", "True Pattern", IF($O756="ssFix", "Search Like Pattern", IF($O756="TBar", "True Pattern", ""))))))))))))))))))))</f>
        <v>Evolutionary Search</v>
      </c>
      <c r="Q756" s="13" t="str">
        <f>IF(NOT(ISERR(SEARCH("*_Buggy",$A756))), "Buggy", IF(NOT(ISERR(SEARCH("*_Fixed",$A756))), "Fixed", IF(NOT(ISERR(SEARCH("*_Repaired",$A756))), "Repaired", "")))</f>
        <v>Fixed</v>
      </c>
      <c r="R756" s="13" t="s">
        <v>1669</v>
      </c>
      <c r="S756" s="25">
        <v>1</v>
      </c>
      <c r="T756" s="25">
        <v>1</v>
      </c>
      <c r="U756" s="25">
        <v>1</v>
      </c>
      <c r="V756" s="13">
        <v>1</v>
      </c>
      <c r="W756" s="13" t="str">
        <f>MID(A756, SEARCH("_", A756) +1, SEARCH("_", A756, SEARCH("_", A756) +1) - SEARCH("_", A756) -1)</f>
        <v>Lang-59</v>
      </c>
      <c r="Y756" s="1" t="str">
        <f t="shared" si="18"/>
        <v>NO</v>
      </c>
      <c r="Z756" s="1" t="str">
        <f t="shared" si="19"/>
        <v>NO</v>
      </c>
      <c r="AA756" t="str">
        <f>IF(AND(S756&gt;1,S1281&gt;1,S756=V756,S1281=V1281), "YES", "NO")</f>
        <v>NO</v>
      </c>
      <c r="AB756" t="str">
        <f>IF(AND(S756&gt;1,S1281&gt;1,S756&lt;V756,S1281&lt;V1281), "YES", "NO")</f>
        <v>NO</v>
      </c>
      <c r="AC756" t="str">
        <f t="shared" si="20"/>
        <v>NO</v>
      </c>
      <c r="AD756" t="str">
        <f t="shared" si="21"/>
        <v>NO</v>
      </c>
      <c r="AE756" t="str">
        <f t="shared" si="22"/>
        <v>NO</v>
      </c>
      <c r="AF756" t="str">
        <f t="shared" si="23"/>
        <v>NO</v>
      </c>
    </row>
    <row r="757" spans="1:32" ht="15" x14ac:dyDescent="0.35">
      <c r="A757" s="7" t="s">
        <v>1462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>LEFT($A757,FIND("_",$A757)-1)</f>
        <v>GenProg-A</v>
      </c>
      <c r="P757" s="13" t="str">
        <f>IF($O757="ACS", "True Search", IF($O757="Arja", "Evolutionary Search", IF($O757="AVATAR", "True Pattern", IF($O757="CapGen", "Search Like Pattern", IF($O757="Cardumen", "True Semantic", IF($O757="DynaMoth", "True Semantic", IF($O757="FixMiner", "True Pattern", IF($O757="GenProg-A", "Evolutionary Search", IF($O757="Hercules", "Learning Pattern", IF($O757="Jaid", "True Semantic",
IF($O757="Kali-A", "True Search", IF($O757="kPAR", "True Pattern", IF($O757="Nopol", "True Semantic", IF($O757="RSRepair-A", "Evolutionary Search", IF($O757="SequenceR", "Deep Learning", IF($O757="SimFix", "Search Like Pattern", IF($O757="SketchFix", "True Pattern", IF($O757="SOFix", "True Pattern", IF($O757="ssFix", "Search Like Pattern", IF($O757="TBar", "True Pattern", ""))))))))))))))))))))</f>
        <v>Evolutionary Search</v>
      </c>
      <c r="Q757" s="13" t="str">
        <f>IF(NOT(ISERR(SEARCH("*_Buggy",$A757))), "Buggy", IF(NOT(ISERR(SEARCH("*_Fixed",$A757))), "Fixed", IF(NOT(ISERR(SEARCH("*_Repaired",$A757))), "Repaired", "")))</f>
        <v>Fixed</v>
      </c>
      <c r="R757" s="13" t="s">
        <v>1669</v>
      </c>
      <c r="S757" s="25">
        <v>4</v>
      </c>
      <c r="T757" s="25">
        <v>3</v>
      </c>
      <c r="U757" s="25">
        <v>20</v>
      </c>
      <c r="V757" s="13">
        <v>22</v>
      </c>
      <c r="W757" s="13" t="str">
        <f>MID(A757, SEARCH("_", A757) +1, SEARCH("_", A757, SEARCH("_", A757) +1) - SEARCH("_", A757) -1)</f>
        <v>Lang-63</v>
      </c>
      <c r="Y757" s="1" t="str">
        <f t="shared" si="18"/>
        <v>NO</v>
      </c>
      <c r="Z757" s="1" t="str">
        <f t="shared" si="19"/>
        <v>YES</v>
      </c>
      <c r="AA757" t="str">
        <f>IF(AND(S757&gt;1,S1282&gt;1,S757=V757,S1282=V1282), "YES", "NO")</f>
        <v>NO</v>
      </c>
      <c r="AB757" t="str">
        <f>IF(AND(S757&gt;1,S1282&gt;1,S757&lt;V757,S1282&lt;V1282), "YES", "NO")</f>
        <v>NO</v>
      </c>
      <c r="AC757" t="str">
        <f t="shared" si="20"/>
        <v>NO</v>
      </c>
      <c r="AD757" t="str">
        <f t="shared" si="21"/>
        <v>NO</v>
      </c>
      <c r="AE757" t="str">
        <f t="shared" si="22"/>
        <v>NO</v>
      </c>
      <c r="AF757" t="str">
        <f t="shared" si="23"/>
        <v>NO</v>
      </c>
    </row>
    <row r="758" spans="1:32" ht="15" x14ac:dyDescent="0.35">
      <c r="A758" s="7" t="s">
        <v>1463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>LEFT($A758,FIND("_",$A758)-1)</f>
        <v>GenProg-A</v>
      </c>
      <c r="P758" s="13" t="str">
        <f>IF($O758="ACS", "True Search", IF($O758="Arja", "Evolutionary Search", IF($O758="AVATAR", "True Pattern", IF($O758="CapGen", "Search Like Pattern", IF($O758="Cardumen", "True Semantic", IF($O758="DynaMoth", "True Semantic", IF($O758="FixMiner", "True Pattern", IF($O758="GenProg-A", "Evolutionary Search", IF($O758="Hercules", "Learning Pattern", IF($O758="Jaid", "True Semantic",
IF($O758="Kali-A", "True Search", IF($O758="kPAR", "True Pattern", IF($O758="Nopol", "True Semantic", IF($O758="RSRepair-A", "Evolutionary Search", IF($O758="SequenceR", "Deep Learning", IF($O758="SimFix", "Search Like Pattern", IF($O758="SketchFix", "True Pattern", IF($O758="SOFix", "True Pattern", IF($O758="ssFix", "Search Like Pattern", IF($O758="TBar", "True Pattern", ""))))))))))))))))))))</f>
        <v>Evolutionary Search</v>
      </c>
      <c r="Q758" s="13" t="str">
        <f>IF(NOT(ISERR(SEARCH("*_Buggy",$A758))), "Buggy", IF(NOT(ISERR(SEARCH("*_Fixed",$A758))), "Fixed", IF(NOT(ISERR(SEARCH("*_Repaired",$A758))), "Repaired", "")))</f>
        <v>Fixed</v>
      </c>
      <c r="R758" s="13" t="s">
        <v>1669</v>
      </c>
      <c r="S758" s="25">
        <v>3</v>
      </c>
      <c r="T758" s="25">
        <v>3</v>
      </c>
      <c r="U758" s="25">
        <v>3</v>
      </c>
      <c r="V758" s="13">
        <v>6</v>
      </c>
      <c r="W758" s="13" t="str">
        <f>MID(A758, SEARCH("_", A758) +1, SEARCH("_", A758, SEARCH("_", A758) +1) - SEARCH("_", A758) -1)</f>
        <v>Lang-7</v>
      </c>
      <c r="Y758" s="1" t="str">
        <f t="shared" si="18"/>
        <v>NO</v>
      </c>
      <c r="Z758" s="1" t="str">
        <f t="shared" si="19"/>
        <v>YES</v>
      </c>
      <c r="AA758" t="str">
        <f>IF(AND(S758&gt;1,S1283&gt;1,S758=V758,S1283=V1283), "YES", "NO")</f>
        <v>NO</v>
      </c>
      <c r="AB758" t="str">
        <f>IF(AND(S758&gt;1,S1283&gt;1,S758&lt;V758,S1283&lt;V1283), "YES", "NO")</f>
        <v>NO</v>
      </c>
      <c r="AC758" t="str">
        <f t="shared" si="20"/>
        <v>NO</v>
      </c>
      <c r="AD758" t="str">
        <f t="shared" si="21"/>
        <v>NO</v>
      </c>
      <c r="AE758" t="str">
        <f t="shared" si="22"/>
        <v>NO</v>
      </c>
      <c r="AF758" t="str">
        <f t="shared" si="23"/>
        <v>YES</v>
      </c>
    </row>
    <row r="759" spans="1:32" ht="15" x14ac:dyDescent="0.35">
      <c r="A759" s="5" t="s">
        <v>1464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>LEFT($A759,FIND("_",$A759)-1)</f>
        <v>GenProg-A</v>
      </c>
      <c r="P759" s="13" t="str">
        <f>IF($O759="ACS", "True Search", IF($O759="Arja", "Evolutionary Search", IF($O759="AVATAR", "True Pattern", IF($O759="CapGen", "Search Like Pattern", IF($O759="Cardumen", "True Semantic", IF($O759="DynaMoth", "True Semantic", IF($O759="FixMiner", "True Pattern", IF($O759="GenProg-A", "Evolutionary Search", IF($O759="Hercules", "Learning Pattern", IF($O759="Jaid", "True Semantic",
IF($O759="Kali-A", "True Search", IF($O759="kPAR", "True Pattern", IF($O759="Nopol", "True Semantic", IF($O759="RSRepair-A", "Evolutionary Search", IF($O759="SequenceR", "Deep Learning", IF($O759="SimFix", "Search Like Pattern", IF($O759="SketchFix", "True Pattern", IF($O759="SOFix", "True Pattern", IF($O759="ssFix", "Search Like Pattern", IF($O759="TBar", "True Pattern", ""))))))))))))))))))))</f>
        <v>Evolutionary Search</v>
      </c>
      <c r="Q759" s="13" t="str">
        <f>IF(NOT(ISERR(SEARCH("*_Buggy",$A759))), "Buggy", IF(NOT(ISERR(SEARCH("*_Fixed",$A759))), "Fixed", IF(NOT(ISERR(SEARCH("*_Repaired",$A759))), "Repaired", "")))</f>
        <v>Fixed</v>
      </c>
      <c r="R759" s="13" t="s">
        <v>1669</v>
      </c>
      <c r="S759" s="25">
        <v>4</v>
      </c>
      <c r="T759" s="13">
        <v>4</v>
      </c>
      <c r="U759" s="25">
        <v>0</v>
      </c>
      <c r="V759" s="13">
        <v>4</v>
      </c>
      <c r="W759" s="13" t="str">
        <f>MID(A759, SEARCH("_", A759) +1, SEARCH("_", A759, SEARCH("_", A759) +1) - SEARCH("_", A759) -1)</f>
        <v>Math-28</v>
      </c>
      <c r="Y759" s="1" t="str">
        <f t="shared" si="18"/>
        <v>YES</v>
      </c>
      <c r="Z759" s="1" t="str">
        <f t="shared" si="19"/>
        <v>NO</v>
      </c>
      <c r="AA759" t="str">
        <f>IF(AND(S759&gt;1,S1284&gt;1,S759=V759,S1284=V1284), "YES", "NO")</f>
        <v>NO</v>
      </c>
      <c r="AB759" t="str">
        <f>IF(AND(S759&gt;1,S1284&gt;1,S759&lt;V759,S1284&lt;V1284), "YES", "NO")</f>
        <v>NO</v>
      </c>
      <c r="AC759" t="str">
        <f t="shared" si="20"/>
        <v>NO</v>
      </c>
      <c r="AD759" t="str">
        <f t="shared" si="21"/>
        <v>NO</v>
      </c>
      <c r="AE759" t="str">
        <f t="shared" si="22"/>
        <v>NO</v>
      </c>
      <c r="AF759" t="str">
        <f t="shared" si="23"/>
        <v>YES</v>
      </c>
    </row>
    <row r="760" spans="1:32" ht="15" x14ac:dyDescent="0.35">
      <c r="A760" s="5" t="s">
        <v>1465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>LEFT($A760,FIND("_",$A760)-1)</f>
        <v>GenProg-A</v>
      </c>
      <c r="P760" s="13" t="str">
        <f>IF($O760="ACS", "True Search", IF($O760="Arja", "Evolutionary Search", IF($O760="AVATAR", "True Pattern", IF($O760="CapGen", "Search Like Pattern", IF($O760="Cardumen", "True Semantic", IF($O760="DynaMoth", "True Semantic", IF($O760="FixMiner", "True Pattern", IF($O760="GenProg-A", "Evolutionary Search", IF($O760="Hercules", "Learning Pattern", IF($O760="Jaid", "True Semantic",
IF($O760="Kali-A", "True Search", IF($O760="kPAR", "True Pattern", IF($O760="Nopol", "True Semantic", IF($O760="RSRepair-A", "Evolutionary Search", IF($O760="SequenceR", "Deep Learning", IF($O760="SimFix", "Search Like Pattern", IF($O760="SketchFix", "True Pattern", IF($O760="SOFix", "True Pattern", IF($O760="ssFix", "Search Like Pattern", IF($O760="TBar", "True Pattern", ""))))))))))))))))))))</f>
        <v>Evolutionary Search</v>
      </c>
      <c r="Q760" s="13" t="str">
        <f>IF(NOT(ISERR(SEARCH("*_Buggy",$A760))), "Buggy", IF(NOT(ISERR(SEARCH("*_Fixed",$A760))), "Fixed", IF(NOT(ISERR(SEARCH("*_Repaired",$A760))), "Repaired", "")))</f>
        <v>Fixed</v>
      </c>
      <c r="R760" s="13" t="s">
        <v>1668</v>
      </c>
      <c r="S760" s="25">
        <v>1</v>
      </c>
      <c r="T760" s="25">
        <v>0</v>
      </c>
      <c r="U760" s="13">
        <v>4</v>
      </c>
      <c r="V760" s="13">
        <v>4</v>
      </c>
      <c r="W760" s="13" t="str">
        <f>MID(A760, SEARCH("_", A760) +1, SEARCH("_", A760, SEARCH("_", A760) +1) - SEARCH("_", A760) -1)</f>
        <v>Math-50</v>
      </c>
      <c r="Y760" s="1" t="str">
        <f t="shared" si="18"/>
        <v>NO</v>
      </c>
      <c r="Z760" s="1" t="str">
        <f t="shared" si="19"/>
        <v>NO</v>
      </c>
      <c r="AA760" t="str">
        <f>IF(AND(S760&gt;1,S1285&gt;1,S760=V760,S1285=V1285), "YES", "NO")</f>
        <v>NO</v>
      </c>
      <c r="AB760" t="str">
        <f>IF(AND(S760&gt;1,S1285&gt;1,S760&lt;V760,S1285&lt;V1285), "YES", "NO")</f>
        <v>NO</v>
      </c>
      <c r="AC760" t="str">
        <f t="shared" si="20"/>
        <v>NO</v>
      </c>
      <c r="AD760" t="str">
        <f t="shared" si="21"/>
        <v>NO</v>
      </c>
      <c r="AE760" t="str">
        <f t="shared" si="22"/>
        <v>NO</v>
      </c>
      <c r="AF760" t="str">
        <f t="shared" si="23"/>
        <v>NO</v>
      </c>
    </row>
    <row r="761" spans="1:32" ht="15" x14ac:dyDescent="0.35">
      <c r="A761" s="7" t="s">
        <v>1466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>LEFT($A761,FIND("_",$A761)-1)</f>
        <v>GenProg-A</v>
      </c>
      <c r="P761" s="13" t="str">
        <f>IF($O761="ACS", "True Search", IF($O761="Arja", "Evolutionary Search", IF($O761="AVATAR", "True Pattern", IF($O761="CapGen", "Search Like Pattern", IF($O761="Cardumen", "True Semantic", IF($O761="DynaMoth", "True Semantic", IF($O761="FixMiner", "True Pattern", IF($O761="GenProg-A", "Evolutionary Search", IF($O761="Hercules", "Learning Pattern", IF($O761="Jaid", "True Semantic",
IF($O761="Kali-A", "True Search", IF($O761="kPAR", "True Pattern", IF($O761="Nopol", "True Semantic", IF($O761="RSRepair-A", "Evolutionary Search", IF($O761="SequenceR", "Deep Learning", IF($O761="SimFix", "Search Like Pattern", IF($O761="SketchFix", "True Pattern", IF($O761="SOFix", "True Pattern", IF($O761="ssFix", "Search Like Pattern", IF($O761="TBar", "True Pattern", ""))))))))))))))))))))</f>
        <v>Evolutionary Search</v>
      </c>
      <c r="Q761" s="13" t="str">
        <f>IF(NOT(ISERR(SEARCH("*_Buggy",$A761))), "Buggy", IF(NOT(ISERR(SEARCH("*_Fixed",$A761))), "Fixed", IF(NOT(ISERR(SEARCH("*_Repaired",$A761))), "Repaired", "")))</f>
        <v>Fixed</v>
      </c>
      <c r="R761" s="13" t="s">
        <v>1668</v>
      </c>
      <c r="S761" s="25">
        <v>1</v>
      </c>
      <c r="T761" s="25">
        <v>1</v>
      </c>
      <c r="U761" s="25">
        <v>1</v>
      </c>
      <c r="V761" s="13">
        <v>1</v>
      </c>
      <c r="W761" s="13" t="str">
        <f>MID(A761, SEARCH("_", A761) +1, SEARCH("_", A761, SEARCH("_", A761) +1) - SEARCH("_", A761) -1)</f>
        <v>Math-70</v>
      </c>
      <c r="Y761" s="1" t="str">
        <f t="shared" si="18"/>
        <v>NO</v>
      </c>
      <c r="Z761" s="1" t="str">
        <f t="shared" si="19"/>
        <v>NO</v>
      </c>
      <c r="AA761" t="str">
        <f>IF(AND(S761&gt;1,S1286&gt;1,S761=V761,S1286=V1286), "YES", "NO")</f>
        <v>NO</v>
      </c>
      <c r="AB761" t="str">
        <f>IF(AND(S761&gt;1,S1286&gt;1,S761&lt;V761,S1286&lt;V1286), "YES", "NO")</f>
        <v>NO</v>
      </c>
      <c r="AC761" t="str">
        <f t="shared" si="20"/>
        <v>YES</v>
      </c>
      <c r="AD761" t="str">
        <f t="shared" si="21"/>
        <v>NO</v>
      </c>
      <c r="AE761" t="str">
        <f t="shared" si="22"/>
        <v>YES</v>
      </c>
      <c r="AF761" t="str">
        <f t="shared" si="23"/>
        <v>NO</v>
      </c>
    </row>
    <row r="762" spans="1:32" ht="15" x14ac:dyDescent="0.35">
      <c r="A762" s="7" t="s">
        <v>1467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>LEFT($A762,FIND("_",$A762)-1)</f>
        <v>GenProg-A</v>
      </c>
      <c r="P762" s="13" t="str">
        <f>IF($O762="ACS", "True Search", IF($O762="Arja", "Evolutionary Search", IF($O762="AVATAR", "True Pattern", IF($O762="CapGen", "Search Like Pattern", IF($O762="Cardumen", "True Semantic", IF($O762="DynaMoth", "True Semantic", IF($O762="FixMiner", "True Pattern", IF($O762="GenProg-A", "Evolutionary Search", IF($O762="Hercules", "Learning Pattern", IF($O762="Jaid", "True Semantic",
IF($O762="Kali-A", "True Search", IF($O762="kPAR", "True Pattern", IF($O762="Nopol", "True Semantic", IF($O762="RSRepair-A", "Evolutionary Search", IF($O762="SequenceR", "Deep Learning", IF($O762="SimFix", "Search Like Pattern", IF($O762="SketchFix", "True Pattern", IF($O762="SOFix", "True Pattern", IF($O762="ssFix", "Search Like Pattern", IF($O762="TBar", "True Pattern", ""))))))))))))))))))))</f>
        <v>Evolutionary Search</v>
      </c>
      <c r="Q762" s="13" t="str">
        <f>IF(NOT(ISERR(SEARCH("*_Buggy",$A762))), "Buggy", IF(NOT(ISERR(SEARCH("*_Fixed",$A762))), "Fixed", IF(NOT(ISERR(SEARCH("*_Repaired",$A762))), "Repaired", "")))</f>
        <v>Fixed</v>
      </c>
      <c r="R762" s="13" t="s">
        <v>1669</v>
      </c>
      <c r="S762" s="25">
        <v>1</v>
      </c>
      <c r="T762" s="25">
        <v>1</v>
      </c>
      <c r="U762" s="25">
        <v>1</v>
      </c>
      <c r="V762" s="13">
        <v>1</v>
      </c>
      <c r="W762" s="13" t="str">
        <f>MID(A762, SEARCH("_", A762) +1, SEARCH("_", A762, SEARCH("_", A762) +1) - SEARCH("_", A762) -1)</f>
        <v>Math-80</v>
      </c>
      <c r="Y762" s="1" t="str">
        <f t="shared" si="18"/>
        <v>NO</v>
      </c>
      <c r="Z762" s="1" t="str">
        <f t="shared" si="19"/>
        <v>NO</v>
      </c>
      <c r="AA762" t="str">
        <f>IF(AND(S762&gt;1,S1287&gt;1,S762=V762,S1287=V1287), "YES", "NO")</f>
        <v>NO</v>
      </c>
      <c r="AB762" t="str">
        <f>IF(AND(S762&gt;1,S1287&gt;1,S762&lt;V762,S1287&lt;V1287), "YES", "NO")</f>
        <v>NO</v>
      </c>
      <c r="AC762" t="str">
        <f t="shared" si="20"/>
        <v>NO</v>
      </c>
      <c r="AD762" t="str">
        <f t="shared" si="21"/>
        <v>NO</v>
      </c>
      <c r="AE762" t="str">
        <f t="shared" si="22"/>
        <v>NO</v>
      </c>
      <c r="AF762" t="str">
        <f t="shared" si="23"/>
        <v>NO</v>
      </c>
    </row>
    <row r="763" spans="1:32" ht="15" x14ac:dyDescent="0.35">
      <c r="A763" s="5" t="s">
        <v>1468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>LEFT($A763,FIND("_",$A763)-1)</f>
        <v>GenProg-A</v>
      </c>
      <c r="P763" s="13" t="str">
        <f>IF($O763="ACS", "True Search", IF($O763="Arja", "Evolutionary Search", IF($O763="AVATAR", "True Pattern", IF($O763="CapGen", "Search Like Pattern", IF($O763="Cardumen", "True Semantic", IF($O763="DynaMoth", "True Semantic", IF($O763="FixMiner", "True Pattern", IF($O763="GenProg-A", "Evolutionary Search", IF($O763="Hercules", "Learning Pattern", IF($O763="Jaid", "True Semantic",
IF($O763="Kali-A", "True Search", IF($O763="kPAR", "True Pattern", IF($O763="Nopol", "True Semantic", IF($O763="RSRepair-A", "Evolutionary Search", IF($O763="SequenceR", "Deep Learning", IF($O763="SimFix", "Search Like Pattern", IF($O763="SketchFix", "True Pattern", IF($O763="SOFix", "True Pattern", IF($O763="ssFix", "Search Like Pattern", IF($O763="TBar", "True Pattern", ""))))))))))))))))))))</f>
        <v>Evolutionary Search</v>
      </c>
      <c r="Q763" s="13" t="str">
        <f>IF(NOT(ISERR(SEARCH("*_Buggy",$A763))), "Buggy", IF(NOT(ISERR(SEARCH("*_Fixed",$A763))), "Fixed", IF(NOT(ISERR(SEARCH("*_Repaired",$A763))), "Repaired", "")))</f>
        <v>Fixed</v>
      </c>
      <c r="R763" s="13" t="s">
        <v>1669</v>
      </c>
      <c r="S763" s="25">
        <v>3</v>
      </c>
      <c r="T763" s="25">
        <v>4</v>
      </c>
      <c r="U763" s="25">
        <v>3</v>
      </c>
      <c r="V763" s="13">
        <v>4</v>
      </c>
      <c r="W763" s="13" t="str">
        <f>MID(A763, SEARCH("_", A763) +1, SEARCH("_", A763, SEARCH("_", A763) +1) - SEARCH("_", A763) -1)</f>
        <v>Math-81</v>
      </c>
      <c r="Y763" s="1" t="str">
        <f t="shared" si="18"/>
        <v>NO</v>
      </c>
      <c r="Z763" s="1" t="str">
        <f t="shared" si="19"/>
        <v>YES</v>
      </c>
      <c r="AA763" t="str">
        <f>IF(AND(S763&gt;1,S1288&gt;1,S763=V763,S1288=V1288), "YES", "NO")</f>
        <v>NO</v>
      </c>
      <c r="AB763" t="str">
        <f>IF(AND(S763&gt;1,S1288&gt;1,S763&lt;V763,S1288&lt;V1288), "YES", "NO")</f>
        <v>YES</v>
      </c>
      <c r="AC763" t="str">
        <f t="shared" si="20"/>
        <v>NO</v>
      </c>
      <c r="AD763" t="str">
        <f t="shared" si="21"/>
        <v>NO</v>
      </c>
      <c r="AE763" t="str">
        <f t="shared" si="22"/>
        <v>NO</v>
      </c>
      <c r="AF763" t="str">
        <f t="shared" si="23"/>
        <v>YES</v>
      </c>
    </row>
    <row r="764" spans="1:32" ht="15" x14ac:dyDescent="0.35">
      <c r="A764" s="5" t="s">
        <v>1469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>LEFT($A764,FIND("_",$A764)-1)</f>
        <v>GenProg-A</v>
      </c>
      <c r="P764" s="13" t="str">
        <f>IF($O764="ACS", "True Search", IF($O764="Arja", "Evolutionary Search", IF($O764="AVATAR", "True Pattern", IF($O764="CapGen", "Search Like Pattern", IF($O764="Cardumen", "True Semantic", IF($O764="DynaMoth", "True Semantic", IF($O764="FixMiner", "True Pattern", IF($O764="GenProg-A", "Evolutionary Search", IF($O764="Hercules", "Learning Pattern", IF($O764="Jaid", "True Semantic",
IF($O764="Kali-A", "True Search", IF($O764="kPAR", "True Pattern", IF($O764="Nopol", "True Semantic", IF($O764="RSRepair-A", "Evolutionary Search", IF($O764="SequenceR", "Deep Learning", IF($O764="SimFix", "Search Like Pattern", IF($O764="SketchFix", "True Pattern", IF($O764="SOFix", "True Pattern", IF($O764="ssFix", "Search Like Pattern", IF($O764="TBar", "True Pattern", ""))))))))))))))))))))</f>
        <v>Evolutionary Search</v>
      </c>
      <c r="Q764" s="13" t="str">
        <f>IF(NOT(ISERR(SEARCH("*_Buggy",$A764))), "Buggy", IF(NOT(ISERR(SEARCH("*_Fixed",$A764))), "Fixed", IF(NOT(ISERR(SEARCH("*_Repaired",$A764))), "Repaired", "")))</f>
        <v>Fixed</v>
      </c>
      <c r="R764" s="13" t="s">
        <v>1669</v>
      </c>
      <c r="S764" s="25">
        <v>1</v>
      </c>
      <c r="T764" s="25">
        <v>1</v>
      </c>
      <c r="U764" s="25">
        <v>1</v>
      </c>
      <c r="V764" s="13">
        <v>1</v>
      </c>
      <c r="W764" s="13" t="str">
        <f>MID(A764, SEARCH("_", A764) +1, SEARCH("_", A764, SEARCH("_", A764) +1) - SEARCH("_", A764) -1)</f>
        <v>Math-82</v>
      </c>
      <c r="Y764" s="1" t="str">
        <f t="shared" si="18"/>
        <v>NO</v>
      </c>
      <c r="Z764" s="1" t="str">
        <f t="shared" si="19"/>
        <v>NO</v>
      </c>
      <c r="AA764" t="str">
        <f>IF(AND(S764&gt;1,S1289&gt;1,S764=V764,S1289=V1289), "YES", "NO")</f>
        <v>NO</v>
      </c>
      <c r="AB764" t="str">
        <f>IF(AND(S764&gt;1,S1289&gt;1,S764&lt;V764,S1289&lt;V1289), "YES", "NO")</f>
        <v>NO</v>
      </c>
      <c r="AC764" t="str">
        <f t="shared" si="20"/>
        <v>YES</v>
      </c>
      <c r="AD764" t="str">
        <f t="shared" si="21"/>
        <v>NO</v>
      </c>
      <c r="AE764" t="str">
        <f t="shared" si="22"/>
        <v>YES</v>
      </c>
      <c r="AF764" t="str">
        <f t="shared" si="23"/>
        <v>NO</v>
      </c>
    </row>
    <row r="765" spans="1:32" ht="15" x14ac:dyDescent="0.35">
      <c r="A765" s="7" t="s">
        <v>1470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>LEFT($A765,FIND("_",$A765)-1)</f>
        <v>GenProg-A</v>
      </c>
      <c r="P765" s="13" t="str">
        <f>IF($O765="ACS", "True Search", IF($O765="Arja", "Evolutionary Search", IF($O765="AVATAR", "True Pattern", IF($O765="CapGen", "Search Like Pattern", IF($O765="Cardumen", "True Semantic", IF($O765="DynaMoth", "True Semantic", IF($O765="FixMiner", "True Pattern", IF($O765="GenProg-A", "Evolutionary Search", IF($O765="Hercules", "Learning Pattern", IF($O765="Jaid", "True Semantic",
IF($O765="Kali-A", "True Search", IF($O765="kPAR", "True Pattern", IF($O765="Nopol", "True Semantic", IF($O765="RSRepair-A", "Evolutionary Search", IF($O765="SequenceR", "Deep Learning", IF($O765="SimFix", "Search Like Pattern", IF($O765="SketchFix", "True Pattern", IF($O765="SOFix", "True Pattern", IF($O765="ssFix", "Search Like Pattern", IF($O765="TBar", "True Pattern", ""))))))))))))))))))))</f>
        <v>Evolutionary Search</v>
      </c>
      <c r="Q765" s="13" t="str">
        <f>IF(NOT(ISERR(SEARCH("*_Buggy",$A765))), "Buggy", IF(NOT(ISERR(SEARCH("*_Fixed",$A765))), "Fixed", IF(NOT(ISERR(SEARCH("*_Repaired",$A765))), "Repaired", "")))</f>
        <v>Fixed</v>
      </c>
      <c r="R765" s="13" t="s">
        <v>1669</v>
      </c>
      <c r="S765" s="25">
        <v>1</v>
      </c>
      <c r="T765" s="25">
        <v>1</v>
      </c>
      <c r="U765" s="25">
        <v>1</v>
      </c>
      <c r="V765" s="13">
        <v>1</v>
      </c>
      <c r="W765" s="13" t="str">
        <f>MID(A765, SEARCH("_", A765) +1, SEARCH("_", A765, SEARCH("_", A765) +1) - SEARCH("_", A765) -1)</f>
        <v>Math-85</v>
      </c>
      <c r="Y765" s="1" t="str">
        <f t="shared" si="18"/>
        <v>NO</v>
      </c>
      <c r="Z765" s="1" t="str">
        <f t="shared" si="19"/>
        <v>NO</v>
      </c>
      <c r="AA765" t="str">
        <f>IF(AND(S765&gt;1,S1290&gt;1,S765=V765,S1290=V1290), "YES", "NO")</f>
        <v>NO</v>
      </c>
      <c r="AB765" t="str">
        <f>IF(AND(S765&gt;1,S1290&gt;1,S765&lt;V765,S1290&lt;V1290), "YES", "NO")</f>
        <v>NO</v>
      </c>
      <c r="AC765" t="str">
        <f t="shared" si="20"/>
        <v>NO</v>
      </c>
      <c r="AD765" t="str">
        <f t="shared" si="21"/>
        <v>NO</v>
      </c>
      <c r="AE765" t="str">
        <f t="shared" si="22"/>
        <v>NO</v>
      </c>
      <c r="AF765" t="str">
        <f t="shared" si="23"/>
        <v>NO</v>
      </c>
    </row>
    <row r="766" spans="1:32" ht="15" x14ac:dyDescent="0.35">
      <c r="A766" s="5" t="s">
        <v>1471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>LEFT($A766,FIND("_",$A766)-1)</f>
        <v>GenProg-A</v>
      </c>
      <c r="P766" s="13" t="str">
        <f>IF($O766="ACS", "True Search", IF($O766="Arja", "Evolutionary Search", IF($O766="AVATAR", "True Pattern", IF($O766="CapGen", "Search Like Pattern", IF($O766="Cardumen", "True Semantic", IF($O766="DynaMoth", "True Semantic", IF($O766="FixMiner", "True Pattern", IF($O766="GenProg-A", "Evolutionary Search", IF($O766="Hercules", "Learning Pattern", IF($O766="Jaid", "True Semantic",
IF($O766="Kali-A", "True Search", IF($O766="kPAR", "True Pattern", IF($O766="Nopol", "True Semantic", IF($O766="RSRepair-A", "Evolutionary Search", IF($O766="SequenceR", "Deep Learning", IF($O766="SimFix", "Search Like Pattern", IF($O766="SketchFix", "True Pattern", IF($O766="SOFix", "True Pattern", IF($O766="ssFix", "Search Like Pattern", IF($O766="TBar", "True Pattern", ""))))))))))))))))))))</f>
        <v>Evolutionary Search</v>
      </c>
      <c r="Q766" s="13" t="str">
        <f>IF(NOT(ISERR(SEARCH("*_Buggy",$A766))), "Buggy", IF(NOT(ISERR(SEARCH("*_Fixed",$A766))), "Fixed", IF(NOT(ISERR(SEARCH("*_Repaired",$A766))), "Repaired", "")))</f>
        <v>Fixed</v>
      </c>
      <c r="R766" s="13" t="s">
        <v>1669</v>
      </c>
      <c r="S766" s="25">
        <v>3</v>
      </c>
      <c r="T766" s="25">
        <v>3</v>
      </c>
      <c r="U766" s="25">
        <v>1</v>
      </c>
      <c r="V766" s="13">
        <v>3</v>
      </c>
      <c r="W766" s="13" t="str">
        <f>MID(A766, SEARCH("_", A766) +1, SEARCH("_", A766, SEARCH("_", A766) +1) - SEARCH("_", A766) -1)</f>
        <v>Math-95</v>
      </c>
      <c r="Y766" s="1" t="str">
        <f t="shared" si="18"/>
        <v>YES</v>
      </c>
      <c r="Z766" s="1" t="str">
        <f t="shared" si="19"/>
        <v>NO</v>
      </c>
      <c r="AA766" t="str">
        <f>IF(AND(S766&gt;1,S1291&gt;1,S766=V766,S1291=V1291), "YES", "NO")</f>
        <v>NO</v>
      </c>
      <c r="AB766" t="str">
        <f>IF(AND(S766&gt;1,S1291&gt;1,S766&lt;V766,S1291&lt;V1291), "YES", "NO")</f>
        <v>NO</v>
      </c>
      <c r="AC766" t="str">
        <f t="shared" si="20"/>
        <v>NO</v>
      </c>
      <c r="AD766" t="str">
        <f t="shared" si="21"/>
        <v>NO</v>
      </c>
      <c r="AE766" t="str">
        <f t="shared" si="22"/>
        <v>NO</v>
      </c>
      <c r="AF766" t="str">
        <f t="shared" si="23"/>
        <v>YES</v>
      </c>
    </row>
    <row r="767" spans="1:32" ht="15" x14ac:dyDescent="0.35">
      <c r="A767" s="7" t="s">
        <v>1472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>LEFT($A767,FIND("_",$A767)-1)</f>
        <v>Kali-A</v>
      </c>
      <c r="P767" s="13" t="str">
        <f>IF($O767="ACS", "True Search", IF($O767="Arja", "Evolutionary Search", IF($O767="AVATAR", "True Pattern", IF($O767="CapGen", "Search Like Pattern", IF($O767="Cardumen", "True Semantic", IF($O767="DynaMoth", "True Semantic", IF($O767="FixMiner", "True Pattern", IF($O767="GenProg-A", "Evolutionary Search", IF($O767="Hercules", "Learning Pattern", IF($O767="Jaid", "True Semantic",
IF($O767="Kali-A", "True Search", IF($O767="kPAR", "True Pattern", IF($O767="Nopol", "True Semantic", IF($O767="RSRepair-A", "Evolutionary Search", IF($O767="SequenceR", "Deep Learning", IF($O767="SimFix", "Search Like Pattern", IF($O767="SketchFix", "True Pattern", IF($O767="SOFix", "True Pattern", IF($O767="ssFix", "Search Like Pattern", IF($O767="TBar", "True Pattern", ""))))))))))))))))))))</f>
        <v>True Search</v>
      </c>
      <c r="Q767" s="13" t="str">
        <f>IF(NOT(ISERR(SEARCH("*_Buggy",$A767))), "Buggy", IF(NOT(ISERR(SEARCH("*_Fixed",$A767))), "Fixed", IF(NOT(ISERR(SEARCH("*_Repaired",$A767))), "Repaired", "")))</f>
        <v>Fixed</v>
      </c>
      <c r="R767" s="13" t="s">
        <v>1669</v>
      </c>
      <c r="S767" s="25">
        <v>1</v>
      </c>
      <c r="T767" s="25">
        <v>1</v>
      </c>
      <c r="U767" s="25">
        <v>1</v>
      </c>
      <c r="V767" s="13">
        <v>1</v>
      </c>
      <c r="W767" s="13" t="str">
        <f>MID(A767, SEARCH("_", A767) +1, SEARCH("_", A767, SEARCH("_", A767) +1) - SEARCH("_", A767) -1)</f>
        <v>Chart-1</v>
      </c>
      <c r="Y767" s="1" t="str">
        <f t="shared" si="18"/>
        <v>NO</v>
      </c>
      <c r="Z767" s="1" t="str">
        <f t="shared" si="19"/>
        <v>NO</v>
      </c>
      <c r="AA767" t="str">
        <f>IF(AND(S767&gt;1,S1292&gt;1,S767=V767,S1292=V1292), "YES", "NO")</f>
        <v>NO</v>
      </c>
      <c r="AB767" t="str">
        <f>IF(AND(S767&gt;1,S1292&gt;1,S767&lt;V767,S1292&lt;V1292), "YES", "NO")</f>
        <v>NO</v>
      </c>
      <c r="AC767" t="str">
        <f t="shared" si="20"/>
        <v>YES</v>
      </c>
      <c r="AD767" t="str">
        <f t="shared" si="21"/>
        <v>NO</v>
      </c>
      <c r="AE767" t="str">
        <f t="shared" si="22"/>
        <v>YES</v>
      </c>
      <c r="AF767" t="str">
        <f t="shared" si="23"/>
        <v>NO</v>
      </c>
    </row>
    <row r="768" spans="1:32" ht="15" x14ac:dyDescent="0.35">
      <c r="A768" s="5" t="s">
        <v>1473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>LEFT($A768,FIND("_",$A768)-1)</f>
        <v>Kali-A</v>
      </c>
      <c r="P768" s="13" t="str">
        <f>IF($O768="ACS", "True Search", IF($O768="Arja", "Evolutionary Search", IF($O768="AVATAR", "True Pattern", IF($O768="CapGen", "Search Like Pattern", IF($O768="Cardumen", "True Semantic", IF($O768="DynaMoth", "True Semantic", IF($O768="FixMiner", "True Pattern", IF($O768="GenProg-A", "Evolutionary Search", IF($O768="Hercules", "Learning Pattern", IF($O768="Jaid", "True Semantic",
IF($O768="Kali-A", "True Search", IF($O768="kPAR", "True Pattern", IF($O768="Nopol", "True Semantic", IF($O768="RSRepair-A", "Evolutionary Search", IF($O768="SequenceR", "Deep Learning", IF($O768="SimFix", "Search Like Pattern", IF($O768="SketchFix", "True Pattern", IF($O768="SOFix", "True Pattern", IF($O768="ssFix", "Search Like Pattern", IF($O768="TBar", "True Pattern", ""))))))))))))))))))))</f>
        <v>True Search</v>
      </c>
      <c r="Q768" s="13" t="str">
        <f>IF(NOT(ISERR(SEARCH("*_Buggy",$A768))), "Buggy", IF(NOT(ISERR(SEARCH("*_Fixed",$A768))), "Fixed", IF(NOT(ISERR(SEARCH("*_Repaired",$A768))), "Repaired", "")))</f>
        <v>Fixed</v>
      </c>
      <c r="R768" s="13" t="s">
        <v>1669</v>
      </c>
      <c r="S768" s="25">
        <v>2</v>
      </c>
      <c r="T768" s="25">
        <v>5</v>
      </c>
      <c r="U768" s="25">
        <v>1</v>
      </c>
      <c r="V768" s="13">
        <v>5</v>
      </c>
      <c r="W768" s="13" t="str">
        <f>MID(A768, SEARCH("_", A768) +1, SEARCH("_", A768, SEARCH("_", A768) +1) - SEARCH("_", A768) -1)</f>
        <v>Chart-5</v>
      </c>
      <c r="Y768" s="1" t="str">
        <f t="shared" si="18"/>
        <v>NO</v>
      </c>
      <c r="Z768" s="1" t="str">
        <f t="shared" si="19"/>
        <v>YES</v>
      </c>
      <c r="AA768" t="str">
        <f>IF(AND(S768&gt;1,S1293&gt;1,S768=V768,S1293=V1293), "YES", "NO")</f>
        <v>NO</v>
      </c>
      <c r="AB768" t="str">
        <f>IF(AND(S768&gt;1,S1293&gt;1,S768&lt;V768,S1293&lt;V1293), "YES", "NO")</f>
        <v>NO</v>
      </c>
      <c r="AC768" t="str">
        <f t="shared" si="20"/>
        <v>NO</v>
      </c>
      <c r="AD768" t="str">
        <f t="shared" si="21"/>
        <v>NO</v>
      </c>
      <c r="AE768" t="str">
        <f t="shared" si="22"/>
        <v>NO</v>
      </c>
      <c r="AF768" t="str">
        <f t="shared" si="23"/>
        <v>NO</v>
      </c>
    </row>
    <row r="769" spans="1:32" ht="15" x14ac:dyDescent="0.35">
      <c r="A769" s="7" t="s">
        <v>1474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>LEFT($A769,FIND("_",$A769)-1)</f>
        <v>Kali-A</v>
      </c>
      <c r="P769" s="13" t="str">
        <f>IF($O769="ACS", "True Search", IF($O769="Arja", "Evolutionary Search", IF($O769="AVATAR", "True Pattern", IF($O769="CapGen", "Search Like Pattern", IF($O769="Cardumen", "True Semantic", IF($O769="DynaMoth", "True Semantic", IF($O769="FixMiner", "True Pattern", IF($O769="GenProg-A", "Evolutionary Search", IF($O769="Hercules", "Learning Pattern", IF($O769="Jaid", "True Semantic",
IF($O769="Kali-A", "True Search", IF($O769="kPAR", "True Pattern", IF($O769="Nopol", "True Semantic", IF($O769="RSRepair-A", "Evolutionary Search", IF($O769="SequenceR", "Deep Learning", IF($O769="SimFix", "Search Like Pattern", IF($O769="SketchFix", "True Pattern", IF($O769="SOFix", "True Pattern", IF($O769="ssFix", "Search Like Pattern", IF($O769="TBar", "True Pattern", ""))))))))))))))))))))</f>
        <v>True Search</v>
      </c>
      <c r="Q769" s="13" t="str">
        <f>IF(NOT(ISERR(SEARCH("*_Buggy",$A769))), "Buggy", IF(NOT(ISERR(SEARCH("*_Fixed",$A769))), "Fixed", IF(NOT(ISERR(SEARCH("*_Repaired",$A769))), "Repaired", "")))</f>
        <v>Fixed</v>
      </c>
      <c r="R769" s="13" t="s">
        <v>1669</v>
      </c>
      <c r="S769" s="25">
        <v>1</v>
      </c>
      <c r="T769" s="13">
        <v>3</v>
      </c>
      <c r="U769" s="25">
        <v>0</v>
      </c>
      <c r="V769" s="13">
        <v>3</v>
      </c>
      <c r="W769" s="13" t="str">
        <f>MID(A769, SEARCH("_", A769) +1, SEARCH("_", A769, SEARCH("_", A769) +1) - SEARCH("_", A769) -1)</f>
        <v>Closure-1</v>
      </c>
      <c r="Y769" s="1" t="str">
        <f t="shared" si="18"/>
        <v>NO</v>
      </c>
      <c r="Z769" s="1" t="str">
        <f t="shared" si="19"/>
        <v>NO</v>
      </c>
      <c r="AA769" t="str">
        <f>IF(AND(S769&gt;1,S1294&gt;1,S769=V769,S1294=V1294), "YES", "NO")</f>
        <v>NO</v>
      </c>
      <c r="AB769" t="str">
        <f>IF(AND(S769&gt;1,S1294&gt;1,S769&lt;V769,S1294&lt;V1294), "YES", "NO")</f>
        <v>NO</v>
      </c>
      <c r="AC769" t="str">
        <f t="shared" si="20"/>
        <v>NO</v>
      </c>
      <c r="AD769" t="str">
        <f t="shared" si="21"/>
        <v>NO</v>
      </c>
      <c r="AE769" t="str">
        <f t="shared" si="22"/>
        <v>NO</v>
      </c>
      <c r="AF769" t="str">
        <f t="shared" si="23"/>
        <v>NO</v>
      </c>
    </row>
    <row r="770" spans="1:32" ht="15" x14ac:dyDescent="0.35">
      <c r="A770" s="7" t="s">
        <v>1475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>LEFT($A770,FIND("_",$A770)-1)</f>
        <v>Kali-A</v>
      </c>
      <c r="P770" s="13" t="str">
        <f>IF($O770="ACS", "True Search", IF($O770="Arja", "Evolutionary Search", IF($O770="AVATAR", "True Pattern", IF($O770="CapGen", "Search Like Pattern", IF($O770="Cardumen", "True Semantic", IF($O770="DynaMoth", "True Semantic", IF($O770="FixMiner", "True Pattern", IF($O770="GenProg-A", "Evolutionary Search", IF($O770="Hercules", "Learning Pattern", IF($O770="Jaid", "True Semantic",
IF($O770="Kali-A", "True Search", IF($O770="kPAR", "True Pattern", IF($O770="Nopol", "True Semantic", IF($O770="RSRepair-A", "Evolutionary Search", IF($O770="SequenceR", "Deep Learning", IF($O770="SimFix", "Search Like Pattern", IF($O770="SketchFix", "True Pattern", IF($O770="SOFix", "True Pattern", IF($O770="ssFix", "Search Like Pattern", IF($O770="TBar", "True Pattern", ""))))))))))))))))))))</f>
        <v>True Search</v>
      </c>
      <c r="Q770" s="13" t="str">
        <f>IF(NOT(ISERR(SEARCH("*_Buggy",$A770))), "Buggy", IF(NOT(ISERR(SEARCH("*_Fixed",$A770))), "Fixed", IF(NOT(ISERR(SEARCH("*_Repaired",$A770))), "Repaired", "")))</f>
        <v>Fixed</v>
      </c>
      <c r="R770" s="13" t="s">
        <v>1669</v>
      </c>
      <c r="S770" s="25">
        <v>1</v>
      </c>
      <c r="T770" s="25">
        <v>1</v>
      </c>
      <c r="U770" s="25">
        <v>1</v>
      </c>
      <c r="V770" s="13">
        <v>1</v>
      </c>
      <c r="W770" s="13" t="str">
        <f>MID(A770, SEARCH("_", A770) +1, SEARCH("_", A770, SEARCH("_", A770) +1) - SEARCH("_", A770) -1)</f>
        <v>Closure-10</v>
      </c>
      <c r="Y770" s="1" t="str">
        <f t="shared" si="18"/>
        <v>NO</v>
      </c>
      <c r="Z770" s="1" t="str">
        <f t="shared" si="19"/>
        <v>NO</v>
      </c>
      <c r="AA770" t="str">
        <f>IF(AND(S770&gt;1,S1295&gt;1,S770=V770,S1295=V1295), "YES", "NO")</f>
        <v>NO</v>
      </c>
      <c r="AB770" t="str">
        <f>IF(AND(S770&gt;1,S1295&gt;1,S770&lt;V770,S1295&lt;V1295), "YES", "NO")</f>
        <v>NO</v>
      </c>
      <c r="AC770" t="str">
        <f t="shared" si="20"/>
        <v>NO</v>
      </c>
      <c r="AD770" t="str">
        <f t="shared" si="21"/>
        <v>NO</v>
      </c>
      <c r="AE770" t="str">
        <f t="shared" si="22"/>
        <v>NO</v>
      </c>
      <c r="AF770" t="str">
        <f t="shared" si="23"/>
        <v>NO</v>
      </c>
    </row>
    <row r="771" spans="1:32" ht="15" x14ac:dyDescent="0.35">
      <c r="A771" s="7" t="s">
        <v>1476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>LEFT($A771,FIND("_",$A771)-1)</f>
        <v>Kali-A</v>
      </c>
      <c r="P771" s="13" t="str">
        <f>IF($O771="ACS", "True Search", IF($O771="Arja", "Evolutionary Search", IF($O771="AVATAR", "True Pattern", IF($O771="CapGen", "Search Like Pattern", IF($O771="Cardumen", "True Semantic", IF($O771="DynaMoth", "True Semantic", IF($O771="FixMiner", "True Pattern", IF($O771="GenProg-A", "Evolutionary Search", IF($O771="Hercules", "Learning Pattern", IF($O771="Jaid", "True Semantic",
IF($O771="Kali-A", "True Search", IF($O771="kPAR", "True Pattern", IF($O771="Nopol", "True Semantic", IF($O771="RSRepair-A", "Evolutionary Search", IF($O771="SequenceR", "Deep Learning", IF($O771="SimFix", "Search Like Pattern", IF($O771="SketchFix", "True Pattern", IF($O771="SOFix", "True Pattern", IF($O771="ssFix", "Search Like Pattern", IF($O771="TBar", "True Pattern", ""))))))))))))))))))))</f>
        <v>True Search</v>
      </c>
      <c r="Q771" s="13" t="str">
        <f>IF(NOT(ISERR(SEARCH("*_Buggy",$A771))), "Buggy", IF(NOT(ISERR(SEARCH("*_Fixed",$A771))), "Fixed", IF(NOT(ISERR(SEARCH("*_Repaired",$A771))), "Repaired", "")))</f>
        <v>Fixed</v>
      </c>
      <c r="R771" s="13" t="s">
        <v>1669</v>
      </c>
      <c r="S771" s="25">
        <v>1</v>
      </c>
      <c r="T771" s="25">
        <v>9</v>
      </c>
      <c r="U771" s="25">
        <v>3</v>
      </c>
      <c r="V771" s="13">
        <v>9</v>
      </c>
      <c r="W771" s="13" t="str">
        <f>MID(A771, SEARCH("_", A771) +1, SEARCH("_", A771, SEARCH("_", A771) +1) - SEARCH("_", A771) -1)</f>
        <v>Closure-112</v>
      </c>
      <c r="Y771" s="1" t="str">
        <f t="shared" si="18"/>
        <v>NO</v>
      </c>
      <c r="Z771" s="1" t="str">
        <f t="shared" si="19"/>
        <v>NO</v>
      </c>
      <c r="AA771" t="str">
        <f>IF(AND(S771&gt;1,S1296&gt;1,S771=V771,S1296=V1296), "YES", "NO")</f>
        <v>NO</v>
      </c>
      <c r="AB771" t="str">
        <f>IF(AND(S771&gt;1,S1296&gt;1,S771&lt;V771,S1296&lt;V1296), "YES", "NO")</f>
        <v>NO</v>
      </c>
      <c r="AC771" t="str">
        <f t="shared" si="20"/>
        <v>NO</v>
      </c>
      <c r="AD771" t="str">
        <f t="shared" si="21"/>
        <v>NO</v>
      </c>
      <c r="AE771" t="str">
        <f t="shared" si="22"/>
        <v>NO</v>
      </c>
      <c r="AF771" t="str">
        <f t="shared" si="23"/>
        <v>NO</v>
      </c>
    </row>
    <row r="772" spans="1:32" ht="15" x14ac:dyDescent="0.35">
      <c r="A772" s="7" t="s">
        <v>1477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>LEFT($A772,FIND("_",$A772)-1)</f>
        <v>Kali-A</v>
      </c>
      <c r="P772" s="13" t="str">
        <f>IF($O772="ACS", "True Search", IF($O772="Arja", "Evolutionary Search", IF($O772="AVATAR", "True Pattern", IF($O772="CapGen", "Search Like Pattern", IF($O772="Cardumen", "True Semantic", IF($O772="DynaMoth", "True Semantic", IF($O772="FixMiner", "True Pattern", IF($O772="GenProg-A", "Evolutionary Search", IF($O772="Hercules", "Learning Pattern", IF($O772="Jaid", "True Semantic",
IF($O772="Kali-A", "True Search", IF($O772="kPAR", "True Pattern", IF($O772="Nopol", "True Semantic", IF($O772="RSRepair-A", "Evolutionary Search", IF($O772="SequenceR", "Deep Learning", IF($O772="SimFix", "Search Like Pattern", IF($O772="SketchFix", "True Pattern", IF($O772="SOFix", "True Pattern", IF($O772="ssFix", "Search Like Pattern", IF($O772="TBar", "True Pattern", ""))))))))))))))))))))</f>
        <v>True Search</v>
      </c>
      <c r="Q772" s="13" t="str">
        <f>IF(NOT(ISERR(SEARCH("*_Buggy",$A772))), "Buggy", IF(NOT(ISERR(SEARCH("*_Fixed",$A772))), "Fixed", IF(NOT(ISERR(SEARCH("*_Repaired",$A772))), "Repaired", "")))</f>
        <v>Fixed</v>
      </c>
      <c r="R772" s="13" t="s">
        <v>1669</v>
      </c>
      <c r="S772" s="25">
        <v>1</v>
      </c>
      <c r="T772" s="25">
        <v>1</v>
      </c>
      <c r="U772" s="25">
        <v>1</v>
      </c>
      <c r="V772" s="13">
        <v>1</v>
      </c>
      <c r="W772" s="13" t="str">
        <f>MID(A772, SEARCH("_", A772) +1, SEARCH("_", A772, SEARCH("_", A772) +1) - SEARCH("_", A772) -1)</f>
        <v>Closure-113</v>
      </c>
      <c r="Y772" s="1" t="str">
        <f t="shared" si="18"/>
        <v>NO</v>
      </c>
      <c r="Z772" s="1" t="str">
        <f t="shared" si="19"/>
        <v>NO</v>
      </c>
      <c r="AA772" t="str">
        <f>IF(AND(S772&gt;1,S1297&gt;1,S772=V772,S1297=V1297), "YES", "NO")</f>
        <v>NO</v>
      </c>
      <c r="AB772" t="str">
        <f>IF(AND(S772&gt;1,S1297&gt;1,S772&lt;V772,S1297&lt;V1297), "YES", "NO")</f>
        <v>NO</v>
      </c>
      <c r="AC772" t="str">
        <f t="shared" si="20"/>
        <v>YES</v>
      </c>
      <c r="AD772" t="str">
        <f t="shared" si="21"/>
        <v>NO</v>
      </c>
      <c r="AE772" t="str">
        <f t="shared" si="22"/>
        <v>YES</v>
      </c>
      <c r="AF772" t="str">
        <f t="shared" si="23"/>
        <v>NO</v>
      </c>
    </row>
    <row r="773" spans="1:32" ht="15" x14ac:dyDescent="0.35">
      <c r="A773" s="5" t="s">
        <v>1478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>LEFT($A773,FIND("_",$A773)-1)</f>
        <v>Kali-A</v>
      </c>
      <c r="P773" s="13" t="str">
        <f>IF($O773="ACS", "True Search", IF($O773="Arja", "Evolutionary Search", IF($O773="AVATAR", "True Pattern", IF($O773="CapGen", "Search Like Pattern", IF($O773="Cardumen", "True Semantic", IF($O773="DynaMoth", "True Semantic", IF($O773="FixMiner", "True Pattern", IF($O773="GenProg-A", "Evolutionary Search", IF($O773="Hercules", "Learning Pattern", IF($O773="Jaid", "True Semantic",
IF($O773="Kali-A", "True Search", IF($O773="kPAR", "True Pattern", IF($O773="Nopol", "True Semantic", IF($O773="RSRepair-A", "Evolutionary Search", IF($O773="SequenceR", "Deep Learning", IF($O773="SimFix", "Search Like Pattern", IF($O773="SketchFix", "True Pattern", IF($O773="SOFix", "True Pattern", IF($O773="ssFix", "Search Like Pattern", IF($O773="TBar", "True Pattern", ""))))))))))))))))))))</f>
        <v>True Search</v>
      </c>
      <c r="Q773" s="13" t="str">
        <f>IF(NOT(ISERR(SEARCH("*_Buggy",$A773))), "Buggy", IF(NOT(ISERR(SEARCH("*_Fixed",$A773))), "Fixed", IF(NOT(ISERR(SEARCH("*_Repaired",$A773))), "Repaired", "")))</f>
        <v>Fixed</v>
      </c>
      <c r="R773" s="13" t="s">
        <v>1668</v>
      </c>
      <c r="S773" s="25">
        <v>2</v>
      </c>
      <c r="T773" s="25">
        <v>0</v>
      </c>
      <c r="U773" s="13">
        <v>11</v>
      </c>
      <c r="V773" s="13">
        <v>11</v>
      </c>
      <c r="W773" s="13" t="str">
        <f>MID(A773, SEARCH("_", A773) +1, SEARCH("_", A773, SEARCH("_", A773) +1) - SEARCH("_", A773) -1)</f>
        <v>Closure-115</v>
      </c>
      <c r="Y773" s="1" t="str">
        <f t="shared" si="18"/>
        <v>NO</v>
      </c>
      <c r="Z773" s="1" t="str">
        <f t="shared" si="19"/>
        <v>YES</v>
      </c>
      <c r="AA773" t="str">
        <f>IF(AND(S773&gt;1,S1298&gt;1,S773=V773,S1298=V1298), "YES", "NO")</f>
        <v>NO</v>
      </c>
      <c r="AB773" t="str">
        <f>IF(AND(S773&gt;1,S1298&gt;1,S773&lt;V773,S1298&lt;V1298), "YES", "NO")</f>
        <v>NO</v>
      </c>
      <c r="AC773" t="str">
        <f t="shared" si="20"/>
        <v>NO</v>
      </c>
      <c r="AD773" t="str">
        <f t="shared" si="21"/>
        <v>NO</v>
      </c>
      <c r="AE773" t="str">
        <f t="shared" si="22"/>
        <v>NO</v>
      </c>
      <c r="AF773" t="str">
        <f t="shared" si="23"/>
        <v>NO</v>
      </c>
    </row>
    <row r="774" spans="1:32" ht="15" x14ac:dyDescent="0.35">
      <c r="A774" s="7" t="s">
        <v>1479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>LEFT($A774,FIND("_",$A774)-1)</f>
        <v>Kali-A</v>
      </c>
      <c r="P774" s="13" t="str">
        <f>IF($O774="ACS", "True Search", IF($O774="Arja", "Evolutionary Search", IF($O774="AVATAR", "True Pattern", IF($O774="CapGen", "Search Like Pattern", IF($O774="Cardumen", "True Semantic", IF($O774="DynaMoth", "True Semantic", IF($O774="FixMiner", "True Pattern", IF($O774="GenProg-A", "Evolutionary Search", IF($O774="Hercules", "Learning Pattern", IF($O774="Jaid", "True Semantic",
IF($O774="Kali-A", "True Search", IF($O774="kPAR", "True Pattern", IF($O774="Nopol", "True Semantic", IF($O774="RSRepair-A", "Evolutionary Search", IF($O774="SequenceR", "Deep Learning", IF($O774="SimFix", "Search Like Pattern", IF($O774="SketchFix", "True Pattern", IF($O774="SOFix", "True Pattern", IF($O774="ssFix", "Search Like Pattern", IF($O774="TBar", "True Pattern", ""))))))))))))))))))))</f>
        <v>True Search</v>
      </c>
      <c r="Q774" s="13" t="str">
        <f>IF(NOT(ISERR(SEARCH("*_Buggy",$A774))), "Buggy", IF(NOT(ISERR(SEARCH("*_Fixed",$A774))), "Fixed", IF(NOT(ISERR(SEARCH("*_Repaired",$A774))), "Repaired", "")))</f>
        <v>Fixed</v>
      </c>
      <c r="R774" s="13" t="s">
        <v>1669</v>
      </c>
      <c r="S774" s="25">
        <v>2</v>
      </c>
      <c r="T774" s="13">
        <v>2</v>
      </c>
      <c r="U774" s="25">
        <v>0</v>
      </c>
      <c r="V774" s="13">
        <v>2</v>
      </c>
      <c r="W774" s="13" t="str">
        <f>MID(A774, SEARCH("_", A774) +1, SEARCH("_", A774, SEARCH("_", A774) +1) - SEARCH("_", A774) -1)</f>
        <v>Closure-124</v>
      </c>
      <c r="Y774" s="1" t="str">
        <f t="shared" si="18"/>
        <v>YES</v>
      </c>
      <c r="Z774" s="1" t="str">
        <f t="shared" si="19"/>
        <v>NO</v>
      </c>
      <c r="AA774" t="str">
        <f>IF(AND(S774&gt;1,S1299&gt;1,S774=V774,S1299=V1299), "YES", "NO")</f>
        <v>NO</v>
      </c>
      <c r="AB774" t="str">
        <f>IF(AND(S774&gt;1,S1299&gt;1,S774&lt;V774,S1299&lt;V1299), "YES", "NO")</f>
        <v>NO</v>
      </c>
      <c r="AC774" t="str">
        <f t="shared" si="20"/>
        <v>NO</v>
      </c>
      <c r="AD774" t="str">
        <f t="shared" si="21"/>
        <v>NO</v>
      </c>
      <c r="AE774" t="str">
        <f t="shared" si="22"/>
        <v>NO</v>
      </c>
      <c r="AF774" t="str">
        <f t="shared" si="23"/>
        <v>YES</v>
      </c>
    </row>
    <row r="775" spans="1:32" ht="15" x14ac:dyDescent="0.35">
      <c r="A775" s="5" t="s">
        <v>1480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>LEFT($A775,FIND("_",$A775)-1)</f>
        <v>Kali-A</v>
      </c>
      <c r="P775" s="13" t="str">
        <f>IF($O775="ACS", "True Search", IF($O775="Arja", "Evolutionary Search", IF($O775="AVATAR", "True Pattern", IF($O775="CapGen", "Search Like Pattern", IF($O775="Cardumen", "True Semantic", IF($O775="DynaMoth", "True Semantic", IF($O775="FixMiner", "True Pattern", IF($O775="GenProg-A", "Evolutionary Search", IF($O775="Hercules", "Learning Pattern", IF($O775="Jaid", "True Semantic",
IF($O775="Kali-A", "True Search", IF($O775="kPAR", "True Pattern", IF($O775="Nopol", "True Semantic", IF($O775="RSRepair-A", "Evolutionary Search", IF($O775="SequenceR", "Deep Learning", IF($O775="SimFix", "Search Like Pattern", IF($O775="SketchFix", "True Pattern", IF($O775="SOFix", "True Pattern", IF($O775="ssFix", "Search Like Pattern", IF($O775="TBar", "True Pattern", ""))))))))))))))))))))</f>
        <v>True Search</v>
      </c>
      <c r="Q775" s="13" t="str">
        <f>IF(NOT(ISERR(SEARCH("*_Buggy",$A775))), "Buggy", IF(NOT(ISERR(SEARCH("*_Fixed",$A775))), "Fixed", IF(NOT(ISERR(SEARCH("*_Repaired",$A775))), "Repaired", "")))</f>
        <v>Fixed</v>
      </c>
      <c r="R775" s="13" t="s">
        <v>1669</v>
      </c>
      <c r="S775" s="25">
        <v>1</v>
      </c>
      <c r="T775" s="13">
        <v>3</v>
      </c>
      <c r="U775" s="25">
        <v>0</v>
      </c>
      <c r="V775" s="13">
        <v>3</v>
      </c>
      <c r="W775" s="13" t="str">
        <f>MID(A775, SEARCH("_", A775) +1, SEARCH("_", A775, SEARCH("_", A775) +1) - SEARCH("_", A775) -1)</f>
        <v>Closure-15</v>
      </c>
      <c r="Y775" s="1" t="str">
        <f t="shared" si="18"/>
        <v>NO</v>
      </c>
      <c r="Z775" s="1" t="str">
        <f t="shared" si="19"/>
        <v>NO</v>
      </c>
      <c r="AA775" t="str">
        <f>IF(AND(S775&gt;1,S1300&gt;1,S775=V775,S1300=V1300), "YES", "NO")</f>
        <v>NO</v>
      </c>
      <c r="AB775" t="str">
        <f>IF(AND(S775&gt;1,S1300&gt;1,S775&lt;V775,S1300&lt;V1300), "YES", "NO")</f>
        <v>NO</v>
      </c>
      <c r="AC775" t="str">
        <f t="shared" si="20"/>
        <v>NO</v>
      </c>
      <c r="AD775" t="str">
        <f t="shared" si="21"/>
        <v>NO</v>
      </c>
      <c r="AE775" t="str">
        <f t="shared" si="22"/>
        <v>NO</v>
      </c>
      <c r="AF775" t="str">
        <f t="shared" si="23"/>
        <v>NO</v>
      </c>
    </row>
    <row r="776" spans="1:32" ht="15" x14ac:dyDescent="0.35">
      <c r="A776" s="7" t="s">
        <v>1481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>LEFT($A776,FIND("_",$A776)-1)</f>
        <v>Kali-A</v>
      </c>
      <c r="P776" s="13" t="str">
        <f>IF($O776="ACS", "True Search", IF($O776="Arja", "Evolutionary Search", IF($O776="AVATAR", "True Pattern", IF($O776="CapGen", "Search Like Pattern", IF($O776="Cardumen", "True Semantic", IF($O776="DynaMoth", "True Semantic", IF($O776="FixMiner", "True Pattern", IF($O776="GenProg-A", "Evolutionary Search", IF($O776="Hercules", "Learning Pattern", IF($O776="Jaid", "True Semantic",
IF($O776="Kali-A", "True Search", IF($O776="kPAR", "True Pattern", IF($O776="Nopol", "True Semantic", IF($O776="RSRepair-A", "Evolutionary Search", IF($O776="SequenceR", "Deep Learning", IF($O776="SimFix", "Search Like Pattern", IF($O776="SketchFix", "True Pattern", IF($O776="SOFix", "True Pattern", IF($O776="ssFix", "Search Like Pattern", IF($O776="TBar", "True Pattern", ""))))))))))))))))))))</f>
        <v>True Search</v>
      </c>
      <c r="Q776" s="13" t="str">
        <f>IF(NOT(ISERR(SEARCH("*_Buggy",$A776))), "Buggy", IF(NOT(ISERR(SEARCH("*_Fixed",$A776))), "Fixed", IF(NOT(ISERR(SEARCH("*_Repaired",$A776))), "Repaired", "")))</f>
        <v>Fixed</v>
      </c>
      <c r="R776" s="13" t="s">
        <v>1669</v>
      </c>
      <c r="S776" s="25">
        <v>3</v>
      </c>
      <c r="T776" s="13">
        <v>4</v>
      </c>
      <c r="U776" s="25">
        <v>0</v>
      </c>
      <c r="V776" s="13">
        <v>4</v>
      </c>
      <c r="W776" s="13" t="str">
        <f>MID(A776, SEARCH("_", A776) +1, SEARCH("_", A776, SEARCH("_", A776) +1) - SEARCH("_", A776) -1)</f>
        <v>Closure-2</v>
      </c>
      <c r="Y776" s="1" t="str">
        <f t="shared" si="18"/>
        <v>NO</v>
      </c>
      <c r="Z776" s="1" t="str">
        <f t="shared" si="19"/>
        <v>YES</v>
      </c>
      <c r="AA776" t="str">
        <f>IF(AND(S776&gt;1,S1301&gt;1,S776=V776,S1301=V1301), "YES", "NO")</f>
        <v>NO</v>
      </c>
      <c r="AB776" t="str">
        <f>IF(AND(S776&gt;1,S1301&gt;1,S776&lt;V776,S1301&lt;V1301), "YES", "NO")</f>
        <v>NO</v>
      </c>
      <c r="AC776" t="str">
        <f t="shared" si="20"/>
        <v>NO</v>
      </c>
      <c r="AD776" t="str">
        <f t="shared" si="21"/>
        <v>NO</v>
      </c>
      <c r="AE776" t="str">
        <f t="shared" si="22"/>
        <v>NO</v>
      </c>
      <c r="AF776" t="str">
        <f t="shared" si="23"/>
        <v>NO</v>
      </c>
    </row>
    <row r="777" spans="1:32" ht="15" x14ac:dyDescent="0.35">
      <c r="A777" s="7" t="s">
        <v>1482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>LEFT($A777,FIND("_",$A777)-1)</f>
        <v>Kali-A</v>
      </c>
      <c r="P777" s="13" t="str">
        <f>IF($O777="ACS", "True Search", IF($O777="Arja", "Evolutionary Search", IF($O777="AVATAR", "True Pattern", IF($O777="CapGen", "Search Like Pattern", IF($O777="Cardumen", "True Semantic", IF($O777="DynaMoth", "True Semantic", IF($O777="FixMiner", "True Pattern", IF($O777="GenProg-A", "Evolutionary Search", IF($O777="Hercules", "Learning Pattern", IF($O777="Jaid", "True Semantic",
IF($O777="Kali-A", "True Search", IF($O777="kPAR", "True Pattern", IF($O777="Nopol", "True Semantic", IF($O777="RSRepair-A", "Evolutionary Search", IF($O777="SequenceR", "Deep Learning", IF($O777="SimFix", "Search Like Pattern", IF($O777="SketchFix", "True Pattern", IF($O777="SOFix", "True Pattern", IF($O777="ssFix", "Search Like Pattern", IF($O777="TBar", "True Pattern", ""))))))))))))))))))))</f>
        <v>True Search</v>
      </c>
      <c r="Q777" s="13" t="str">
        <f>IF(NOT(ISERR(SEARCH("*_Buggy",$A777))), "Buggy", IF(NOT(ISERR(SEARCH("*_Fixed",$A777))), "Fixed", IF(NOT(ISERR(SEARCH("*_Repaired",$A777))), "Repaired", "")))</f>
        <v>Fixed</v>
      </c>
      <c r="R777" s="13" t="s">
        <v>1669</v>
      </c>
      <c r="S777" s="25">
        <v>2</v>
      </c>
      <c r="T777" s="25">
        <v>2</v>
      </c>
      <c r="U777" s="25">
        <v>19</v>
      </c>
      <c r="V777" s="13">
        <v>19</v>
      </c>
      <c r="W777" s="13" t="str">
        <f>MID(A777, SEARCH("_", A777) +1, SEARCH("_", A777, SEARCH("_", A777) +1) - SEARCH("_", A777) -1)</f>
        <v>Closure-21</v>
      </c>
      <c r="Y777" s="1" t="str">
        <f t="shared" si="18"/>
        <v>NO</v>
      </c>
      <c r="Z777" s="1" t="str">
        <f t="shared" si="19"/>
        <v>YES</v>
      </c>
      <c r="AA777" t="str">
        <f>IF(AND(S777&gt;1,S1302&gt;1,S777=V777,S1302=V1302), "YES", "NO")</f>
        <v>NO</v>
      </c>
      <c r="AB777" t="str">
        <f>IF(AND(S777&gt;1,S1302&gt;1,S777&lt;V777,S1302&lt;V1302), "YES", "NO")</f>
        <v>NO</v>
      </c>
      <c r="AC777" t="str">
        <f t="shared" si="20"/>
        <v>NO</v>
      </c>
      <c r="AD777" t="str">
        <f t="shared" si="21"/>
        <v>NO</v>
      </c>
      <c r="AE777" t="str">
        <f t="shared" si="22"/>
        <v>NO</v>
      </c>
      <c r="AF777" t="str">
        <f t="shared" si="23"/>
        <v>NO</v>
      </c>
    </row>
    <row r="778" spans="1:32" ht="15" x14ac:dyDescent="0.35">
      <c r="A778" s="5" t="s">
        <v>1483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>LEFT($A778,FIND("_",$A778)-1)</f>
        <v>Kali-A</v>
      </c>
      <c r="P778" s="13" t="str">
        <f>IF($O778="ACS", "True Search", IF($O778="Arja", "Evolutionary Search", IF($O778="AVATAR", "True Pattern", IF($O778="CapGen", "Search Like Pattern", IF($O778="Cardumen", "True Semantic", IF($O778="DynaMoth", "True Semantic", IF($O778="FixMiner", "True Pattern", IF($O778="GenProg-A", "Evolutionary Search", IF($O778="Hercules", "Learning Pattern", IF($O778="Jaid", "True Semantic",
IF($O778="Kali-A", "True Search", IF($O778="kPAR", "True Pattern", IF($O778="Nopol", "True Semantic", IF($O778="RSRepair-A", "Evolutionary Search", IF($O778="SequenceR", "Deep Learning", IF($O778="SimFix", "Search Like Pattern", IF($O778="SketchFix", "True Pattern", IF($O778="SOFix", "True Pattern", IF($O778="ssFix", "Search Like Pattern", IF($O778="TBar", "True Pattern", ""))))))))))))))))))))</f>
        <v>True Search</v>
      </c>
      <c r="Q778" s="13" t="str">
        <f>IF(NOT(ISERR(SEARCH("*_Buggy",$A778))), "Buggy", IF(NOT(ISERR(SEARCH("*_Fixed",$A778))), "Fixed", IF(NOT(ISERR(SEARCH("*_Repaired",$A778))), "Repaired", "")))</f>
        <v>Fixed</v>
      </c>
      <c r="R778" s="13" t="s">
        <v>1669</v>
      </c>
      <c r="S778" s="25">
        <v>5</v>
      </c>
      <c r="T778" s="25">
        <v>2</v>
      </c>
      <c r="U778" s="25">
        <v>26</v>
      </c>
      <c r="V778" s="13">
        <v>26</v>
      </c>
      <c r="W778" s="13" t="str">
        <f>MID(A778, SEARCH("_", A778) +1, SEARCH("_", A778, SEARCH("_", A778) +1) - SEARCH("_", A778) -1)</f>
        <v>Closure-22</v>
      </c>
      <c r="Y778" s="1" t="str">
        <f t="shared" si="18"/>
        <v>NO</v>
      </c>
      <c r="Z778" s="1" t="str">
        <f t="shared" si="19"/>
        <v>YES</v>
      </c>
      <c r="AA778" t="str">
        <f>IF(AND(S778&gt;1,S1303&gt;1,S778=V778,S1303=V1303), "YES", "NO")</f>
        <v>NO</v>
      </c>
      <c r="AB778" t="str">
        <f>IF(AND(S778&gt;1,S1303&gt;1,S778&lt;V778,S1303&lt;V1303), "YES", "NO")</f>
        <v>NO</v>
      </c>
      <c r="AC778" t="str">
        <f t="shared" si="20"/>
        <v>NO</v>
      </c>
      <c r="AD778" t="str">
        <f t="shared" si="21"/>
        <v>NO</v>
      </c>
      <c r="AE778" t="str">
        <f t="shared" si="22"/>
        <v>NO</v>
      </c>
      <c r="AF778" t="str">
        <f t="shared" si="23"/>
        <v>NO</v>
      </c>
    </row>
    <row r="779" spans="1:32" ht="15" x14ac:dyDescent="0.35">
      <c r="A779" s="5" t="s">
        <v>1484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>LEFT($A779,FIND("_",$A779)-1)</f>
        <v>Kali-A</v>
      </c>
      <c r="P779" s="13" t="str">
        <f>IF($O779="ACS", "True Search", IF($O779="Arja", "Evolutionary Search", IF($O779="AVATAR", "True Pattern", IF($O779="CapGen", "Search Like Pattern", IF($O779="Cardumen", "True Semantic", IF($O779="DynaMoth", "True Semantic", IF($O779="FixMiner", "True Pattern", IF($O779="GenProg-A", "Evolutionary Search", IF($O779="Hercules", "Learning Pattern", IF($O779="Jaid", "True Semantic",
IF($O779="Kali-A", "True Search", IF($O779="kPAR", "True Pattern", IF($O779="Nopol", "True Semantic", IF($O779="RSRepair-A", "Evolutionary Search", IF($O779="SequenceR", "Deep Learning", IF($O779="SimFix", "Search Like Pattern", IF($O779="SketchFix", "True Pattern", IF($O779="SOFix", "True Pattern", IF($O779="ssFix", "Search Like Pattern", IF($O779="TBar", "True Pattern", ""))))))))))))))))))))</f>
        <v>True Search</v>
      </c>
      <c r="Q779" s="13" t="str">
        <f>IF(NOT(ISERR(SEARCH("*_Buggy",$A779))), "Buggy", IF(NOT(ISERR(SEARCH("*_Fixed",$A779))), "Fixed", IF(NOT(ISERR(SEARCH("*_Repaired",$A779))), "Repaired", "")))</f>
        <v>Fixed</v>
      </c>
      <c r="R779" s="13" t="s">
        <v>1669</v>
      </c>
      <c r="S779" s="25">
        <v>3</v>
      </c>
      <c r="T779" s="25">
        <v>8</v>
      </c>
      <c r="U779" s="25">
        <v>2</v>
      </c>
      <c r="V779" s="13">
        <v>8</v>
      </c>
      <c r="W779" s="13" t="str">
        <f>MID(A779, SEARCH("_", A779) +1, SEARCH("_", A779, SEARCH("_", A779) +1) - SEARCH("_", A779) -1)</f>
        <v>Closure-3</v>
      </c>
      <c r="Y779" s="1" t="str">
        <f t="shared" si="18"/>
        <v>NO</v>
      </c>
      <c r="Z779" s="1" t="str">
        <f t="shared" si="19"/>
        <v>YES</v>
      </c>
      <c r="AA779" t="str">
        <f>IF(AND(S779&gt;1,S1304&gt;1,S779=V779,S1304=V1304), "YES", "NO")</f>
        <v>NO</v>
      </c>
      <c r="AB779" t="str">
        <f>IF(AND(S779&gt;1,S1304&gt;1,S779&lt;V779,S1304&lt;V1304), "YES", "NO")</f>
        <v>NO</v>
      </c>
      <c r="AC779" t="str">
        <f t="shared" si="20"/>
        <v>NO</v>
      </c>
      <c r="AD779" t="str">
        <f t="shared" si="21"/>
        <v>NO</v>
      </c>
      <c r="AE779" t="str">
        <f t="shared" si="22"/>
        <v>NO</v>
      </c>
      <c r="AF779" t="str">
        <f t="shared" si="23"/>
        <v>NO</v>
      </c>
    </row>
    <row r="780" spans="1:32" ht="15" x14ac:dyDescent="0.35">
      <c r="A780" s="5" t="s">
        <v>1485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>LEFT($A780,FIND("_",$A780)-1)</f>
        <v>Kali-A</v>
      </c>
      <c r="P780" s="13" t="str">
        <f>IF($O780="ACS", "True Search", IF($O780="Arja", "Evolutionary Search", IF($O780="AVATAR", "True Pattern", IF($O780="CapGen", "Search Like Pattern", IF($O780="Cardumen", "True Semantic", IF($O780="DynaMoth", "True Semantic", IF($O780="FixMiner", "True Pattern", IF($O780="GenProg-A", "Evolutionary Search", IF($O780="Hercules", "Learning Pattern", IF($O780="Jaid", "True Semantic",
IF($O780="Kali-A", "True Search", IF($O780="kPAR", "True Pattern", IF($O780="Nopol", "True Semantic", IF($O780="RSRepair-A", "Evolutionary Search", IF($O780="SequenceR", "Deep Learning", IF($O780="SimFix", "Search Like Pattern", IF($O780="SketchFix", "True Pattern", IF($O780="SOFix", "True Pattern", IF($O780="ssFix", "Search Like Pattern", IF($O780="TBar", "True Pattern", ""))))))))))))))))))))</f>
        <v>True Search</v>
      </c>
      <c r="Q780" s="13" t="str">
        <f>IF(NOT(ISERR(SEARCH("*_Buggy",$A780))), "Buggy", IF(NOT(ISERR(SEARCH("*_Fixed",$A780))), "Fixed", IF(NOT(ISERR(SEARCH("*_Repaired",$A780))), "Repaired", "")))</f>
        <v>Fixed</v>
      </c>
      <c r="R780" s="13" t="s">
        <v>1669</v>
      </c>
      <c r="S780" s="25">
        <v>1</v>
      </c>
      <c r="T780" s="13">
        <v>3</v>
      </c>
      <c r="U780" s="25">
        <v>0</v>
      </c>
      <c r="V780" s="13">
        <v>3</v>
      </c>
      <c r="W780" s="13" t="str">
        <f>MID(A780, SEARCH("_", A780) +1, SEARCH("_", A780, SEARCH("_", A780) +1) - SEARCH("_", A780) -1)</f>
        <v>Closure-33</v>
      </c>
      <c r="Y780" s="1" t="str">
        <f t="shared" si="18"/>
        <v>NO</v>
      </c>
      <c r="Z780" s="1" t="str">
        <f t="shared" si="19"/>
        <v>NO</v>
      </c>
      <c r="AA780" t="str">
        <f>IF(AND(S780&gt;1,S1305&gt;1,S780=V780,S1305=V1305), "YES", "NO")</f>
        <v>NO</v>
      </c>
      <c r="AB780" t="str">
        <f>IF(AND(S780&gt;1,S1305&gt;1,S780&lt;V780,S1305&lt;V1305), "YES", "NO")</f>
        <v>NO</v>
      </c>
      <c r="AC780" t="str">
        <f t="shared" si="20"/>
        <v>NO</v>
      </c>
      <c r="AD780" t="str">
        <f t="shared" si="21"/>
        <v>NO</v>
      </c>
      <c r="AE780" t="str">
        <f t="shared" si="22"/>
        <v>NO</v>
      </c>
      <c r="AF780" t="str">
        <f t="shared" si="23"/>
        <v>NO</v>
      </c>
    </row>
    <row r="781" spans="1:32" ht="15" x14ac:dyDescent="0.35">
      <c r="A781" s="7" t="s">
        <v>1486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>LEFT($A781,FIND("_",$A781)-1)</f>
        <v>Kali-A</v>
      </c>
      <c r="P781" s="13" t="str">
        <f>IF($O781="ACS", "True Search", IF($O781="Arja", "Evolutionary Search", IF($O781="AVATAR", "True Pattern", IF($O781="CapGen", "Search Like Pattern", IF($O781="Cardumen", "True Semantic", IF($O781="DynaMoth", "True Semantic", IF($O781="FixMiner", "True Pattern", IF($O781="GenProg-A", "Evolutionary Search", IF($O781="Hercules", "Learning Pattern", IF($O781="Jaid", "True Semantic",
IF($O781="Kali-A", "True Search", IF($O781="kPAR", "True Pattern", IF($O781="Nopol", "True Semantic", IF($O781="RSRepair-A", "Evolutionary Search", IF($O781="SequenceR", "Deep Learning", IF($O781="SimFix", "Search Like Pattern", IF($O781="SketchFix", "True Pattern", IF($O781="SOFix", "True Pattern", IF($O781="ssFix", "Search Like Pattern", IF($O781="TBar", "True Pattern", ""))))))))))))))))))))</f>
        <v>True Search</v>
      </c>
      <c r="Q781" s="13" t="str">
        <f>IF(NOT(ISERR(SEARCH("*_Buggy",$A781))), "Buggy", IF(NOT(ISERR(SEARCH("*_Fixed",$A781))), "Fixed", IF(NOT(ISERR(SEARCH("*_Repaired",$A781))), "Repaired", "")))</f>
        <v>Fixed</v>
      </c>
      <c r="R781" s="13" t="s">
        <v>1669</v>
      </c>
      <c r="S781" s="25">
        <v>1</v>
      </c>
      <c r="T781" s="25">
        <v>1</v>
      </c>
      <c r="U781" s="25">
        <v>1</v>
      </c>
      <c r="V781" s="13">
        <v>1</v>
      </c>
      <c r="W781" s="13" t="str">
        <f>MID(A781, SEARCH("_", A781) +1, SEARCH("_", A781, SEARCH("_", A781) +1) - SEARCH("_", A781) -1)</f>
        <v>Closure-38</v>
      </c>
      <c r="Y781" s="1" t="str">
        <f t="shared" si="18"/>
        <v>NO</v>
      </c>
      <c r="Z781" s="1" t="str">
        <f t="shared" si="19"/>
        <v>NO</v>
      </c>
      <c r="AA781" t="str">
        <f>IF(AND(S781&gt;1,S1306&gt;1,S781=V781,S1306=V1306), "YES", "NO")</f>
        <v>NO</v>
      </c>
      <c r="AB781" t="str">
        <f>IF(AND(S781&gt;1,S1306&gt;1,S781&lt;V781,S1306&lt;V1306), "YES", "NO")</f>
        <v>NO</v>
      </c>
      <c r="AC781" t="str">
        <f t="shared" si="20"/>
        <v>YES</v>
      </c>
      <c r="AD781" t="str">
        <f t="shared" si="21"/>
        <v>NO</v>
      </c>
      <c r="AE781" t="str">
        <f t="shared" si="22"/>
        <v>YES</v>
      </c>
      <c r="AF781" t="str">
        <f t="shared" si="23"/>
        <v>NO</v>
      </c>
    </row>
    <row r="782" spans="1:32" ht="15" x14ac:dyDescent="0.35">
      <c r="A782" s="5" t="s">
        <v>1487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>LEFT($A782,FIND("_",$A782)-1)</f>
        <v>Kali-A</v>
      </c>
      <c r="P782" s="13" t="str">
        <f>IF($O782="ACS", "True Search", IF($O782="Arja", "Evolutionary Search", IF($O782="AVATAR", "True Pattern", IF($O782="CapGen", "Search Like Pattern", IF($O782="Cardumen", "True Semantic", IF($O782="DynaMoth", "True Semantic", IF($O782="FixMiner", "True Pattern", IF($O782="GenProg-A", "Evolutionary Search", IF($O782="Hercules", "Learning Pattern", IF($O782="Jaid", "True Semantic",
IF($O782="Kali-A", "True Search", IF($O782="kPAR", "True Pattern", IF($O782="Nopol", "True Semantic", IF($O782="RSRepair-A", "Evolutionary Search", IF($O782="SequenceR", "Deep Learning", IF($O782="SimFix", "Search Like Pattern", IF($O782="SketchFix", "True Pattern", IF($O782="SOFix", "True Pattern", IF($O782="ssFix", "Search Like Pattern", IF($O782="TBar", "True Pattern", ""))))))))))))))))))))</f>
        <v>True Search</v>
      </c>
      <c r="Q782" s="13" t="str">
        <f>IF(NOT(ISERR(SEARCH("*_Buggy",$A782))), "Buggy", IF(NOT(ISERR(SEARCH("*_Fixed",$A782))), "Fixed", IF(NOT(ISERR(SEARCH("*_Repaired",$A782))), "Repaired", "")))</f>
        <v>Fixed</v>
      </c>
      <c r="R782" s="13" t="s">
        <v>1669</v>
      </c>
      <c r="S782" s="25">
        <v>2</v>
      </c>
      <c r="T782" s="25">
        <v>2</v>
      </c>
      <c r="U782" s="25">
        <v>2</v>
      </c>
      <c r="V782" s="13">
        <v>2</v>
      </c>
      <c r="W782" s="13" t="str">
        <f>MID(A782, SEARCH("_", A782) +1, SEARCH("_", A782, SEARCH("_", A782) +1) - SEARCH("_", A782) -1)</f>
        <v>Closure-4</v>
      </c>
      <c r="Y782" s="1" t="str">
        <f t="shared" si="18"/>
        <v>YES</v>
      </c>
      <c r="Z782" s="1" t="str">
        <f t="shared" si="19"/>
        <v>NO</v>
      </c>
      <c r="AA782" t="str">
        <f>IF(AND(S782&gt;1,S1307&gt;1,S782=V782,S1307=V1307), "YES", "NO")</f>
        <v>NO</v>
      </c>
      <c r="AB782" t="str">
        <f>IF(AND(S782&gt;1,S1307&gt;1,S782&lt;V782,S1307&lt;V1307), "YES", "NO")</f>
        <v>NO</v>
      </c>
      <c r="AC782" t="str">
        <f t="shared" si="20"/>
        <v>NO</v>
      </c>
      <c r="AD782" t="str">
        <f t="shared" si="21"/>
        <v>NO</v>
      </c>
      <c r="AE782" t="str">
        <f t="shared" si="22"/>
        <v>NO</v>
      </c>
      <c r="AF782" t="str">
        <f t="shared" si="23"/>
        <v>NO</v>
      </c>
    </row>
    <row r="783" spans="1:32" ht="15" x14ac:dyDescent="0.35">
      <c r="A783" s="7" t="s">
        <v>1488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>LEFT($A783,FIND("_",$A783)-1)</f>
        <v>Kali-A</v>
      </c>
      <c r="P783" s="13" t="str">
        <f>IF($O783="ACS", "True Search", IF($O783="Arja", "Evolutionary Search", IF($O783="AVATAR", "True Pattern", IF($O783="CapGen", "Search Like Pattern", IF($O783="Cardumen", "True Semantic", IF($O783="DynaMoth", "True Semantic", IF($O783="FixMiner", "True Pattern", IF($O783="GenProg-A", "Evolutionary Search", IF($O783="Hercules", "Learning Pattern", IF($O783="Jaid", "True Semantic",
IF($O783="Kali-A", "True Search", IF($O783="kPAR", "True Pattern", IF($O783="Nopol", "True Semantic", IF($O783="RSRepair-A", "Evolutionary Search", IF($O783="SequenceR", "Deep Learning", IF($O783="SimFix", "Search Like Pattern", IF($O783="SketchFix", "True Pattern", IF($O783="SOFix", "True Pattern", IF($O783="ssFix", "Search Like Pattern", IF($O783="TBar", "True Pattern", ""))))))))))))))))))))</f>
        <v>True Search</v>
      </c>
      <c r="Q783" s="13" t="str">
        <f>IF(NOT(ISERR(SEARCH("*_Buggy",$A783))), "Buggy", IF(NOT(ISERR(SEARCH("*_Fixed",$A783))), "Fixed", IF(NOT(ISERR(SEARCH("*_Repaired",$A783))), "Repaired", "")))</f>
        <v>Fixed</v>
      </c>
      <c r="R783" s="13" t="s">
        <v>1669</v>
      </c>
      <c r="S783" s="25">
        <v>1</v>
      </c>
      <c r="T783" s="25">
        <v>0</v>
      </c>
      <c r="U783" s="13">
        <v>16</v>
      </c>
      <c r="V783" s="13">
        <v>16</v>
      </c>
      <c r="W783" s="13" t="str">
        <f>MID(A783, SEARCH("_", A783) +1, SEARCH("_", A783, SEARCH("_", A783) +1) - SEARCH("_", A783) -1)</f>
        <v>Closure-46</v>
      </c>
      <c r="Y783" s="1" t="str">
        <f t="shared" si="18"/>
        <v>NO</v>
      </c>
      <c r="Z783" s="1" t="str">
        <f t="shared" si="19"/>
        <v>NO</v>
      </c>
      <c r="AA783" t="str">
        <f>IF(AND(S783&gt;1,S1308&gt;1,S783=V783,S1308=V1308), "YES", "NO")</f>
        <v>NO</v>
      </c>
      <c r="AB783" t="str">
        <f>IF(AND(S783&gt;1,S1308&gt;1,S783&lt;V783,S1308&lt;V1308), "YES", "NO")</f>
        <v>NO</v>
      </c>
      <c r="AC783" t="str">
        <f t="shared" si="20"/>
        <v>NO</v>
      </c>
      <c r="AD783" t="str">
        <f t="shared" si="21"/>
        <v>NO</v>
      </c>
      <c r="AE783" t="str">
        <f t="shared" si="22"/>
        <v>NO</v>
      </c>
      <c r="AF783" t="str">
        <f t="shared" si="23"/>
        <v>NO</v>
      </c>
    </row>
    <row r="784" spans="1:32" ht="15" x14ac:dyDescent="0.35">
      <c r="A784" s="5" t="s">
        <v>1489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>LEFT($A784,FIND("_",$A784)-1)</f>
        <v>Kali-A</v>
      </c>
      <c r="P784" s="13" t="str">
        <f>IF($O784="ACS", "True Search", IF($O784="Arja", "Evolutionary Search", IF($O784="AVATAR", "True Pattern", IF($O784="CapGen", "Search Like Pattern", IF($O784="Cardumen", "True Semantic", IF($O784="DynaMoth", "True Semantic", IF($O784="FixMiner", "True Pattern", IF($O784="GenProg-A", "Evolutionary Search", IF($O784="Hercules", "Learning Pattern", IF($O784="Jaid", "True Semantic",
IF($O784="Kali-A", "True Search", IF($O784="kPAR", "True Pattern", IF($O784="Nopol", "True Semantic", IF($O784="RSRepair-A", "Evolutionary Search", IF($O784="SequenceR", "Deep Learning", IF($O784="SimFix", "Search Like Pattern", IF($O784="SketchFix", "True Pattern", IF($O784="SOFix", "True Pattern", IF($O784="ssFix", "Search Like Pattern", IF($O784="TBar", "True Pattern", ""))))))))))))))))))))</f>
        <v>True Search</v>
      </c>
      <c r="Q784" s="13" t="str">
        <f>IF(NOT(ISERR(SEARCH("*_Buggy",$A784))), "Buggy", IF(NOT(ISERR(SEARCH("*_Fixed",$A784))), "Fixed", IF(NOT(ISERR(SEARCH("*_Repaired",$A784))), "Repaired", "")))</f>
        <v>Fixed</v>
      </c>
      <c r="R784" s="13" t="s">
        <v>1669</v>
      </c>
      <c r="S784" s="25">
        <v>1</v>
      </c>
      <c r="T784" s="25">
        <v>1</v>
      </c>
      <c r="U784" s="25">
        <v>1</v>
      </c>
      <c r="V784" s="13">
        <v>1</v>
      </c>
      <c r="W784" s="13" t="str">
        <f>MID(A784, SEARCH("_", A784) +1, SEARCH("_", A784, SEARCH("_", A784) +1) - SEARCH("_", A784) -1)</f>
        <v>Closure-51</v>
      </c>
      <c r="Y784" s="1" t="str">
        <f t="shared" si="18"/>
        <v>NO</v>
      </c>
      <c r="Z784" s="1" t="str">
        <f t="shared" si="19"/>
        <v>NO</v>
      </c>
      <c r="AA784" t="str">
        <f>IF(AND(S784&gt;1,S1309&gt;1,S784=V784,S1309=V1309), "YES", "NO")</f>
        <v>NO</v>
      </c>
      <c r="AB784" t="str">
        <f>IF(AND(S784&gt;1,S1309&gt;1,S784&lt;V784,S1309&lt;V1309), "YES", "NO")</f>
        <v>NO</v>
      </c>
      <c r="AC784" t="str">
        <f t="shared" si="20"/>
        <v>YES</v>
      </c>
      <c r="AD784" t="str">
        <f t="shared" si="21"/>
        <v>NO</v>
      </c>
      <c r="AE784" t="str">
        <f t="shared" si="22"/>
        <v>YES</v>
      </c>
      <c r="AF784" t="str">
        <f t="shared" si="23"/>
        <v>NO</v>
      </c>
    </row>
    <row r="785" spans="1:32" ht="15" x14ac:dyDescent="0.35">
      <c r="A785" s="5" t="s">
        <v>1490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>LEFT($A785,FIND("_",$A785)-1)</f>
        <v>Kali-A</v>
      </c>
      <c r="P785" s="13" t="str">
        <f>IF($O785="ACS", "True Search", IF($O785="Arja", "Evolutionary Search", IF($O785="AVATAR", "True Pattern", IF($O785="CapGen", "Search Like Pattern", IF($O785="Cardumen", "True Semantic", IF($O785="DynaMoth", "True Semantic", IF($O785="FixMiner", "True Pattern", IF($O785="GenProg-A", "Evolutionary Search", IF($O785="Hercules", "Learning Pattern", IF($O785="Jaid", "True Semantic",
IF($O785="Kali-A", "True Search", IF($O785="kPAR", "True Pattern", IF($O785="Nopol", "True Semantic", IF($O785="RSRepair-A", "Evolutionary Search", IF($O785="SequenceR", "Deep Learning", IF($O785="SimFix", "Search Like Pattern", IF($O785="SketchFix", "True Pattern", IF($O785="SOFix", "True Pattern", IF($O785="ssFix", "Search Like Pattern", IF($O785="TBar", "True Pattern", ""))))))))))))))))))))</f>
        <v>True Search</v>
      </c>
      <c r="Q785" s="13" t="str">
        <f>IF(NOT(ISERR(SEARCH("*_Buggy",$A785))), "Buggy", IF(NOT(ISERR(SEARCH("*_Fixed",$A785))), "Fixed", IF(NOT(ISERR(SEARCH("*_Repaired",$A785))), "Repaired", "")))</f>
        <v>Fixed</v>
      </c>
      <c r="R785" s="13" t="s">
        <v>1669</v>
      </c>
      <c r="S785" s="25">
        <v>1</v>
      </c>
      <c r="T785" s="25">
        <v>2</v>
      </c>
      <c r="U785" s="25">
        <v>1</v>
      </c>
      <c r="V785" s="13">
        <v>2</v>
      </c>
      <c r="W785" s="13" t="str">
        <f>MID(A785, SEARCH("_", A785) +1, SEARCH("_", A785, SEARCH("_", A785) +1) - SEARCH("_", A785) -1)</f>
        <v>Closure-55</v>
      </c>
      <c r="Y785" s="1" t="str">
        <f t="shared" si="18"/>
        <v>NO</v>
      </c>
      <c r="Z785" s="1" t="str">
        <f t="shared" si="19"/>
        <v>NO</v>
      </c>
      <c r="AA785" t="str">
        <f>IF(AND(S785&gt;1,S1310&gt;1,S785=V785,S1310=V1310), "YES", "NO")</f>
        <v>NO</v>
      </c>
      <c r="AB785" t="str">
        <f>IF(AND(S785&gt;1,S1310&gt;1,S785&lt;V785,S1310&lt;V1310), "YES", "NO")</f>
        <v>NO</v>
      </c>
      <c r="AC785" t="str">
        <f t="shared" si="20"/>
        <v>NO</v>
      </c>
      <c r="AD785" t="str">
        <f t="shared" si="21"/>
        <v>NO</v>
      </c>
      <c r="AE785" t="str">
        <f t="shared" si="22"/>
        <v>NO</v>
      </c>
      <c r="AF785" t="str">
        <f t="shared" si="23"/>
        <v>NO</v>
      </c>
    </row>
    <row r="786" spans="1:32" ht="15" x14ac:dyDescent="0.35">
      <c r="A786" s="5" t="s">
        <v>1491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>LEFT($A786,FIND("_",$A786)-1)</f>
        <v>Kali-A</v>
      </c>
      <c r="P786" s="13" t="str">
        <f>IF($O786="ACS", "True Search", IF($O786="Arja", "Evolutionary Search", IF($O786="AVATAR", "True Pattern", IF($O786="CapGen", "Search Like Pattern", IF($O786="Cardumen", "True Semantic", IF($O786="DynaMoth", "True Semantic", IF($O786="FixMiner", "True Pattern", IF($O786="GenProg-A", "Evolutionary Search", IF($O786="Hercules", "Learning Pattern", IF($O786="Jaid", "True Semantic",
IF($O786="Kali-A", "True Search", IF($O786="kPAR", "True Pattern", IF($O786="Nopol", "True Semantic", IF($O786="RSRepair-A", "Evolutionary Search", IF($O786="SequenceR", "Deep Learning", IF($O786="SimFix", "Search Like Pattern", IF($O786="SketchFix", "True Pattern", IF($O786="SOFix", "True Pattern", IF($O786="ssFix", "Search Like Pattern", IF($O786="TBar", "True Pattern", ""))))))))))))))))))))</f>
        <v>True Search</v>
      </c>
      <c r="Q786" s="13" t="str">
        <f>IF(NOT(ISERR(SEARCH("*_Buggy",$A786))), "Buggy", IF(NOT(ISERR(SEARCH("*_Fixed",$A786))), "Fixed", IF(NOT(ISERR(SEARCH("*_Repaired",$A786))), "Repaired", "")))</f>
        <v>Fixed</v>
      </c>
      <c r="R786" s="13" t="s">
        <v>1669</v>
      </c>
      <c r="S786" s="25">
        <v>2</v>
      </c>
      <c r="T786" s="13">
        <v>2</v>
      </c>
      <c r="U786" s="25">
        <v>0</v>
      </c>
      <c r="V786" s="13">
        <v>2</v>
      </c>
      <c r="W786" s="13" t="str">
        <f>MID(A786, SEARCH("_", A786) +1, SEARCH("_", A786, SEARCH("_", A786) +1) - SEARCH("_", A786) -1)</f>
        <v>Closure-66</v>
      </c>
      <c r="Y786" s="1" t="str">
        <f t="shared" si="18"/>
        <v>YES</v>
      </c>
      <c r="Z786" s="1" t="str">
        <f t="shared" si="19"/>
        <v>NO</v>
      </c>
      <c r="AA786" t="str">
        <f>IF(AND(S786&gt;1,S1311&gt;1,S786=V786,S1311=V1311), "YES", "NO")</f>
        <v>NO</v>
      </c>
      <c r="AB786" t="str">
        <f>IF(AND(S786&gt;1,S1311&gt;1,S786&lt;V786,S1311&lt;V1311), "YES", "NO")</f>
        <v>NO</v>
      </c>
      <c r="AC786" t="str">
        <f t="shared" si="20"/>
        <v>NO</v>
      </c>
      <c r="AD786" t="str">
        <f t="shared" si="21"/>
        <v>NO</v>
      </c>
      <c r="AE786" t="str">
        <f t="shared" si="22"/>
        <v>NO</v>
      </c>
      <c r="AF786" t="str">
        <f t="shared" si="23"/>
        <v>NO</v>
      </c>
    </row>
    <row r="787" spans="1:32" ht="15" x14ac:dyDescent="0.35">
      <c r="A787" s="7" t="s">
        <v>1492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>LEFT($A787,FIND("_",$A787)-1)</f>
        <v>Kali-A</v>
      </c>
      <c r="P787" s="13" t="str">
        <f>IF($O787="ACS", "True Search", IF($O787="Arja", "Evolutionary Search", IF($O787="AVATAR", "True Pattern", IF($O787="CapGen", "Search Like Pattern", IF($O787="Cardumen", "True Semantic", IF($O787="DynaMoth", "True Semantic", IF($O787="FixMiner", "True Pattern", IF($O787="GenProg-A", "Evolutionary Search", IF($O787="Hercules", "Learning Pattern", IF($O787="Jaid", "True Semantic",
IF($O787="Kali-A", "True Search", IF($O787="kPAR", "True Pattern", IF($O787="Nopol", "True Semantic", IF($O787="RSRepair-A", "Evolutionary Search", IF($O787="SequenceR", "Deep Learning", IF($O787="SimFix", "Search Like Pattern", IF($O787="SketchFix", "True Pattern", IF($O787="SOFix", "True Pattern", IF($O787="ssFix", "Search Like Pattern", IF($O787="TBar", "True Pattern", ""))))))))))))))))))))</f>
        <v>True Search</v>
      </c>
      <c r="Q787" s="13" t="str">
        <f>IF(NOT(ISERR(SEARCH("*_Buggy",$A787))), "Buggy", IF(NOT(ISERR(SEARCH("*_Fixed",$A787))), "Fixed", IF(NOT(ISERR(SEARCH("*_Repaired",$A787))), "Repaired", "")))</f>
        <v>Fixed</v>
      </c>
      <c r="R787" s="13" t="s">
        <v>1669</v>
      </c>
      <c r="S787" s="25">
        <v>3</v>
      </c>
      <c r="T787" s="25">
        <v>5</v>
      </c>
      <c r="U787" s="25">
        <v>1</v>
      </c>
      <c r="V787" s="13">
        <v>5</v>
      </c>
      <c r="W787" s="13" t="str">
        <f>MID(A787, SEARCH("_", A787) +1, SEARCH("_", A787, SEARCH("_", A787) +1) - SEARCH("_", A787) -1)</f>
        <v>Closure-7</v>
      </c>
      <c r="Y787" s="1" t="str">
        <f t="shared" si="18"/>
        <v>NO</v>
      </c>
      <c r="Z787" s="1" t="str">
        <f t="shared" si="19"/>
        <v>YES</v>
      </c>
      <c r="AA787" t="str">
        <f>IF(AND(S787&gt;1,S1312&gt;1,S787=V787,S1312=V1312), "YES", "NO")</f>
        <v>NO</v>
      </c>
      <c r="AB787" t="str">
        <f>IF(AND(S787&gt;1,S1312&gt;1,S787&lt;V787,S1312&lt;V1312), "YES", "NO")</f>
        <v>NO</v>
      </c>
      <c r="AC787" t="str">
        <f t="shared" si="20"/>
        <v>NO</v>
      </c>
      <c r="AD787" t="str">
        <f t="shared" si="21"/>
        <v>NO</v>
      </c>
      <c r="AE787" t="str">
        <f t="shared" si="22"/>
        <v>NO</v>
      </c>
      <c r="AF787" t="str">
        <f t="shared" si="23"/>
        <v>YES</v>
      </c>
    </row>
    <row r="788" spans="1:32" ht="15" x14ac:dyDescent="0.35">
      <c r="A788" s="7" t="s">
        <v>1493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>LEFT($A788,FIND("_",$A788)-1)</f>
        <v>Kali-A</v>
      </c>
      <c r="P788" s="13" t="str">
        <f>IF($O788="ACS", "True Search", IF($O788="Arja", "Evolutionary Search", IF($O788="AVATAR", "True Pattern", IF($O788="CapGen", "Search Like Pattern", IF($O788="Cardumen", "True Semantic", IF($O788="DynaMoth", "True Semantic", IF($O788="FixMiner", "True Pattern", IF($O788="GenProg-A", "Evolutionary Search", IF($O788="Hercules", "Learning Pattern", IF($O788="Jaid", "True Semantic",
IF($O788="Kali-A", "True Search", IF($O788="kPAR", "True Pattern", IF($O788="Nopol", "True Semantic", IF($O788="RSRepair-A", "Evolutionary Search", IF($O788="SequenceR", "Deep Learning", IF($O788="SimFix", "Search Like Pattern", IF($O788="SketchFix", "True Pattern", IF($O788="SOFix", "True Pattern", IF($O788="ssFix", "Search Like Pattern", IF($O788="TBar", "True Pattern", ""))))))))))))))))))))</f>
        <v>True Search</v>
      </c>
      <c r="Q788" s="13" t="str">
        <f>IF(NOT(ISERR(SEARCH("*_Buggy",$A788))), "Buggy", IF(NOT(ISERR(SEARCH("*_Fixed",$A788))), "Fixed", IF(NOT(ISERR(SEARCH("*_Repaired",$A788))), "Repaired", "")))</f>
        <v>Fixed</v>
      </c>
      <c r="R788" s="13" t="s">
        <v>1669</v>
      </c>
      <c r="S788" s="25">
        <v>3</v>
      </c>
      <c r="T788" s="25">
        <v>4</v>
      </c>
      <c r="U788" s="25">
        <v>1</v>
      </c>
      <c r="V788" s="13">
        <v>4</v>
      </c>
      <c r="W788" s="13" t="str">
        <f>MID(A788, SEARCH("_", A788) +1, SEARCH("_", A788, SEARCH("_", A788) +1) - SEARCH("_", A788) -1)</f>
        <v>Closure-75</v>
      </c>
      <c r="Y788" s="1" t="str">
        <f t="shared" si="18"/>
        <v>NO</v>
      </c>
      <c r="Z788" s="1" t="str">
        <f t="shared" si="19"/>
        <v>YES</v>
      </c>
      <c r="AA788" t="str">
        <f>IF(AND(S788&gt;1,S1313&gt;1,S788=V788,S1313=V1313), "YES", "NO")</f>
        <v>NO</v>
      </c>
      <c r="AB788" t="str">
        <f>IF(AND(S788&gt;1,S1313&gt;1,S788&lt;V788,S1313&lt;V1313), "YES", "NO")</f>
        <v>NO</v>
      </c>
      <c r="AC788" t="str">
        <f t="shared" si="20"/>
        <v>NO</v>
      </c>
      <c r="AD788" t="str">
        <f t="shared" si="21"/>
        <v>NO</v>
      </c>
      <c r="AE788" t="str">
        <f t="shared" si="22"/>
        <v>NO</v>
      </c>
      <c r="AF788" t="str">
        <f t="shared" si="23"/>
        <v>YES</v>
      </c>
    </row>
    <row r="789" spans="1:32" ht="15" x14ac:dyDescent="0.35">
      <c r="A789" s="5" t="s">
        <v>1494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>LEFT($A789,FIND("_",$A789)-1)</f>
        <v>Kali-A</v>
      </c>
      <c r="P789" s="13" t="str">
        <f>IF($O789="ACS", "True Search", IF($O789="Arja", "Evolutionary Search", IF($O789="AVATAR", "True Pattern", IF($O789="CapGen", "Search Like Pattern", IF($O789="Cardumen", "True Semantic", IF($O789="DynaMoth", "True Semantic", IF($O789="FixMiner", "True Pattern", IF($O789="GenProg-A", "Evolutionary Search", IF($O789="Hercules", "Learning Pattern", IF($O789="Jaid", "True Semantic",
IF($O789="Kali-A", "True Search", IF($O789="kPAR", "True Pattern", IF($O789="Nopol", "True Semantic", IF($O789="RSRepair-A", "Evolutionary Search", IF($O789="SequenceR", "Deep Learning", IF($O789="SimFix", "Search Like Pattern", IF($O789="SketchFix", "True Pattern", IF($O789="SOFix", "True Pattern", IF($O789="ssFix", "Search Like Pattern", IF($O789="TBar", "True Pattern", ""))))))))))))))))))))</f>
        <v>True Search</v>
      </c>
      <c r="Q789" s="13" t="str">
        <f>IF(NOT(ISERR(SEARCH("*_Buggy",$A789))), "Buggy", IF(NOT(ISERR(SEARCH("*_Fixed",$A789))), "Fixed", IF(NOT(ISERR(SEARCH("*_Repaired",$A789))), "Repaired", "")))</f>
        <v>Fixed</v>
      </c>
      <c r="R789" s="13" t="s">
        <v>1668</v>
      </c>
      <c r="S789" s="25">
        <v>1</v>
      </c>
      <c r="T789" s="25">
        <v>1</v>
      </c>
      <c r="U789" s="25">
        <v>1</v>
      </c>
      <c r="V789" s="13">
        <v>1</v>
      </c>
      <c r="W789" s="13" t="str">
        <f>MID(A789, SEARCH("_", A789) +1, SEARCH("_", A789, SEARCH("_", A789) +1) - SEARCH("_", A789) -1)</f>
        <v>Closure-86</v>
      </c>
      <c r="Y789" s="1" t="str">
        <f t="shared" si="18"/>
        <v>NO</v>
      </c>
      <c r="Z789" s="1" t="str">
        <f t="shared" si="19"/>
        <v>NO</v>
      </c>
      <c r="AA789" t="str">
        <f>IF(AND(S789&gt;1,S1314&gt;1,S789=V789,S1314=V1314), "YES", "NO")</f>
        <v>NO</v>
      </c>
      <c r="AB789" t="str">
        <f>IF(AND(S789&gt;1,S1314&gt;1,S789&lt;V789,S1314&lt;V1314), "YES", "NO")</f>
        <v>NO</v>
      </c>
      <c r="AC789" t="str">
        <f t="shared" si="20"/>
        <v>YES</v>
      </c>
      <c r="AD789" t="str">
        <f t="shared" si="21"/>
        <v>NO</v>
      </c>
      <c r="AE789" t="str">
        <f t="shared" si="22"/>
        <v>YES</v>
      </c>
      <c r="AF789" t="str">
        <f t="shared" si="23"/>
        <v>NO</v>
      </c>
    </row>
    <row r="790" spans="1:32" ht="15" x14ac:dyDescent="0.35">
      <c r="A790" s="7" t="s">
        <v>1495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>LEFT($A790,FIND("_",$A790)-1)</f>
        <v>Kali-A</v>
      </c>
      <c r="P790" s="13" t="str">
        <f>IF($O790="ACS", "True Search", IF($O790="Arja", "Evolutionary Search", IF($O790="AVATAR", "True Pattern", IF($O790="CapGen", "Search Like Pattern", IF($O790="Cardumen", "True Semantic", IF($O790="DynaMoth", "True Semantic", IF($O790="FixMiner", "True Pattern", IF($O790="GenProg-A", "Evolutionary Search", IF($O790="Hercules", "Learning Pattern", IF($O790="Jaid", "True Semantic",
IF($O790="Kali-A", "True Search", IF($O790="kPAR", "True Pattern", IF($O790="Nopol", "True Semantic", IF($O790="RSRepair-A", "Evolutionary Search", IF($O790="SequenceR", "Deep Learning", IF($O790="SimFix", "Search Like Pattern", IF($O790="SketchFix", "True Pattern", IF($O790="SOFix", "True Pattern", IF($O790="ssFix", "Search Like Pattern", IF($O790="TBar", "True Pattern", ""))))))))))))))))))))</f>
        <v>True Search</v>
      </c>
      <c r="Q790" s="13" t="str">
        <f>IF(NOT(ISERR(SEARCH("*_Buggy",$A790))), "Buggy", IF(NOT(ISERR(SEARCH("*_Fixed",$A790))), "Fixed", IF(NOT(ISERR(SEARCH("*_Repaired",$A790))), "Repaired", "")))</f>
        <v>Fixed</v>
      </c>
      <c r="R790" s="13" t="s">
        <v>1669</v>
      </c>
      <c r="S790" s="25">
        <v>1</v>
      </c>
      <c r="T790" s="25">
        <v>1</v>
      </c>
      <c r="U790" s="25">
        <v>2</v>
      </c>
      <c r="V790" s="13">
        <v>2</v>
      </c>
      <c r="W790" s="13" t="str">
        <f>MID(A790, SEARCH("_", A790) +1, SEARCH("_", A790, SEARCH("_", A790) +1) - SEARCH("_", A790) -1)</f>
        <v>Lang-58</v>
      </c>
      <c r="Y790" s="1" t="str">
        <f t="shared" si="18"/>
        <v>NO</v>
      </c>
      <c r="Z790" s="1" t="str">
        <f t="shared" si="19"/>
        <v>NO</v>
      </c>
      <c r="AA790" t="str">
        <f>IF(AND(S790&gt;1,S1315&gt;1,S790=V790,S1315=V1315), "YES", "NO")</f>
        <v>NO</v>
      </c>
      <c r="AB790" t="str">
        <f>IF(AND(S790&gt;1,S1315&gt;1,S790&lt;V790,S1315&lt;V1315), "YES", "NO")</f>
        <v>NO</v>
      </c>
      <c r="AC790" t="str">
        <f t="shared" si="20"/>
        <v>NO</v>
      </c>
      <c r="AD790" t="str">
        <f t="shared" si="21"/>
        <v>YES</v>
      </c>
      <c r="AE790" t="str">
        <f t="shared" si="22"/>
        <v>NO</v>
      </c>
      <c r="AF790" t="str">
        <f t="shared" si="23"/>
        <v>YES</v>
      </c>
    </row>
    <row r="791" spans="1:32" ht="15" x14ac:dyDescent="0.35">
      <c r="A791" s="5" t="s">
        <v>1496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>LEFT($A791,FIND("_",$A791)-1)</f>
        <v>Kali-A</v>
      </c>
      <c r="P791" s="13" t="str">
        <f>IF($O791="ACS", "True Search", IF($O791="Arja", "Evolutionary Search", IF($O791="AVATAR", "True Pattern", IF($O791="CapGen", "Search Like Pattern", IF($O791="Cardumen", "True Semantic", IF($O791="DynaMoth", "True Semantic", IF($O791="FixMiner", "True Pattern", IF($O791="GenProg-A", "Evolutionary Search", IF($O791="Hercules", "Learning Pattern", IF($O791="Jaid", "True Semantic",
IF($O791="Kali-A", "True Search", IF($O791="kPAR", "True Pattern", IF($O791="Nopol", "True Semantic", IF($O791="RSRepair-A", "Evolutionary Search", IF($O791="SequenceR", "Deep Learning", IF($O791="SimFix", "Search Like Pattern", IF($O791="SketchFix", "True Pattern", IF($O791="SOFix", "True Pattern", IF($O791="ssFix", "Search Like Pattern", IF($O791="TBar", "True Pattern", ""))))))))))))))))))))</f>
        <v>True Search</v>
      </c>
      <c r="Q791" s="13" t="str">
        <f>IF(NOT(ISERR(SEARCH("*_Buggy",$A791))), "Buggy", IF(NOT(ISERR(SEARCH("*_Fixed",$A791))), "Fixed", IF(NOT(ISERR(SEARCH("*_Repaired",$A791))), "Repaired", "")))</f>
        <v>Fixed</v>
      </c>
      <c r="R791" s="13" t="s">
        <v>1669</v>
      </c>
      <c r="S791" s="25">
        <v>4</v>
      </c>
      <c r="T791" s="25">
        <v>3</v>
      </c>
      <c r="U791" s="25">
        <v>20</v>
      </c>
      <c r="V791" s="13">
        <v>22</v>
      </c>
      <c r="W791" s="13" t="str">
        <f>MID(A791, SEARCH("_", A791) +1, SEARCH("_", A791, SEARCH("_", A791) +1) - SEARCH("_", A791) -1)</f>
        <v>Lang-63</v>
      </c>
      <c r="Y791" s="1" t="str">
        <f t="shared" si="18"/>
        <v>NO</v>
      </c>
      <c r="Z791" s="1" t="str">
        <f t="shared" si="19"/>
        <v>YES</v>
      </c>
      <c r="AA791" t="str">
        <f>IF(AND(S791&gt;1,S1316&gt;1,S791=V791,S1316=V1316), "YES", "NO")</f>
        <v>NO</v>
      </c>
      <c r="AB791" t="str">
        <f>IF(AND(S791&gt;1,S1316&gt;1,S791&lt;V791,S1316&lt;V1316), "YES", "NO")</f>
        <v>NO</v>
      </c>
      <c r="AC791" t="str">
        <f t="shared" si="20"/>
        <v>NO</v>
      </c>
      <c r="AD791" t="str">
        <f t="shared" si="21"/>
        <v>NO</v>
      </c>
      <c r="AE791" t="str">
        <f t="shared" si="22"/>
        <v>NO</v>
      </c>
      <c r="AF791" t="str">
        <f t="shared" si="23"/>
        <v>YES</v>
      </c>
    </row>
    <row r="792" spans="1:32" ht="15" x14ac:dyDescent="0.35">
      <c r="A792" s="5" t="s">
        <v>1497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>LEFT($A792,FIND("_",$A792)-1)</f>
        <v>Kali-A</v>
      </c>
      <c r="P792" s="13" t="str">
        <f>IF($O792="ACS", "True Search", IF($O792="Arja", "Evolutionary Search", IF($O792="AVATAR", "True Pattern", IF($O792="CapGen", "Search Like Pattern", IF($O792="Cardumen", "True Semantic", IF($O792="DynaMoth", "True Semantic", IF($O792="FixMiner", "True Pattern", IF($O792="GenProg-A", "Evolutionary Search", IF($O792="Hercules", "Learning Pattern", IF($O792="Jaid", "True Semantic",
IF($O792="Kali-A", "True Search", IF($O792="kPAR", "True Pattern", IF($O792="Nopol", "True Semantic", IF($O792="RSRepair-A", "Evolutionary Search", IF($O792="SequenceR", "Deep Learning", IF($O792="SimFix", "Search Like Pattern", IF($O792="SketchFix", "True Pattern", IF($O792="SOFix", "True Pattern", IF($O792="ssFix", "Search Like Pattern", IF($O792="TBar", "True Pattern", ""))))))))))))))))))))</f>
        <v>True Search</v>
      </c>
      <c r="Q792" s="13" t="str">
        <f>IF(NOT(ISERR(SEARCH("*_Buggy",$A792))), "Buggy", IF(NOT(ISERR(SEARCH("*_Fixed",$A792))), "Fixed", IF(NOT(ISERR(SEARCH("*_Repaired",$A792))), "Repaired", "")))</f>
        <v>Fixed</v>
      </c>
      <c r="R792" s="13" t="s">
        <v>1669</v>
      </c>
      <c r="S792" s="25">
        <v>4</v>
      </c>
      <c r="T792" s="13">
        <v>4</v>
      </c>
      <c r="U792" s="25">
        <v>0</v>
      </c>
      <c r="V792" s="13">
        <v>4</v>
      </c>
      <c r="W792" s="13" t="str">
        <f>MID(A792, SEARCH("_", A792) +1, SEARCH("_", A792, SEARCH("_", A792) +1) - SEARCH("_", A792) -1)</f>
        <v>Math-28</v>
      </c>
      <c r="Y792" s="1" t="str">
        <f t="shared" si="18"/>
        <v>YES</v>
      </c>
      <c r="Z792" s="1" t="str">
        <f t="shared" si="19"/>
        <v>NO</v>
      </c>
      <c r="AA792" t="str">
        <f>IF(AND(S792&gt;1,S1317&gt;1,S792=V792,S1317=V1317), "YES", "NO")</f>
        <v>NO</v>
      </c>
      <c r="AB792" t="str">
        <f>IF(AND(S792&gt;1,S1317&gt;1,S792&lt;V792,S1317&lt;V1317), "YES", "NO")</f>
        <v>NO</v>
      </c>
      <c r="AC792" t="str">
        <f t="shared" si="20"/>
        <v>NO</v>
      </c>
      <c r="AD792" t="str">
        <f t="shared" si="21"/>
        <v>NO</v>
      </c>
      <c r="AE792" t="str">
        <f t="shared" si="22"/>
        <v>NO</v>
      </c>
      <c r="AF792" t="str">
        <f t="shared" si="23"/>
        <v>NO</v>
      </c>
    </row>
    <row r="793" spans="1:32" ht="15" x14ac:dyDescent="0.35">
      <c r="A793" s="7" t="s">
        <v>1498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>LEFT($A793,FIND("_",$A793)-1)</f>
        <v>Kali-A</v>
      </c>
      <c r="P793" s="13" t="str">
        <f>IF($O793="ACS", "True Search", IF($O793="Arja", "Evolutionary Search", IF($O793="AVATAR", "True Pattern", IF($O793="CapGen", "Search Like Pattern", IF($O793="Cardumen", "True Semantic", IF($O793="DynaMoth", "True Semantic", IF($O793="FixMiner", "True Pattern", IF($O793="GenProg-A", "Evolutionary Search", IF($O793="Hercules", "Learning Pattern", IF($O793="Jaid", "True Semantic",
IF($O793="Kali-A", "True Search", IF($O793="kPAR", "True Pattern", IF($O793="Nopol", "True Semantic", IF($O793="RSRepair-A", "Evolutionary Search", IF($O793="SequenceR", "Deep Learning", IF($O793="SimFix", "Search Like Pattern", IF($O793="SketchFix", "True Pattern", IF($O793="SOFix", "True Pattern", IF($O793="ssFix", "Search Like Pattern", IF($O793="TBar", "True Pattern", ""))))))))))))))))))))</f>
        <v>True Search</v>
      </c>
      <c r="Q793" s="13" t="str">
        <f>IF(NOT(ISERR(SEARCH("*_Buggy",$A793))), "Buggy", IF(NOT(ISERR(SEARCH("*_Fixed",$A793))), "Fixed", IF(NOT(ISERR(SEARCH("*_Repaired",$A793))), "Repaired", "")))</f>
        <v>Fixed</v>
      </c>
      <c r="R793" s="13" t="s">
        <v>1669</v>
      </c>
      <c r="S793" s="25">
        <v>4</v>
      </c>
      <c r="T793" s="25">
        <v>13</v>
      </c>
      <c r="U793" s="25">
        <v>33</v>
      </c>
      <c r="V793" s="13">
        <v>34</v>
      </c>
      <c r="W793" s="13" t="str">
        <f>MID(A793, SEARCH("_", A793) +1, SEARCH("_", A793, SEARCH("_", A793) +1) - SEARCH("_", A793) -1)</f>
        <v>Math-31</v>
      </c>
      <c r="Y793" s="1" t="str">
        <f t="shared" si="18"/>
        <v>NO</v>
      </c>
      <c r="Z793" s="1" t="str">
        <f t="shared" si="19"/>
        <v>YES</v>
      </c>
      <c r="AA793" t="str">
        <f>IF(AND(S793&gt;1,S1318&gt;1,S793=V793,S1318=V1318), "YES", "NO")</f>
        <v>NO</v>
      </c>
      <c r="AB793" t="str">
        <f>IF(AND(S793&gt;1,S1318&gt;1,S793&lt;V793,S1318&lt;V1318), "YES", "NO")</f>
        <v>NO</v>
      </c>
      <c r="AC793" t="str">
        <f t="shared" si="20"/>
        <v>NO</v>
      </c>
      <c r="AD793" t="str">
        <f t="shared" si="21"/>
        <v>NO</v>
      </c>
      <c r="AE793" t="str">
        <f t="shared" si="22"/>
        <v>NO</v>
      </c>
      <c r="AF793" t="str">
        <f t="shared" si="23"/>
        <v>YES</v>
      </c>
    </row>
    <row r="794" spans="1:32" ht="15" x14ac:dyDescent="0.35">
      <c r="A794" s="7" t="s">
        <v>1499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>LEFT($A794,FIND("_",$A794)-1)</f>
        <v>Kali-A</v>
      </c>
      <c r="P794" s="13" t="str">
        <f>IF($O794="ACS", "True Search", IF($O794="Arja", "Evolutionary Search", IF($O794="AVATAR", "True Pattern", IF($O794="CapGen", "Search Like Pattern", IF($O794="Cardumen", "True Semantic", IF($O794="DynaMoth", "True Semantic", IF($O794="FixMiner", "True Pattern", IF($O794="GenProg-A", "Evolutionary Search", IF($O794="Hercules", "Learning Pattern", IF($O794="Jaid", "True Semantic",
IF($O794="Kali-A", "True Search", IF($O794="kPAR", "True Pattern", IF($O794="Nopol", "True Semantic", IF($O794="RSRepair-A", "Evolutionary Search", IF($O794="SequenceR", "Deep Learning", IF($O794="SimFix", "Search Like Pattern", IF($O794="SketchFix", "True Pattern", IF($O794="SOFix", "True Pattern", IF($O794="ssFix", "Search Like Pattern", IF($O794="TBar", "True Pattern", ""))))))))))))))))))))</f>
        <v>True Search</v>
      </c>
      <c r="Q794" s="13" t="str">
        <f>IF(NOT(ISERR(SEARCH("*_Buggy",$A794))), "Buggy", IF(NOT(ISERR(SEARCH("*_Fixed",$A794))), "Fixed", IF(NOT(ISERR(SEARCH("*_Repaired",$A794))), "Repaired", "")))</f>
        <v>Fixed</v>
      </c>
      <c r="R794" s="13" t="s">
        <v>1669</v>
      </c>
      <c r="S794" s="25">
        <v>1</v>
      </c>
      <c r="T794" s="25">
        <v>1</v>
      </c>
      <c r="U794" s="25">
        <v>1</v>
      </c>
      <c r="V794" s="13">
        <v>1</v>
      </c>
      <c r="W794" s="13" t="str">
        <f>MID(A794, SEARCH("_", A794) +1, SEARCH("_", A794, SEARCH("_", A794) +1) - SEARCH("_", A794) -1)</f>
        <v>Math-32</v>
      </c>
      <c r="Y794" s="1" t="str">
        <f t="shared" si="18"/>
        <v>NO</v>
      </c>
      <c r="Z794" s="1" t="str">
        <f t="shared" si="19"/>
        <v>NO</v>
      </c>
      <c r="AA794" t="str">
        <f>IF(AND(S794&gt;1,S1319&gt;1,S794=V794,S1319=V1319), "YES", "NO")</f>
        <v>NO</v>
      </c>
      <c r="AB794" t="str">
        <f>IF(AND(S794&gt;1,S1319&gt;1,S794&lt;V794,S1319&lt;V1319), "YES", "NO")</f>
        <v>NO</v>
      </c>
      <c r="AC794" t="str">
        <f t="shared" si="20"/>
        <v>YES</v>
      </c>
      <c r="AD794" t="str">
        <f t="shared" si="21"/>
        <v>NO</v>
      </c>
      <c r="AE794" t="str">
        <f t="shared" si="22"/>
        <v>YES</v>
      </c>
      <c r="AF794" t="str">
        <f t="shared" si="23"/>
        <v>NO</v>
      </c>
    </row>
    <row r="795" spans="1:32" ht="15" x14ac:dyDescent="0.35">
      <c r="A795" s="5" t="s">
        <v>1500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>LEFT($A795,FIND("_",$A795)-1)</f>
        <v>Kali-A</v>
      </c>
      <c r="P795" s="13" t="str">
        <f>IF($O795="ACS", "True Search", IF($O795="Arja", "Evolutionary Search", IF($O795="AVATAR", "True Pattern", IF($O795="CapGen", "Search Like Pattern", IF($O795="Cardumen", "True Semantic", IF($O795="DynaMoth", "True Semantic", IF($O795="FixMiner", "True Pattern", IF($O795="GenProg-A", "Evolutionary Search", IF($O795="Hercules", "Learning Pattern", IF($O795="Jaid", "True Semantic",
IF($O795="Kali-A", "True Search", IF($O795="kPAR", "True Pattern", IF($O795="Nopol", "True Semantic", IF($O795="RSRepair-A", "Evolutionary Search", IF($O795="SequenceR", "Deep Learning", IF($O795="SimFix", "Search Like Pattern", IF($O795="SketchFix", "True Pattern", IF($O795="SOFix", "True Pattern", IF($O795="ssFix", "Search Like Pattern", IF($O795="TBar", "True Pattern", ""))))))))))))))))))))</f>
        <v>True Search</v>
      </c>
      <c r="Q795" s="13" t="str">
        <f>IF(NOT(ISERR(SEARCH("*_Buggy",$A795))), "Buggy", IF(NOT(ISERR(SEARCH("*_Fixed",$A795))), "Fixed", IF(NOT(ISERR(SEARCH("*_Repaired",$A795))), "Repaired", "")))</f>
        <v>Fixed</v>
      </c>
      <c r="R795" s="13" t="s">
        <v>1669</v>
      </c>
      <c r="S795" s="25">
        <v>4</v>
      </c>
      <c r="T795" s="25">
        <v>4</v>
      </c>
      <c r="U795" s="25">
        <v>4</v>
      </c>
      <c r="V795" s="13">
        <v>4</v>
      </c>
      <c r="W795" s="13" t="str">
        <f>MID(A795, SEARCH("_", A795) +1, SEARCH("_", A795, SEARCH("_", A795) +1) - SEARCH("_", A795) -1)</f>
        <v>Math-49</v>
      </c>
      <c r="Y795" s="1" t="str">
        <f t="shared" si="18"/>
        <v>YES</v>
      </c>
      <c r="Z795" s="1" t="str">
        <f t="shared" si="19"/>
        <v>NO</v>
      </c>
      <c r="AA795" t="str">
        <f>IF(AND(S795&gt;1,S1320&gt;1,S795=V795,S1320=V1320), "YES", "NO")</f>
        <v>NO</v>
      </c>
      <c r="AB795" t="str">
        <f>IF(AND(S795&gt;1,S1320&gt;1,S795&lt;V795,S1320&lt;V1320), "YES", "NO")</f>
        <v>NO</v>
      </c>
      <c r="AC795" t="str">
        <f t="shared" si="20"/>
        <v>NO</v>
      </c>
      <c r="AD795" t="str">
        <f t="shared" si="21"/>
        <v>NO</v>
      </c>
      <c r="AE795" t="str">
        <f t="shared" si="22"/>
        <v>NO</v>
      </c>
      <c r="AF795" t="str">
        <f t="shared" si="23"/>
        <v>NO</v>
      </c>
    </row>
    <row r="796" spans="1:32" ht="15" x14ac:dyDescent="0.35">
      <c r="A796" s="7" t="s">
        <v>1501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>LEFT($A796,FIND("_",$A796)-1)</f>
        <v>Kali-A</v>
      </c>
      <c r="P796" s="13" t="str">
        <f>IF($O796="ACS", "True Search", IF($O796="Arja", "Evolutionary Search", IF($O796="AVATAR", "True Pattern", IF($O796="CapGen", "Search Like Pattern", IF($O796="Cardumen", "True Semantic", IF($O796="DynaMoth", "True Semantic", IF($O796="FixMiner", "True Pattern", IF($O796="GenProg-A", "Evolutionary Search", IF($O796="Hercules", "Learning Pattern", IF($O796="Jaid", "True Semantic",
IF($O796="Kali-A", "True Search", IF($O796="kPAR", "True Pattern", IF($O796="Nopol", "True Semantic", IF($O796="RSRepair-A", "Evolutionary Search", IF($O796="SequenceR", "Deep Learning", IF($O796="SimFix", "Search Like Pattern", IF($O796="SketchFix", "True Pattern", IF($O796="SOFix", "True Pattern", IF($O796="ssFix", "Search Like Pattern", IF($O796="TBar", "True Pattern", ""))))))))))))))))))))</f>
        <v>True Search</v>
      </c>
      <c r="Q796" s="13" t="str">
        <f>IF(NOT(ISERR(SEARCH("*_Buggy",$A796))), "Buggy", IF(NOT(ISERR(SEARCH("*_Fixed",$A796))), "Fixed", IF(NOT(ISERR(SEARCH("*_Repaired",$A796))), "Repaired", "")))</f>
        <v>Fixed</v>
      </c>
      <c r="R796" s="13" t="s">
        <v>1668</v>
      </c>
      <c r="S796" s="25">
        <v>1</v>
      </c>
      <c r="T796" s="25">
        <v>0</v>
      </c>
      <c r="U796" s="13">
        <v>4</v>
      </c>
      <c r="V796" s="13">
        <v>4</v>
      </c>
      <c r="W796" s="13" t="str">
        <f>MID(A796, SEARCH("_", A796) +1, SEARCH("_", A796, SEARCH("_", A796) +1) - SEARCH("_", A796) -1)</f>
        <v>Math-50</v>
      </c>
      <c r="Y796" s="1" t="str">
        <f t="shared" si="18"/>
        <v>NO</v>
      </c>
      <c r="Z796" s="1" t="str">
        <f t="shared" si="19"/>
        <v>NO</v>
      </c>
      <c r="AA796" t="str">
        <f>IF(AND(S796&gt;1,S1321&gt;1,S796=V796,S1321=V1321), "YES", "NO")</f>
        <v>NO</v>
      </c>
      <c r="AB796" t="str">
        <f>IF(AND(S796&gt;1,S1321&gt;1,S796&lt;V796,S1321&lt;V1321), "YES", "NO")</f>
        <v>NO</v>
      </c>
      <c r="AC796" t="str">
        <f t="shared" si="20"/>
        <v>NO</v>
      </c>
      <c r="AD796" t="str">
        <f t="shared" si="21"/>
        <v>NO</v>
      </c>
      <c r="AE796" t="str">
        <f t="shared" si="22"/>
        <v>NO</v>
      </c>
      <c r="AF796" t="str">
        <f t="shared" si="23"/>
        <v>NO</v>
      </c>
    </row>
    <row r="797" spans="1:32" ht="15" x14ac:dyDescent="0.35">
      <c r="A797" s="7" t="s">
        <v>1502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>LEFT($A797,FIND("_",$A797)-1)</f>
        <v>Kali-A</v>
      </c>
      <c r="P797" s="13" t="str">
        <f>IF($O797="ACS", "True Search", IF($O797="Arja", "Evolutionary Search", IF($O797="AVATAR", "True Pattern", IF($O797="CapGen", "Search Like Pattern", IF($O797="Cardumen", "True Semantic", IF($O797="DynaMoth", "True Semantic", IF($O797="FixMiner", "True Pattern", IF($O797="GenProg-A", "Evolutionary Search", IF($O797="Hercules", "Learning Pattern", IF($O797="Jaid", "True Semantic",
IF($O797="Kali-A", "True Search", IF($O797="kPAR", "True Pattern", IF($O797="Nopol", "True Semantic", IF($O797="RSRepair-A", "Evolutionary Search", IF($O797="SequenceR", "Deep Learning", IF($O797="SimFix", "Search Like Pattern", IF($O797="SketchFix", "True Pattern", IF($O797="SOFix", "True Pattern", IF($O797="ssFix", "Search Like Pattern", IF($O797="TBar", "True Pattern", ""))))))))))))))))))))</f>
        <v>True Search</v>
      </c>
      <c r="Q797" s="13" t="str">
        <f>IF(NOT(ISERR(SEARCH("*_Buggy",$A797))), "Buggy", IF(NOT(ISERR(SEARCH("*_Fixed",$A797))), "Fixed", IF(NOT(ISERR(SEARCH("*_Repaired",$A797))), "Repaired", "")))</f>
        <v>Fixed</v>
      </c>
      <c r="R797" s="13" t="s">
        <v>1669</v>
      </c>
      <c r="S797" s="25">
        <v>1</v>
      </c>
      <c r="T797" s="25">
        <v>1</v>
      </c>
      <c r="U797" s="25">
        <v>1</v>
      </c>
      <c r="V797" s="13">
        <v>1</v>
      </c>
      <c r="W797" s="13" t="str">
        <f>MID(A797, SEARCH("_", A797) +1, SEARCH("_", A797, SEARCH("_", A797) +1) - SEARCH("_", A797) -1)</f>
        <v>Math-80</v>
      </c>
      <c r="Y797" s="1" t="str">
        <f t="shared" si="18"/>
        <v>NO</v>
      </c>
      <c r="Z797" s="1" t="str">
        <f t="shared" si="19"/>
        <v>NO</v>
      </c>
      <c r="AA797" t="str">
        <f>IF(AND(S797&gt;1,S1322&gt;1,S797=V797,S1322=V1322), "YES", "NO")</f>
        <v>NO</v>
      </c>
      <c r="AB797" t="str">
        <f>IF(AND(S797&gt;1,S1322&gt;1,S797&lt;V797,S1322&lt;V1322), "YES", "NO")</f>
        <v>NO</v>
      </c>
      <c r="AC797" t="str">
        <f t="shared" si="20"/>
        <v>NO</v>
      </c>
      <c r="AD797" t="str">
        <f t="shared" si="21"/>
        <v>NO</v>
      </c>
      <c r="AE797" t="str">
        <f t="shared" si="22"/>
        <v>NO</v>
      </c>
      <c r="AF797" t="str">
        <f t="shared" si="23"/>
        <v>NO</v>
      </c>
    </row>
    <row r="798" spans="1:32" ht="15" x14ac:dyDescent="0.35">
      <c r="A798" s="5" t="s">
        <v>1503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>LEFT($A798,FIND("_",$A798)-1)</f>
        <v>Kali-A</v>
      </c>
      <c r="P798" s="13" t="str">
        <f>IF($O798="ACS", "True Search", IF($O798="Arja", "Evolutionary Search", IF($O798="AVATAR", "True Pattern", IF($O798="CapGen", "Search Like Pattern", IF($O798="Cardumen", "True Semantic", IF($O798="DynaMoth", "True Semantic", IF($O798="FixMiner", "True Pattern", IF($O798="GenProg-A", "Evolutionary Search", IF($O798="Hercules", "Learning Pattern", IF($O798="Jaid", "True Semantic",
IF($O798="Kali-A", "True Search", IF($O798="kPAR", "True Pattern", IF($O798="Nopol", "True Semantic", IF($O798="RSRepair-A", "Evolutionary Search", IF($O798="SequenceR", "Deep Learning", IF($O798="SimFix", "Search Like Pattern", IF($O798="SketchFix", "True Pattern", IF($O798="SOFix", "True Pattern", IF($O798="ssFix", "Search Like Pattern", IF($O798="TBar", "True Pattern", ""))))))))))))))))))))</f>
        <v>True Search</v>
      </c>
      <c r="Q798" s="13" t="str">
        <f>IF(NOT(ISERR(SEARCH("*_Buggy",$A798))), "Buggy", IF(NOT(ISERR(SEARCH("*_Fixed",$A798))), "Fixed", IF(NOT(ISERR(SEARCH("*_Repaired",$A798))), "Repaired", "")))</f>
        <v>Fixed</v>
      </c>
      <c r="R798" s="13" t="s">
        <v>1669</v>
      </c>
      <c r="S798" s="25">
        <v>3</v>
      </c>
      <c r="T798" s="25">
        <v>4</v>
      </c>
      <c r="U798" s="25">
        <v>3</v>
      </c>
      <c r="V798" s="13">
        <v>4</v>
      </c>
      <c r="W798" s="13" t="str">
        <f>MID(A798, SEARCH("_", A798) +1, SEARCH("_", A798, SEARCH("_", A798) +1) - SEARCH("_", A798) -1)</f>
        <v>Math-81</v>
      </c>
      <c r="Y798" s="1" t="str">
        <f t="shared" si="18"/>
        <v>NO</v>
      </c>
      <c r="Z798" s="1" t="str">
        <f t="shared" si="19"/>
        <v>YES</v>
      </c>
      <c r="AA798" t="str">
        <f>IF(AND(S798&gt;1,S1323&gt;1,S798=V798,S1323=V1323), "YES", "NO")</f>
        <v>NO</v>
      </c>
      <c r="AB798" t="str">
        <f>IF(AND(S798&gt;1,S1323&gt;1,S798&lt;V798,S1323&lt;V1323), "YES", "NO")</f>
        <v>NO</v>
      </c>
      <c r="AC798" t="str">
        <f t="shared" si="20"/>
        <v>NO</v>
      </c>
      <c r="AD798" t="str">
        <f t="shared" si="21"/>
        <v>NO</v>
      </c>
      <c r="AE798" t="str">
        <f t="shared" si="22"/>
        <v>NO</v>
      </c>
      <c r="AF798" t="str">
        <f t="shared" si="23"/>
        <v>NO</v>
      </c>
    </row>
    <row r="799" spans="1:32" ht="15" x14ac:dyDescent="0.35">
      <c r="A799" s="7" t="s">
        <v>1504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>LEFT($A799,FIND("_",$A799)-1)</f>
        <v>Kali-A</v>
      </c>
      <c r="P799" s="13" t="str">
        <f>IF($O799="ACS", "True Search", IF($O799="Arja", "Evolutionary Search", IF($O799="AVATAR", "True Pattern", IF($O799="CapGen", "Search Like Pattern", IF($O799="Cardumen", "True Semantic", IF($O799="DynaMoth", "True Semantic", IF($O799="FixMiner", "True Pattern", IF($O799="GenProg-A", "Evolutionary Search", IF($O799="Hercules", "Learning Pattern", IF($O799="Jaid", "True Semantic",
IF($O799="Kali-A", "True Search", IF($O799="kPAR", "True Pattern", IF($O799="Nopol", "True Semantic", IF($O799="RSRepair-A", "Evolutionary Search", IF($O799="SequenceR", "Deep Learning", IF($O799="SimFix", "Search Like Pattern", IF($O799="SketchFix", "True Pattern", IF($O799="SOFix", "True Pattern", IF($O799="ssFix", "Search Like Pattern", IF($O799="TBar", "True Pattern", ""))))))))))))))))))))</f>
        <v>True Search</v>
      </c>
      <c r="Q799" s="13" t="str">
        <f>IF(NOT(ISERR(SEARCH("*_Buggy",$A799))), "Buggy", IF(NOT(ISERR(SEARCH("*_Fixed",$A799))), "Fixed", IF(NOT(ISERR(SEARCH("*_Repaired",$A799))), "Repaired", "")))</f>
        <v>Fixed</v>
      </c>
      <c r="R799" s="13" t="s">
        <v>1669</v>
      </c>
      <c r="S799" s="25">
        <v>3</v>
      </c>
      <c r="T799" s="13">
        <v>9</v>
      </c>
      <c r="U799" s="25">
        <v>0</v>
      </c>
      <c r="V799" s="13">
        <v>9</v>
      </c>
      <c r="W799" s="13" t="str">
        <f>MID(A799, SEARCH("_", A799) +1, SEARCH("_", A799, SEARCH("_", A799) +1) - SEARCH("_", A799) -1)</f>
        <v>Math-84</v>
      </c>
      <c r="Y799" s="1" t="str">
        <f t="shared" si="18"/>
        <v>NO</v>
      </c>
      <c r="Z799" s="1" t="str">
        <f t="shared" si="19"/>
        <v>YES</v>
      </c>
      <c r="AA799" t="str">
        <f>IF(AND(S799&gt;1,S1324&gt;1,S799=V799,S1324=V1324), "YES", "NO")</f>
        <v>NO</v>
      </c>
      <c r="AB799" t="str">
        <f>IF(AND(S799&gt;1,S1324&gt;1,S799&lt;V799,S1324&lt;V1324), "YES", "NO")</f>
        <v>NO</v>
      </c>
      <c r="AC799" t="str">
        <f t="shared" si="20"/>
        <v>NO</v>
      </c>
      <c r="AD799" t="str">
        <f t="shared" si="21"/>
        <v>NO</v>
      </c>
      <c r="AE799" t="str">
        <f t="shared" si="22"/>
        <v>NO</v>
      </c>
      <c r="AF799" t="str">
        <f t="shared" si="23"/>
        <v>NO</v>
      </c>
    </row>
    <row r="800" spans="1:32" ht="15" x14ac:dyDescent="0.35">
      <c r="A800" s="5" t="s">
        <v>1505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>LEFT($A800,FIND("_",$A800)-1)</f>
        <v>Kali-A</v>
      </c>
      <c r="P800" s="13" t="str">
        <f>IF($O800="ACS", "True Search", IF($O800="Arja", "Evolutionary Search", IF($O800="AVATAR", "True Pattern", IF($O800="CapGen", "Search Like Pattern", IF($O800="Cardumen", "True Semantic", IF($O800="DynaMoth", "True Semantic", IF($O800="FixMiner", "True Pattern", IF($O800="GenProg-A", "Evolutionary Search", IF($O800="Hercules", "Learning Pattern", IF($O800="Jaid", "True Semantic",
IF($O800="Kali-A", "True Search", IF($O800="kPAR", "True Pattern", IF($O800="Nopol", "True Semantic", IF($O800="RSRepair-A", "Evolutionary Search", IF($O800="SequenceR", "Deep Learning", IF($O800="SimFix", "Search Like Pattern", IF($O800="SketchFix", "True Pattern", IF($O800="SOFix", "True Pattern", IF($O800="ssFix", "Search Like Pattern", IF($O800="TBar", "True Pattern", ""))))))))))))))))))))</f>
        <v>True Search</v>
      </c>
      <c r="Q800" s="13" t="str">
        <f>IF(NOT(ISERR(SEARCH("*_Buggy",$A800))), "Buggy", IF(NOT(ISERR(SEARCH("*_Fixed",$A800))), "Fixed", IF(NOT(ISERR(SEARCH("*_Repaired",$A800))), "Repaired", "")))</f>
        <v>Fixed</v>
      </c>
      <c r="R800" s="13" t="s">
        <v>1669</v>
      </c>
      <c r="S800" s="25">
        <v>1</v>
      </c>
      <c r="T800" s="25">
        <v>1</v>
      </c>
      <c r="U800" s="25">
        <v>1</v>
      </c>
      <c r="V800" s="13">
        <v>1</v>
      </c>
      <c r="W800" s="13" t="str">
        <f>MID(A800, SEARCH("_", A800) +1, SEARCH("_", A800, SEARCH("_", A800) +1) - SEARCH("_", A800) -1)</f>
        <v>Math-85</v>
      </c>
      <c r="Y800" s="1" t="str">
        <f t="shared" si="18"/>
        <v>NO</v>
      </c>
      <c r="Z800" s="1" t="str">
        <f t="shared" si="19"/>
        <v>NO</v>
      </c>
      <c r="AA800" t="str">
        <f>IF(AND(S800&gt;1,S1325&gt;1,S800=V800,S1325=V1325), "YES", "NO")</f>
        <v>NO</v>
      </c>
      <c r="AB800" t="str">
        <f>IF(AND(S800&gt;1,S1325&gt;1,S800&lt;V800,S1325&lt;V1325), "YES", "NO")</f>
        <v>NO</v>
      </c>
      <c r="AC800" t="str">
        <f t="shared" si="20"/>
        <v>NO</v>
      </c>
      <c r="AD800" t="str">
        <f t="shared" si="21"/>
        <v>NO</v>
      </c>
      <c r="AE800" t="str">
        <f t="shared" si="22"/>
        <v>NO</v>
      </c>
      <c r="AF800" t="str">
        <f t="shared" si="23"/>
        <v>NO</v>
      </c>
    </row>
    <row r="801" spans="1:32" ht="15" x14ac:dyDescent="0.35">
      <c r="A801" s="5" t="s">
        <v>1506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>LEFT($A801,FIND("_",$A801)-1)</f>
        <v>Kali-A</v>
      </c>
      <c r="P801" s="13" t="str">
        <f>IF($O801="ACS", "True Search", IF($O801="Arja", "Evolutionary Search", IF($O801="AVATAR", "True Pattern", IF($O801="CapGen", "Search Like Pattern", IF($O801="Cardumen", "True Semantic", IF($O801="DynaMoth", "True Semantic", IF($O801="FixMiner", "True Pattern", IF($O801="GenProg-A", "Evolutionary Search", IF($O801="Hercules", "Learning Pattern", IF($O801="Jaid", "True Semantic",
IF($O801="Kali-A", "True Search", IF($O801="kPAR", "True Pattern", IF($O801="Nopol", "True Semantic", IF($O801="RSRepair-A", "Evolutionary Search", IF($O801="SequenceR", "Deep Learning", IF($O801="SimFix", "Search Like Pattern", IF($O801="SketchFix", "True Pattern", IF($O801="SOFix", "True Pattern", IF($O801="ssFix", "Search Like Pattern", IF($O801="TBar", "True Pattern", ""))))))))))))))))))))</f>
        <v>True Search</v>
      </c>
      <c r="Q801" s="13" t="str">
        <f>IF(NOT(ISERR(SEARCH("*_Buggy",$A801))), "Buggy", IF(NOT(ISERR(SEARCH("*_Fixed",$A801))), "Fixed", IF(NOT(ISERR(SEARCH("*_Repaired",$A801))), "Repaired", "")))</f>
        <v>Fixed</v>
      </c>
      <c r="R801" s="13" t="s">
        <v>1669</v>
      </c>
      <c r="S801" s="25">
        <v>3</v>
      </c>
      <c r="T801" s="25">
        <v>3</v>
      </c>
      <c r="U801" s="25">
        <v>1</v>
      </c>
      <c r="V801" s="13">
        <v>3</v>
      </c>
      <c r="W801" s="13" t="str">
        <f>MID(A801, SEARCH("_", A801) +1, SEARCH("_", A801, SEARCH("_", A801) +1) - SEARCH("_", A801) -1)</f>
        <v>Math-95</v>
      </c>
      <c r="Y801" s="1" t="str">
        <f t="shared" si="18"/>
        <v>YES</v>
      </c>
      <c r="Z801" s="1" t="str">
        <f t="shared" si="19"/>
        <v>NO</v>
      </c>
      <c r="AA801" t="str">
        <f>IF(AND(S801&gt;1,S1326&gt;1,S801=V801,S1326=V1326), "YES", "NO")</f>
        <v>NO</v>
      </c>
      <c r="AB801" t="str">
        <f>IF(AND(S801&gt;1,S1326&gt;1,S801&lt;V801,S1326&lt;V1326), "YES", "NO")</f>
        <v>NO</v>
      </c>
      <c r="AC801" t="str">
        <f t="shared" si="20"/>
        <v>NO</v>
      </c>
      <c r="AD801" t="str">
        <f t="shared" si="21"/>
        <v>NO</v>
      </c>
      <c r="AE801" t="str">
        <f t="shared" si="22"/>
        <v>NO</v>
      </c>
      <c r="AF801" t="str">
        <f t="shared" si="23"/>
        <v>YES</v>
      </c>
    </row>
    <row r="802" spans="1:32" ht="15" x14ac:dyDescent="0.35">
      <c r="A802" s="7" t="s">
        <v>867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>LEFT($A802,FIND("_",$A802)-1)</f>
        <v>kPAR</v>
      </c>
      <c r="P802" s="13" t="str">
        <f>IF($O802="ACS", "True Search", IF($O802="Arja", "Evolutionary Search", IF($O802="AVATAR", "True Pattern", IF($O802="CapGen", "Search Like Pattern", IF($O802="Cardumen", "True Semantic", IF($O802="DynaMoth", "True Semantic", IF($O802="FixMiner", "True Pattern", IF($O802="GenProg-A", "Evolutionary Search", IF($O802="Hercules", "Learning Pattern", IF($O802="Jaid", "True Semantic",
IF($O802="Kali-A", "True Search", IF($O802="kPAR", "True Pattern", IF($O802="Nopol", "True Semantic", IF($O802="RSRepair-A", "Evolutionary Search", IF($O802="SequenceR", "Deep Learning", IF($O802="SimFix", "Search Like Pattern", IF($O802="SketchFix", "True Pattern", IF($O802="SOFix", "True Pattern", IF($O802="ssFix", "Search Like Pattern", IF($O802="TBar", "True Pattern", ""))))))))))))))))))))</f>
        <v>True Pattern</v>
      </c>
      <c r="Q802" s="13" t="str">
        <f>IF(NOT(ISERR(SEARCH("*_Buggy",$A802))), "Buggy", IF(NOT(ISERR(SEARCH("*_Fixed",$A802))), "Fixed", IF(NOT(ISERR(SEARCH("*_Repaired",$A802))), "Repaired", "")))</f>
        <v>Fixed</v>
      </c>
      <c r="R802" s="13" t="s">
        <v>1668</v>
      </c>
      <c r="S802" s="25">
        <v>1</v>
      </c>
      <c r="T802" s="25">
        <v>1</v>
      </c>
      <c r="U802" s="25">
        <v>1</v>
      </c>
      <c r="V802" s="13">
        <v>1</v>
      </c>
      <c r="W802" s="13" t="str">
        <f>MID(A802, SEARCH("_", A802) +1, SEARCH("_", A802, SEARCH("_", A802) +1) - SEARCH("_", A802) -1)</f>
        <v>Chart-1</v>
      </c>
      <c r="Y802" s="1" t="str">
        <f t="shared" si="18"/>
        <v>NO</v>
      </c>
      <c r="Z802" s="1" t="str">
        <f t="shared" si="19"/>
        <v>NO</v>
      </c>
      <c r="AA802" t="str">
        <f>IF(AND(S802&gt;1,S1327&gt;1,S802=V802,S1327=V1327), "YES", "NO")</f>
        <v>NO</v>
      </c>
      <c r="AB802" t="str">
        <f>IF(AND(S802&gt;1,S1327&gt;1,S802&lt;V802,S1327&lt;V1327), "YES", "NO")</f>
        <v>NO</v>
      </c>
      <c r="AC802" t="str">
        <f t="shared" si="20"/>
        <v>YES</v>
      </c>
      <c r="AD802" t="str">
        <f t="shared" si="21"/>
        <v>NO</v>
      </c>
      <c r="AE802" t="str">
        <f t="shared" si="22"/>
        <v>YES</v>
      </c>
      <c r="AF802" t="str">
        <f t="shared" si="23"/>
        <v>NO</v>
      </c>
    </row>
    <row r="803" spans="1:32" ht="15" x14ac:dyDescent="0.35">
      <c r="A803" s="7" t="s">
        <v>612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>LEFT($A803,FIND("_",$A803)-1)</f>
        <v>kPAR</v>
      </c>
      <c r="P803" s="13" t="str">
        <f>IF($O803="ACS", "True Search", IF($O803="Arja", "Evolutionary Search", IF($O803="AVATAR", "True Pattern", IF($O803="CapGen", "Search Like Pattern", IF($O803="Cardumen", "True Semantic", IF($O803="DynaMoth", "True Semantic", IF($O803="FixMiner", "True Pattern", IF($O803="GenProg-A", "Evolutionary Search", IF($O803="Hercules", "Learning Pattern", IF($O803="Jaid", "True Semantic",
IF($O803="Kali-A", "True Search", IF($O803="kPAR", "True Pattern", IF($O803="Nopol", "True Semantic", IF($O803="RSRepair-A", "Evolutionary Search", IF($O803="SequenceR", "Deep Learning", IF($O803="SimFix", "Search Like Pattern", IF($O803="SketchFix", "True Pattern", IF($O803="SOFix", "True Pattern", IF($O803="ssFix", "Search Like Pattern", IF($O803="TBar", "True Pattern", ""))))))))))))))))))))</f>
        <v>True Pattern</v>
      </c>
      <c r="Q803" s="13" t="str">
        <f>IF(NOT(ISERR(SEARCH("*_Buggy",$A803))), "Buggy", IF(NOT(ISERR(SEARCH("*_Fixed",$A803))), "Fixed", IF(NOT(ISERR(SEARCH("*_Repaired",$A803))), "Repaired", "")))</f>
        <v>Fixed</v>
      </c>
      <c r="R803" s="13" t="s">
        <v>1669</v>
      </c>
      <c r="S803" s="25">
        <v>1</v>
      </c>
      <c r="T803" s="25">
        <v>1</v>
      </c>
      <c r="U803" s="25">
        <v>1</v>
      </c>
      <c r="V803" s="13">
        <v>1</v>
      </c>
      <c r="W803" s="13" t="str">
        <f>MID(A803, SEARCH("_", A803) +1, SEARCH("_", A803, SEARCH("_", A803) +1) - SEARCH("_", A803) -1)</f>
        <v>Chart-13</v>
      </c>
      <c r="Y803" s="1" t="str">
        <f t="shared" si="18"/>
        <v>NO</v>
      </c>
      <c r="Z803" s="1" t="str">
        <f t="shared" si="19"/>
        <v>NO</v>
      </c>
      <c r="AA803" t="str">
        <f>IF(AND(S803&gt;1,S1328&gt;1,S803=V803,S1328=V1328), "YES", "NO")</f>
        <v>NO</v>
      </c>
      <c r="AB803" t="str">
        <f>IF(AND(S803&gt;1,S1328&gt;1,S803&lt;V803,S1328&lt;V1328), "YES", "NO")</f>
        <v>NO</v>
      </c>
      <c r="AC803" t="str">
        <f t="shared" si="20"/>
        <v>YES</v>
      </c>
      <c r="AD803" t="str">
        <f t="shared" si="21"/>
        <v>NO</v>
      </c>
      <c r="AE803" t="str">
        <f t="shared" si="22"/>
        <v>YES</v>
      </c>
      <c r="AF803" t="str">
        <f t="shared" si="23"/>
        <v>NO</v>
      </c>
    </row>
    <row r="804" spans="1:32" ht="15" x14ac:dyDescent="0.35">
      <c r="A804" s="7" t="s">
        <v>200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>LEFT($A804,FIND("_",$A804)-1)</f>
        <v>kPAR</v>
      </c>
      <c r="P804" s="13" t="str">
        <f>IF($O804="ACS", "True Search", IF($O804="Arja", "Evolutionary Search", IF($O804="AVATAR", "True Pattern", IF($O804="CapGen", "Search Like Pattern", IF($O804="Cardumen", "True Semantic", IF($O804="DynaMoth", "True Semantic", IF($O804="FixMiner", "True Pattern", IF($O804="GenProg-A", "Evolutionary Search", IF($O804="Hercules", "Learning Pattern", IF($O804="Jaid", "True Semantic",
IF($O804="Kali-A", "True Search", IF($O804="kPAR", "True Pattern", IF($O804="Nopol", "True Semantic", IF($O804="RSRepair-A", "Evolutionary Search", IF($O804="SequenceR", "Deep Learning", IF($O804="SimFix", "Search Like Pattern", IF($O804="SketchFix", "True Pattern", IF($O804="SOFix", "True Pattern", IF($O804="ssFix", "Search Like Pattern", IF($O804="TBar", "True Pattern", ""))))))))))))))))))))</f>
        <v>True Pattern</v>
      </c>
      <c r="Q804" s="13" t="str">
        <f>IF(NOT(ISERR(SEARCH("*_Buggy",$A804))), "Buggy", IF(NOT(ISERR(SEARCH("*_Fixed",$A804))), "Fixed", IF(NOT(ISERR(SEARCH("*_Repaired",$A804))), "Repaired", "")))</f>
        <v>Fixed</v>
      </c>
      <c r="R804" s="13" t="s">
        <v>1669</v>
      </c>
      <c r="S804" s="25">
        <v>1</v>
      </c>
      <c r="T804" s="25">
        <v>2</v>
      </c>
      <c r="U804" s="25">
        <v>1</v>
      </c>
      <c r="V804" s="13">
        <v>2</v>
      </c>
      <c r="W804" s="13" t="str">
        <f>MID(A804, SEARCH("_", A804) +1, SEARCH("_", A804, SEARCH("_", A804) +1) - SEARCH("_", A804) -1)</f>
        <v>Chart-17</v>
      </c>
      <c r="Y804" s="1" t="str">
        <f t="shared" si="18"/>
        <v>NO</v>
      </c>
      <c r="Z804" s="1" t="str">
        <f t="shared" si="19"/>
        <v>NO</v>
      </c>
      <c r="AA804" t="str">
        <f>IF(AND(S804&gt;1,S1329&gt;1,S804=V804,S1329=V1329), "YES", "NO")</f>
        <v>NO</v>
      </c>
      <c r="AB804" t="str">
        <f>IF(AND(S804&gt;1,S1329&gt;1,S804&lt;V804,S1329&lt;V1329), "YES", "NO")</f>
        <v>NO</v>
      </c>
      <c r="AC804" t="str">
        <f t="shared" si="20"/>
        <v>NO</v>
      </c>
      <c r="AD804" t="str">
        <f t="shared" si="21"/>
        <v>NO</v>
      </c>
      <c r="AE804" t="str">
        <f t="shared" si="22"/>
        <v>NO</v>
      </c>
      <c r="AF804" t="str">
        <f t="shared" si="23"/>
        <v>NO</v>
      </c>
    </row>
    <row r="805" spans="1:32" ht="15" x14ac:dyDescent="0.35">
      <c r="A805" s="7" t="s">
        <v>692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>LEFT($A805,FIND("_",$A805)-1)</f>
        <v>kPAR</v>
      </c>
      <c r="P805" s="13" t="str">
        <f>IF($O805="ACS", "True Search", IF($O805="Arja", "Evolutionary Search", IF($O805="AVATAR", "True Pattern", IF($O805="CapGen", "Search Like Pattern", IF($O805="Cardumen", "True Semantic", IF($O805="DynaMoth", "True Semantic", IF($O805="FixMiner", "True Pattern", IF($O805="GenProg-A", "Evolutionary Search", IF($O805="Hercules", "Learning Pattern", IF($O805="Jaid", "True Semantic",
IF($O805="Kali-A", "True Search", IF($O805="kPAR", "True Pattern", IF($O805="Nopol", "True Semantic", IF($O805="RSRepair-A", "Evolutionary Search", IF($O805="SequenceR", "Deep Learning", IF($O805="SimFix", "Search Like Pattern", IF($O805="SketchFix", "True Pattern", IF($O805="SOFix", "True Pattern", IF($O805="ssFix", "Search Like Pattern", IF($O805="TBar", "True Pattern", ""))))))))))))))))))))</f>
        <v>True Pattern</v>
      </c>
      <c r="Q805" s="13" t="str">
        <f>IF(NOT(ISERR(SEARCH("*_Buggy",$A805))), "Buggy", IF(NOT(ISERR(SEARCH("*_Fixed",$A805))), "Fixed", IF(NOT(ISERR(SEARCH("*_Repaired",$A805))), "Repaired", "")))</f>
        <v>Fixed</v>
      </c>
      <c r="R805" s="13" t="s">
        <v>1668</v>
      </c>
      <c r="S805" s="25">
        <v>2</v>
      </c>
      <c r="T805" s="13">
        <v>6</v>
      </c>
      <c r="U805" s="25">
        <v>0</v>
      </c>
      <c r="V805" s="13">
        <v>6</v>
      </c>
      <c r="W805" s="13" t="str">
        <f>MID(A805, SEARCH("_", A805) +1, SEARCH("_", A805, SEARCH("_", A805) +1) - SEARCH("_", A805) -1)</f>
        <v>Chart-19</v>
      </c>
      <c r="Y805" s="1" t="str">
        <f t="shared" si="18"/>
        <v>NO</v>
      </c>
      <c r="Z805" s="1" t="str">
        <f t="shared" si="19"/>
        <v>YES</v>
      </c>
      <c r="AA805" t="str">
        <f>IF(AND(S805&gt;1,S1330&gt;1,S805=V805,S1330=V1330), "YES", "NO")</f>
        <v>NO</v>
      </c>
      <c r="AB805" t="str">
        <f>IF(AND(S805&gt;1,S1330&gt;1,S805&lt;V805,S1330&lt;V1330), "YES", "NO")</f>
        <v>NO</v>
      </c>
      <c r="AC805" t="str">
        <f t="shared" si="20"/>
        <v>NO</v>
      </c>
      <c r="AD805" t="str">
        <f t="shared" si="21"/>
        <v>NO</v>
      </c>
      <c r="AE805" t="str">
        <f t="shared" si="22"/>
        <v>NO</v>
      </c>
      <c r="AF805" t="str">
        <f t="shared" si="23"/>
        <v>YES</v>
      </c>
    </row>
    <row r="806" spans="1:32" ht="15" x14ac:dyDescent="0.35">
      <c r="A806" s="5" t="s">
        <v>119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>LEFT($A806,FIND("_",$A806)-1)</f>
        <v>kPAR</v>
      </c>
      <c r="P806" s="13" t="str">
        <f>IF($O806="ACS", "True Search", IF($O806="Arja", "Evolutionary Search", IF($O806="AVATAR", "True Pattern", IF($O806="CapGen", "Search Like Pattern", IF($O806="Cardumen", "True Semantic", IF($O806="DynaMoth", "True Semantic", IF($O806="FixMiner", "True Pattern", IF($O806="GenProg-A", "Evolutionary Search", IF($O806="Hercules", "Learning Pattern", IF($O806="Jaid", "True Semantic",
IF($O806="Kali-A", "True Search", IF($O806="kPAR", "True Pattern", IF($O806="Nopol", "True Semantic", IF($O806="RSRepair-A", "Evolutionary Search", IF($O806="SequenceR", "Deep Learning", IF($O806="SimFix", "Search Like Pattern", IF($O806="SketchFix", "True Pattern", IF($O806="SOFix", "True Pattern", IF($O806="ssFix", "Search Like Pattern", IF($O806="TBar", "True Pattern", ""))))))))))))))))))))</f>
        <v>True Pattern</v>
      </c>
      <c r="Q806" s="13" t="str">
        <f>IF(NOT(ISERR(SEARCH("*_Buggy",$A806))), "Buggy", IF(NOT(ISERR(SEARCH("*_Fixed",$A806))), "Fixed", IF(NOT(ISERR(SEARCH("*_Repaired",$A806))), "Repaired", "")))</f>
        <v>Fixed</v>
      </c>
      <c r="R806" s="13" t="s">
        <v>1668</v>
      </c>
      <c r="S806" s="25">
        <v>2</v>
      </c>
      <c r="T806" s="13">
        <v>2</v>
      </c>
      <c r="U806" s="25">
        <v>0</v>
      </c>
      <c r="V806" s="13">
        <v>2</v>
      </c>
      <c r="W806" s="13" t="str">
        <f>MID(A806, SEARCH("_", A806) +1, SEARCH("_", A806, SEARCH("_", A806) +1) - SEARCH("_", A806) -1)</f>
        <v>Chart-26</v>
      </c>
      <c r="Y806" s="1" t="str">
        <f t="shared" ref="Y806:Y869" si="24">IF(AND(S806&gt;1,S806=V806), "YES", "NO")</f>
        <v>YES</v>
      </c>
      <c r="Z806" s="1" t="str">
        <f t="shared" ref="Z806:Z869" si="25">IF(AND(S806&gt;1,S806&lt;V806), "YES", "NO")</f>
        <v>NO</v>
      </c>
      <c r="AA806" t="str">
        <f>IF(AND(S806&gt;1,S1331&gt;1,S806=V806,S1331=V1331), "YES", "NO")</f>
        <v>NO</v>
      </c>
      <c r="AB806" t="str">
        <f>IF(AND(S806&gt;1,S1331&gt;1,S806&lt;V806,S1331&lt;V1331), "YES", "NO")</f>
        <v>NO</v>
      </c>
      <c r="AC806" t="str">
        <f t="shared" ref="AC806:AC869" si="26">IF(AND($S806=1,$S1331=1,$S806=$V806,$S1331=$V1331), "YES", "NO")</f>
        <v>NO</v>
      </c>
      <c r="AD806" t="str">
        <f t="shared" ref="AD806:AD869" si="27">IF(AND($S806=1,$S1331=1,$S806&lt;$V806,$S1331&lt;$V1331), "YES", "NO")</f>
        <v>NO</v>
      </c>
      <c r="AE806" t="str">
        <f t="shared" ref="AE806:AE869" si="28">IF(AND($V806=1,$V1331=1), "YES", "NO")</f>
        <v>NO</v>
      </c>
      <c r="AF806" t="str">
        <f t="shared" ref="AF806:AF869" si="29">IF(AND($V806&gt;1,$V1331&gt;1), "YES", "NO")</f>
        <v>YES</v>
      </c>
    </row>
    <row r="807" spans="1:32" ht="15" x14ac:dyDescent="0.35">
      <c r="A807" s="5" t="s">
        <v>1270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>LEFT($A807,FIND("_",$A807)-1)</f>
        <v>kPAR</v>
      </c>
      <c r="P807" s="13" t="str">
        <f>IF($O807="ACS", "True Search", IF($O807="Arja", "Evolutionary Search", IF($O807="AVATAR", "True Pattern", IF($O807="CapGen", "Search Like Pattern", IF($O807="Cardumen", "True Semantic", IF($O807="DynaMoth", "True Semantic", IF($O807="FixMiner", "True Pattern", IF($O807="GenProg-A", "Evolutionary Search", IF($O807="Hercules", "Learning Pattern", IF($O807="Jaid", "True Semantic",
IF($O807="Kali-A", "True Search", IF($O807="kPAR", "True Pattern", IF($O807="Nopol", "True Semantic", IF($O807="RSRepair-A", "Evolutionary Search", IF($O807="SequenceR", "Deep Learning", IF($O807="SimFix", "Search Like Pattern", IF($O807="SketchFix", "True Pattern", IF($O807="SOFix", "True Pattern", IF($O807="ssFix", "Search Like Pattern", IF($O807="TBar", "True Pattern", ""))))))))))))))))))))</f>
        <v>True Pattern</v>
      </c>
      <c r="Q807" s="13" t="str">
        <f>IF(NOT(ISERR(SEARCH("*_Buggy",$A807))), "Buggy", IF(NOT(ISERR(SEARCH("*_Fixed",$A807))), "Fixed", IF(NOT(ISERR(SEARCH("*_Repaired",$A807))), "Repaired", "")))</f>
        <v>Fixed</v>
      </c>
      <c r="R807" s="13" t="s">
        <v>1669</v>
      </c>
      <c r="S807" s="25">
        <v>1</v>
      </c>
      <c r="T807" s="13">
        <v>2</v>
      </c>
      <c r="U807" s="25">
        <v>0</v>
      </c>
      <c r="V807" s="13">
        <v>2</v>
      </c>
      <c r="W807" s="13" t="str">
        <f>MID(A807, SEARCH("_", A807) +1, SEARCH("_", A807, SEARCH("_", A807) +1) - SEARCH("_", A807) -1)</f>
        <v>Chart-3</v>
      </c>
      <c r="Y807" s="1" t="str">
        <f t="shared" si="24"/>
        <v>NO</v>
      </c>
      <c r="Z807" s="1" t="str">
        <f t="shared" si="25"/>
        <v>NO</v>
      </c>
      <c r="AA807" t="str">
        <f>IF(AND(S807&gt;1,S1332&gt;1,S807=V807,S1332=V1332), "YES", "NO")</f>
        <v>NO</v>
      </c>
      <c r="AB807" t="str">
        <f>IF(AND(S807&gt;1,S1332&gt;1,S807&lt;V807,S1332&lt;V1332), "YES", "NO")</f>
        <v>NO</v>
      </c>
      <c r="AC807" t="str">
        <f t="shared" si="26"/>
        <v>NO</v>
      </c>
      <c r="AD807" t="str">
        <f t="shared" si="27"/>
        <v>NO</v>
      </c>
      <c r="AE807" t="str">
        <f t="shared" si="28"/>
        <v>NO</v>
      </c>
      <c r="AF807" t="str">
        <f t="shared" si="29"/>
        <v>NO</v>
      </c>
    </row>
    <row r="808" spans="1:32" ht="15" x14ac:dyDescent="0.35">
      <c r="A808" s="7" t="s">
        <v>819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>LEFT($A808,FIND("_",$A808)-1)</f>
        <v>kPAR</v>
      </c>
      <c r="P808" s="13" t="str">
        <f>IF($O808="ACS", "True Search", IF($O808="Arja", "Evolutionary Search", IF($O808="AVATAR", "True Pattern", IF($O808="CapGen", "Search Like Pattern", IF($O808="Cardumen", "True Semantic", IF($O808="DynaMoth", "True Semantic", IF($O808="FixMiner", "True Pattern", IF($O808="GenProg-A", "Evolutionary Search", IF($O808="Hercules", "Learning Pattern", IF($O808="Jaid", "True Semantic",
IF($O808="Kali-A", "True Search", IF($O808="kPAR", "True Pattern", IF($O808="Nopol", "True Semantic", IF($O808="RSRepair-A", "Evolutionary Search", IF($O808="SequenceR", "Deep Learning", IF($O808="SimFix", "Search Like Pattern", IF($O808="SketchFix", "True Pattern", IF($O808="SOFix", "True Pattern", IF($O808="ssFix", "Search Like Pattern", IF($O808="TBar", "True Pattern", ""))))))))))))))))))))</f>
        <v>True Pattern</v>
      </c>
      <c r="Q808" s="13" t="str">
        <f>IF(NOT(ISERR(SEARCH("*_Buggy",$A808))), "Buggy", IF(NOT(ISERR(SEARCH("*_Fixed",$A808))), "Fixed", IF(NOT(ISERR(SEARCH("*_Repaired",$A808))), "Repaired", "")))</f>
        <v>Fixed</v>
      </c>
      <c r="R808" s="13" t="s">
        <v>1668</v>
      </c>
      <c r="S808" s="25">
        <v>2</v>
      </c>
      <c r="T808" s="13">
        <v>2</v>
      </c>
      <c r="U808" s="25">
        <v>0</v>
      </c>
      <c r="V808" s="13">
        <v>2</v>
      </c>
      <c r="W808" s="13" t="str">
        <f>MID(A808, SEARCH("_", A808) +1, SEARCH("_", A808, SEARCH("_", A808) +1) - SEARCH("_", A808) -1)</f>
        <v>Chart-4</v>
      </c>
      <c r="Y808" s="1" t="str">
        <f t="shared" si="24"/>
        <v>YES</v>
      </c>
      <c r="Z808" s="1" t="str">
        <f t="shared" si="25"/>
        <v>NO</v>
      </c>
      <c r="AA808" t="str">
        <f>IF(AND(S808&gt;1,S1333&gt;1,S808=V808,S1333=V1333), "YES", "NO")</f>
        <v>NO</v>
      </c>
      <c r="AB808" t="str">
        <f>IF(AND(S808&gt;1,S1333&gt;1,S808&lt;V808,S1333&lt;V1333), "YES", "NO")</f>
        <v>NO</v>
      </c>
      <c r="AC808" t="str">
        <f t="shared" si="26"/>
        <v>NO</v>
      </c>
      <c r="AD808" t="str">
        <f t="shared" si="27"/>
        <v>NO</v>
      </c>
      <c r="AE808" t="str">
        <f t="shared" si="28"/>
        <v>NO</v>
      </c>
      <c r="AF808" t="str">
        <f t="shared" si="29"/>
        <v>YES</v>
      </c>
    </row>
    <row r="809" spans="1:32" ht="15" x14ac:dyDescent="0.35">
      <c r="A809" s="7" t="s">
        <v>445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>LEFT($A809,FIND("_",$A809)-1)</f>
        <v>kPAR</v>
      </c>
      <c r="P809" s="13" t="str">
        <f>IF($O809="ACS", "True Search", IF($O809="Arja", "Evolutionary Search", IF($O809="AVATAR", "True Pattern", IF($O809="CapGen", "Search Like Pattern", IF($O809="Cardumen", "True Semantic", IF($O809="DynaMoth", "True Semantic", IF($O809="FixMiner", "True Pattern", IF($O809="GenProg-A", "Evolutionary Search", IF($O809="Hercules", "Learning Pattern", IF($O809="Jaid", "True Semantic",
IF($O809="Kali-A", "True Search", IF($O809="kPAR", "True Pattern", IF($O809="Nopol", "True Semantic", IF($O809="RSRepair-A", "Evolutionary Search", IF($O809="SequenceR", "Deep Learning", IF($O809="SimFix", "Search Like Pattern", IF($O809="SketchFix", "True Pattern", IF($O809="SOFix", "True Pattern", IF($O809="ssFix", "Search Like Pattern", IF($O809="TBar", "True Pattern", ""))))))))))))))))))))</f>
        <v>True Pattern</v>
      </c>
      <c r="Q809" s="13" t="str">
        <f>IF(NOT(ISERR(SEARCH("*_Buggy",$A809))), "Buggy", IF(NOT(ISERR(SEARCH("*_Fixed",$A809))), "Fixed", IF(NOT(ISERR(SEARCH("*_Repaired",$A809))), "Repaired", "")))</f>
        <v>Fixed</v>
      </c>
      <c r="R809" s="13" t="s">
        <v>1669</v>
      </c>
      <c r="S809" s="25">
        <v>2</v>
      </c>
      <c r="T809" s="25">
        <v>5</v>
      </c>
      <c r="U809" s="25">
        <v>1</v>
      </c>
      <c r="V809" s="13">
        <v>5</v>
      </c>
      <c r="W809" s="13" t="str">
        <f>MID(A809, SEARCH("_", A809) +1, SEARCH("_", A809, SEARCH("_", A809) +1) - SEARCH("_", A809) -1)</f>
        <v>Chart-5</v>
      </c>
      <c r="Y809" s="1" t="str">
        <f t="shared" si="24"/>
        <v>NO</v>
      </c>
      <c r="Z809" s="1" t="str">
        <f t="shared" si="25"/>
        <v>YES</v>
      </c>
      <c r="AA809" t="str">
        <f>IF(AND(S809&gt;1,S1334&gt;1,S809=V809,S1334=V1334), "YES", "NO")</f>
        <v>NO</v>
      </c>
      <c r="AB809" t="str">
        <f>IF(AND(S809&gt;1,S1334&gt;1,S809&lt;V809,S1334&lt;V1334), "YES", "NO")</f>
        <v>NO</v>
      </c>
      <c r="AC809" t="str">
        <f t="shared" si="26"/>
        <v>NO</v>
      </c>
      <c r="AD809" t="str">
        <f t="shared" si="27"/>
        <v>NO</v>
      </c>
      <c r="AE809" t="str">
        <f t="shared" si="28"/>
        <v>NO</v>
      </c>
      <c r="AF809" t="str">
        <f t="shared" si="29"/>
        <v>NO</v>
      </c>
    </row>
    <row r="810" spans="1:32" ht="15" x14ac:dyDescent="0.35">
      <c r="A810" s="5" t="s">
        <v>1158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>LEFT($A810,FIND("_",$A810)-1)</f>
        <v>kPAR</v>
      </c>
      <c r="P810" s="13" t="str">
        <f>IF($O810="ACS", "True Search", IF($O810="Arja", "Evolutionary Search", IF($O810="AVATAR", "True Pattern", IF($O810="CapGen", "Search Like Pattern", IF($O810="Cardumen", "True Semantic", IF($O810="DynaMoth", "True Semantic", IF($O810="FixMiner", "True Pattern", IF($O810="GenProg-A", "Evolutionary Search", IF($O810="Hercules", "Learning Pattern", IF($O810="Jaid", "True Semantic",
IF($O810="Kali-A", "True Search", IF($O810="kPAR", "True Pattern", IF($O810="Nopol", "True Semantic", IF($O810="RSRepair-A", "Evolutionary Search", IF($O810="SequenceR", "Deep Learning", IF($O810="SimFix", "Search Like Pattern", IF($O810="SketchFix", "True Pattern", IF($O810="SOFix", "True Pattern", IF($O810="ssFix", "Search Like Pattern", IF($O810="TBar", "True Pattern", ""))))))))))))))))))))</f>
        <v>True Pattern</v>
      </c>
      <c r="Q810" s="13" t="str">
        <f>IF(NOT(ISERR(SEARCH("*_Buggy",$A810))), "Buggy", IF(NOT(ISERR(SEARCH("*_Fixed",$A810))), "Fixed", IF(NOT(ISERR(SEARCH("*_Repaired",$A810))), "Repaired", "")))</f>
        <v>Fixed</v>
      </c>
      <c r="R810" s="13" t="s">
        <v>1669</v>
      </c>
      <c r="S810" s="25">
        <v>2</v>
      </c>
      <c r="T810" s="25">
        <v>2</v>
      </c>
      <c r="U810" s="25">
        <v>2</v>
      </c>
      <c r="V810" s="13">
        <v>2</v>
      </c>
      <c r="W810" s="13" t="str">
        <f>MID(A810, SEARCH("_", A810) +1, SEARCH("_", A810, SEARCH("_", A810) +1) - SEARCH("_", A810) -1)</f>
        <v>Chart-7</v>
      </c>
      <c r="Y810" s="1" t="str">
        <f t="shared" si="24"/>
        <v>YES</v>
      </c>
      <c r="Z810" s="1" t="str">
        <f t="shared" si="25"/>
        <v>NO</v>
      </c>
      <c r="AA810" t="str">
        <f>IF(AND(S810&gt;1,S1335&gt;1,S810=V810,S1335=V1335), "YES", "NO")</f>
        <v>NO</v>
      </c>
      <c r="AB810" t="str">
        <f>IF(AND(S810&gt;1,S1335&gt;1,S810&lt;V810,S1335&lt;V1335), "YES", "NO")</f>
        <v>NO</v>
      </c>
      <c r="AC810" t="str">
        <f t="shared" si="26"/>
        <v>NO</v>
      </c>
      <c r="AD810" t="str">
        <f t="shared" si="27"/>
        <v>NO</v>
      </c>
      <c r="AE810" t="str">
        <f t="shared" si="28"/>
        <v>NO</v>
      </c>
      <c r="AF810" t="str">
        <f t="shared" si="29"/>
        <v>NO</v>
      </c>
    </row>
    <row r="811" spans="1:32" ht="15" x14ac:dyDescent="0.35">
      <c r="A811" s="7" t="s">
        <v>254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>LEFT($A811,FIND("_",$A811)-1)</f>
        <v>kPAR</v>
      </c>
      <c r="P811" s="13" t="str">
        <f>IF($O811="ACS", "True Search", IF($O811="Arja", "Evolutionary Search", IF($O811="AVATAR", "True Pattern", IF($O811="CapGen", "Search Like Pattern", IF($O811="Cardumen", "True Semantic", IF($O811="DynaMoth", "True Semantic", IF($O811="FixMiner", "True Pattern", IF($O811="GenProg-A", "Evolutionary Search", IF($O811="Hercules", "Learning Pattern", IF($O811="Jaid", "True Semantic",
IF($O811="Kali-A", "True Search", IF($O811="kPAR", "True Pattern", IF($O811="Nopol", "True Semantic", IF($O811="RSRepair-A", "Evolutionary Search", IF($O811="SequenceR", "Deep Learning", IF($O811="SimFix", "Search Like Pattern", IF($O811="SketchFix", "True Pattern", IF($O811="SOFix", "True Pattern", IF($O811="ssFix", "Search Like Pattern", IF($O811="TBar", "True Pattern", ""))))))))))))))))))))</f>
        <v>True Pattern</v>
      </c>
      <c r="Q811" s="13" t="str">
        <f>IF(NOT(ISERR(SEARCH("*_Buggy",$A811))), "Buggy", IF(NOT(ISERR(SEARCH("*_Fixed",$A811))), "Fixed", IF(NOT(ISERR(SEARCH("*_Repaired",$A811))), "Repaired", "")))</f>
        <v>Fixed</v>
      </c>
      <c r="R811" s="13" t="s">
        <v>1668</v>
      </c>
      <c r="S811" s="25">
        <v>1</v>
      </c>
      <c r="T811" s="25">
        <v>1</v>
      </c>
      <c r="U811" s="25">
        <v>1</v>
      </c>
      <c r="V811" s="13">
        <v>1</v>
      </c>
      <c r="W811" s="13" t="str">
        <f>MID(A811, SEARCH("_", A811) +1, SEARCH("_", A811, SEARCH("_", A811) +1) - SEARCH("_", A811) -1)</f>
        <v>Chart-8</v>
      </c>
      <c r="Y811" s="1" t="str">
        <f t="shared" si="24"/>
        <v>NO</v>
      </c>
      <c r="Z811" s="1" t="str">
        <f t="shared" si="25"/>
        <v>NO</v>
      </c>
      <c r="AA811" t="str">
        <f>IF(AND(S811&gt;1,S1336&gt;1,S811=V811,S1336=V1336), "YES", "NO")</f>
        <v>NO</v>
      </c>
      <c r="AB811" t="str">
        <f>IF(AND(S811&gt;1,S1336&gt;1,S811&lt;V811,S1336&lt;V1336), "YES", "NO")</f>
        <v>NO</v>
      </c>
      <c r="AC811" t="str">
        <f t="shared" si="26"/>
        <v>YES</v>
      </c>
      <c r="AD811" t="str">
        <f t="shared" si="27"/>
        <v>NO</v>
      </c>
      <c r="AE811" t="str">
        <f t="shared" si="28"/>
        <v>YES</v>
      </c>
      <c r="AF811" t="str">
        <f t="shared" si="29"/>
        <v>NO</v>
      </c>
    </row>
    <row r="812" spans="1:32" ht="15" x14ac:dyDescent="0.35">
      <c r="A812" s="7" t="s">
        <v>154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>LEFT($A812,FIND("_",$A812)-1)</f>
        <v>kPAR</v>
      </c>
      <c r="P812" s="13" t="str">
        <f>IF($O812="ACS", "True Search", IF($O812="Arja", "Evolutionary Search", IF($O812="AVATAR", "True Pattern", IF($O812="CapGen", "Search Like Pattern", IF($O812="Cardumen", "True Semantic", IF($O812="DynaMoth", "True Semantic", IF($O812="FixMiner", "True Pattern", IF($O812="GenProg-A", "Evolutionary Search", IF($O812="Hercules", "Learning Pattern", IF($O812="Jaid", "True Semantic",
IF($O812="Kali-A", "True Search", IF($O812="kPAR", "True Pattern", IF($O812="Nopol", "True Semantic", IF($O812="RSRepair-A", "Evolutionary Search", IF($O812="SequenceR", "Deep Learning", IF($O812="SimFix", "Search Like Pattern", IF($O812="SketchFix", "True Pattern", IF($O812="SOFix", "True Pattern", IF($O812="ssFix", "Search Like Pattern", IF($O812="TBar", "True Pattern", ""))))))))))))))))))))</f>
        <v>True Pattern</v>
      </c>
      <c r="Q812" s="13" t="str">
        <f>IF(NOT(ISERR(SEARCH("*_Buggy",$A812))), "Buggy", IF(NOT(ISERR(SEARCH("*_Fixed",$A812))), "Fixed", IF(NOT(ISERR(SEARCH("*_Repaired",$A812))), "Repaired", "")))</f>
        <v>Fixed</v>
      </c>
      <c r="R812" s="13" t="s">
        <v>1668</v>
      </c>
      <c r="S812" s="25">
        <v>1</v>
      </c>
      <c r="T812" s="25">
        <v>1</v>
      </c>
      <c r="U812" s="25">
        <v>1</v>
      </c>
      <c r="V812" s="13">
        <v>1</v>
      </c>
      <c r="W812" s="13" t="str">
        <f>MID(A812, SEARCH("_", A812) +1, SEARCH("_", A812, SEARCH("_", A812) +1) - SEARCH("_", A812) -1)</f>
        <v>Closure-10</v>
      </c>
      <c r="Y812" s="1" t="str">
        <f t="shared" si="24"/>
        <v>NO</v>
      </c>
      <c r="Z812" s="1" t="str">
        <f t="shared" si="25"/>
        <v>NO</v>
      </c>
      <c r="AA812" t="str">
        <f>IF(AND(S812&gt;1,S1337&gt;1,S812=V812,S1337=V1337), "YES", "NO")</f>
        <v>NO</v>
      </c>
      <c r="AB812" t="str">
        <f>IF(AND(S812&gt;1,S1337&gt;1,S812&lt;V812,S1337&lt;V1337), "YES", "NO")</f>
        <v>NO</v>
      </c>
      <c r="AC812" t="str">
        <f t="shared" si="26"/>
        <v>YES</v>
      </c>
      <c r="AD812" t="str">
        <f t="shared" si="27"/>
        <v>NO</v>
      </c>
      <c r="AE812" t="str">
        <f t="shared" si="28"/>
        <v>YES</v>
      </c>
      <c r="AF812" t="str">
        <f t="shared" si="29"/>
        <v>NO</v>
      </c>
    </row>
    <row r="813" spans="1:32" ht="15" x14ac:dyDescent="0.35">
      <c r="A813" s="5" t="s">
        <v>229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>LEFT($A813,FIND("_",$A813)-1)</f>
        <v>kPAR</v>
      </c>
      <c r="P813" s="13" t="str">
        <f>IF($O813="ACS", "True Search", IF($O813="Arja", "Evolutionary Search", IF($O813="AVATAR", "True Pattern", IF($O813="CapGen", "Search Like Pattern", IF($O813="Cardumen", "True Semantic", IF($O813="DynaMoth", "True Semantic", IF($O813="FixMiner", "True Pattern", IF($O813="GenProg-A", "Evolutionary Search", IF($O813="Hercules", "Learning Pattern", IF($O813="Jaid", "True Semantic",
IF($O813="Kali-A", "True Search", IF($O813="kPAR", "True Pattern", IF($O813="Nopol", "True Semantic", IF($O813="RSRepair-A", "Evolutionary Search", IF($O813="SequenceR", "Deep Learning", IF($O813="SimFix", "Search Like Pattern", IF($O813="SketchFix", "True Pattern", IF($O813="SOFix", "True Pattern", IF($O813="ssFix", "Search Like Pattern", IF($O813="TBar", "True Pattern", ""))))))))))))))))))))</f>
        <v>True Pattern</v>
      </c>
      <c r="Q813" s="13" t="str">
        <f>IF(NOT(ISERR(SEARCH("*_Buggy",$A813))), "Buggy", IF(NOT(ISERR(SEARCH("*_Fixed",$A813))), "Fixed", IF(NOT(ISERR(SEARCH("*_Repaired",$A813))), "Repaired", "")))</f>
        <v>Fixed</v>
      </c>
      <c r="R813" s="13" t="s">
        <v>1668</v>
      </c>
      <c r="S813" s="25">
        <v>1</v>
      </c>
      <c r="T813" s="25">
        <v>0</v>
      </c>
      <c r="U813" s="13">
        <v>2</v>
      </c>
      <c r="V813" s="13">
        <v>2</v>
      </c>
      <c r="W813" s="13" t="str">
        <f>MID(A813, SEARCH("_", A813) +1, SEARCH("_", A813, SEARCH("_", A813) +1) - SEARCH("_", A813) -1)</f>
        <v>Closure-11</v>
      </c>
      <c r="Y813" s="1" t="str">
        <f t="shared" si="24"/>
        <v>NO</v>
      </c>
      <c r="Z813" s="1" t="str">
        <f t="shared" si="25"/>
        <v>NO</v>
      </c>
      <c r="AA813" t="str">
        <f>IF(AND(S813&gt;1,S1338&gt;1,S813=V813,S1338=V1338), "YES", "NO")</f>
        <v>NO</v>
      </c>
      <c r="AB813" t="str">
        <f>IF(AND(S813&gt;1,S1338&gt;1,S813&lt;V813,S1338&lt;V1338), "YES", "NO")</f>
        <v>NO</v>
      </c>
      <c r="AC813" t="str">
        <f t="shared" si="26"/>
        <v>NO</v>
      </c>
      <c r="AD813" t="str">
        <f t="shared" si="27"/>
        <v>NO</v>
      </c>
      <c r="AE813" t="str">
        <f t="shared" si="28"/>
        <v>NO</v>
      </c>
      <c r="AF813" t="str">
        <f t="shared" si="29"/>
        <v>NO</v>
      </c>
    </row>
    <row r="814" spans="1:32" ht="15" x14ac:dyDescent="0.35">
      <c r="A814" s="7" t="s">
        <v>340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>LEFT($A814,FIND("_",$A814)-1)</f>
        <v>kPAR</v>
      </c>
      <c r="P814" s="13" t="str">
        <f>IF($O814="ACS", "True Search", IF($O814="Arja", "Evolutionary Search", IF($O814="AVATAR", "True Pattern", IF($O814="CapGen", "Search Like Pattern", IF($O814="Cardumen", "True Semantic", IF($O814="DynaMoth", "True Semantic", IF($O814="FixMiner", "True Pattern", IF($O814="GenProg-A", "Evolutionary Search", IF($O814="Hercules", "Learning Pattern", IF($O814="Jaid", "True Semantic",
IF($O814="Kali-A", "True Search", IF($O814="kPAR", "True Pattern", IF($O814="Nopol", "True Semantic", IF($O814="RSRepair-A", "Evolutionary Search", IF($O814="SequenceR", "Deep Learning", IF($O814="SimFix", "Search Like Pattern", IF($O814="SketchFix", "True Pattern", IF($O814="SOFix", "True Pattern", IF($O814="ssFix", "Search Like Pattern", IF($O814="TBar", "True Pattern", ""))))))))))))))))))))</f>
        <v>True Pattern</v>
      </c>
      <c r="Q814" s="13" t="str">
        <f>IF(NOT(ISERR(SEARCH("*_Buggy",$A814))), "Buggy", IF(NOT(ISERR(SEARCH("*_Fixed",$A814))), "Fixed", IF(NOT(ISERR(SEARCH("*_Repaired",$A814))), "Repaired", "")))</f>
        <v>Fixed</v>
      </c>
      <c r="R814" s="13" t="s">
        <v>1668</v>
      </c>
      <c r="S814" s="25">
        <v>2</v>
      </c>
      <c r="T814" s="25">
        <v>0</v>
      </c>
      <c r="U814" s="13">
        <v>11</v>
      </c>
      <c r="V814" s="13">
        <v>11</v>
      </c>
      <c r="W814" s="13" t="str">
        <f>MID(A814, SEARCH("_", A814) +1, SEARCH("_", A814, SEARCH("_", A814) +1) - SEARCH("_", A814) -1)</f>
        <v>Closure-115</v>
      </c>
      <c r="Y814" s="1" t="str">
        <f t="shared" si="24"/>
        <v>NO</v>
      </c>
      <c r="Z814" s="1" t="str">
        <f t="shared" si="25"/>
        <v>YES</v>
      </c>
      <c r="AA814" t="str">
        <f>IF(AND(S814&gt;1,S1339&gt;1,S814=V814,S1339=V1339), "YES", "NO")</f>
        <v>NO</v>
      </c>
      <c r="AB814" t="str">
        <f>IF(AND(S814&gt;1,S1339&gt;1,S814&lt;V814,S1339&lt;V1339), "YES", "NO")</f>
        <v>NO</v>
      </c>
      <c r="AC814" t="str">
        <f t="shared" si="26"/>
        <v>NO</v>
      </c>
      <c r="AD814" t="str">
        <f t="shared" si="27"/>
        <v>NO</v>
      </c>
      <c r="AE814" t="str">
        <f t="shared" si="28"/>
        <v>NO</v>
      </c>
      <c r="AF814" t="str">
        <f t="shared" si="29"/>
        <v>NO</v>
      </c>
    </row>
    <row r="815" spans="1:32" ht="15" x14ac:dyDescent="0.35">
      <c r="A815" s="7" t="s">
        <v>1127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>LEFT($A815,FIND("_",$A815)-1)</f>
        <v>kPAR</v>
      </c>
      <c r="P815" s="13" t="str">
        <f>IF($O815="ACS", "True Search", IF($O815="Arja", "Evolutionary Search", IF($O815="AVATAR", "True Pattern", IF($O815="CapGen", "Search Like Pattern", IF($O815="Cardumen", "True Semantic", IF($O815="DynaMoth", "True Semantic", IF($O815="FixMiner", "True Pattern", IF($O815="GenProg-A", "Evolutionary Search", IF($O815="Hercules", "Learning Pattern", IF($O815="Jaid", "True Semantic",
IF($O815="Kali-A", "True Search", IF($O815="kPAR", "True Pattern", IF($O815="Nopol", "True Semantic", IF($O815="RSRepair-A", "Evolutionary Search", IF($O815="SequenceR", "Deep Learning", IF($O815="SimFix", "Search Like Pattern", IF($O815="SketchFix", "True Pattern", IF($O815="SOFix", "True Pattern", IF($O815="ssFix", "Search Like Pattern", IF($O815="TBar", "True Pattern", ""))))))))))))))))))))</f>
        <v>True Pattern</v>
      </c>
      <c r="Q815" s="13" t="str">
        <f>IF(NOT(ISERR(SEARCH("*_Buggy",$A815))), "Buggy", IF(NOT(ISERR(SEARCH("*_Fixed",$A815))), "Fixed", IF(NOT(ISERR(SEARCH("*_Repaired",$A815))), "Repaired", "")))</f>
        <v>Fixed</v>
      </c>
      <c r="R815" s="13" t="s">
        <v>1669</v>
      </c>
      <c r="S815" s="25">
        <v>1</v>
      </c>
      <c r="T815" s="25">
        <v>1</v>
      </c>
      <c r="U815" s="25">
        <v>1</v>
      </c>
      <c r="V815" s="13">
        <v>1</v>
      </c>
      <c r="W815" s="13" t="str">
        <f>MID(A815, SEARCH("_", A815) +1, SEARCH("_", A815, SEARCH("_", A815) +1) - SEARCH("_", A815) -1)</f>
        <v>Closure-125</v>
      </c>
      <c r="Y815" s="1" t="str">
        <f t="shared" si="24"/>
        <v>NO</v>
      </c>
      <c r="Z815" s="1" t="str">
        <f t="shared" si="25"/>
        <v>NO</v>
      </c>
      <c r="AA815" t="str">
        <f>IF(AND(S815&gt;1,S1340&gt;1,S815=V815,S1340=V1340), "YES", "NO")</f>
        <v>NO</v>
      </c>
      <c r="AB815" t="str">
        <f>IF(AND(S815&gt;1,S1340&gt;1,S815&lt;V815,S1340&lt;V1340), "YES", "NO")</f>
        <v>NO</v>
      </c>
      <c r="AC815" t="str">
        <f t="shared" si="26"/>
        <v>YES</v>
      </c>
      <c r="AD815" t="str">
        <f t="shared" si="27"/>
        <v>NO</v>
      </c>
      <c r="AE815" t="str">
        <f t="shared" si="28"/>
        <v>YES</v>
      </c>
      <c r="AF815" t="str">
        <f t="shared" si="29"/>
        <v>NO</v>
      </c>
    </row>
    <row r="816" spans="1:32" ht="15" x14ac:dyDescent="0.35">
      <c r="A816" s="7" t="s">
        <v>344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>LEFT($A816,FIND("_",$A816)-1)</f>
        <v>kPAR</v>
      </c>
      <c r="P816" s="13" t="str">
        <f>IF($O816="ACS", "True Search", IF($O816="Arja", "Evolutionary Search", IF($O816="AVATAR", "True Pattern", IF($O816="CapGen", "Search Like Pattern", IF($O816="Cardumen", "True Semantic", IF($O816="DynaMoth", "True Semantic", IF($O816="FixMiner", "True Pattern", IF($O816="GenProg-A", "Evolutionary Search", IF($O816="Hercules", "Learning Pattern", IF($O816="Jaid", "True Semantic",
IF($O816="Kali-A", "True Search", IF($O816="kPAR", "True Pattern", IF($O816="Nopol", "True Semantic", IF($O816="RSRepair-A", "Evolutionary Search", IF($O816="SequenceR", "Deep Learning", IF($O816="SimFix", "Search Like Pattern", IF($O816="SketchFix", "True Pattern", IF($O816="SOFix", "True Pattern", IF($O816="ssFix", "Search Like Pattern", IF($O816="TBar", "True Pattern", ""))))))))))))))))))))</f>
        <v>True Pattern</v>
      </c>
      <c r="Q816" s="13" t="str">
        <f>IF(NOT(ISERR(SEARCH("*_Buggy",$A816))), "Buggy", IF(NOT(ISERR(SEARCH("*_Fixed",$A816))), "Fixed", IF(NOT(ISERR(SEARCH("*_Repaired",$A816))), "Repaired", "")))</f>
        <v>Fixed</v>
      </c>
      <c r="R816" s="13" t="s">
        <v>1668</v>
      </c>
      <c r="S816" s="25">
        <v>3</v>
      </c>
      <c r="T816" s="13">
        <v>4</v>
      </c>
      <c r="U816" s="25">
        <v>0</v>
      </c>
      <c r="V816" s="13">
        <v>4</v>
      </c>
      <c r="W816" s="13" t="str">
        <f>MID(A816, SEARCH("_", A816) +1, SEARCH("_", A816, SEARCH("_", A816) +1) - SEARCH("_", A816) -1)</f>
        <v>Closure-2</v>
      </c>
      <c r="Y816" s="1" t="str">
        <f t="shared" si="24"/>
        <v>NO</v>
      </c>
      <c r="Z816" s="1" t="str">
        <f t="shared" si="25"/>
        <v>YES</v>
      </c>
      <c r="AA816" t="str">
        <f>IF(AND(S816&gt;1,S1341&gt;1,S816=V816,S1341=V1341), "YES", "NO")</f>
        <v>NO</v>
      </c>
      <c r="AB816" t="str">
        <f>IF(AND(S816&gt;1,S1341&gt;1,S816&lt;V816,S1341&lt;V1341), "YES", "NO")</f>
        <v>YES</v>
      </c>
      <c r="AC816" t="str">
        <f t="shared" si="26"/>
        <v>NO</v>
      </c>
      <c r="AD816" t="str">
        <f t="shared" si="27"/>
        <v>NO</v>
      </c>
      <c r="AE816" t="str">
        <f t="shared" si="28"/>
        <v>NO</v>
      </c>
      <c r="AF816" t="str">
        <f t="shared" si="29"/>
        <v>YES</v>
      </c>
    </row>
    <row r="817" spans="1:32" ht="15" x14ac:dyDescent="0.35">
      <c r="A817" s="5" t="s">
        <v>95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>LEFT($A817,FIND("_",$A817)-1)</f>
        <v>kPAR</v>
      </c>
      <c r="P817" s="13" t="str">
        <f>IF($O817="ACS", "True Search", IF($O817="Arja", "Evolutionary Search", IF($O817="AVATAR", "True Pattern", IF($O817="CapGen", "Search Like Pattern", IF($O817="Cardumen", "True Semantic", IF($O817="DynaMoth", "True Semantic", IF($O817="FixMiner", "True Pattern", IF($O817="GenProg-A", "Evolutionary Search", IF($O817="Hercules", "Learning Pattern", IF($O817="Jaid", "True Semantic",
IF($O817="Kali-A", "True Search", IF($O817="kPAR", "True Pattern", IF($O817="Nopol", "True Semantic", IF($O817="RSRepair-A", "Evolutionary Search", IF($O817="SequenceR", "Deep Learning", IF($O817="SimFix", "Search Like Pattern", IF($O817="SketchFix", "True Pattern", IF($O817="SOFix", "True Pattern", IF($O817="ssFix", "Search Like Pattern", IF($O817="TBar", "True Pattern", ""))))))))))))))))))))</f>
        <v>True Pattern</v>
      </c>
      <c r="Q817" s="13" t="str">
        <f>IF(NOT(ISERR(SEARCH("*_Buggy",$A817))), "Buggy", IF(NOT(ISERR(SEARCH("*_Fixed",$A817))), "Fixed", IF(NOT(ISERR(SEARCH("*_Repaired",$A817))), "Repaired", "")))</f>
        <v>Fixed</v>
      </c>
      <c r="R817" s="13" t="s">
        <v>1669</v>
      </c>
      <c r="S817" s="25">
        <v>2</v>
      </c>
      <c r="T817" s="25">
        <v>2</v>
      </c>
      <c r="U817" s="25">
        <v>19</v>
      </c>
      <c r="V817" s="13">
        <v>19</v>
      </c>
      <c r="W817" s="13" t="str">
        <f>MID(A817, SEARCH("_", A817) +1, SEARCH("_", A817, SEARCH("_", A817) +1) - SEARCH("_", A817) -1)</f>
        <v>Closure-21</v>
      </c>
      <c r="Y817" s="1" t="str">
        <f t="shared" si="24"/>
        <v>NO</v>
      </c>
      <c r="Z817" s="1" t="str">
        <f t="shared" si="25"/>
        <v>YES</v>
      </c>
      <c r="AA817" t="str">
        <f>IF(AND(S817&gt;1,S1342&gt;1,S817=V817,S1342=V1342), "YES", "NO")</f>
        <v>NO</v>
      </c>
      <c r="AB817" t="str">
        <f>IF(AND(S817&gt;1,S1342&gt;1,S817&lt;V817,S1342&lt;V1342), "YES", "NO")</f>
        <v>NO</v>
      </c>
      <c r="AC817" t="str">
        <f t="shared" si="26"/>
        <v>NO</v>
      </c>
      <c r="AD817" t="str">
        <f t="shared" si="27"/>
        <v>NO</v>
      </c>
      <c r="AE817" t="str">
        <f t="shared" si="28"/>
        <v>NO</v>
      </c>
      <c r="AF817" t="str">
        <f t="shared" si="29"/>
        <v>NO</v>
      </c>
    </row>
    <row r="818" spans="1:32" ht="15" x14ac:dyDescent="0.35">
      <c r="A818" s="7" t="s">
        <v>776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>LEFT($A818,FIND("_",$A818)-1)</f>
        <v>kPAR</v>
      </c>
      <c r="P818" s="13" t="str">
        <f>IF($O818="ACS", "True Search", IF($O818="Arja", "Evolutionary Search", IF($O818="AVATAR", "True Pattern", IF($O818="CapGen", "Search Like Pattern", IF($O818="Cardumen", "True Semantic", IF($O818="DynaMoth", "True Semantic", IF($O818="FixMiner", "True Pattern", IF($O818="GenProg-A", "Evolutionary Search", IF($O818="Hercules", "Learning Pattern", IF($O818="Jaid", "True Semantic",
IF($O818="Kali-A", "True Search", IF($O818="kPAR", "True Pattern", IF($O818="Nopol", "True Semantic", IF($O818="RSRepair-A", "Evolutionary Search", IF($O818="SequenceR", "Deep Learning", IF($O818="SimFix", "Search Like Pattern", IF($O818="SketchFix", "True Pattern", IF($O818="SOFix", "True Pattern", IF($O818="ssFix", "Search Like Pattern", IF($O818="TBar", "True Pattern", ""))))))))))))))))))))</f>
        <v>True Pattern</v>
      </c>
      <c r="Q818" s="13" t="str">
        <f>IF(NOT(ISERR(SEARCH("*_Buggy",$A818))), "Buggy", IF(NOT(ISERR(SEARCH("*_Fixed",$A818))), "Fixed", IF(NOT(ISERR(SEARCH("*_Repaired",$A818))), "Repaired", "")))</f>
        <v>Fixed</v>
      </c>
      <c r="R818" s="13" t="s">
        <v>1669</v>
      </c>
      <c r="S818" s="25">
        <v>5</v>
      </c>
      <c r="T818" s="25">
        <v>2</v>
      </c>
      <c r="U818" s="25">
        <v>26</v>
      </c>
      <c r="V818" s="13">
        <v>26</v>
      </c>
      <c r="W818" s="13" t="str">
        <f>MID(A818, SEARCH("_", A818) +1, SEARCH("_", A818, SEARCH("_", A818) +1) - SEARCH("_", A818) -1)</f>
        <v>Closure-22</v>
      </c>
      <c r="Y818" s="1" t="str">
        <f t="shared" si="24"/>
        <v>NO</v>
      </c>
      <c r="Z818" s="1" t="str">
        <f t="shared" si="25"/>
        <v>YES</v>
      </c>
      <c r="AA818" t="str">
        <f>IF(AND(S818&gt;1,S1343&gt;1,S818=V818,S1343=V1343), "YES", "NO")</f>
        <v>NO</v>
      </c>
      <c r="AB818" t="str">
        <f>IF(AND(S818&gt;1,S1343&gt;1,S818&lt;V818,S1343&lt;V1343), "YES", "NO")</f>
        <v>NO</v>
      </c>
      <c r="AC818" t="str">
        <f t="shared" si="26"/>
        <v>NO</v>
      </c>
      <c r="AD818" t="str">
        <f t="shared" si="27"/>
        <v>NO</v>
      </c>
      <c r="AE818" t="str">
        <f t="shared" si="28"/>
        <v>NO</v>
      </c>
      <c r="AF818" t="str">
        <f t="shared" si="29"/>
        <v>YES</v>
      </c>
    </row>
    <row r="819" spans="1:32" ht="15" x14ac:dyDescent="0.35">
      <c r="A819" s="7" t="s">
        <v>937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>LEFT($A819,FIND("_",$A819)-1)</f>
        <v>kPAR</v>
      </c>
      <c r="P819" s="13" t="str">
        <f>IF($O819="ACS", "True Search", IF($O819="Arja", "Evolutionary Search", IF($O819="AVATAR", "True Pattern", IF($O819="CapGen", "Search Like Pattern", IF($O819="Cardumen", "True Semantic", IF($O819="DynaMoth", "True Semantic", IF($O819="FixMiner", "True Pattern", IF($O819="GenProg-A", "Evolutionary Search", IF($O819="Hercules", "Learning Pattern", IF($O819="Jaid", "True Semantic",
IF($O819="Kali-A", "True Search", IF($O819="kPAR", "True Pattern", IF($O819="Nopol", "True Semantic", IF($O819="RSRepair-A", "Evolutionary Search", IF($O819="SequenceR", "Deep Learning", IF($O819="SimFix", "Search Like Pattern", IF($O819="SketchFix", "True Pattern", IF($O819="SOFix", "True Pattern", IF($O819="ssFix", "Search Like Pattern", IF($O819="TBar", "True Pattern", ""))))))))))))))))))))</f>
        <v>True Pattern</v>
      </c>
      <c r="Q819" s="13" t="str">
        <f>IF(NOT(ISERR(SEARCH("*_Buggy",$A819))), "Buggy", IF(NOT(ISERR(SEARCH("*_Fixed",$A819))), "Fixed", IF(NOT(ISERR(SEARCH("*_Repaired",$A819))), "Repaired", "")))</f>
        <v>Fixed</v>
      </c>
      <c r="R819" s="13" t="s">
        <v>1669</v>
      </c>
      <c r="S819" s="25">
        <v>1</v>
      </c>
      <c r="T819" s="25">
        <v>2</v>
      </c>
      <c r="U819" s="25">
        <v>15</v>
      </c>
      <c r="V819" s="13">
        <v>15</v>
      </c>
      <c r="W819" s="13" t="str">
        <f>MID(A819, SEARCH("_", A819) +1, SEARCH("_", A819, SEARCH("_", A819) +1) - SEARCH("_", A819) -1)</f>
        <v>Closure-35</v>
      </c>
      <c r="Y819" s="1" t="str">
        <f t="shared" si="24"/>
        <v>NO</v>
      </c>
      <c r="Z819" s="1" t="str">
        <f t="shared" si="25"/>
        <v>NO</v>
      </c>
      <c r="AA819" t="str">
        <f>IF(AND(S819&gt;1,S1344&gt;1,S819=V819,S1344=V1344), "YES", "NO")</f>
        <v>NO</v>
      </c>
      <c r="AB819" t="str">
        <f>IF(AND(S819&gt;1,S1344&gt;1,S819&lt;V819,S1344&lt;V1344), "YES", "NO")</f>
        <v>NO</v>
      </c>
      <c r="AC819" t="str">
        <f t="shared" si="26"/>
        <v>NO</v>
      </c>
      <c r="AD819" t="str">
        <f t="shared" si="27"/>
        <v>NO</v>
      </c>
      <c r="AE819" t="str">
        <f t="shared" si="28"/>
        <v>NO</v>
      </c>
      <c r="AF819" t="str">
        <f t="shared" si="29"/>
        <v>NO</v>
      </c>
    </row>
    <row r="820" spans="1:32" ht="15" x14ac:dyDescent="0.35">
      <c r="A820" s="5" t="s">
        <v>263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>LEFT($A820,FIND("_",$A820)-1)</f>
        <v>kPAR</v>
      </c>
      <c r="P820" s="13" t="str">
        <f>IF($O820="ACS", "True Search", IF($O820="Arja", "Evolutionary Search", IF($O820="AVATAR", "True Pattern", IF($O820="CapGen", "Search Like Pattern", IF($O820="Cardumen", "True Semantic", IF($O820="DynaMoth", "True Semantic", IF($O820="FixMiner", "True Pattern", IF($O820="GenProg-A", "Evolutionary Search", IF($O820="Hercules", "Learning Pattern", IF($O820="Jaid", "True Semantic",
IF($O820="Kali-A", "True Search", IF($O820="kPAR", "True Pattern", IF($O820="Nopol", "True Semantic", IF($O820="RSRepair-A", "Evolutionary Search", IF($O820="SequenceR", "Deep Learning", IF($O820="SimFix", "Search Like Pattern", IF($O820="SketchFix", "True Pattern", IF($O820="SOFix", "True Pattern", IF($O820="ssFix", "Search Like Pattern", IF($O820="TBar", "True Pattern", ""))))))))))))))))))))</f>
        <v>True Pattern</v>
      </c>
      <c r="Q820" s="13" t="str">
        <f>IF(NOT(ISERR(SEARCH("*_Buggy",$A820))), "Buggy", IF(NOT(ISERR(SEARCH("*_Fixed",$A820))), "Fixed", IF(NOT(ISERR(SEARCH("*_Repaired",$A820))), "Repaired", "")))</f>
        <v>Fixed</v>
      </c>
      <c r="R820" s="13" t="s">
        <v>1668</v>
      </c>
      <c r="S820" s="25">
        <v>1</v>
      </c>
      <c r="T820" s="25">
        <v>1</v>
      </c>
      <c r="U820" s="25">
        <v>1</v>
      </c>
      <c r="V820" s="13">
        <v>1</v>
      </c>
      <c r="W820" s="13" t="str">
        <f>MID(A820, SEARCH("_", A820) +1, SEARCH("_", A820, SEARCH("_", A820) +1) - SEARCH("_", A820) -1)</f>
        <v>Closure-38</v>
      </c>
      <c r="Y820" s="1" t="str">
        <f t="shared" si="24"/>
        <v>NO</v>
      </c>
      <c r="Z820" s="1" t="str">
        <f t="shared" si="25"/>
        <v>NO</v>
      </c>
      <c r="AA820" t="str">
        <f>IF(AND(S820&gt;1,S1345&gt;1,S820=V820,S1345=V1345), "YES", "NO")</f>
        <v>NO</v>
      </c>
      <c r="AB820" t="str">
        <f>IF(AND(S820&gt;1,S1345&gt;1,S820&lt;V820,S1345&lt;V1345), "YES", "NO")</f>
        <v>NO</v>
      </c>
      <c r="AC820" t="str">
        <f t="shared" si="26"/>
        <v>YES</v>
      </c>
      <c r="AD820" t="str">
        <f t="shared" si="27"/>
        <v>NO</v>
      </c>
      <c r="AE820" t="str">
        <f t="shared" si="28"/>
        <v>YES</v>
      </c>
      <c r="AF820" t="str">
        <f t="shared" si="29"/>
        <v>NO</v>
      </c>
    </row>
    <row r="821" spans="1:32" ht="15" x14ac:dyDescent="0.35">
      <c r="A821" s="5" t="s">
        <v>746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>LEFT($A821,FIND("_",$A821)-1)</f>
        <v>kPAR</v>
      </c>
      <c r="P821" s="13" t="str">
        <f>IF($O821="ACS", "True Search", IF($O821="Arja", "Evolutionary Search", IF($O821="AVATAR", "True Pattern", IF($O821="CapGen", "Search Like Pattern", IF($O821="Cardumen", "True Semantic", IF($O821="DynaMoth", "True Semantic", IF($O821="FixMiner", "True Pattern", IF($O821="GenProg-A", "Evolutionary Search", IF($O821="Hercules", "Learning Pattern", IF($O821="Jaid", "True Semantic",
IF($O821="Kali-A", "True Search", IF($O821="kPAR", "True Pattern", IF($O821="Nopol", "True Semantic", IF($O821="RSRepair-A", "Evolutionary Search", IF($O821="SequenceR", "Deep Learning", IF($O821="SimFix", "Search Like Pattern", IF($O821="SketchFix", "True Pattern", IF($O821="SOFix", "True Pattern", IF($O821="ssFix", "Search Like Pattern", IF($O821="TBar", "True Pattern", ""))))))))))))))))))))</f>
        <v>True Pattern</v>
      </c>
      <c r="Q821" s="13" t="str">
        <f>IF(NOT(ISERR(SEARCH("*_Buggy",$A821))), "Buggy", IF(NOT(ISERR(SEARCH("*_Fixed",$A821))), "Fixed", IF(NOT(ISERR(SEARCH("*_Repaired",$A821))), "Repaired", "")))</f>
        <v>Fixed</v>
      </c>
      <c r="R821" s="13" t="s">
        <v>1668</v>
      </c>
      <c r="S821" s="25">
        <v>2</v>
      </c>
      <c r="T821" s="25">
        <v>2</v>
      </c>
      <c r="U821" s="25">
        <v>2</v>
      </c>
      <c r="V821" s="13">
        <v>2</v>
      </c>
      <c r="W821" s="13" t="str">
        <f>MID(A821, SEARCH("_", A821) +1, SEARCH("_", A821, SEARCH("_", A821) +1) - SEARCH("_", A821) -1)</f>
        <v>Closure-4</v>
      </c>
      <c r="Y821" s="1" t="str">
        <f t="shared" si="24"/>
        <v>YES</v>
      </c>
      <c r="Z821" s="1" t="str">
        <f t="shared" si="25"/>
        <v>NO</v>
      </c>
      <c r="AA821" t="str">
        <f>IF(AND(S821&gt;1,S1346&gt;1,S821=V821,S1346=V1346), "YES", "NO")</f>
        <v>NO</v>
      </c>
      <c r="AB821" t="str">
        <f>IF(AND(S821&gt;1,S1346&gt;1,S821&lt;V821,S1346&lt;V1346), "YES", "NO")</f>
        <v>NO</v>
      </c>
      <c r="AC821" t="str">
        <f t="shared" si="26"/>
        <v>NO</v>
      </c>
      <c r="AD821" t="str">
        <f t="shared" si="27"/>
        <v>NO</v>
      </c>
      <c r="AE821" t="str">
        <f t="shared" si="28"/>
        <v>NO</v>
      </c>
      <c r="AF821" t="str">
        <f t="shared" si="29"/>
        <v>NO</v>
      </c>
    </row>
    <row r="822" spans="1:32" ht="15" x14ac:dyDescent="0.35">
      <c r="A822" s="5" t="s">
        <v>211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>LEFT($A822,FIND("_",$A822)-1)</f>
        <v>kPAR</v>
      </c>
      <c r="P822" s="13" t="str">
        <f>IF($O822="ACS", "True Search", IF($O822="Arja", "Evolutionary Search", IF($O822="AVATAR", "True Pattern", IF($O822="CapGen", "Search Like Pattern", IF($O822="Cardumen", "True Semantic", IF($O822="DynaMoth", "True Semantic", IF($O822="FixMiner", "True Pattern", IF($O822="GenProg-A", "Evolutionary Search", IF($O822="Hercules", "Learning Pattern", IF($O822="Jaid", "True Semantic",
IF($O822="Kali-A", "True Search", IF($O822="kPAR", "True Pattern", IF($O822="Nopol", "True Semantic", IF($O822="RSRepair-A", "Evolutionary Search", IF($O822="SequenceR", "Deep Learning", IF($O822="SimFix", "Search Like Pattern", IF($O822="SketchFix", "True Pattern", IF($O822="SOFix", "True Pattern", IF($O822="ssFix", "Search Like Pattern", IF($O822="TBar", "True Pattern", ""))))))))))))))))))))</f>
        <v>True Pattern</v>
      </c>
      <c r="Q822" s="13" t="str">
        <f>IF(NOT(ISERR(SEARCH("*_Buggy",$A822))), "Buggy", IF(NOT(ISERR(SEARCH("*_Fixed",$A822))), "Fixed", IF(NOT(ISERR(SEARCH("*_Repaired",$A822))), "Repaired", "")))</f>
        <v>Fixed</v>
      </c>
      <c r="R822" s="13" t="s">
        <v>1668</v>
      </c>
      <c r="S822" s="25">
        <v>2</v>
      </c>
      <c r="T822" s="25">
        <v>1</v>
      </c>
      <c r="U822" s="25">
        <v>3</v>
      </c>
      <c r="V822" s="13">
        <v>3</v>
      </c>
      <c r="W822" s="13" t="str">
        <f>MID(A822, SEARCH("_", A822) +1, SEARCH("_", A822, SEARCH("_", A822) +1) - SEARCH("_", A822) -1)</f>
        <v>Closure-40</v>
      </c>
      <c r="Y822" s="1" t="str">
        <f t="shared" si="24"/>
        <v>NO</v>
      </c>
      <c r="Z822" s="1" t="str">
        <f t="shared" si="25"/>
        <v>YES</v>
      </c>
      <c r="AA822" t="str">
        <f>IF(AND(S822&gt;1,S1347&gt;1,S822=V822,S1347=V1347), "YES", "NO")</f>
        <v>NO</v>
      </c>
      <c r="AB822" t="str">
        <f>IF(AND(S822&gt;1,S1347&gt;1,S822&lt;V822,S1347&lt;V1347), "YES", "NO")</f>
        <v>NO</v>
      </c>
      <c r="AC822" t="str">
        <f t="shared" si="26"/>
        <v>NO</v>
      </c>
      <c r="AD822" t="str">
        <f t="shared" si="27"/>
        <v>NO</v>
      </c>
      <c r="AE822" t="str">
        <f t="shared" si="28"/>
        <v>NO</v>
      </c>
      <c r="AF822" t="str">
        <f t="shared" si="29"/>
        <v>NO</v>
      </c>
    </row>
    <row r="823" spans="1:32" ht="15" x14ac:dyDescent="0.35">
      <c r="A823" s="5" t="s">
        <v>378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>LEFT($A823,FIND("_",$A823)-1)</f>
        <v>kPAR</v>
      </c>
      <c r="P823" s="13" t="str">
        <f>IF($O823="ACS", "True Search", IF($O823="Arja", "Evolutionary Search", IF($O823="AVATAR", "True Pattern", IF($O823="CapGen", "Search Like Pattern", IF($O823="Cardumen", "True Semantic", IF($O823="DynaMoth", "True Semantic", IF($O823="FixMiner", "True Pattern", IF($O823="GenProg-A", "Evolutionary Search", IF($O823="Hercules", "Learning Pattern", IF($O823="Jaid", "True Semantic",
IF($O823="Kali-A", "True Search", IF($O823="kPAR", "True Pattern", IF($O823="Nopol", "True Semantic", IF($O823="RSRepair-A", "Evolutionary Search", IF($O823="SequenceR", "Deep Learning", IF($O823="SimFix", "Search Like Pattern", IF($O823="SketchFix", "True Pattern", IF($O823="SOFix", "True Pattern", IF($O823="ssFix", "Search Like Pattern", IF($O823="TBar", "True Pattern", ""))))))))))))))))))))</f>
        <v>True Pattern</v>
      </c>
      <c r="Q823" s="13" t="str">
        <f>IF(NOT(ISERR(SEARCH("*_Buggy",$A823))), "Buggy", IF(NOT(ISERR(SEARCH("*_Fixed",$A823))), "Fixed", IF(NOT(ISERR(SEARCH("*_Repaired",$A823))), "Repaired", "")))</f>
        <v>Fixed</v>
      </c>
      <c r="R823" s="13" t="s">
        <v>1669</v>
      </c>
      <c r="S823" s="25">
        <v>1</v>
      </c>
      <c r="T823" s="25">
        <v>0</v>
      </c>
      <c r="U823" s="13">
        <v>16</v>
      </c>
      <c r="V823" s="13">
        <v>16</v>
      </c>
      <c r="W823" s="13" t="str">
        <f>MID(A823, SEARCH("_", A823) +1, SEARCH("_", A823, SEARCH("_", A823) +1) - SEARCH("_", A823) -1)</f>
        <v>Closure-46</v>
      </c>
      <c r="Y823" s="1" t="str">
        <f t="shared" si="24"/>
        <v>NO</v>
      </c>
      <c r="Z823" s="1" t="str">
        <f t="shared" si="25"/>
        <v>NO</v>
      </c>
      <c r="AA823" t="str">
        <f>IF(AND(S823&gt;1,S1348&gt;1,S823=V823,S1348=V1348), "YES", "NO")</f>
        <v>NO</v>
      </c>
      <c r="AB823" t="str">
        <f>IF(AND(S823&gt;1,S1348&gt;1,S823&lt;V823,S1348&lt;V1348), "YES", "NO")</f>
        <v>NO</v>
      </c>
      <c r="AC823" t="str">
        <f t="shared" si="26"/>
        <v>NO</v>
      </c>
      <c r="AD823" t="str">
        <f t="shared" si="27"/>
        <v>NO</v>
      </c>
      <c r="AE823" t="str">
        <f t="shared" si="28"/>
        <v>NO</v>
      </c>
      <c r="AF823" t="str">
        <f t="shared" si="29"/>
        <v>NO</v>
      </c>
    </row>
    <row r="824" spans="1:32" ht="15" x14ac:dyDescent="0.35">
      <c r="A824" s="5" t="s">
        <v>1129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>LEFT($A824,FIND("_",$A824)-1)</f>
        <v>kPAR</v>
      </c>
      <c r="P824" s="13" t="str">
        <f>IF($O824="ACS", "True Search", IF($O824="Arja", "Evolutionary Search", IF($O824="AVATAR", "True Pattern", IF($O824="CapGen", "Search Like Pattern", IF($O824="Cardumen", "True Semantic", IF($O824="DynaMoth", "True Semantic", IF($O824="FixMiner", "True Pattern", IF($O824="GenProg-A", "Evolutionary Search", IF($O824="Hercules", "Learning Pattern", IF($O824="Jaid", "True Semantic",
IF($O824="Kali-A", "True Search", IF($O824="kPAR", "True Pattern", IF($O824="Nopol", "True Semantic", IF($O824="RSRepair-A", "Evolutionary Search", IF($O824="SequenceR", "Deep Learning", IF($O824="SimFix", "Search Like Pattern", IF($O824="SketchFix", "True Pattern", IF($O824="SOFix", "True Pattern", IF($O824="ssFix", "Search Like Pattern", IF($O824="TBar", "True Pattern", ""))))))))))))))))))))</f>
        <v>True Pattern</v>
      </c>
      <c r="Q824" s="13" t="str">
        <f>IF(NOT(ISERR(SEARCH("*_Buggy",$A824))), "Buggy", IF(NOT(ISERR(SEARCH("*_Fixed",$A824))), "Fixed", IF(NOT(ISERR(SEARCH("*_Repaired",$A824))), "Repaired", "")))</f>
        <v>Fixed</v>
      </c>
      <c r="R824" s="13" t="s">
        <v>1668</v>
      </c>
      <c r="S824" s="25">
        <v>1</v>
      </c>
      <c r="T824" s="25">
        <v>1</v>
      </c>
      <c r="U824" s="25">
        <v>1</v>
      </c>
      <c r="V824" s="13">
        <v>1</v>
      </c>
      <c r="W824" s="13" t="str">
        <f>MID(A824, SEARCH("_", A824) +1, SEARCH("_", A824, SEARCH("_", A824) +1) - SEARCH("_", A824) -1)</f>
        <v>Closure-62</v>
      </c>
      <c r="Y824" s="1" t="str">
        <f t="shared" si="24"/>
        <v>NO</v>
      </c>
      <c r="Z824" s="1" t="str">
        <f t="shared" si="25"/>
        <v>NO</v>
      </c>
      <c r="AA824" t="str">
        <f>IF(AND(S824&gt;1,S1349&gt;1,S824=V824,S1349=V1349), "YES", "NO")</f>
        <v>NO</v>
      </c>
      <c r="AB824" t="str">
        <f>IF(AND(S824&gt;1,S1349&gt;1,S824&lt;V824,S1349&lt;V1349), "YES", "NO")</f>
        <v>NO</v>
      </c>
      <c r="AC824" t="str">
        <f t="shared" si="26"/>
        <v>YES</v>
      </c>
      <c r="AD824" t="str">
        <f t="shared" si="27"/>
        <v>NO</v>
      </c>
      <c r="AE824" t="str">
        <f t="shared" si="28"/>
        <v>YES</v>
      </c>
      <c r="AF824" t="str">
        <f t="shared" si="29"/>
        <v>NO</v>
      </c>
    </row>
    <row r="825" spans="1:32" ht="15" x14ac:dyDescent="0.35">
      <c r="A825" s="7" t="s">
        <v>406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>LEFT($A825,FIND("_",$A825)-1)</f>
        <v>kPAR</v>
      </c>
      <c r="P825" s="13" t="str">
        <f>IF($O825="ACS", "True Search", IF($O825="Arja", "Evolutionary Search", IF($O825="AVATAR", "True Pattern", IF($O825="CapGen", "Search Like Pattern", IF($O825="Cardumen", "True Semantic", IF($O825="DynaMoth", "True Semantic", IF($O825="FixMiner", "True Pattern", IF($O825="GenProg-A", "Evolutionary Search", IF($O825="Hercules", "Learning Pattern", IF($O825="Jaid", "True Semantic",
IF($O825="Kali-A", "True Search", IF($O825="kPAR", "True Pattern", IF($O825="Nopol", "True Semantic", IF($O825="RSRepair-A", "Evolutionary Search", IF($O825="SequenceR", "Deep Learning", IF($O825="SimFix", "Search Like Pattern", IF($O825="SketchFix", "True Pattern", IF($O825="SOFix", "True Pattern", IF($O825="ssFix", "Search Like Pattern", IF($O825="TBar", "True Pattern", ""))))))))))))))))))))</f>
        <v>True Pattern</v>
      </c>
      <c r="Q825" s="13" t="str">
        <f>IF(NOT(ISERR(SEARCH("*_Buggy",$A825))), "Buggy", IF(NOT(ISERR(SEARCH("*_Fixed",$A825))), "Fixed", IF(NOT(ISERR(SEARCH("*_Repaired",$A825))), "Repaired", "")))</f>
        <v>Fixed</v>
      </c>
      <c r="R825" s="13" t="s">
        <v>1668</v>
      </c>
      <c r="S825" s="25">
        <v>1</v>
      </c>
      <c r="T825" s="25">
        <v>1</v>
      </c>
      <c r="U825" s="25">
        <v>1</v>
      </c>
      <c r="V825" s="13">
        <v>1</v>
      </c>
      <c r="W825" s="13" t="str">
        <f>MID(A825, SEARCH("_", A825) +1, SEARCH("_", A825, SEARCH("_", A825) +1) - SEARCH("_", A825) -1)</f>
        <v>Closure-70</v>
      </c>
      <c r="Y825" s="1" t="str">
        <f t="shared" si="24"/>
        <v>NO</v>
      </c>
      <c r="Z825" s="1" t="str">
        <f t="shared" si="25"/>
        <v>NO</v>
      </c>
      <c r="AA825" t="str">
        <f>IF(AND(S825&gt;1,S1350&gt;1,S825=V825,S1350=V1350), "YES", "NO")</f>
        <v>NO</v>
      </c>
      <c r="AB825" t="str">
        <f>IF(AND(S825&gt;1,S1350&gt;1,S825&lt;V825,S1350&lt;V1350), "YES", "NO")</f>
        <v>NO</v>
      </c>
      <c r="AC825" t="str">
        <f t="shared" si="26"/>
        <v>YES</v>
      </c>
      <c r="AD825" t="str">
        <f t="shared" si="27"/>
        <v>NO</v>
      </c>
      <c r="AE825" t="str">
        <f t="shared" si="28"/>
        <v>YES</v>
      </c>
      <c r="AF825" t="str">
        <f t="shared" si="29"/>
        <v>NO</v>
      </c>
    </row>
    <row r="826" spans="1:32" ht="15" x14ac:dyDescent="0.35">
      <c r="A826" s="7" t="s">
        <v>180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>LEFT($A826,FIND("_",$A826)-1)</f>
        <v>kPAR</v>
      </c>
      <c r="P826" s="13" t="str">
        <f>IF($O826="ACS", "True Search", IF($O826="Arja", "Evolutionary Search", IF($O826="AVATAR", "True Pattern", IF($O826="CapGen", "Search Like Pattern", IF($O826="Cardumen", "True Semantic", IF($O826="DynaMoth", "True Semantic", IF($O826="FixMiner", "True Pattern", IF($O826="GenProg-A", "Evolutionary Search", IF($O826="Hercules", "Learning Pattern", IF($O826="Jaid", "True Semantic",
IF($O826="Kali-A", "True Search", IF($O826="kPAR", "True Pattern", IF($O826="Nopol", "True Semantic", IF($O826="RSRepair-A", "Evolutionary Search", IF($O826="SequenceR", "Deep Learning", IF($O826="SimFix", "Search Like Pattern", IF($O826="SketchFix", "True Pattern", IF($O826="SOFix", "True Pattern", IF($O826="ssFix", "Search Like Pattern", IF($O826="TBar", "True Pattern", ""))))))))))))))))))))</f>
        <v>True Pattern</v>
      </c>
      <c r="Q826" s="13" t="str">
        <f>IF(NOT(ISERR(SEARCH("*_Buggy",$A826))), "Buggy", IF(NOT(ISERR(SEARCH("*_Fixed",$A826))), "Fixed", IF(NOT(ISERR(SEARCH("*_Repaired",$A826))), "Repaired", "")))</f>
        <v>Fixed</v>
      </c>
      <c r="R826" s="13" t="s">
        <v>1668</v>
      </c>
      <c r="S826" s="25">
        <v>1</v>
      </c>
      <c r="T826" s="25">
        <v>1</v>
      </c>
      <c r="U826" s="25">
        <v>1</v>
      </c>
      <c r="V826" s="13">
        <v>1</v>
      </c>
      <c r="W826" s="13" t="str">
        <f>MID(A826, SEARCH("_", A826) +1, SEARCH("_", A826, SEARCH("_", A826) +1) - SEARCH("_", A826) -1)</f>
        <v>Closure-73</v>
      </c>
      <c r="Y826" s="1" t="str">
        <f t="shared" si="24"/>
        <v>NO</v>
      </c>
      <c r="Z826" s="1" t="str">
        <f t="shared" si="25"/>
        <v>NO</v>
      </c>
      <c r="AA826" t="str">
        <f>IF(AND(S826&gt;1,S1351&gt;1,S826=V826,S1351=V1351), "YES", "NO")</f>
        <v>NO</v>
      </c>
      <c r="AB826" t="str">
        <f>IF(AND(S826&gt;1,S1351&gt;1,S826&lt;V826,S1351&lt;V1351), "YES", "NO")</f>
        <v>NO</v>
      </c>
      <c r="AC826" t="str">
        <f t="shared" si="26"/>
        <v>YES</v>
      </c>
      <c r="AD826" t="str">
        <f t="shared" si="27"/>
        <v>NO</v>
      </c>
      <c r="AE826" t="str">
        <f t="shared" si="28"/>
        <v>YES</v>
      </c>
      <c r="AF826" t="str">
        <f t="shared" si="29"/>
        <v>NO</v>
      </c>
    </row>
    <row r="827" spans="1:32" ht="15" x14ac:dyDescent="0.35">
      <c r="A827" s="5" t="s">
        <v>418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>LEFT($A827,FIND("_",$A827)-1)</f>
        <v>kPAR</v>
      </c>
      <c r="P827" s="13" t="str">
        <f>IF($O827="ACS", "True Search", IF($O827="Arja", "Evolutionary Search", IF($O827="AVATAR", "True Pattern", IF($O827="CapGen", "Search Like Pattern", IF($O827="Cardumen", "True Semantic", IF($O827="DynaMoth", "True Semantic", IF($O827="FixMiner", "True Pattern", IF($O827="GenProg-A", "Evolutionary Search", IF($O827="Hercules", "Learning Pattern", IF($O827="Jaid", "True Semantic",
IF($O827="Kali-A", "True Search", IF($O827="kPAR", "True Pattern", IF($O827="Nopol", "True Semantic", IF($O827="RSRepair-A", "Evolutionary Search", IF($O827="SequenceR", "Deep Learning", IF($O827="SimFix", "Search Like Pattern", IF($O827="SketchFix", "True Pattern", IF($O827="SOFix", "True Pattern", IF($O827="ssFix", "Search Like Pattern", IF($O827="TBar", "True Pattern", ""))))))))))))))))))))</f>
        <v>True Pattern</v>
      </c>
      <c r="Q827" s="13" t="str">
        <f>IF(NOT(ISERR(SEARCH("*_Buggy",$A827))), "Buggy", IF(NOT(ISERR(SEARCH("*_Fixed",$A827))), "Fixed", IF(NOT(ISERR(SEARCH("*_Repaired",$A827))), "Repaired", "")))</f>
        <v>Fixed</v>
      </c>
      <c r="R827" s="13" t="s">
        <v>1668</v>
      </c>
      <c r="S827" s="25">
        <v>2</v>
      </c>
      <c r="T827" s="25">
        <v>0</v>
      </c>
      <c r="U827" s="13">
        <v>9</v>
      </c>
      <c r="V827" s="13">
        <v>9</v>
      </c>
      <c r="W827" s="13" t="str">
        <f>MID(A827, SEARCH("_", A827) +1, SEARCH("_", A827, SEARCH("_", A827) +1) - SEARCH("_", A827) -1)</f>
        <v>Lang-10</v>
      </c>
      <c r="Y827" s="1" t="str">
        <f t="shared" si="24"/>
        <v>NO</v>
      </c>
      <c r="Z827" s="1" t="str">
        <f t="shared" si="25"/>
        <v>YES</v>
      </c>
      <c r="AA827" t="str">
        <f>IF(AND(S827&gt;1,S1352&gt;1,S827=V827,S1352=V1352), "YES", "NO")</f>
        <v>NO</v>
      </c>
      <c r="AB827" t="str">
        <f>IF(AND(S827&gt;1,S1352&gt;1,S827&lt;V827,S1352&lt;V1352), "YES", "NO")</f>
        <v>NO</v>
      </c>
      <c r="AC827" t="str">
        <f t="shared" si="26"/>
        <v>NO</v>
      </c>
      <c r="AD827" t="str">
        <f t="shared" si="27"/>
        <v>NO</v>
      </c>
      <c r="AE827" t="str">
        <f t="shared" si="28"/>
        <v>NO</v>
      </c>
      <c r="AF827" t="str">
        <f t="shared" si="29"/>
        <v>NO</v>
      </c>
    </row>
    <row r="828" spans="1:32" ht="15" x14ac:dyDescent="0.35">
      <c r="A828" s="5" t="s">
        <v>293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>LEFT($A828,FIND("_",$A828)-1)</f>
        <v>kPAR</v>
      </c>
      <c r="P828" s="13" t="str">
        <f>IF($O828="ACS", "True Search", IF($O828="Arja", "Evolutionary Search", IF($O828="AVATAR", "True Pattern", IF($O828="CapGen", "Search Like Pattern", IF($O828="Cardumen", "True Semantic", IF($O828="DynaMoth", "True Semantic", IF($O828="FixMiner", "True Pattern", IF($O828="GenProg-A", "Evolutionary Search", IF($O828="Hercules", "Learning Pattern", IF($O828="Jaid", "True Semantic",
IF($O828="Kali-A", "True Search", IF($O828="kPAR", "True Pattern", IF($O828="Nopol", "True Semantic", IF($O828="RSRepair-A", "Evolutionary Search", IF($O828="SequenceR", "Deep Learning", IF($O828="SimFix", "Search Like Pattern", IF($O828="SketchFix", "True Pattern", IF($O828="SOFix", "True Pattern", IF($O828="ssFix", "Search Like Pattern", IF($O828="TBar", "True Pattern", ""))))))))))))))))))))</f>
        <v>True Pattern</v>
      </c>
      <c r="Q828" s="13" t="str">
        <f>IF(NOT(ISERR(SEARCH("*_Buggy",$A828))), "Buggy", IF(NOT(ISERR(SEARCH("*_Fixed",$A828))), "Fixed", IF(NOT(ISERR(SEARCH("*_Repaired",$A828))), "Repaired", "")))</f>
        <v>Fixed</v>
      </c>
      <c r="R828" s="13" t="s">
        <v>1669</v>
      </c>
      <c r="S828" s="25">
        <v>1</v>
      </c>
      <c r="T828" s="25">
        <v>1</v>
      </c>
      <c r="U828" s="25">
        <v>1</v>
      </c>
      <c r="V828" s="13">
        <v>1</v>
      </c>
      <c r="W828" s="13" t="str">
        <f>MID(A828, SEARCH("_", A828) +1, SEARCH("_", A828, SEARCH("_", A828) +1) - SEARCH("_", A828) -1)</f>
        <v>Lang-16</v>
      </c>
      <c r="Y828" s="1" t="str">
        <f t="shared" si="24"/>
        <v>NO</v>
      </c>
      <c r="Z828" s="1" t="str">
        <f t="shared" si="25"/>
        <v>NO</v>
      </c>
      <c r="AA828" t="str">
        <f>IF(AND(S828&gt;1,S1353&gt;1,S828=V828,S1353=V1353), "YES", "NO")</f>
        <v>NO</v>
      </c>
      <c r="AB828" t="str">
        <f>IF(AND(S828&gt;1,S1353&gt;1,S828&lt;V828,S1353&lt;V1353), "YES", "NO")</f>
        <v>NO</v>
      </c>
      <c r="AC828" t="str">
        <f t="shared" si="26"/>
        <v>YES</v>
      </c>
      <c r="AD828" t="str">
        <f t="shared" si="27"/>
        <v>NO</v>
      </c>
      <c r="AE828" t="str">
        <f t="shared" si="28"/>
        <v>YES</v>
      </c>
      <c r="AF828" t="str">
        <f t="shared" si="29"/>
        <v>NO</v>
      </c>
    </row>
    <row r="829" spans="1:32" ht="15" x14ac:dyDescent="0.35">
      <c r="A829" s="7" t="s">
        <v>226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>LEFT($A829,FIND("_",$A829)-1)</f>
        <v>kPAR</v>
      </c>
      <c r="P829" s="13" t="str">
        <f>IF($O829="ACS", "True Search", IF($O829="Arja", "Evolutionary Search", IF($O829="AVATAR", "True Pattern", IF($O829="CapGen", "Search Like Pattern", IF($O829="Cardumen", "True Semantic", IF($O829="DynaMoth", "True Semantic", IF($O829="FixMiner", "True Pattern", IF($O829="GenProg-A", "Evolutionary Search", IF($O829="Hercules", "Learning Pattern", IF($O829="Jaid", "True Semantic",
IF($O829="Kali-A", "True Search", IF($O829="kPAR", "True Pattern", IF($O829="Nopol", "True Semantic", IF($O829="RSRepair-A", "Evolutionary Search", IF($O829="SequenceR", "Deep Learning", IF($O829="SimFix", "Search Like Pattern", IF($O829="SketchFix", "True Pattern", IF($O829="SOFix", "True Pattern", IF($O829="ssFix", "Search Like Pattern", IF($O829="TBar", "True Pattern", ""))))))))))))))))))))</f>
        <v>True Pattern</v>
      </c>
      <c r="Q829" s="13" t="str">
        <f>IF(NOT(ISERR(SEARCH("*_Buggy",$A829))), "Buggy", IF(NOT(ISERR(SEARCH("*_Fixed",$A829))), "Fixed", IF(NOT(ISERR(SEARCH("*_Repaired",$A829))), "Repaired", "")))</f>
        <v>Fixed</v>
      </c>
      <c r="R829" s="13" t="s">
        <v>1669</v>
      </c>
      <c r="S829" s="25">
        <v>2</v>
      </c>
      <c r="T829" s="25">
        <v>3</v>
      </c>
      <c r="U829" s="25">
        <v>3</v>
      </c>
      <c r="V829" s="13">
        <v>5</v>
      </c>
      <c r="W829" s="13" t="str">
        <f>MID(A829, SEARCH("_", A829) +1, SEARCH("_", A829, SEARCH("_", A829) +1) - SEARCH("_", A829) -1)</f>
        <v>Lang-18</v>
      </c>
      <c r="Y829" s="1" t="str">
        <f t="shared" si="24"/>
        <v>NO</v>
      </c>
      <c r="Z829" s="1" t="str">
        <f t="shared" si="25"/>
        <v>YES</v>
      </c>
      <c r="AA829" t="str">
        <f>IF(AND(S829&gt;1,S1354&gt;1,S829=V829,S1354=V1354), "YES", "NO")</f>
        <v>NO</v>
      </c>
      <c r="AB829" t="str">
        <f>IF(AND(S829&gt;1,S1354&gt;1,S829&lt;V829,S1354&lt;V1354), "YES", "NO")</f>
        <v>NO</v>
      </c>
      <c r="AC829" t="str">
        <f t="shared" si="26"/>
        <v>NO</v>
      </c>
      <c r="AD829" t="str">
        <f t="shared" si="27"/>
        <v>NO</v>
      </c>
      <c r="AE829" t="str">
        <f t="shared" si="28"/>
        <v>NO</v>
      </c>
      <c r="AF829" t="str">
        <f t="shared" si="29"/>
        <v>NO</v>
      </c>
    </row>
    <row r="830" spans="1:32" ht="15" x14ac:dyDescent="0.35">
      <c r="A830" s="7" t="s">
        <v>652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>LEFT($A830,FIND("_",$A830)-1)</f>
        <v>kPAR</v>
      </c>
      <c r="P830" s="13" t="str">
        <f>IF($O830="ACS", "True Search", IF($O830="Arja", "Evolutionary Search", IF($O830="AVATAR", "True Pattern", IF($O830="CapGen", "Search Like Pattern", IF($O830="Cardumen", "True Semantic", IF($O830="DynaMoth", "True Semantic", IF($O830="FixMiner", "True Pattern", IF($O830="GenProg-A", "Evolutionary Search", IF($O830="Hercules", "Learning Pattern", IF($O830="Jaid", "True Semantic",
IF($O830="Kali-A", "True Search", IF($O830="kPAR", "True Pattern", IF($O830="Nopol", "True Semantic", IF($O830="RSRepair-A", "Evolutionary Search", IF($O830="SequenceR", "Deep Learning", IF($O830="SimFix", "Search Like Pattern", IF($O830="SketchFix", "True Pattern", IF($O830="SOFix", "True Pattern", IF($O830="ssFix", "Search Like Pattern", IF($O830="TBar", "True Pattern", ""))))))))))))))))))))</f>
        <v>True Pattern</v>
      </c>
      <c r="Q830" s="13" t="str">
        <f>IF(NOT(ISERR(SEARCH("*_Buggy",$A830))), "Buggy", IF(NOT(ISERR(SEARCH("*_Fixed",$A830))), "Fixed", IF(NOT(ISERR(SEARCH("*_Repaired",$A830))), "Repaired", "")))</f>
        <v>Fixed</v>
      </c>
      <c r="R830" s="13" t="s">
        <v>1669</v>
      </c>
      <c r="S830" s="25">
        <v>2</v>
      </c>
      <c r="T830" s="25">
        <v>2</v>
      </c>
      <c r="U830" s="25">
        <v>2</v>
      </c>
      <c r="V830" s="13">
        <v>2</v>
      </c>
      <c r="W830" s="13" t="str">
        <f>MID(A830, SEARCH("_", A830) +1, SEARCH("_", A830, SEARCH("_", A830) +1) - SEARCH("_", A830) -1)</f>
        <v>Lang-20</v>
      </c>
      <c r="Y830" s="1" t="str">
        <f t="shared" si="24"/>
        <v>YES</v>
      </c>
      <c r="Z830" s="1" t="str">
        <f t="shared" si="25"/>
        <v>NO</v>
      </c>
      <c r="AA830" t="str">
        <f>IF(AND(S830&gt;1,S1355&gt;1,S830=V830,S1355=V1355), "YES", "NO")</f>
        <v>NO</v>
      </c>
      <c r="AB830" t="str">
        <f>IF(AND(S830&gt;1,S1355&gt;1,S830&lt;V830,S1355&lt;V1355), "YES", "NO")</f>
        <v>NO</v>
      </c>
      <c r="AC830" t="str">
        <f t="shared" si="26"/>
        <v>NO</v>
      </c>
      <c r="AD830" t="str">
        <f t="shared" si="27"/>
        <v>NO</v>
      </c>
      <c r="AE830" t="str">
        <f t="shared" si="28"/>
        <v>NO</v>
      </c>
      <c r="AF830" t="str">
        <f t="shared" si="29"/>
        <v>NO</v>
      </c>
    </row>
    <row r="831" spans="1:32" ht="15" x14ac:dyDescent="0.35">
      <c r="A831" s="5" t="s">
        <v>312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>LEFT($A831,FIND("_",$A831)-1)</f>
        <v>kPAR</v>
      </c>
      <c r="P831" s="13" t="str">
        <f>IF($O831="ACS", "True Search", IF($O831="Arja", "Evolutionary Search", IF($O831="AVATAR", "True Pattern", IF($O831="CapGen", "Search Like Pattern", IF($O831="Cardumen", "True Semantic", IF($O831="DynaMoth", "True Semantic", IF($O831="FixMiner", "True Pattern", IF($O831="GenProg-A", "Evolutionary Search", IF($O831="Hercules", "Learning Pattern", IF($O831="Jaid", "True Semantic",
IF($O831="Kali-A", "True Search", IF($O831="kPAR", "True Pattern", IF($O831="Nopol", "True Semantic", IF($O831="RSRepair-A", "Evolutionary Search", IF($O831="SequenceR", "Deep Learning", IF($O831="SimFix", "Search Like Pattern", IF($O831="SketchFix", "True Pattern", IF($O831="SOFix", "True Pattern", IF($O831="ssFix", "Search Like Pattern", IF($O831="TBar", "True Pattern", ""))))))))))))))))))))</f>
        <v>True Pattern</v>
      </c>
      <c r="Q831" s="13" t="str">
        <f>IF(NOT(ISERR(SEARCH("*_Buggy",$A831))), "Buggy", IF(NOT(ISERR(SEARCH("*_Fixed",$A831))), "Fixed", IF(NOT(ISERR(SEARCH("*_Repaired",$A831))), "Repaired", "")))</f>
        <v>Fixed</v>
      </c>
      <c r="R831" s="13" t="s">
        <v>1669</v>
      </c>
      <c r="S831" s="25">
        <v>1</v>
      </c>
      <c r="T831" s="25">
        <v>1</v>
      </c>
      <c r="U831" s="25">
        <v>1</v>
      </c>
      <c r="V831" s="13">
        <v>1</v>
      </c>
      <c r="W831" s="13" t="str">
        <f>MID(A831, SEARCH("_", A831) +1, SEARCH("_", A831, SEARCH("_", A831) +1) - SEARCH("_", A831) -1)</f>
        <v>Lang-21</v>
      </c>
      <c r="Y831" s="1" t="str">
        <f t="shared" si="24"/>
        <v>NO</v>
      </c>
      <c r="Z831" s="1" t="str">
        <f t="shared" si="25"/>
        <v>NO</v>
      </c>
      <c r="AA831" t="str">
        <f>IF(AND(S831&gt;1,S1356&gt;1,S831=V831,S1356=V1356), "YES", "NO")</f>
        <v>NO</v>
      </c>
      <c r="AB831" t="str">
        <f>IF(AND(S831&gt;1,S1356&gt;1,S831&lt;V831,S1356&lt;V1356), "YES", "NO")</f>
        <v>NO</v>
      </c>
      <c r="AC831" t="str">
        <f t="shared" si="26"/>
        <v>YES</v>
      </c>
      <c r="AD831" t="str">
        <f t="shared" si="27"/>
        <v>NO</v>
      </c>
      <c r="AE831" t="str">
        <f t="shared" si="28"/>
        <v>YES</v>
      </c>
      <c r="AF831" t="str">
        <f t="shared" si="29"/>
        <v>NO</v>
      </c>
    </row>
    <row r="832" spans="1:32" ht="15" x14ac:dyDescent="0.35">
      <c r="A832" s="7" t="s">
        <v>656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>LEFT($A832,FIND("_",$A832)-1)</f>
        <v>kPAR</v>
      </c>
      <c r="P832" s="13" t="str">
        <f>IF($O832="ACS", "True Search", IF($O832="Arja", "Evolutionary Search", IF($O832="AVATAR", "True Pattern", IF($O832="CapGen", "Search Like Pattern", IF($O832="Cardumen", "True Semantic", IF($O832="DynaMoth", "True Semantic", IF($O832="FixMiner", "True Pattern", IF($O832="GenProg-A", "Evolutionary Search", IF($O832="Hercules", "Learning Pattern", IF($O832="Jaid", "True Semantic",
IF($O832="Kali-A", "True Search", IF($O832="kPAR", "True Pattern", IF($O832="Nopol", "True Semantic", IF($O832="RSRepair-A", "Evolutionary Search", IF($O832="SequenceR", "Deep Learning", IF($O832="SimFix", "Search Like Pattern", IF($O832="SketchFix", "True Pattern", IF($O832="SOFix", "True Pattern", IF($O832="ssFix", "Search Like Pattern", IF($O832="TBar", "True Pattern", ""))))))))))))))))))))</f>
        <v>True Pattern</v>
      </c>
      <c r="Q832" s="13" t="str">
        <f>IF(NOT(ISERR(SEARCH("*_Buggy",$A832))), "Buggy", IF(NOT(ISERR(SEARCH("*_Fixed",$A832))), "Fixed", IF(NOT(ISERR(SEARCH("*_Repaired",$A832))), "Repaired", "")))</f>
        <v>Fixed</v>
      </c>
      <c r="R832" s="13" t="s">
        <v>1669</v>
      </c>
      <c r="S832" s="25">
        <v>2</v>
      </c>
      <c r="T832" s="25">
        <v>7</v>
      </c>
      <c r="U832" s="25">
        <v>1</v>
      </c>
      <c r="V832" s="13">
        <v>7</v>
      </c>
      <c r="W832" s="13" t="str">
        <f>MID(A832, SEARCH("_", A832) +1, SEARCH("_", A832, SEARCH("_", A832) +1) - SEARCH("_", A832) -1)</f>
        <v>Lang-22</v>
      </c>
      <c r="Y832" s="1" t="str">
        <f t="shared" si="24"/>
        <v>NO</v>
      </c>
      <c r="Z832" s="1" t="str">
        <f t="shared" si="25"/>
        <v>YES</v>
      </c>
      <c r="AA832" t="str">
        <f>IF(AND(S832&gt;1,S1357&gt;1,S832=V832,S1357=V1357), "YES", "NO")</f>
        <v>NO</v>
      </c>
      <c r="AB832" t="str">
        <f>IF(AND(S832&gt;1,S1357&gt;1,S832&lt;V832,S1357&lt;V1357), "YES", "NO")</f>
        <v>NO</v>
      </c>
      <c r="AC832" t="str">
        <f t="shared" si="26"/>
        <v>NO</v>
      </c>
      <c r="AD832" t="str">
        <f t="shared" si="27"/>
        <v>NO</v>
      </c>
      <c r="AE832" t="str">
        <f t="shared" si="28"/>
        <v>NO</v>
      </c>
      <c r="AF832" t="str">
        <f t="shared" si="29"/>
        <v>NO</v>
      </c>
    </row>
    <row r="833" spans="1:32" ht="15" x14ac:dyDescent="0.35">
      <c r="A833" s="7" t="s">
        <v>107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>LEFT($A833,FIND("_",$A833)-1)</f>
        <v>kPAR</v>
      </c>
      <c r="P833" s="13" t="str">
        <f>IF($O833="ACS", "True Search", IF($O833="Arja", "Evolutionary Search", IF($O833="AVATAR", "True Pattern", IF($O833="CapGen", "Search Like Pattern", IF($O833="Cardumen", "True Semantic", IF($O833="DynaMoth", "True Semantic", IF($O833="FixMiner", "True Pattern", IF($O833="GenProg-A", "Evolutionary Search", IF($O833="Hercules", "Learning Pattern", IF($O833="Jaid", "True Semantic",
IF($O833="Kali-A", "True Search", IF($O833="kPAR", "True Pattern", IF($O833="Nopol", "True Semantic", IF($O833="RSRepair-A", "Evolutionary Search", IF($O833="SequenceR", "Deep Learning", IF($O833="SimFix", "Search Like Pattern", IF($O833="SketchFix", "True Pattern", IF($O833="SOFix", "True Pattern", IF($O833="ssFix", "Search Like Pattern", IF($O833="TBar", "True Pattern", ""))))))))))))))))))))</f>
        <v>True Pattern</v>
      </c>
      <c r="Q833" s="13" t="str">
        <f>IF(NOT(ISERR(SEARCH("*_Buggy",$A833))), "Buggy", IF(NOT(ISERR(SEARCH("*_Fixed",$A833))), "Fixed", IF(NOT(ISERR(SEARCH("*_Repaired",$A833))), "Repaired", "")))</f>
        <v>Fixed</v>
      </c>
      <c r="R833" s="13" t="s">
        <v>1668</v>
      </c>
      <c r="S833" s="25">
        <v>1</v>
      </c>
      <c r="T833" s="25">
        <v>1</v>
      </c>
      <c r="U833" s="25">
        <v>1</v>
      </c>
      <c r="V833" s="13">
        <v>1</v>
      </c>
      <c r="W833" s="13" t="str">
        <f>MID(A833, SEARCH("_", A833) +1, SEARCH("_", A833, SEARCH("_", A833) +1) - SEARCH("_", A833) -1)</f>
        <v>Lang-24</v>
      </c>
      <c r="Y833" s="1" t="str">
        <f t="shared" si="24"/>
        <v>NO</v>
      </c>
      <c r="Z833" s="1" t="str">
        <f t="shared" si="25"/>
        <v>NO</v>
      </c>
      <c r="AA833" t="str">
        <f>IF(AND(S833&gt;1,S1358&gt;1,S833=V833,S1358=V1358), "YES", "NO")</f>
        <v>NO</v>
      </c>
      <c r="AB833" t="str">
        <f>IF(AND(S833&gt;1,S1358&gt;1,S833&lt;V833,S1358&lt;V1358), "YES", "NO")</f>
        <v>NO</v>
      </c>
      <c r="AC833" t="str">
        <f t="shared" si="26"/>
        <v>YES</v>
      </c>
      <c r="AD833" t="str">
        <f t="shared" si="27"/>
        <v>NO</v>
      </c>
      <c r="AE833" t="str">
        <f t="shared" si="28"/>
        <v>YES</v>
      </c>
      <c r="AF833" t="str">
        <f t="shared" si="29"/>
        <v>NO</v>
      </c>
    </row>
    <row r="834" spans="1:32" ht="15" x14ac:dyDescent="0.35">
      <c r="A834" s="7" t="s">
        <v>1111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>LEFT($A834,FIND("_",$A834)-1)</f>
        <v>kPAR</v>
      </c>
      <c r="P834" s="13" t="str">
        <f>IF($O834="ACS", "True Search", IF($O834="Arja", "Evolutionary Search", IF($O834="AVATAR", "True Pattern", IF($O834="CapGen", "Search Like Pattern", IF($O834="Cardumen", "True Semantic", IF($O834="DynaMoth", "True Semantic", IF($O834="FixMiner", "True Pattern", IF($O834="GenProg-A", "Evolutionary Search", IF($O834="Hercules", "Learning Pattern", IF($O834="Jaid", "True Semantic",
IF($O834="Kali-A", "True Search", IF($O834="kPAR", "True Pattern", IF($O834="Nopol", "True Semantic", IF($O834="RSRepair-A", "Evolutionary Search", IF($O834="SequenceR", "Deep Learning", IF($O834="SimFix", "Search Like Pattern", IF($O834="SketchFix", "True Pattern", IF($O834="SOFix", "True Pattern", IF($O834="ssFix", "Search Like Pattern", IF($O834="TBar", "True Pattern", ""))))))))))))))))))))</f>
        <v>True Pattern</v>
      </c>
      <c r="Q834" s="13" t="str">
        <f>IF(NOT(ISERR(SEARCH("*_Buggy",$A834))), "Buggy", IF(NOT(ISERR(SEARCH("*_Fixed",$A834))), "Fixed", IF(NOT(ISERR(SEARCH("*_Repaired",$A834))), "Repaired", "")))</f>
        <v>Fixed</v>
      </c>
      <c r="R834" s="13" t="s">
        <v>1669</v>
      </c>
      <c r="S834" s="25">
        <v>2</v>
      </c>
      <c r="T834" s="25">
        <v>4</v>
      </c>
      <c r="U834" s="25">
        <v>1</v>
      </c>
      <c r="V834" s="13">
        <v>4</v>
      </c>
      <c r="W834" s="13" t="str">
        <f>MID(A834, SEARCH("_", A834) +1, SEARCH("_", A834, SEARCH("_", A834) +1) - SEARCH("_", A834) -1)</f>
        <v>Lang-27</v>
      </c>
      <c r="Y834" s="1" t="str">
        <f t="shared" si="24"/>
        <v>NO</v>
      </c>
      <c r="Z834" s="1" t="str">
        <f t="shared" si="25"/>
        <v>YES</v>
      </c>
      <c r="AA834" t="str">
        <f>IF(AND(S834&gt;1,S1359&gt;1,S834=V834,S1359=V1359), "YES", "NO")</f>
        <v>NO</v>
      </c>
      <c r="AB834" t="str">
        <f>IF(AND(S834&gt;1,S1359&gt;1,S834&lt;V834,S1359&lt;V1359), "YES", "NO")</f>
        <v>NO</v>
      </c>
      <c r="AC834" t="str">
        <f t="shared" si="26"/>
        <v>NO</v>
      </c>
      <c r="AD834" t="str">
        <f t="shared" si="27"/>
        <v>NO</v>
      </c>
      <c r="AE834" t="str">
        <f t="shared" si="28"/>
        <v>NO</v>
      </c>
      <c r="AF834" t="str">
        <f t="shared" si="29"/>
        <v>NO</v>
      </c>
    </row>
    <row r="835" spans="1:32" ht="15" x14ac:dyDescent="0.35">
      <c r="A835" s="5" t="s">
        <v>560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>LEFT($A835,FIND("_",$A835)-1)</f>
        <v>kPAR</v>
      </c>
      <c r="P835" s="13" t="str">
        <f>IF($O835="ACS", "True Search", IF($O835="Arja", "Evolutionary Search", IF($O835="AVATAR", "True Pattern", IF($O835="CapGen", "Search Like Pattern", IF($O835="Cardumen", "True Semantic", IF($O835="DynaMoth", "True Semantic", IF($O835="FixMiner", "True Pattern", IF($O835="GenProg-A", "Evolutionary Search", IF($O835="Hercules", "Learning Pattern", IF($O835="Jaid", "True Semantic",
IF($O835="Kali-A", "True Search", IF($O835="kPAR", "True Pattern", IF($O835="Nopol", "True Semantic", IF($O835="RSRepair-A", "Evolutionary Search", IF($O835="SequenceR", "Deep Learning", IF($O835="SimFix", "Search Like Pattern", IF($O835="SketchFix", "True Pattern", IF($O835="SOFix", "True Pattern", IF($O835="ssFix", "Search Like Pattern", IF($O835="TBar", "True Pattern", ""))))))))))))))))))))</f>
        <v>True Pattern</v>
      </c>
      <c r="Q835" s="13" t="str">
        <f>IF(NOT(ISERR(SEARCH("*_Buggy",$A835))), "Buggy", IF(NOT(ISERR(SEARCH("*_Fixed",$A835))), "Fixed", IF(NOT(ISERR(SEARCH("*_Repaired",$A835))), "Repaired", "")))</f>
        <v>Fixed</v>
      </c>
      <c r="R835" s="13" t="s">
        <v>1669</v>
      </c>
      <c r="S835" s="25">
        <v>8</v>
      </c>
      <c r="T835" s="25">
        <v>21</v>
      </c>
      <c r="U835" s="25">
        <v>2</v>
      </c>
      <c r="V835" s="13">
        <v>21</v>
      </c>
      <c r="W835" s="13" t="str">
        <f>MID(A835, SEARCH("_", A835) +1, SEARCH("_", A835, SEARCH("_", A835) +1) - SEARCH("_", A835) -1)</f>
        <v>Lang-41</v>
      </c>
      <c r="Y835" s="1" t="str">
        <f t="shared" si="24"/>
        <v>NO</v>
      </c>
      <c r="Z835" s="1" t="str">
        <f t="shared" si="25"/>
        <v>YES</v>
      </c>
      <c r="AA835" t="str">
        <f>IF(AND(S835&gt;1,S1360&gt;1,S835=V835,S1360=V1360), "YES", "NO")</f>
        <v>NO</v>
      </c>
      <c r="AB835" t="str">
        <f>IF(AND(S835&gt;1,S1360&gt;1,S835&lt;V835,S1360&lt;V1360), "YES", "NO")</f>
        <v>NO</v>
      </c>
      <c r="AC835" t="str">
        <f t="shared" si="26"/>
        <v>NO</v>
      </c>
      <c r="AD835" t="str">
        <f t="shared" si="27"/>
        <v>NO</v>
      </c>
      <c r="AE835" t="str">
        <f t="shared" si="28"/>
        <v>NO</v>
      </c>
      <c r="AF835" t="str">
        <f t="shared" si="29"/>
        <v>NO</v>
      </c>
    </row>
    <row r="836" spans="1:32" ht="15" x14ac:dyDescent="0.35">
      <c r="A836" s="5" t="s">
        <v>255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>LEFT($A836,FIND("_",$A836)-1)</f>
        <v>kPAR</v>
      </c>
      <c r="P836" s="13" t="str">
        <f>IF($O836="ACS", "True Search", IF($O836="Arja", "Evolutionary Search", IF($O836="AVATAR", "True Pattern", IF($O836="CapGen", "Search Like Pattern", IF($O836="Cardumen", "True Semantic", IF($O836="DynaMoth", "True Semantic", IF($O836="FixMiner", "True Pattern", IF($O836="GenProg-A", "Evolutionary Search", IF($O836="Hercules", "Learning Pattern", IF($O836="Jaid", "True Semantic",
IF($O836="Kali-A", "True Search", IF($O836="kPAR", "True Pattern", IF($O836="Nopol", "True Semantic", IF($O836="RSRepair-A", "Evolutionary Search", IF($O836="SequenceR", "Deep Learning", IF($O836="SimFix", "Search Like Pattern", IF($O836="SketchFix", "True Pattern", IF($O836="SOFix", "True Pattern", IF($O836="ssFix", "Search Like Pattern", IF($O836="TBar", "True Pattern", ""))))))))))))))))))))</f>
        <v>True Pattern</v>
      </c>
      <c r="Q836" s="13" t="str">
        <f>IF(NOT(ISERR(SEARCH("*_Buggy",$A836))), "Buggy", IF(NOT(ISERR(SEARCH("*_Fixed",$A836))), "Fixed", IF(NOT(ISERR(SEARCH("*_Repaired",$A836))), "Repaired", "")))</f>
        <v>Fixed</v>
      </c>
      <c r="R836" s="13" t="s">
        <v>1669</v>
      </c>
      <c r="S836" s="25">
        <v>1</v>
      </c>
      <c r="T836" s="13">
        <v>1</v>
      </c>
      <c r="U836" s="25">
        <v>0</v>
      </c>
      <c r="V836" s="13">
        <v>1</v>
      </c>
      <c r="W836" s="13" t="str">
        <f>MID(A836, SEARCH("_", A836) +1, SEARCH("_", A836, SEARCH("_", A836) +1) - SEARCH("_", A836) -1)</f>
        <v>Lang-43</v>
      </c>
      <c r="Y836" s="1" t="str">
        <f t="shared" si="24"/>
        <v>NO</v>
      </c>
      <c r="Z836" s="1" t="str">
        <f t="shared" si="25"/>
        <v>NO</v>
      </c>
      <c r="AA836" t="str">
        <f>IF(AND(S836&gt;1,S1361&gt;1,S836=V836,S1361=V1361), "YES", "NO")</f>
        <v>NO</v>
      </c>
      <c r="AB836" t="str">
        <f>IF(AND(S836&gt;1,S1361&gt;1,S836&lt;V836,S1361&lt;V1361), "YES", "NO")</f>
        <v>NO</v>
      </c>
      <c r="AC836" t="str">
        <f t="shared" si="26"/>
        <v>YES</v>
      </c>
      <c r="AD836" t="str">
        <f t="shared" si="27"/>
        <v>NO</v>
      </c>
      <c r="AE836" t="str">
        <f t="shared" si="28"/>
        <v>YES</v>
      </c>
      <c r="AF836" t="str">
        <f t="shared" si="29"/>
        <v>NO</v>
      </c>
    </row>
    <row r="837" spans="1:32" ht="15" x14ac:dyDescent="0.35">
      <c r="A837" s="5" t="s">
        <v>1235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>LEFT($A837,FIND("_",$A837)-1)</f>
        <v>kPAR</v>
      </c>
      <c r="P837" s="13" t="str">
        <f>IF($O837="ACS", "True Search", IF($O837="Arja", "Evolutionary Search", IF($O837="AVATAR", "True Pattern", IF($O837="CapGen", "Search Like Pattern", IF($O837="Cardumen", "True Semantic", IF($O837="DynaMoth", "True Semantic", IF($O837="FixMiner", "True Pattern", IF($O837="GenProg-A", "Evolutionary Search", IF($O837="Hercules", "Learning Pattern", IF($O837="Jaid", "True Semantic",
IF($O837="Kali-A", "True Search", IF($O837="kPAR", "True Pattern", IF($O837="Nopol", "True Semantic", IF($O837="RSRepair-A", "Evolutionary Search", IF($O837="SequenceR", "Deep Learning", IF($O837="SimFix", "Search Like Pattern", IF($O837="SketchFix", "True Pattern", IF($O837="SOFix", "True Pattern", IF($O837="ssFix", "Search Like Pattern", IF($O837="TBar", "True Pattern", ""))))))))))))))))))))</f>
        <v>True Pattern</v>
      </c>
      <c r="Q837" s="13" t="str">
        <f>IF(NOT(ISERR(SEARCH("*_Buggy",$A837))), "Buggy", IF(NOT(ISERR(SEARCH("*_Fixed",$A837))), "Fixed", IF(NOT(ISERR(SEARCH("*_Repaired",$A837))), "Repaired", "")))</f>
        <v>Fixed</v>
      </c>
      <c r="R837" s="13" t="s">
        <v>1669</v>
      </c>
      <c r="S837" s="25">
        <v>1</v>
      </c>
      <c r="T837" s="13">
        <v>3</v>
      </c>
      <c r="U837" s="25">
        <v>0</v>
      </c>
      <c r="V837" s="13">
        <v>3</v>
      </c>
      <c r="W837" s="13" t="str">
        <f>MID(A837, SEARCH("_", A837) +1, SEARCH("_", A837, SEARCH("_", A837) +1) - SEARCH("_", A837) -1)</f>
        <v>Lang-44</v>
      </c>
      <c r="Y837" s="1" t="str">
        <f t="shared" si="24"/>
        <v>NO</v>
      </c>
      <c r="Z837" s="1" t="str">
        <f t="shared" si="25"/>
        <v>NO</v>
      </c>
      <c r="AA837" t="str">
        <f>IF(AND(S837&gt;1,S1362&gt;1,S837=V837,S1362=V1362), "YES", "NO")</f>
        <v>NO</v>
      </c>
      <c r="AB837" t="str">
        <f>IF(AND(S837&gt;1,S1362&gt;1,S837&lt;V837,S1362&lt;V1362), "YES", "NO")</f>
        <v>NO</v>
      </c>
      <c r="AC837" t="str">
        <f t="shared" si="26"/>
        <v>NO</v>
      </c>
      <c r="AD837" t="str">
        <f t="shared" si="27"/>
        <v>YES</v>
      </c>
      <c r="AE837" t="str">
        <f t="shared" si="28"/>
        <v>NO</v>
      </c>
      <c r="AF837" t="str">
        <f t="shared" si="29"/>
        <v>YES</v>
      </c>
    </row>
    <row r="838" spans="1:32" ht="15" x14ac:dyDescent="0.35">
      <c r="A838" s="5" t="s">
        <v>1120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>LEFT($A838,FIND("_",$A838)-1)</f>
        <v>kPAR</v>
      </c>
      <c r="P838" s="13" t="str">
        <f>IF($O838="ACS", "True Search", IF($O838="Arja", "Evolutionary Search", IF($O838="AVATAR", "True Pattern", IF($O838="CapGen", "Search Like Pattern", IF($O838="Cardumen", "True Semantic", IF($O838="DynaMoth", "True Semantic", IF($O838="FixMiner", "True Pattern", IF($O838="GenProg-A", "Evolutionary Search", IF($O838="Hercules", "Learning Pattern", IF($O838="Jaid", "True Semantic",
IF($O838="Kali-A", "True Search", IF($O838="kPAR", "True Pattern", IF($O838="Nopol", "True Semantic", IF($O838="RSRepair-A", "Evolutionary Search", IF($O838="SequenceR", "Deep Learning", IF($O838="SimFix", "Search Like Pattern", IF($O838="SketchFix", "True Pattern", IF($O838="SOFix", "True Pattern", IF($O838="ssFix", "Search Like Pattern", IF($O838="TBar", "True Pattern", ""))))))))))))))))))))</f>
        <v>True Pattern</v>
      </c>
      <c r="Q838" s="13" t="str">
        <f>IF(NOT(ISERR(SEARCH("*_Buggy",$A838))), "Buggy", IF(NOT(ISERR(SEARCH("*_Fixed",$A838))), "Fixed", IF(NOT(ISERR(SEARCH("*_Repaired",$A838))), "Repaired", "")))</f>
        <v>Fixed</v>
      </c>
      <c r="R838" s="13" t="s">
        <v>1669</v>
      </c>
      <c r="S838" s="25">
        <v>1</v>
      </c>
      <c r="T838" s="13">
        <v>3</v>
      </c>
      <c r="U838" s="25">
        <v>0</v>
      </c>
      <c r="V838" s="13">
        <v>3</v>
      </c>
      <c r="W838" s="13" t="str">
        <f>MID(A838, SEARCH("_", A838) +1, SEARCH("_", A838, SEARCH("_", A838) +1) - SEARCH("_", A838) -1)</f>
        <v>Lang-45</v>
      </c>
      <c r="Y838" s="1" t="str">
        <f t="shared" si="24"/>
        <v>NO</v>
      </c>
      <c r="Z838" s="1" t="str">
        <f t="shared" si="25"/>
        <v>NO</v>
      </c>
      <c r="AA838" t="str">
        <f>IF(AND(S838&gt;1,S1363&gt;1,S838=V838,S1363=V1363), "YES", "NO")</f>
        <v>NO</v>
      </c>
      <c r="AB838" t="str">
        <f>IF(AND(S838&gt;1,S1363&gt;1,S838&lt;V838,S1363&lt;V1363), "YES", "NO")</f>
        <v>NO</v>
      </c>
      <c r="AC838" t="str">
        <f t="shared" si="26"/>
        <v>NO</v>
      </c>
      <c r="AD838" t="str">
        <f t="shared" si="27"/>
        <v>NO</v>
      </c>
      <c r="AE838" t="str">
        <f t="shared" si="28"/>
        <v>NO</v>
      </c>
      <c r="AF838" t="str">
        <f t="shared" si="29"/>
        <v>NO</v>
      </c>
    </row>
    <row r="839" spans="1:32" ht="15" x14ac:dyDescent="0.35">
      <c r="A839" s="5" t="s">
        <v>1251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>LEFT($A839,FIND("_",$A839)-1)</f>
        <v>kPAR</v>
      </c>
      <c r="P839" s="13" t="str">
        <f>IF($O839="ACS", "True Search", IF($O839="Arja", "Evolutionary Search", IF($O839="AVATAR", "True Pattern", IF($O839="CapGen", "Search Like Pattern", IF($O839="Cardumen", "True Semantic", IF($O839="DynaMoth", "True Semantic", IF($O839="FixMiner", "True Pattern", IF($O839="GenProg-A", "Evolutionary Search", IF($O839="Hercules", "Learning Pattern", IF($O839="Jaid", "True Semantic",
IF($O839="Kali-A", "True Search", IF($O839="kPAR", "True Pattern", IF($O839="Nopol", "True Semantic", IF($O839="RSRepair-A", "Evolutionary Search", IF($O839="SequenceR", "Deep Learning", IF($O839="SimFix", "Search Like Pattern", IF($O839="SketchFix", "True Pattern", IF($O839="SOFix", "True Pattern", IF($O839="ssFix", "Search Like Pattern", IF($O839="TBar", "True Pattern", ""))))))))))))))))))))</f>
        <v>True Pattern</v>
      </c>
      <c r="Q839" s="13" t="str">
        <f>IF(NOT(ISERR(SEARCH("*_Buggy",$A839))), "Buggy", IF(NOT(ISERR(SEARCH("*_Fixed",$A839))), "Fixed", IF(NOT(ISERR(SEARCH("*_Repaired",$A839))), "Repaired", "")))</f>
        <v>Fixed</v>
      </c>
      <c r="R839" s="13" t="s">
        <v>1669</v>
      </c>
      <c r="S839" s="25">
        <v>1</v>
      </c>
      <c r="T839" s="13">
        <v>1</v>
      </c>
      <c r="U839" s="25">
        <v>0</v>
      </c>
      <c r="V839" s="13">
        <v>1</v>
      </c>
      <c r="W839" s="13" t="str">
        <f>MID(A839, SEARCH("_", A839) +1, SEARCH("_", A839, SEARCH("_", A839) +1) - SEARCH("_", A839) -1)</f>
        <v>Lang-51</v>
      </c>
      <c r="Y839" s="1" t="str">
        <f t="shared" si="24"/>
        <v>NO</v>
      </c>
      <c r="Z839" s="1" t="str">
        <f t="shared" si="25"/>
        <v>NO</v>
      </c>
      <c r="AA839" t="str">
        <f>IF(AND(S839&gt;1,S1364&gt;1,S839=V839,S1364=V1364), "YES", "NO")</f>
        <v>NO</v>
      </c>
      <c r="AB839" t="str">
        <f>IF(AND(S839&gt;1,S1364&gt;1,S839&lt;V839,S1364&lt;V1364), "YES", "NO")</f>
        <v>NO</v>
      </c>
      <c r="AC839" t="str">
        <f t="shared" si="26"/>
        <v>YES</v>
      </c>
      <c r="AD839" t="str">
        <f t="shared" si="27"/>
        <v>NO</v>
      </c>
      <c r="AE839" t="str">
        <f t="shared" si="28"/>
        <v>YES</v>
      </c>
      <c r="AF839" t="str">
        <f t="shared" si="29"/>
        <v>NO</v>
      </c>
    </row>
    <row r="840" spans="1:32" ht="15" x14ac:dyDescent="0.35">
      <c r="A840" s="7" t="s">
        <v>352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>LEFT($A840,FIND("_",$A840)-1)</f>
        <v>kPAR</v>
      </c>
      <c r="P840" s="13" t="str">
        <f>IF($O840="ACS", "True Search", IF($O840="Arja", "Evolutionary Search", IF($O840="AVATAR", "True Pattern", IF($O840="CapGen", "Search Like Pattern", IF($O840="Cardumen", "True Semantic", IF($O840="DynaMoth", "True Semantic", IF($O840="FixMiner", "True Pattern", IF($O840="GenProg-A", "Evolutionary Search", IF($O840="Hercules", "Learning Pattern", IF($O840="Jaid", "True Semantic",
IF($O840="Kali-A", "True Search", IF($O840="kPAR", "True Pattern", IF($O840="Nopol", "True Semantic", IF($O840="RSRepair-A", "Evolutionary Search", IF($O840="SequenceR", "Deep Learning", IF($O840="SimFix", "Search Like Pattern", IF($O840="SketchFix", "True Pattern", IF($O840="SOFix", "True Pattern", IF($O840="ssFix", "Search Like Pattern", IF($O840="TBar", "True Pattern", ""))))))))))))))))))))</f>
        <v>True Pattern</v>
      </c>
      <c r="Q840" s="13" t="str">
        <f>IF(NOT(ISERR(SEARCH("*_Buggy",$A840))), "Buggy", IF(NOT(ISERR(SEARCH("*_Fixed",$A840))), "Fixed", IF(NOT(ISERR(SEARCH("*_Repaired",$A840))), "Repaired", "")))</f>
        <v>Fixed</v>
      </c>
      <c r="R840" s="13" t="s">
        <v>1669</v>
      </c>
      <c r="S840" s="25">
        <v>4</v>
      </c>
      <c r="T840" s="25">
        <v>2</v>
      </c>
      <c r="U840" s="25">
        <v>2</v>
      </c>
      <c r="V840" s="13">
        <v>4</v>
      </c>
      <c r="W840" s="13" t="str">
        <f>MID(A840, SEARCH("_", A840) +1, SEARCH("_", A840, SEARCH("_", A840) +1) - SEARCH("_", A840) -1)</f>
        <v>Lang-53</v>
      </c>
      <c r="Y840" s="1" t="str">
        <f t="shared" si="24"/>
        <v>YES</v>
      </c>
      <c r="Z840" s="1" t="str">
        <f t="shared" si="25"/>
        <v>NO</v>
      </c>
      <c r="AA840" t="str">
        <f>IF(AND(S840&gt;1,S1365&gt;1,S840=V840,S1365=V1365), "YES", "NO")</f>
        <v>NO</v>
      </c>
      <c r="AB840" t="str">
        <f>IF(AND(S840&gt;1,S1365&gt;1,S840&lt;V840,S1365&lt;V1365), "YES", "NO")</f>
        <v>NO</v>
      </c>
      <c r="AC840" t="str">
        <f t="shared" si="26"/>
        <v>NO</v>
      </c>
      <c r="AD840" t="str">
        <f t="shared" si="27"/>
        <v>NO</v>
      </c>
      <c r="AE840" t="str">
        <f t="shared" si="28"/>
        <v>NO</v>
      </c>
      <c r="AF840" t="str">
        <f t="shared" si="29"/>
        <v>NO</v>
      </c>
    </row>
    <row r="841" spans="1:32" ht="15" x14ac:dyDescent="0.35">
      <c r="A841" s="5" t="s">
        <v>231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>LEFT($A841,FIND("_",$A841)-1)</f>
        <v>kPAR</v>
      </c>
      <c r="P841" s="13" t="str">
        <f>IF($O841="ACS", "True Search", IF($O841="Arja", "Evolutionary Search", IF($O841="AVATAR", "True Pattern", IF($O841="CapGen", "Search Like Pattern", IF($O841="Cardumen", "True Semantic", IF($O841="DynaMoth", "True Semantic", IF($O841="FixMiner", "True Pattern", IF($O841="GenProg-A", "Evolutionary Search", IF($O841="Hercules", "Learning Pattern", IF($O841="Jaid", "True Semantic",
IF($O841="Kali-A", "True Search", IF($O841="kPAR", "True Pattern", IF($O841="Nopol", "True Semantic", IF($O841="RSRepair-A", "Evolutionary Search", IF($O841="SequenceR", "Deep Learning", IF($O841="SimFix", "Search Like Pattern", IF($O841="SketchFix", "True Pattern", IF($O841="SOFix", "True Pattern", IF($O841="ssFix", "Search Like Pattern", IF($O841="TBar", "True Pattern", ""))))))))))))))))))))</f>
        <v>True Pattern</v>
      </c>
      <c r="Q841" s="13" t="str">
        <f>IF(NOT(ISERR(SEARCH("*_Buggy",$A841))), "Buggy", IF(NOT(ISERR(SEARCH("*_Fixed",$A841))), "Fixed", IF(NOT(ISERR(SEARCH("*_Repaired",$A841))), "Repaired", "")))</f>
        <v>Fixed</v>
      </c>
      <c r="R841" s="13" t="s">
        <v>1669</v>
      </c>
      <c r="S841" s="25">
        <v>1</v>
      </c>
      <c r="T841" s="25">
        <v>1</v>
      </c>
      <c r="U841" s="25">
        <v>1</v>
      </c>
      <c r="V841" s="13">
        <v>1</v>
      </c>
      <c r="W841" s="13" t="str">
        <f>MID(A841, SEARCH("_", A841) +1, SEARCH("_", A841, SEARCH("_", A841) +1) - SEARCH("_", A841) -1)</f>
        <v>Lang-57</v>
      </c>
      <c r="Y841" s="1" t="str">
        <f t="shared" si="24"/>
        <v>NO</v>
      </c>
      <c r="Z841" s="1" t="str">
        <f t="shared" si="25"/>
        <v>NO</v>
      </c>
      <c r="AA841" t="str">
        <f>IF(AND(S841&gt;1,S1366&gt;1,S841=V841,S1366=V1366), "YES", "NO")</f>
        <v>NO</v>
      </c>
      <c r="AB841" t="str">
        <f>IF(AND(S841&gt;1,S1366&gt;1,S841&lt;V841,S1366&lt;V1366), "YES", "NO")</f>
        <v>NO</v>
      </c>
      <c r="AC841" t="str">
        <f t="shared" si="26"/>
        <v>NO</v>
      </c>
      <c r="AD841" t="str">
        <f t="shared" si="27"/>
        <v>NO</v>
      </c>
      <c r="AE841" t="str">
        <f t="shared" si="28"/>
        <v>NO</v>
      </c>
      <c r="AF841" t="str">
        <f t="shared" si="29"/>
        <v>NO</v>
      </c>
    </row>
    <row r="842" spans="1:32" ht="15" x14ac:dyDescent="0.35">
      <c r="A842" s="7" t="s">
        <v>113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>LEFT($A842,FIND("_",$A842)-1)</f>
        <v>kPAR</v>
      </c>
      <c r="P842" s="13" t="str">
        <f>IF($O842="ACS", "True Search", IF($O842="Arja", "Evolutionary Search", IF($O842="AVATAR", "True Pattern", IF($O842="CapGen", "Search Like Pattern", IF($O842="Cardumen", "True Semantic", IF($O842="DynaMoth", "True Semantic", IF($O842="FixMiner", "True Pattern", IF($O842="GenProg-A", "Evolutionary Search", IF($O842="Hercules", "Learning Pattern", IF($O842="Jaid", "True Semantic",
IF($O842="Kali-A", "True Search", IF($O842="kPAR", "True Pattern", IF($O842="Nopol", "True Semantic", IF($O842="RSRepair-A", "Evolutionary Search", IF($O842="SequenceR", "Deep Learning", IF($O842="SimFix", "Search Like Pattern", IF($O842="SketchFix", "True Pattern", IF($O842="SOFix", "True Pattern", IF($O842="ssFix", "Search Like Pattern", IF($O842="TBar", "True Pattern", ""))))))))))))))))))))</f>
        <v>True Pattern</v>
      </c>
      <c r="Q842" s="13" t="str">
        <f>IF(NOT(ISERR(SEARCH("*_Buggy",$A842))), "Buggy", IF(NOT(ISERR(SEARCH("*_Fixed",$A842))), "Fixed", IF(NOT(ISERR(SEARCH("*_Repaired",$A842))), "Repaired", "")))</f>
        <v>Fixed</v>
      </c>
      <c r="R842" s="13" t="s">
        <v>1669</v>
      </c>
      <c r="S842" s="25">
        <v>1</v>
      </c>
      <c r="T842" s="25">
        <v>1</v>
      </c>
      <c r="U842" s="25">
        <v>2</v>
      </c>
      <c r="V842" s="13">
        <v>2</v>
      </c>
      <c r="W842" s="13" t="str">
        <f>MID(A842, SEARCH("_", A842) +1, SEARCH("_", A842, SEARCH("_", A842) +1) - SEARCH("_", A842) -1)</f>
        <v>Lang-58</v>
      </c>
      <c r="Y842" s="1" t="str">
        <f t="shared" si="24"/>
        <v>NO</v>
      </c>
      <c r="Z842" s="1" t="str">
        <f t="shared" si="25"/>
        <v>NO</v>
      </c>
      <c r="AA842" t="str">
        <f>IF(AND(S842&gt;1,S1367&gt;1,S842=V842,S1367=V1367), "YES", "NO")</f>
        <v>NO</v>
      </c>
      <c r="AB842" t="str">
        <f>IF(AND(S842&gt;1,S1367&gt;1,S842&lt;V842,S1367&lt;V1367), "YES", "NO")</f>
        <v>NO</v>
      </c>
      <c r="AC842" t="str">
        <f t="shared" si="26"/>
        <v>NO</v>
      </c>
      <c r="AD842" t="str">
        <f t="shared" si="27"/>
        <v>YES</v>
      </c>
      <c r="AE842" t="str">
        <f t="shared" si="28"/>
        <v>NO</v>
      </c>
      <c r="AF842" t="str">
        <f t="shared" si="29"/>
        <v>YES</v>
      </c>
    </row>
    <row r="843" spans="1:32" ht="15" x14ac:dyDescent="0.35">
      <c r="A843" s="7" t="s">
        <v>1079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>LEFT($A843,FIND("_",$A843)-1)</f>
        <v>kPAR</v>
      </c>
      <c r="P843" s="13" t="str">
        <f>IF($O843="ACS", "True Search", IF($O843="Arja", "Evolutionary Search", IF($O843="AVATAR", "True Pattern", IF($O843="CapGen", "Search Like Pattern", IF($O843="Cardumen", "True Semantic", IF($O843="DynaMoth", "True Semantic", IF($O843="FixMiner", "True Pattern", IF($O843="GenProg-A", "Evolutionary Search", IF($O843="Hercules", "Learning Pattern", IF($O843="Jaid", "True Semantic",
IF($O843="Kali-A", "True Search", IF($O843="kPAR", "True Pattern", IF($O843="Nopol", "True Semantic", IF($O843="RSRepair-A", "Evolutionary Search", IF($O843="SequenceR", "Deep Learning", IF($O843="SimFix", "Search Like Pattern", IF($O843="SketchFix", "True Pattern", IF($O843="SOFix", "True Pattern", IF($O843="ssFix", "Search Like Pattern", IF($O843="TBar", "True Pattern", ""))))))))))))))))))))</f>
        <v>True Pattern</v>
      </c>
      <c r="Q843" s="13" t="str">
        <f>IF(NOT(ISERR(SEARCH("*_Buggy",$A843))), "Buggy", IF(NOT(ISERR(SEARCH("*_Fixed",$A843))), "Fixed", IF(NOT(ISERR(SEARCH("*_Repaired",$A843))), "Repaired", "")))</f>
        <v>Fixed</v>
      </c>
      <c r="R843" s="13" t="s">
        <v>1668</v>
      </c>
      <c r="S843" s="25">
        <v>1</v>
      </c>
      <c r="T843" s="25">
        <v>1</v>
      </c>
      <c r="U843" s="25">
        <v>1</v>
      </c>
      <c r="V843" s="13">
        <v>1</v>
      </c>
      <c r="W843" s="13" t="str">
        <f>MID(A843, SEARCH("_", A843) +1, SEARCH("_", A843, SEARCH("_", A843) +1) - SEARCH("_", A843) -1)</f>
        <v>Lang-59</v>
      </c>
      <c r="Y843" s="1" t="str">
        <f t="shared" si="24"/>
        <v>NO</v>
      </c>
      <c r="Z843" s="1" t="str">
        <f t="shared" si="25"/>
        <v>NO</v>
      </c>
      <c r="AA843" t="str">
        <f>IF(AND(S843&gt;1,S1368&gt;1,S843=V843,S1368=V1368), "YES", "NO")</f>
        <v>NO</v>
      </c>
      <c r="AB843" t="str">
        <f>IF(AND(S843&gt;1,S1368&gt;1,S843&lt;V843,S1368&lt;V1368), "YES", "NO")</f>
        <v>NO</v>
      </c>
      <c r="AC843" t="str">
        <f t="shared" si="26"/>
        <v>YES</v>
      </c>
      <c r="AD843" t="str">
        <f t="shared" si="27"/>
        <v>NO</v>
      </c>
      <c r="AE843" t="str">
        <f t="shared" si="28"/>
        <v>YES</v>
      </c>
      <c r="AF843" t="str">
        <f t="shared" si="29"/>
        <v>NO</v>
      </c>
    </row>
    <row r="844" spans="1:32" ht="15" x14ac:dyDescent="0.35">
      <c r="A844" s="7" t="s">
        <v>1224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>LEFT($A844,FIND("_",$A844)-1)</f>
        <v>kPAR</v>
      </c>
      <c r="P844" s="13" t="str">
        <f>IF($O844="ACS", "True Search", IF($O844="Arja", "Evolutionary Search", IF($O844="AVATAR", "True Pattern", IF($O844="CapGen", "Search Like Pattern", IF($O844="Cardumen", "True Semantic", IF($O844="DynaMoth", "True Semantic", IF($O844="FixMiner", "True Pattern", IF($O844="GenProg-A", "Evolutionary Search", IF($O844="Hercules", "Learning Pattern", IF($O844="Jaid", "True Semantic",
IF($O844="Kali-A", "True Search", IF($O844="kPAR", "True Pattern", IF($O844="Nopol", "True Semantic", IF($O844="RSRepair-A", "Evolutionary Search", IF($O844="SequenceR", "Deep Learning", IF($O844="SimFix", "Search Like Pattern", IF($O844="SketchFix", "True Pattern", IF($O844="SOFix", "True Pattern", IF($O844="ssFix", "Search Like Pattern", IF($O844="TBar", "True Pattern", ""))))))))))))))))))))</f>
        <v>True Pattern</v>
      </c>
      <c r="Q844" s="13" t="str">
        <f>IF(NOT(ISERR(SEARCH("*_Buggy",$A844))), "Buggy", IF(NOT(ISERR(SEARCH("*_Fixed",$A844))), "Fixed", IF(NOT(ISERR(SEARCH("*_Repaired",$A844))), "Repaired", "")))</f>
        <v>Fixed</v>
      </c>
      <c r="R844" s="13" t="s">
        <v>1668</v>
      </c>
      <c r="S844" s="25">
        <v>1</v>
      </c>
      <c r="T844" s="25">
        <v>1</v>
      </c>
      <c r="U844" s="25">
        <v>1</v>
      </c>
      <c r="V844" s="13">
        <v>1</v>
      </c>
      <c r="W844" s="13" t="str">
        <f>MID(A844, SEARCH("_", A844) +1, SEARCH("_", A844, SEARCH("_", A844) +1) - SEARCH("_", A844) -1)</f>
        <v>Lang-6</v>
      </c>
      <c r="Y844" s="1" t="str">
        <f t="shared" si="24"/>
        <v>NO</v>
      </c>
      <c r="Z844" s="1" t="str">
        <f t="shared" si="25"/>
        <v>NO</v>
      </c>
      <c r="AA844" t="str">
        <f>IF(AND(S844&gt;1,S1369&gt;1,S844=V844,S1369=V1369), "YES", "NO")</f>
        <v>NO</v>
      </c>
      <c r="AB844" t="str">
        <f>IF(AND(S844&gt;1,S1369&gt;1,S844&lt;V844,S1369&lt;V1369), "YES", "NO")</f>
        <v>NO</v>
      </c>
      <c r="AC844" t="str">
        <f t="shared" si="26"/>
        <v>YES</v>
      </c>
      <c r="AD844" t="str">
        <f t="shared" si="27"/>
        <v>NO</v>
      </c>
      <c r="AE844" t="str">
        <f t="shared" si="28"/>
        <v>YES</v>
      </c>
      <c r="AF844" t="str">
        <f t="shared" si="29"/>
        <v>NO</v>
      </c>
    </row>
    <row r="845" spans="1:32" ht="15" x14ac:dyDescent="0.35">
      <c r="A845" s="7" t="s">
        <v>875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>LEFT($A845,FIND("_",$A845)-1)</f>
        <v>kPAR</v>
      </c>
      <c r="P845" s="13" t="str">
        <f>IF($O845="ACS", "True Search", IF($O845="Arja", "Evolutionary Search", IF($O845="AVATAR", "True Pattern", IF($O845="CapGen", "Search Like Pattern", IF($O845="Cardumen", "True Semantic", IF($O845="DynaMoth", "True Semantic", IF($O845="FixMiner", "True Pattern", IF($O845="GenProg-A", "Evolutionary Search", IF($O845="Hercules", "Learning Pattern", IF($O845="Jaid", "True Semantic",
IF($O845="Kali-A", "True Search", IF($O845="kPAR", "True Pattern", IF($O845="Nopol", "True Semantic", IF($O845="RSRepair-A", "Evolutionary Search", IF($O845="SequenceR", "Deep Learning", IF($O845="SimFix", "Search Like Pattern", IF($O845="SketchFix", "True Pattern", IF($O845="SOFix", "True Pattern", IF($O845="ssFix", "Search Like Pattern", IF($O845="TBar", "True Pattern", ""))))))))))))))))))))</f>
        <v>True Pattern</v>
      </c>
      <c r="Q845" s="13" t="str">
        <f>IF(NOT(ISERR(SEARCH("*_Buggy",$A845))), "Buggy", IF(NOT(ISERR(SEARCH("*_Fixed",$A845))), "Fixed", IF(NOT(ISERR(SEARCH("*_Repaired",$A845))), "Repaired", "")))</f>
        <v>Fixed</v>
      </c>
      <c r="R845" s="13" t="s">
        <v>1669</v>
      </c>
      <c r="S845" s="25">
        <v>4</v>
      </c>
      <c r="T845" s="25">
        <v>3</v>
      </c>
      <c r="U845" s="25">
        <v>20</v>
      </c>
      <c r="V845" s="13">
        <v>22</v>
      </c>
      <c r="W845" s="13" t="str">
        <f>MID(A845, SEARCH("_", A845) +1, SEARCH("_", A845, SEARCH("_", A845) +1) - SEARCH("_", A845) -1)</f>
        <v>Lang-63</v>
      </c>
      <c r="Y845" s="1" t="str">
        <f t="shared" si="24"/>
        <v>NO</v>
      </c>
      <c r="Z845" s="1" t="str">
        <f t="shared" si="25"/>
        <v>YES</v>
      </c>
      <c r="AA845" t="str">
        <f>IF(AND(S845&gt;1,S1370&gt;1,S845=V845,S1370=V1370), "YES", "NO")</f>
        <v>NO</v>
      </c>
      <c r="AB845" t="str">
        <f>IF(AND(S845&gt;1,S1370&gt;1,S845&lt;V845,S1370&lt;V1370), "YES", "NO")</f>
        <v>NO</v>
      </c>
      <c r="AC845" t="str">
        <f t="shared" si="26"/>
        <v>NO</v>
      </c>
      <c r="AD845" t="str">
        <f t="shared" si="27"/>
        <v>NO</v>
      </c>
      <c r="AE845" t="str">
        <f t="shared" si="28"/>
        <v>NO</v>
      </c>
      <c r="AF845" t="str">
        <f t="shared" si="29"/>
        <v>NO</v>
      </c>
    </row>
    <row r="846" spans="1:32" ht="15" x14ac:dyDescent="0.35">
      <c r="A846" s="5" t="s">
        <v>558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>LEFT($A846,FIND("_",$A846)-1)</f>
        <v>kPAR</v>
      </c>
      <c r="P846" s="13" t="str">
        <f>IF($O846="ACS", "True Search", IF($O846="Arja", "Evolutionary Search", IF($O846="AVATAR", "True Pattern", IF($O846="CapGen", "Search Like Pattern", IF($O846="Cardumen", "True Semantic", IF($O846="DynaMoth", "True Semantic", IF($O846="FixMiner", "True Pattern", IF($O846="GenProg-A", "Evolutionary Search", IF($O846="Hercules", "Learning Pattern", IF($O846="Jaid", "True Semantic",
IF($O846="Kali-A", "True Search", IF($O846="kPAR", "True Pattern", IF($O846="Nopol", "True Semantic", IF($O846="RSRepair-A", "Evolutionary Search", IF($O846="SequenceR", "Deep Learning", IF($O846="SimFix", "Search Like Pattern", IF($O846="SketchFix", "True Pattern", IF($O846="SOFix", "True Pattern", IF($O846="ssFix", "Search Like Pattern", IF($O846="TBar", "True Pattern", ""))))))))))))))))))))</f>
        <v>True Pattern</v>
      </c>
      <c r="Q846" s="13" t="str">
        <f>IF(NOT(ISERR(SEARCH("*_Buggy",$A846))), "Buggy", IF(NOT(ISERR(SEARCH("*_Fixed",$A846))), "Fixed", IF(NOT(ISERR(SEARCH("*_Repaired",$A846))), "Repaired", "")))</f>
        <v>Fixed</v>
      </c>
      <c r="R846" s="13" t="s">
        <v>1668</v>
      </c>
      <c r="S846" s="25">
        <v>3</v>
      </c>
      <c r="T846" s="25">
        <v>3</v>
      </c>
      <c r="U846" s="25">
        <v>3</v>
      </c>
      <c r="V846" s="13">
        <v>6</v>
      </c>
      <c r="W846" s="13" t="str">
        <f>MID(A846, SEARCH("_", A846) +1, SEARCH("_", A846, SEARCH("_", A846) +1) - SEARCH("_", A846) -1)</f>
        <v>Lang-7</v>
      </c>
      <c r="Y846" s="1" t="str">
        <f t="shared" si="24"/>
        <v>NO</v>
      </c>
      <c r="Z846" s="1" t="str">
        <f t="shared" si="25"/>
        <v>YES</v>
      </c>
      <c r="AA846" t="str">
        <f>IF(AND(S846&gt;1,S1371&gt;1,S846=V846,S1371=V1371), "YES", "NO")</f>
        <v>NO</v>
      </c>
      <c r="AB846" t="str">
        <f>IF(AND(S846&gt;1,S1371&gt;1,S846&lt;V846,S1371&lt;V1371), "YES", "NO")</f>
        <v>NO</v>
      </c>
      <c r="AC846" t="str">
        <f t="shared" si="26"/>
        <v>NO</v>
      </c>
      <c r="AD846" t="str">
        <f t="shared" si="27"/>
        <v>NO</v>
      </c>
      <c r="AE846" t="str">
        <f t="shared" si="28"/>
        <v>NO</v>
      </c>
      <c r="AF846" t="str">
        <f t="shared" si="29"/>
        <v>NO</v>
      </c>
    </row>
    <row r="847" spans="1:32" ht="15" x14ac:dyDescent="0.35">
      <c r="A847" s="5" t="s">
        <v>1268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>LEFT($A847,FIND("_",$A847)-1)</f>
        <v>kPAR</v>
      </c>
      <c r="P847" s="13" t="str">
        <f>IF($O847="ACS", "True Search", IF($O847="Arja", "Evolutionary Search", IF($O847="AVATAR", "True Pattern", IF($O847="CapGen", "Search Like Pattern", IF($O847="Cardumen", "True Semantic", IF($O847="DynaMoth", "True Semantic", IF($O847="FixMiner", "True Pattern", IF($O847="GenProg-A", "Evolutionary Search", IF($O847="Hercules", "Learning Pattern", IF($O847="Jaid", "True Semantic",
IF($O847="Kali-A", "True Search", IF($O847="kPAR", "True Pattern", IF($O847="Nopol", "True Semantic", IF($O847="RSRepair-A", "Evolutionary Search", IF($O847="SequenceR", "Deep Learning", IF($O847="SimFix", "Search Like Pattern", IF($O847="SketchFix", "True Pattern", IF($O847="SOFix", "True Pattern", IF($O847="ssFix", "Search Like Pattern", IF($O847="TBar", "True Pattern", ""))))))))))))))))))))</f>
        <v>True Pattern</v>
      </c>
      <c r="Q847" s="13" t="str">
        <f>IF(NOT(ISERR(SEARCH("*_Buggy",$A847))), "Buggy", IF(NOT(ISERR(SEARCH("*_Fixed",$A847))), "Fixed", IF(NOT(ISERR(SEARCH("*_Repaired",$A847))), "Repaired", "")))</f>
        <v>Fixed</v>
      </c>
      <c r="R847" s="13" t="s">
        <v>1669</v>
      </c>
      <c r="S847" s="25">
        <v>1</v>
      </c>
      <c r="T847" s="25">
        <v>1</v>
      </c>
      <c r="U847" s="25">
        <v>1</v>
      </c>
      <c r="V847" s="13">
        <v>1</v>
      </c>
      <c r="W847" s="13" t="str">
        <f>MID(A847, SEARCH("_", A847) +1, SEARCH("_", A847, SEARCH("_", A847) +1) - SEARCH("_", A847) -1)</f>
        <v>Math-104</v>
      </c>
      <c r="Y847" s="1" t="str">
        <f t="shared" si="24"/>
        <v>NO</v>
      </c>
      <c r="Z847" s="1" t="str">
        <f t="shared" si="25"/>
        <v>NO</v>
      </c>
      <c r="AA847" t="str">
        <f>IF(AND(S847&gt;1,S1372&gt;1,S847=V847,S1372=V1372), "YES", "NO")</f>
        <v>NO</v>
      </c>
      <c r="AB847" t="str">
        <f>IF(AND(S847&gt;1,S1372&gt;1,S847&lt;V847,S1372&lt;V1372), "YES", "NO")</f>
        <v>NO</v>
      </c>
      <c r="AC847" t="str">
        <f t="shared" si="26"/>
        <v>YES</v>
      </c>
      <c r="AD847" t="str">
        <f t="shared" si="27"/>
        <v>NO</v>
      </c>
      <c r="AE847" t="str">
        <f t="shared" si="28"/>
        <v>YES</v>
      </c>
      <c r="AF847" t="str">
        <f t="shared" si="29"/>
        <v>NO</v>
      </c>
    </row>
    <row r="848" spans="1:32" ht="15" x14ac:dyDescent="0.35">
      <c r="A848" s="7" t="s">
        <v>375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>LEFT($A848,FIND("_",$A848)-1)</f>
        <v>kPAR</v>
      </c>
      <c r="P848" s="13" t="str">
        <f>IF($O848="ACS", "True Search", IF($O848="Arja", "Evolutionary Search", IF($O848="AVATAR", "True Pattern", IF($O848="CapGen", "Search Like Pattern", IF($O848="Cardumen", "True Semantic", IF($O848="DynaMoth", "True Semantic", IF($O848="FixMiner", "True Pattern", IF($O848="GenProg-A", "Evolutionary Search", IF($O848="Hercules", "Learning Pattern", IF($O848="Jaid", "True Semantic",
IF($O848="Kali-A", "True Search", IF($O848="kPAR", "True Pattern", IF($O848="Nopol", "True Semantic", IF($O848="RSRepair-A", "Evolutionary Search", IF($O848="SequenceR", "Deep Learning", IF($O848="SimFix", "Search Like Pattern", IF($O848="SketchFix", "True Pattern", IF($O848="SOFix", "True Pattern", IF($O848="ssFix", "Search Like Pattern", IF($O848="TBar", "True Pattern", ""))))))))))))))))))))</f>
        <v>True Pattern</v>
      </c>
      <c r="Q848" s="13" t="str">
        <f>IF(NOT(ISERR(SEARCH("*_Buggy",$A848))), "Buggy", IF(NOT(ISERR(SEARCH("*_Fixed",$A848))), "Fixed", IF(NOT(ISERR(SEARCH("*_Repaired",$A848))), "Repaired", "")))</f>
        <v>Fixed</v>
      </c>
      <c r="R848" s="13" t="s">
        <v>1669</v>
      </c>
      <c r="S848" s="25">
        <v>2</v>
      </c>
      <c r="T848" s="25">
        <v>2</v>
      </c>
      <c r="U848" s="25">
        <v>1</v>
      </c>
      <c r="V848" s="13">
        <v>2</v>
      </c>
      <c r="W848" s="13" t="str">
        <f>MID(A848, SEARCH("_", A848) +1, SEARCH("_", A848, SEARCH("_", A848) +1) - SEARCH("_", A848) -1)</f>
        <v>Math-15</v>
      </c>
      <c r="Y848" s="1" t="str">
        <f t="shared" si="24"/>
        <v>YES</v>
      </c>
      <c r="Z848" s="1" t="str">
        <f t="shared" si="25"/>
        <v>NO</v>
      </c>
      <c r="AA848" t="str">
        <f>IF(AND(S848&gt;1,S1373&gt;1,S848=V848,S1373=V1373), "YES", "NO")</f>
        <v>NO</v>
      </c>
      <c r="AB848" t="str">
        <f>IF(AND(S848&gt;1,S1373&gt;1,S848&lt;V848,S1373&lt;V1373), "YES", "NO")</f>
        <v>NO</v>
      </c>
      <c r="AC848" t="str">
        <f t="shared" si="26"/>
        <v>NO</v>
      </c>
      <c r="AD848" t="str">
        <f t="shared" si="27"/>
        <v>NO</v>
      </c>
      <c r="AE848" t="str">
        <f t="shared" si="28"/>
        <v>NO</v>
      </c>
      <c r="AF848" t="str">
        <f t="shared" si="29"/>
        <v>NO</v>
      </c>
    </row>
    <row r="849" spans="1:32" ht="15" x14ac:dyDescent="0.35">
      <c r="A849" s="7" t="s">
        <v>171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>LEFT($A849,FIND("_",$A849)-1)</f>
        <v>kPAR</v>
      </c>
      <c r="P849" s="13" t="str">
        <f>IF($O849="ACS", "True Search", IF($O849="Arja", "Evolutionary Search", IF($O849="AVATAR", "True Pattern", IF($O849="CapGen", "Search Like Pattern", IF($O849="Cardumen", "True Semantic", IF($O849="DynaMoth", "True Semantic", IF($O849="FixMiner", "True Pattern", IF($O849="GenProg-A", "Evolutionary Search", IF($O849="Hercules", "Learning Pattern", IF($O849="Jaid", "True Semantic",
IF($O849="Kali-A", "True Search", IF($O849="kPAR", "True Pattern", IF($O849="Nopol", "True Semantic", IF($O849="RSRepair-A", "Evolutionary Search", IF($O849="SequenceR", "Deep Learning", IF($O849="SimFix", "Search Like Pattern", IF($O849="SketchFix", "True Pattern", IF($O849="SOFix", "True Pattern", IF($O849="ssFix", "Search Like Pattern", IF($O849="TBar", "True Pattern", ""))))))))))))))))))))</f>
        <v>True Pattern</v>
      </c>
      <c r="Q849" s="13" t="str">
        <f>IF(NOT(ISERR(SEARCH("*_Buggy",$A849))), "Buggy", IF(NOT(ISERR(SEARCH("*_Fixed",$A849))), "Fixed", IF(NOT(ISERR(SEARCH("*_Repaired",$A849))), "Repaired", "")))</f>
        <v>Fixed</v>
      </c>
      <c r="R849" s="13" t="s">
        <v>1669</v>
      </c>
      <c r="S849" s="25">
        <v>2</v>
      </c>
      <c r="T849" s="25">
        <v>8</v>
      </c>
      <c r="U849" s="25">
        <v>2</v>
      </c>
      <c r="V849" s="13">
        <v>8</v>
      </c>
      <c r="W849" s="13" t="str">
        <f>MID(A849, SEARCH("_", A849) +1, SEARCH("_", A849, SEARCH("_", A849) +1) - SEARCH("_", A849) -1)</f>
        <v>Math-40</v>
      </c>
      <c r="Y849" s="1" t="str">
        <f t="shared" si="24"/>
        <v>NO</v>
      </c>
      <c r="Z849" s="1" t="str">
        <f t="shared" si="25"/>
        <v>YES</v>
      </c>
      <c r="AA849" t="str">
        <f>IF(AND(S849&gt;1,S1374&gt;1,S849=V849,S1374=V1374), "YES", "NO")</f>
        <v>NO</v>
      </c>
      <c r="AB849" t="str">
        <f>IF(AND(S849&gt;1,S1374&gt;1,S849&lt;V849,S1374&lt;V1374), "YES", "NO")</f>
        <v>NO</v>
      </c>
      <c r="AC849" t="str">
        <f t="shared" si="26"/>
        <v>NO</v>
      </c>
      <c r="AD849" t="str">
        <f t="shared" si="27"/>
        <v>NO</v>
      </c>
      <c r="AE849" t="str">
        <f t="shared" si="28"/>
        <v>NO</v>
      </c>
      <c r="AF849" t="str">
        <f t="shared" si="29"/>
        <v>NO</v>
      </c>
    </row>
    <row r="850" spans="1:32" ht="15" x14ac:dyDescent="0.35">
      <c r="A850" s="7" t="s">
        <v>109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>LEFT($A850,FIND("_",$A850)-1)</f>
        <v>kPAR</v>
      </c>
      <c r="P850" s="13" t="str">
        <f>IF($O850="ACS", "True Search", IF($O850="Arja", "Evolutionary Search", IF($O850="AVATAR", "True Pattern", IF($O850="CapGen", "Search Like Pattern", IF($O850="Cardumen", "True Semantic", IF($O850="DynaMoth", "True Semantic", IF($O850="FixMiner", "True Pattern", IF($O850="GenProg-A", "Evolutionary Search", IF($O850="Hercules", "Learning Pattern", IF($O850="Jaid", "True Semantic",
IF($O850="Kali-A", "True Search", IF($O850="kPAR", "True Pattern", IF($O850="Nopol", "True Semantic", IF($O850="RSRepair-A", "Evolutionary Search", IF($O850="SequenceR", "Deep Learning", IF($O850="SimFix", "Search Like Pattern", IF($O850="SketchFix", "True Pattern", IF($O850="SOFix", "True Pattern", IF($O850="ssFix", "Search Like Pattern", IF($O850="TBar", "True Pattern", ""))))))))))))))))))))</f>
        <v>True Pattern</v>
      </c>
      <c r="Q850" s="13" t="str">
        <f>IF(NOT(ISERR(SEARCH("*_Buggy",$A850))), "Buggy", IF(NOT(ISERR(SEARCH("*_Fixed",$A850))), "Fixed", IF(NOT(ISERR(SEARCH("*_Repaired",$A850))), "Repaired", "")))</f>
        <v>Fixed</v>
      </c>
      <c r="R850" s="13" t="s">
        <v>1669</v>
      </c>
      <c r="S850" s="25">
        <v>2</v>
      </c>
      <c r="T850" s="25">
        <v>3</v>
      </c>
      <c r="U850" s="25">
        <v>1</v>
      </c>
      <c r="V850" s="13">
        <v>3</v>
      </c>
      <c r="W850" s="13" t="str">
        <f>MID(A850, SEARCH("_", A850) +1, SEARCH("_", A850, SEARCH("_", A850) +1) - SEARCH("_", A850) -1)</f>
        <v>Math-42</v>
      </c>
      <c r="Y850" s="1" t="str">
        <f t="shared" si="24"/>
        <v>NO</v>
      </c>
      <c r="Z850" s="1" t="str">
        <f t="shared" si="25"/>
        <v>YES</v>
      </c>
      <c r="AA850" t="str">
        <f>IF(AND(S850&gt;1,S1375&gt;1,S850=V850,S1375=V1375), "YES", "NO")</f>
        <v>NO</v>
      </c>
      <c r="AB850" t="str">
        <f>IF(AND(S850&gt;1,S1375&gt;1,S850&lt;V850,S1375&lt;V1375), "YES", "NO")</f>
        <v>NO</v>
      </c>
      <c r="AC850" t="str">
        <f t="shared" si="26"/>
        <v>NO</v>
      </c>
      <c r="AD850" t="str">
        <f t="shared" si="27"/>
        <v>NO</v>
      </c>
      <c r="AE850" t="str">
        <f t="shared" si="28"/>
        <v>NO</v>
      </c>
      <c r="AF850" t="str">
        <f t="shared" si="29"/>
        <v>NO</v>
      </c>
    </row>
    <row r="851" spans="1:32" ht="15" x14ac:dyDescent="0.35">
      <c r="A851" s="7" t="s">
        <v>367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>LEFT($A851,FIND("_",$A851)-1)</f>
        <v>kPAR</v>
      </c>
      <c r="P851" s="13" t="str">
        <f>IF($O851="ACS", "True Search", IF($O851="Arja", "Evolutionary Search", IF($O851="AVATAR", "True Pattern", IF($O851="CapGen", "Search Like Pattern", IF($O851="Cardumen", "True Semantic", IF($O851="DynaMoth", "True Semantic", IF($O851="FixMiner", "True Pattern", IF($O851="GenProg-A", "Evolutionary Search", IF($O851="Hercules", "Learning Pattern", IF($O851="Jaid", "True Semantic",
IF($O851="Kali-A", "True Search", IF($O851="kPAR", "True Pattern", IF($O851="Nopol", "True Semantic", IF($O851="RSRepair-A", "Evolutionary Search", IF($O851="SequenceR", "Deep Learning", IF($O851="SimFix", "Search Like Pattern", IF($O851="SketchFix", "True Pattern", IF($O851="SOFix", "True Pattern", IF($O851="ssFix", "Search Like Pattern", IF($O851="TBar", "True Pattern", ""))))))))))))))))))))</f>
        <v>True Pattern</v>
      </c>
      <c r="Q851" s="13" t="str">
        <f>IF(NOT(ISERR(SEARCH("*_Buggy",$A851))), "Buggy", IF(NOT(ISERR(SEARCH("*_Fixed",$A851))), "Fixed", IF(NOT(ISERR(SEARCH("*_Repaired",$A851))), "Repaired", "")))</f>
        <v>Fixed</v>
      </c>
      <c r="R851" s="13" t="s">
        <v>1669</v>
      </c>
      <c r="S851" s="25">
        <v>3</v>
      </c>
      <c r="T851" s="25">
        <v>3</v>
      </c>
      <c r="U851" s="25">
        <v>3</v>
      </c>
      <c r="V851" s="13">
        <v>3</v>
      </c>
      <c r="W851" s="13" t="str">
        <f>MID(A851, SEARCH("_", A851) +1, SEARCH("_", A851, SEARCH("_", A851) +1) - SEARCH("_", A851) -1)</f>
        <v>Math-43</v>
      </c>
      <c r="Y851" s="1" t="str">
        <f t="shared" si="24"/>
        <v>YES</v>
      </c>
      <c r="Z851" s="1" t="str">
        <f t="shared" si="25"/>
        <v>NO</v>
      </c>
      <c r="AA851" t="str">
        <f>IF(AND(S851&gt;1,S1376&gt;1,S851=V851,S1376=V1376), "YES", "NO")</f>
        <v>NO</v>
      </c>
      <c r="AB851" t="str">
        <f>IF(AND(S851&gt;1,S1376&gt;1,S851&lt;V851,S1376&lt;V1376), "YES", "NO")</f>
        <v>NO</v>
      </c>
      <c r="AC851" t="str">
        <f t="shared" si="26"/>
        <v>NO</v>
      </c>
      <c r="AD851" t="str">
        <f t="shared" si="27"/>
        <v>NO</v>
      </c>
      <c r="AE851" t="str">
        <f t="shared" si="28"/>
        <v>NO</v>
      </c>
      <c r="AF851" t="str">
        <f t="shared" si="29"/>
        <v>NO</v>
      </c>
    </row>
    <row r="852" spans="1:32" ht="15" x14ac:dyDescent="0.35">
      <c r="A852" s="5" t="s">
        <v>1037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>LEFT($A852,FIND("_",$A852)-1)</f>
        <v>kPAR</v>
      </c>
      <c r="P852" s="13" t="str">
        <f>IF($O852="ACS", "True Search", IF($O852="Arja", "Evolutionary Search", IF($O852="AVATAR", "True Pattern", IF($O852="CapGen", "Search Like Pattern", IF($O852="Cardumen", "True Semantic", IF($O852="DynaMoth", "True Semantic", IF($O852="FixMiner", "True Pattern", IF($O852="GenProg-A", "Evolutionary Search", IF($O852="Hercules", "Learning Pattern", IF($O852="Jaid", "True Semantic",
IF($O852="Kali-A", "True Search", IF($O852="kPAR", "True Pattern", IF($O852="Nopol", "True Semantic", IF($O852="RSRepair-A", "Evolutionary Search", IF($O852="SequenceR", "Deep Learning", IF($O852="SimFix", "Search Like Pattern", IF($O852="SketchFix", "True Pattern", IF($O852="SOFix", "True Pattern", IF($O852="ssFix", "Search Like Pattern", IF($O852="TBar", "True Pattern", ""))))))))))))))))))))</f>
        <v>True Pattern</v>
      </c>
      <c r="Q852" s="13" t="str">
        <f>IF(NOT(ISERR(SEARCH("*_Buggy",$A852))), "Buggy", IF(NOT(ISERR(SEARCH("*_Fixed",$A852))), "Fixed", IF(NOT(ISERR(SEARCH("*_Repaired",$A852))), "Repaired", "")))</f>
        <v>Fixed</v>
      </c>
      <c r="R852" s="13" t="s">
        <v>1668</v>
      </c>
      <c r="S852" s="25">
        <v>1</v>
      </c>
      <c r="T852" s="25">
        <v>0</v>
      </c>
      <c r="U852" s="13">
        <v>4</v>
      </c>
      <c r="V852" s="13">
        <v>4</v>
      </c>
      <c r="W852" s="13" t="str">
        <f>MID(A852, SEARCH("_", A852) +1, SEARCH("_", A852, SEARCH("_", A852) +1) - SEARCH("_", A852) -1)</f>
        <v>Math-50</v>
      </c>
      <c r="Y852" s="1" t="str">
        <f t="shared" si="24"/>
        <v>NO</v>
      </c>
      <c r="Z852" s="1" t="str">
        <f t="shared" si="25"/>
        <v>NO</v>
      </c>
      <c r="AA852" t="str">
        <f>IF(AND(S852&gt;1,S1377&gt;1,S852=V852,S1377=V1377), "YES", "NO")</f>
        <v>NO</v>
      </c>
      <c r="AB852" t="str">
        <f>IF(AND(S852&gt;1,S1377&gt;1,S852&lt;V852,S1377&lt;V1377), "YES", "NO")</f>
        <v>NO</v>
      </c>
      <c r="AC852" t="str">
        <f t="shared" si="26"/>
        <v>NO</v>
      </c>
      <c r="AD852" t="str">
        <f t="shared" si="27"/>
        <v>NO</v>
      </c>
      <c r="AE852" t="str">
        <f t="shared" si="28"/>
        <v>NO</v>
      </c>
      <c r="AF852" t="str">
        <f t="shared" si="29"/>
        <v>NO</v>
      </c>
    </row>
    <row r="853" spans="1:32" ht="15" x14ac:dyDescent="0.35">
      <c r="A853" s="7" t="s">
        <v>152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>LEFT($A853,FIND("_",$A853)-1)</f>
        <v>kPAR</v>
      </c>
      <c r="P853" s="13" t="str">
        <f>IF($O853="ACS", "True Search", IF($O853="Arja", "Evolutionary Search", IF($O853="AVATAR", "True Pattern", IF($O853="CapGen", "Search Like Pattern", IF($O853="Cardumen", "True Semantic", IF($O853="DynaMoth", "True Semantic", IF($O853="FixMiner", "True Pattern", IF($O853="GenProg-A", "Evolutionary Search", IF($O853="Hercules", "Learning Pattern", IF($O853="Jaid", "True Semantic",
IF($O853="Kali-A", "True Search", IF($O853="kPAR", "True Pattern", IF($O853="Nopol", "True Semantic", IF($O853="RSRepair-A", "Evolutionary Search", IF($O853="SequenceR", "Deep Learning", IF($O853="SimFix", "Search Like Pattern", IF($O853="SketchFix", "True Pattern", IF($O853="SOFix", "True Pattern", IF($O853="ssFix", "Search Like Pattern", IF($O853="TBar", "True Pattern", ""))))))))))))))))))))</f>
        <v>True Pattern</v>
      </c>
      <c r="Q853" s="13" t="str">
        <f>IF(NOT(ISERR(SEARCH("*_Buggy",$A853))), "Buggy", IF(NOT(ISERR(SEARCH("*_Fixed",$A853))), "Fixed", IF(NOT(ISERR(SEARCH("*_Repaired",$A853))), "Repaired", "")))</f>
        <v>Fixed</v>
      </c>
      <c r="R853" s="13" t="s">
        <v>1668</v>
      </c>
      <c r="S853" s="25">
        <v>1</v>
      </c>
      <c r="T853" s="25">
        <v>1</v>
      </c>
      <c r="U853" s="25">
        <v>1</v>
      </c>
      <c r="V853" s="13">
        <v>1</v>
      </c>
      <c r="W853" s="13" t="str">
        <f>MID(A853, SEARCH("_", A853) +1, SEARCH("_", A853, SEARCH("_", A853) +1) - SEARCH("_", A853) -1)</f>
        <v>Math-58</v>
      </c>
      <c r="Y853" s="1" t="str">
        <f t="shared" si="24"/>
        <v>NO</v>
      </c>
      <c r="Z853" s="1" t="str">
        <f t="shared" si="25"/>
        <v>NO</v>
      </c>
      <c r="AA853" t="str">
        <f>IF(AND(S853&gt;1,S1378&gt;1,S853=V853,S1378=V1378), "YES", "NO")</f>
        <v>NO</v>
      </c>
      <c r="AB853" t="str">
        <f>IF(AND(S853&gt;1,S1378&gt;1,S853&lt;V853,S1378&lt;V1378), "YES", "NO")</f>
        <v>NO</v>
      </c>
      <c r="AC853" t="str">
        <f t="shared" si="26"/>
        <v>YES</v>
      </c>
      <c r="AD853" t="str">
        <f t="shared" si="27"/>
        <v>NO</v>
      </c>
      <c r="AE853" t="str">
        <f t="shared" si="28"/>
        <v>YES</v>
      </c>
      <c r="AF853" t="str">
        <f t="shared" si="29"/>
        <v>NO</v>
      </c>
    </row>
    <row r="854" spans="1:32" ht="15" x14ac:dyDescent="0.35">
      <c r="A854" s="7" t="s">
        <v>232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>LEFT($A854,FIND("_",$A854)-1)</f>
        <v>kPAR</v>
      </c>
      <c r="P854" s="13" t="str">
        <f>IF($O854="ACS", "True Search", IF($O854="Arja", "Evolutionary Search", IF($O854="AVATAR", "True Pattern", IF($O854="CapGen", "Search Like Pattern", IF($O854="Cardumen", "True Semantic", IF($O854="DynaMoth", "True Semantic", IF($O854="FixMiner", "True Pattern", IF($O854="GenProg-A", "Evolutionary Search", IF($O854="Hercules", "Learning Pattern", IF($O854="Jaid", "True Semantic",
IF($O854="Kali-A", "True Search", IF($O854="kPAR", "True Pattern", IF($O854="Nopol", "True Semantic", IF($O854="RSRepair-A", "Evolutionary Search", IF($O854="SequenceR", "Deep Learning", IF($O854="SimFix", "Search Like Pattern", IF($O854="SketchFix", "True Pattern", IF($O854="SOFix", "True Pattern", IF($O854="ssFix", "Search Like Pattern", IF($O854="TBar", "True Pattern", ""))))))))))))))))))))</f>
        <v>True Pattern</v>
      </c>
      <c r="Q854" s="13" t="str">
        <f>IF(NOT(ISERR(SEARCH("*_Buggy",$A854))), "Buggy", IF(NOT(ISERR(SEARCH("*_Fixed",$A854))), "Fixed", IF(NOT(ISERR(SEARCH("*_Repaired",$A854))), "Repaired", "")))</f>
        <v>Fixed</v>
      </c>
      <c r="R854" s="13" t="s">
        <v>1669</v>
      </c>
      <c r="S854" s="25">
        <v>2</v>
      </c>
      <c r="T854" s="25">
        <v>3</v>
      </c>
      <c r="U854" s="25">
        <v>4</v>
      </c>
      <c r="V854" s="13">
        <v>4</v>
      </c>
      <c r="W854" s="13" t="str">
        <f>MID(A854, SEARCH("_", A854) +1, SEARCH("_", A854, SEARCH("_", A854) +1) - SEARCH("_", A854) -1)</f>
        <v>Math-62</v>
      </c>
      <c r="Y854" s="1" t="str">
        <f t="shared" si="24"/>
        <v>NO</v>
      </c>
      <c r="Z854" s="1" t="str">
        <f t="shared" si="25"/>
        <v>YES</v>
      </c>
      <c r="AA854" t="str">
        <f>IF(AND(S854&gt;1,S1379&gt;1,S854=V854,S1379=V1379), "YES", "NO")</f>
        <v>NO</v>
      </c>
      <c r="AB854" t="str">
        <f>IF(AND(S854&gt;1,S1379&gt;1,S854&lt;V854,S1379&lt;V1379), "YES", "NO")</f>
        <v>NO</v>
      </c>
      <c r="AC854" t="str">
        <f t="shared" si="26"/>
        <v>NO</v>
      </c>
      <c r="AD854" t="str">
        <f t="shared" si="27"/>
        <v>NO</v>
      </c>
      <c r="AE854" t="str">
        <f t="shared" si="28"/>
        <v>NO</v>
      </c>
      <c r="AF854" t="str">
        <f t="shared" si="29"/>
        <v>NO</v>
      </c>
    </row>
    <row r="855" spans="1:32" ht="15" x14ac:dyDescent="0.35">
      <c r="A855" s="7" t="s">
        <v>901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>LEFT($A855,FIND("_",$A855)-1)</f>
        <v>kPAR</v>
      </c>
      <c r="P855" s="13" t="str">
        <f>IF($O855="ACS", "True Search", IF($O855="Arja", "Evolutionary Search", IF($O855="AVATAR", "True Pattern", IF($O855="CapGen", "Search Like Pattern", IF($O855="Cardumen", "True Semantic", IF($O855="DynaMoth", "True Semantic", IF($O855="FixMiner", "True Pattern", IF($O855="GenProg-A", "Evolutionary Search", IF($O855="Hercules", "Learning Pattern", IF($O855="Jaid", "True Semantic",
IF($O855="Kali-A", "True Search", IF($O855="kPAR", "True Pattern", IF($O855="Nopol", "True Semantic", IF($O855="RSRepair-A", "Evolutionary Search", IF($O855="SequenceR", "Deep Learning", IF($O855="SimFix", "Search Like Pattern", IF($O855="SketchFix", "True Pattern", IF($O855="SOFix", "True Pattern", IF($O855="ssFix", "Search Like Pattern", IF($O855="TBar", "True Pattern", ""))))))))))))))))))))</f>
        <v>True Pattern</v>
      </c>
      <c r="Q855" s="13" t="str">
        <f>IF(NOT(ISERR(SEARCH("*_Buggy",$A855))), "Buggy", IF(NOT(ISERR(SEARCH("*_Fixed",$A855))), "Fixed", IF(NOT(ISERR(SEARCH("*_Repaired",$A855))), "Repaired", "")))</f>
        <v>Fixed</v>
      </c>
      <c r="R855" s="13" t="s">
        <v>1669</v>
      </c>
      <c r="S855" s="25">
        <v>1</v>
      </c>
      <c r="T855" s="25">
        <v>1</v>
      </c>
      <c r="U855" s="25">
        <v>1</v>
      </c>
      <c r="V855" s="13">
        <v>1</v>
      </c>
      <c r="W855" s="13" t="str">
        <f>MID(A855, SEARCH("_", A855) +1, SEARCH("_", A855, SEARCH("_", A855) +1) - SEARCH("_", A855) -1)</f>
        <v>Math-63</v>
      </c>
      <c r="Y855" s="1" t="str">
        <f t="shared" si="24"/>
        <v>NO</v>
      </c>
      <c r="Z855" s="1" t="str">
        <f t="shared" si="25"/>
        <v>NO</v>
      </c>
      <c r="AA855" t="str">
        <f>IF(AND(S855&gt;1,S1380&gt;1,S855=V855,S1380=V1380), "YES", "NO")</f>
        <v>NO</v>
      </c>
      <c r="AB855" t="str">
        <f>IF(AND(S855&gt;1,S1380&gt;1,S855&lt;V855,S1380&lt;V1380), "YES", "NO")</f>
        <v>NO</v>
      </c>
      <c r="AC855" t="str">
        <f t="shared" si="26"/>
        <v>YES</v>
      </c>
      <c r="AD855" t="str">
        <f t="shared" si="27"/>
        <v>NO</v>
      </c>
      <c r="AE855" t="str">
        <f t="shared" si="28"/>
        <v>YES</v>
      </c>
      <c r="AF855" t="str">
        <f t="shared" si="29"/>
        <v>NO</v>
      </c>
    </row>
    <row r="856" spans="1:32" ht="15" x14ac:dyDescent="0.35">
      <c r="A856" s="7" t="s">
        <v>959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>LEFT($A856,FIND("_",$A856)-1)</f>
        <v>kPAR</v>
      </c>
      <c r="P856" s="13" t="str">
        <f>IF($O856="ACS", "True Search", IF($O856="Arja", "Evolutionary Search", IF($O856="AVATAR", "True Pattern", IF($O856="CapGen", "Search Like Pattern", IF($O856="Cardumen", "True Semantic", IF($O856="DynaMoth", "True Semantic", IF($O856="FixMiner", "True Pattern", IF($O856="GenProg-A", "Evolutionary Search", IF($O856="Hercules", "Learning Pattern", IF($O856="Jaid", "True Semantic",
IF($O856="Kali-A", "True Search", IF($O856="kPAR", "True Pattern", IF($O856="Nopol", "True Semantic", IF($O856="RSRepair-A", "Evolutionary Search", IF($O856="SequenceR", "Deep Learning", IF($O856="SimFix", "Search Like Pattern", IF($O856="SketchFix", "True Pattern", IF($O856="SOFix", "True Pattern", IF($O856="ssFix", "Search Like Pattern", IF($O856="TBar", "True Pattern", ""))))))))))))))))))))</f>
        <v>True Pattern</v>
      </c>
      <c r="Q856" s="13" t="str">
        <f>IF(NOT(ISERR(SEARCH("*_Buggy",$A856))), "Buggy", IF(NOT(ISERR(SEARCH("*_Fixed",$A856))), "Fixed", IF(NOT(ISERR(SEARCH("*_Repaired",$A856))), "Repaired", "")))</f>
        <v>Fixed</v>
      </c>
      <c r="R856" s="13" t="s">
        <v>1669</v>
      </c>
      <c r="S856" s="25">
        <v>4</v>
      </c>
      <c r="T856" s="25">
        <v>8</v>
      </c>
      <c r="U856" s="25">
        <v>9</v>
      </c>
      <c r="V856" s="13">
        <v>14</v>
      </c>
      <c r="W856" s="13" t="str">
        <f>MID(A856, SEARCH("_", A856) +1, SEARCH("_", A856, SEARCH("_", A856) +1) - SEARCH("_", A856) -1)</f>
        <v>Math-7</v>
      </c>
      <c r="Y856" s="1" t="str">
        <f t="shared" si="24"/>
        <v>NO</v>
      </c>
      <c r="Z856" s="1" t="str">
        <f t="shared" si="25"/>
        <v>YES</v>
      </c>
      <c r="AA856" t="str">
        <f>IF(AND(S856&gt;1,S1381&gt;1,S856=V856,S1381=V1381), "YES", "NO")</f>
        <v>NO</v>
      </c>
      <c r="AB856" t="str">
        <f>IF(AND(S856&gt;1,S1381&gt;1,S856&lt;V856,S1381&lt;V1381), "YES", "NO")</f>
        <v>NO</v>
      </c>
      <c r="AC856" t="str">
        <f t="shared" si="26"/>
        <v>NO</v>
      </c>
      <c r="AD856" t="str">
        <f t="shared" si="27"/>
        <v>NO</v>
      </c>
      <c r="AE856" t="str">
        <f t="shared" si="28"/>
        <v>NO</v>
      </c>
      <c r="AF856" t="str">
        <f t="shared" si="29"/>
        <v>NO</v>
      </c>
    </row>
    <row r="857" spans="1:32" ht="15" x14ac:dyDescent="0.35">
      <c r="A857" s="7" t="s">
        <v>358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>LEFT($A857,FIND("_",$A857)-1)</f>
        <v>kPAR</v>
      </c>
      <c r="P857" s="13" t="str">
        <f>IF($O857="ACS", "True Search", IF($O857="Arja", "Evolutionary Search", IF($O857="AVATAR", "True Pattern", IF($O857="CapGen", "Search Like Pattern", IF($O857="Cardumen", "True Semantic", IF($O857="DynaMoth", "True Semantic", IF($O857="FixMiner", "True Pattern", IF($O857="GenProg-A", "Evolutionary Search", IF($O857="Hercules", "Learning Pattern", IF($O857="Jaid", "True Semantic",
IF($O857="Kali-A", "True Search", IF($O857="kPAR", "True Pattern", IF($O857="Nopol", "True Semantic", IF($O857="RSRepair-A", "Evolutionary Search", IF($O857="SequenceR", "Deep Learning", IF($O857="SimFix", "Search Like Pattern", IF($O857="SketchFix", "True Pattern", IF($O857="SOFix", "True Pattern", IF($O857="ssFix", "Search Like Pattern", IF($O857="TBar", "True Pattern", ""))))))))))))))))))))</f>
        <v>True Pattern</v>
      </c>
      <c r="Q857" s="13" t="str">
        <f>IF(NOT(ISERR(SEARCH("*_Buggy",$A857))), "Buggy", IF(NOT(ISERR(SEARCH("*_Fixed",$A857))), "Fixed", IF(NOT(ISERR(SEARCH("*_Repaired",$A857))), "Repaired", "")))</f>
        <v>Fixed</v>
      </c>
      <c r="R857" s="13" t="s">
        <v>1668</v>
      </c>
      <c r="S857" s="25">
        <v>1</v>
      </c>
      <c r="T857" s="25">
        <v>1</v>
      </c>
      <c r="U857" s="25">
        <v>1</v>
      </c>
      <c r="V857" s="13">
        <v>1</v>
      </c>
      <c r="W857" s="13" t="str">
        <f>MID(A857, SEARCH("_", A857) +1, SEARCH("_", A857, SEARCH("_", A857) +1) - SEARCH("_", A857) -1)</f>
        <v>Math-70</v>
      </c>
      <c r="Y857" s="1" t="str">
        <f t="shared" si="24"/>
        <v>NO</v>
      </c>
      <c r="Z857" s="1" t="str">
        <f t="shared" si="25"/>
        <v>NO</v>
      </c>
      <c r="AA857" t="str">
        <f>IF(AND(S857&gt;1,S1382&gt;1,S857=V857,S1382=V1382), "YES", "NO")</f>
        <v>NO</v>
      </c>
      <c r="AB857" t="str">
        <f>IF(AND(S857&gt;1,S1382&gt;1,S857&lt;V857,S1382&lt;V1382), "YES", "NO")</f>
        <v>NO</v>
      </c>
      <c r="AC857" t="str">
        <f t="shared" si="26"/>
        <v>YES</v>
      </c>
      <c r="AD857" t="str">
        <f t="shared" si="27"/>
        <v>NO</v>
      </c>
      <c r="AE857" t="str">
        <f t="shared" si="28"/>
        <v>YES</v>
      </c>
      <c r="AF857" t="str">
        <f t="shared" si="29"/>
        <v>NO</v>
      </c>
    </row>
    <row r="858" spans="1:32" ht="15" x14ac:dyDescent="0.35">
      <c r="A858" s="7" t="s">
        <v>70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>LEFT($A858,FIND("_",$A858)-1)</f>
        <v>kPAR</v>
      </c>
      <c r="P858" s="13" t="str">
        <f>IF($O858="ACS", "True Search", IF($O858="Arja", "Evolutionary Search", IF($O858="AVATAR", "True Pattern", IF($O858="CapGen", "Search Like Pattern", IF($O858="Cardumen", "True Semantic", IF($O858="DynaMoth", "True Semantic", IF($O858="FixMiner", "True Pattern", IF($O858="GenProg-A", "Evolutionary Search", IF($O858="Hercules", "Learning Pattern", IF($O858="Jaid", "True Semantic",
IF($O858="Kali-A", "True Search", IF($O858="kPAR", "True Pattern", IF($O858="Nopol", "True Semantic", IF($O858="RSRepair-A", "Evolutionary Search", IF($O858="SequenceR", "Deep Learning", IF($O858="SimFix", "Search Like Pattern", IF($O858="SketchFix", "True Pattern", IF($O858="SOFix", "True Pattern", IF($O858="ssFix", "Search Like Pattern", IF($O858="TBar", "True Pattern", ""))))))))))))))))))))</f>
        <v>True Pattern</v>
      </c>
      <c r="Q858" s="13" t="str">
        <f>IF(NOT(ISERR(SEARCH("*_Buggy",$A858))), "Buggy", IF(NOT(ISERR(SEARCH("*_Fixed",$A858))), "Fixed", IF(NOT(ISERR(SEARCH("*_Repaired",$A858))), "Repaired", "")))</f>
        <v>Fixed</v>
      </c>
      <c r="R858" s="13" t="s">
        <v>1668</v>
      </c>
      <c r="S858" s="25">
        <v>1</v>
      </c>
      <c r="T858" s="25">
        <v>1</v>
      </c>
      <c r="U858" s="25">
        <v>1</v>
      </c>
      <c r="V858" s="13">
        <v>1</v>
      </c>
      <c r="W858" s="13" t="str">
        <f>MID(A858, SEARCH("_", A858) +1, SEARCH("_", A858, SEARCH("_", A858) +1) - SEARCH("_", A858) -1)</f>
        <v>Math-75</v>
      </c>
      <c r="Y858" s="1" t="str">
        <f t="shared" si="24"/>
        <v>NO</v>
      </c>
      <c r="Z858" s="1" t="str">
        <f t="shared" si="25"/>
        <v>NO</v>
      </c>
      <c r="AA858" t="str">
        <f>IF(AND(S858&gt;1,S1383&gt;1,S858=V858,S1383=V1383), "YES", "NO")</f>
        <v>NO</v>
      </c>
      <c r="AB858" t="str">
        <f>IF(AND(S858&gt;1,S1383&gt;1,S858&lt;V858,S1383&lt;V1383), "YES", "NO")</f>
        <v>NO</v>
      </c>
      <c r="AC858" t="str">
        <f t="shared" si="26"/>
        <v>YES</v>
      </c>
      <c r="AD858" t="str">
        <f t="shared" si="27"/>
        <v>NO</v>
      </c>
      <c r="AE858" t="str">
        <f t="shared" si="28"/>
        <v>YES</v>
      </c>
      <c r="AF858" t="str">
        <f t="shared" si="29"/>
        <v>NO</v>
      </c>
    </row>
    <row r="859" spans="1:32" ht="15" x14ac:dyDescent="0.35">
      <c r="A859" s="7" t="s">
        <v>1234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>LEFT($A859,FIND("_",$A859)-1)</f>
        <v>kPAR</v>
      </c>
      <c r="P859" s="13" t="str">
        <f>IF($O859="ACS", "True Search", IF($O859="Arja", "Evolutionary Search", IF($O859="AVATAR", "True Pattern", IF($O859="CapGen", "Search Like Pattern", IF($O859="Cardumen", "True Semantic", IF($O859="DynaMoth", "True Semantic", IF($O859="FixMiner", "True Pattern", IF($O859="GenProg-A", "Evolutionary Search", IF($O859="Hercules", "Learning Pattern", IF($O859="Jaid", "True Semantic",
IF($O859="Kali-A", "True Search", IF($O859="kPAR", "True Pattern", IF($O859="Nopol", "True Semantic", IF($O859="RSRepair-A", "Evolutionary Search", IF($O859="SequenceR", "Deep Learning", IF($O859="SimFix", "Search Like Pattern", IF($O859="SketchFix", "True Pattern", IF($O859="SOFix", "True Pattern", IF($O859="ssFix", "Search Like Pattern", IF($O859="TBar", "True Pattern", ""))))))))))))))))))))</f>
        <v>True Pattern</v>
      </c>
      <c r="Q859" s="13" t="str">
        <f>IF(NOT(ISERR(SEARCH("*_Buggy",$A859))), "Buggy", IF(NOT(ISERR(SEARCH("*_Fixed",$A859))), "Fixed", IF(NOT(ISERR(SEARCH("*_Repaired",$A859))), "Repaired", "")))</f>
        <v>Fixed</v>
      </c>
      <c r="R859" s="13" t="s">
        <v>1669</v>
      </c>
      <c r="S859" s="25">
        <v>2</v>
      </c>
      <c r="T859" s="25">
        <v>2</v>
      </c>
      <c r="U859" s="25">
        <v>2</v>
      </c>
      <c r="V859" s="13">
        <v>2</v>
      </c>
      <c r="W859" s="13" t="str">
        <f>MID(A859, SEARCH("_", A859) +1, SEARCH("_", A859, SEARCH("_", A859) +1) - SEARCH("_", A859) -1)</f>
        <v>Math-8</v>
      </c>
      <c r="Y859" s="1" t="str">
        <f t="shared" si="24"/>
        <v>YES</v>
      </c>
      <c r="Z859" s="1" t="str">
        <f t="shared" si="25"/>
        <v>NO</v>
      </c>
      <c r="AA859" t="str">
        <f>IF(AND(S859&gt;1,S1384&gt;1,S859=V859,S1384=V1384), "YES", "NO")</f>
        <v>NO</v>
      </c>
      <c r="AB859" t="str">
        <f>IF(AND(S859&gt;1,S1384&gt;1,S859&lt;V859,S1384&lt;V1384), "YES", "NO")</f>
        <v>NO</v>
      </c>
      <c r="AC859" t="str">
        <f t="shared" si="26"/>
        <v>NO</v>
      </c>
      <c r="AD859" t="str">
        <f t="shared" si="27"/>
        <v>NO</v>
      </c>
      <c r="AE859" t="str">
        <f t="shared" si="28"/>
        <v>NO</v>
      </c>
      <c r="AF859" t="str">
        <f t="shared" si="29"/>
        <v>NO</v>
      </c>
    </row>
    <row r="860" spans="1:32" ht="15" x14ac:dyDescent="0.35">
      <c r="A860" s="5" t="s">
        <v>267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>LEFT($A860,FIND("_",$A860)-1)</f>
        <v>kPAR</v>
      </c>
      <c r="P860" s="13" t="str">
        <f>IF($O860="ACS", "True Search", IF($O860="Arja", "Evolutionary Search", IF($O860="AVATAR", "True Pattern", IF($O860="CapGen", "Search Like Pattern", IF($O860="Cardumen", "True Semantic", IF($O860="DynaMoth", "True Semantic", IF($O860="FixMiner", "True Pattern", IF($O860="GenProg-A", "Evolutionary Search", IF($O860="Hercules", "Learning Pattern", IF($O860="Jaid", "True Semantic",
IF($O860="Kali-A", "True Search", IF($O860="kPAR", "True Pattern", IF($O860="Nopol", "True Semantic", IF($O860="RSRepair-A", "Evolutionary Search", IF($O860="SequenceR", "Deep Learning", IF($O860="SimFix", "Search Like Pattern", IF($O860="SketchFix", "True Pattern", IF($O860="SOFix", "True Pattern", IF($O860="ssFix", "Search Like Pattern", IF($O860="TBar", "True Pattern", ""))))))))))))))))))))</f>
        <v>True Pattern</v>
      </c>
      <c r="Q860" s="13" t="str">
        <f>IF(NOT(ISERR(SEARCH("*_Buggy",$A860))), "Buggy", IF(NOT(ISERR(SEARCH("*_Fixed",$A860))), "Fixed", IF(NOT(ISERR(SEARCH("*_Repaired",$A860))), "Repaired", "")))</f>
        <v>Fixed</v>
      </c>
      <c r="R860" s="13" t="s">
        <v>1669</v>
      </c>
      <c r="S860" s="25">
        <v>1</v>
      </c>
      <c r="T860" s="25">
        <v>1</v>
      </c>
      <c r="U860" s="25">
        <v>1</v>
      </c>
      <c r="V860" s="13">
        <v>1</v>
      </c>
      <c r="W860" s="13" t="str">
        <f>MID(A860, SEARCH("_", A860) +1, SEARCH("_", A860, SEARCH("_", A860) +1) - SEARCH("_", A860) -1)</f>
        <v>Math-80</v>
      </c>
      <c r="Y860" s="1" t="str">
        <f t="shared" si="24"/>
        <v>NO</v>
      </c>
      <c r="Z860" s="1" t="str">
        <f t="shared" si="25"/>
        <v>NO</v>
      </c>
      <c r="AA860" t="str">
        <f>IF(AND(S860&gt;1,S1385&gt;1,S860=V860,S1385=V1385), "YES", "NO")</f>
        <v>NO</v>
      </c>
      <c r="AB860" t="str">
        <f>IF(AND(S860&gt;1,S1385&gt;1,S860&lt;V860,S1385&lt;V1385), "YES", "NO")</f>
        <v>NO</v>
      </c>
      <c r="AC860" t="str">
        <f t="shared" si="26"/>
        <v>YES</v>
      </c>
      <c r="AD860" t="str">
        <f t="shared" si="27"/>
        <v>NO</v>
      </c>
      <c r="AE860" t="str">
        <f t="shared" si="28"/>
        <v>YES</v>
      </c>
      <c r="AF860" t="str">
        <f t="shared" si="29"/>
        <v>NO</v>
      </c>
    </row>
    <row r="861" spans="1:32" ht="15" x14ac:dyDescent="0.35">
      <c r="A861" s="7" t="s">
        <v>222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>LEFT($A861,FIND("_",$A861)-1)</f>
        <v>kPAR</v>
      </c>
      <c r="P861" s="13" t="str">
        <f>IF($O861="ACS", "True Search", IF($O861="Arja", "Evolutionary Search", IF($O861="AVATAR", "True Pattern", IF($O861="CapGen", "Search Like Pattern", IF($O861="Cardumen", "True Semantic", IF($O861="DynaMoth", "True Semantic", IF($O861="FixMiner", "True Pattern", IF($O861="GenProg-A", "Evolutionary Search", IF($O861="Hercules", "Learning Pattern", IF($O861="Jaid", "True Semantic",
IF($O861="Kali-A", "True Search", IF($O861="kPAR", "True Pattern", IF($O861="Nopol", "True Semantic", IF($O861="RSRepair-A", "Evolutionary Search", IF($O861="SequenceR", "Deep Learning", IF($O861="SimFix", "Search Like Pattern", IF($O861="SketchFix", "True Pattern", IF($O861="SOFix", "True Pattern", IF($O861="ssFix", "Search Like Pattern", IF($O861="TBar", "True Pattern", ""))))))))))))))))))))</f>
        <v>True Pattern</v>
      </c>
      <c r="Q861" s="13" t="str">
        <f>IF(NOT(ISERR(SEARCH("*_Buggy",$A861))), "Buggy", IF(NOT(ISERR(SEARCH("*_Fixed",$A861))), "Fixed", IF(NOT(ISERR(SEARCH("*_Repaired",$A861))), "Repaired", "")))</f>
        <v>Fixed</v>
      </c>
      <c r="R861" s="13" t="s">
        <v>1669</v>
      </c>
      <c r="S861" s="25">
        <v>3</v>
      </c>
      <c r="T861" s="25">
        <v>4</v>
      </c>
      <c r="U861" s="25">
        <v>3</v>
      </c>
      <c r="V861" s="13">
        <v>4</v>
      </c>
      <c r="W861" s="13" t="str">
        <f>MID(A861, SEARCH("_", A861) +1, SEARCH("_", A861, SEARCH("_", A861) +1) - SEARCH("_", A861) -1)</f>
        <v>Math-81</v>
      </c>
      <c r="Y861" s="1" t="str">
        <f t="shared" si="24"/>
        <v>NO</v>
      </c>
      <c r="Z861" s="1" t="str">
        <f t="shared" si="25"/>
        <v>YES</v>
      </c>
      <c r="AA861" t="str">
        <f>IF(AND(S861&gt;1,S1386&gt;1,S861=V861,S1386=V1386), "YES", "NO")</f>
        <v>NO</v>
      </c>
      <c r="AB861" t="str">
        <f>IF(AND(S861&gt;1,S1386&gt;1,S861&lt;V861,S1386&lt;V1386), "YES", "NO")</f>
        <v>NO</v>
      </c>
      <c r="AC861" t="str">
        <f t="shared" si="26"/>
        <v>NO</v>
      </c>
      <c r="AD861" t="str">
        <f t="shared" si="27"/>
        <v>NO</v>
      </c>
      <c r="AE861" t="str">
        <f t="shared" si="28"/>
        <v>NO</v>
      </c>
      <c r="AF861" t="str">
        <f t="shared" si="29"/>
        <v>NO</v>
      </c>
    </row>
    <row r="862" spans="1:32" ht="15" x14ac:dyDescent="0.35">
      <c r="A862" s="5" t="s">
        <v>643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>LEFT($A862,FIND("_",$A862)-1)</f>
        <v>kPAR</v>
      </c>
      <c r="P862" s="13" t="str">
        <f>IF($O862="ACS", "True Search", IF($O862="Arja", "Evolutionary Search", IF($O862="AVATAR", "True Pattern", IF($O862="CapGen", "Search Like Pattern", IF($O862="Cardumen", "True Semantic", IF($O862="DynaMoth", "True Semantic", IF($O862="FixMiner", "True Pattern", IF($O862="GenProg-A", "Evolutionary Search", IF($O862="Hercules", "Learning Pattern", IF($O862="Jaid", "True Semantic",
IF($O862="Kali-A", "True Search", IF($O862="kPAR", "True Pattern", IF($O862="Nopol", "True Semantic", IF($O862="RSRepair-A", "Evolutionary Search", IF($O862="SequenceR", "Deep Learning", IF($O862="SimFix", "Search Like Pattern", IF($O862="SketchFix", "True Pattern", IF($O862="SOFix", "True Pattern", IF($O862="ssFix", "Search Like Pattern", IF($O862="TBar", "True Pattern", ""))))))))))))))))))))</f>
        <v>True Pattern</v>
      </c>
      <c r="Q862" s="13" t="str">
        <f>IF(NOT(ISERR(SEARCH("*_Buggy",$A862))), "Buggy", IF(NOT(ISERR(SEARCH("*_Fixed",$A862))), "Fixed", IF(NOT(ISERR(SEARCH("*_Repaired",$A862))), "Repaired", "")))</f>
        <v>Fixed</v>
      </c>
      <c r="R862" s="13" t="s">
        <v>1668</v>
      </c>
      <c r="S862" s="25">
        <v>1</v>
      </c>
      <c r="T862" s="25">
        <v>1</v>
      </c>
      <c r="U862" s="25">
        <v>1</v>
      </c>
      <c r="V862" s="13">
        <v>1</v>
      </c>
      <c r="W862" s="13" t="str">
        <f>MID(A862, SEARCH("_", A862) +1, SEARCH("_", A862, SEARCH("_", A862) +1) - SEARCH("_", A862) -1)</f>
        <v>Math-82</v>
      </c>
      <c r="Y862" s="1" t="str">
        <f t="shared" si="24"/>
        <v>NO</v>
      </c>
      <c r="Z862" s="1" t="str">
        <f t="shared" si="25"/>
        <v>NO</v>
      </c>
      <c r="AA862" t="str">
        <f>IF(AND(S862&gt;1,S1387&gt;1,S862=V862,S1387=V1387), "YES", "NO")</f>
        <v>NO</v>
      </c>
      <c r="AB862" t="str">
        <f>IF(AND(S862&gt;1,S1387&gt;1,S862&lt;V862,S1387&lt;V1387), "YES", "NO")</f>
        <v>NO</v>
      </c>
      <c r="AC862" t="str">
        <f t="shared" si="26"/>
        <v>YES</v>
      </c>
      <c r="AD862" t="str">
        <f t="shared" si="27"/>
        <v>NO</v>
      </c>
      <c r="AE862" t="str">
        <f t="shared" si="28"/>
        <v>YES</v>
      </c>
      <c r="AF862" t="str">
        <f t="shared" si="29"/>
        <v>NO</v>
      </c>
    </row>
    <row r="863" spans="1:32" ht="15" x14ac:dyDescent="0.35">
      <c r="A863" s="7" t="s">
        <v>419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>LEFT($A863,FIND("_",$A863)-1)</f>
        <v>kPAR</v>
      </c>
      <c r="P863" s="13" t="str">
        <f>IF($O863="ACS", "True Search", IF($O863="Arja", "Evolutionary Search", IF($O863="AVATAR", "True Pattern", IF($O863="CapGen", "Search Like Pattern", IF($O863="Cardumen", "True Semantic", IF($O863="DynaMoth", "True Semantic", IF($O863="FixMiner", "True Pattern", IF($O863="GenProg-A", "Evolutionary Search", IF($O863="Hercules", "Learning Pattern", IF($O863="Jaid", "True Semantic",
IF($O863="Kali-A", "True Search", IF($O863="kPAR", "True Pattern", IF($O863="Nopol", "True Semantic", IF($O863="RSRepair-A", "Evolutionary Search", IF($O863="SequenceR", "Deep Learning", IF($O863="SimFix", "Search Like Pattern", IF($O863="SketchFix", "True Pattern", IF($O863="SOFix", "True Pattern", IF($O863="ssFix", "Search Like Pattern", IF($O863="TBar", "True Pattern", ""))))))))))))))))))))</f>
        <v>True Pattern</v>
      </c>
      <c r="Q863" s="13" t="str">
        <f>IF(NOT(ISERR(SEARCH("*_Buggy",$A863))), "Buggy", IF(NOT(ISERR(SEARCH("*_Fixed",$A863))), "Fixed", IF(NOT(ISERR(SEARCH("*_Repaired",$A863))), "Repaired", "")))</f>
        <v>Fixed</v>
      </c>
      <c r="R863" s="13" t="s">
        <v>1669</v>
      </c>
      <c r="S863" s="25">
        <v>3</v>
      </c>
      <c r="T863" s="13">
        <v>9</v>
      </c>
      <c r="U863" s="25">
        <v>0</v>
      </c>
      <c r="V863" s="13">
        <v>9</v>
      </c>
      <c r="W863" s="13" t="str">
        <f>MID(A863, SEARCH("_", A863) +1, SEARCH("_", A863, SEARCH("_", A863) +1) - SEARCH("_", A863) -1)</f>
        <v>Math-84</v>
      </c>
      <c r="Y863" s="1" t="str">
        <f t="shared" si="24"/>
        <v>NO</v>
      </c>
      <c r="Z863" s="1" t="str">
        <f t="shared" si="25"/>
        <v>YES</v>
      </c>
      <c r="AA863" t="str">
        <f>IF(AND(S863&gt;1,S1388&gt;1,S863=V863,S1388=V1388), "YES", "NO")</f>
        <v>NO</v>
      </c>
      <c r="AB863" t="str">
        <f>IF(AND(S863&gt;1,S1388&gt;1,S863&lt;V863,S1388&lt;V1388), "YES", "NO")</f>
        <v>NO</v>
      </c>
      <c r="AC863" t="str">
        <f t="shared" si="26"/>
        <v>NO</v>
      </c>
      <c r="AD863" t="str">
        <f t="shared" si="27"/>
        <v>NO</v>
      </c>
      <c r="AE863" t="str">
        <f t="shared" si="28"/>
        <v>NO</v>
      </c>
      <c r="AF863" t="str">
        <f t="shared" si="29"/>
        <v>NO</v>
      </c>
    </row>
    <row r="864" spans="1:32" ht="15" x14ac:dyDescent="0.35">
      <c r="A864" s="5" t="s">
        <v>291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>LEFT($A864,FIND("_",$A864)-1)</f>
        <v>kPAR</v>
      </c>
      <c r="P864" s="13" t="str">
        <f>IF($O864="ACS", "True Search", IF($O864="Arja", "Evolutionary Search", IF($O864="AVATAR", "True Pattern", IF($O864="CapGen", "Search Like Pattern", IF($O864="Cardumen", "True Semantic", IF($O864="DynaMoth", "True Semantic", IF($O864="FixMiner", "True Pattern", IF($O864="GenProg-A", "Evolutionary Search", IF($O864="Hercules", "Learning Pattern", IF($O864="Jaid", "True Semantic",
IF($O864="Kali-A", "True Search", IF($O864="kPAR", "True Pattern", IF($O864="Nopol", "True Semantic", IF($O864="RSRepair-A", "Evolutionary Search", IF($O864="SequenceR", "Deep Learning", IF($O864="SimFix", "Search Like Pattern", IF($O864="SketchFix", "True Pattern", IF($O864="SOFix", "True Pattern", IF($O864="ssFix", "Search Like Pattern", IF($O864="TBar", "True Pattern", ""))))))))))))))))))))</f>
        <v>True Pattern</v>
      </c>
      <c r="Q864" s="13" t="str">
        <f>IF(NOT(ISERR(SEARCH("*_Buggy",$A864))), "Buggy", IF(NOT(ISERR(SEARCH("*_Fixed",$A864))), "Fixed", IF(NOT(ISERR(SEARCH("*_Repaired",$A864))), "Repaired", "")))</f>
        <v>Fixed</v>
      </c>
      <c r="R864" s="13" t="s">
        <v>1668</v>
      </c>
      <c r="S864" s="25">
        <v>1</v>
      </c>
      <c r="T864" s="25">
        <v>1</v>
      </c>
      <c r="U864" s="25">
        <v>1</v>
      </c>
      <c r="V864" s="13">
        <v>1</v>
      </c>
      <c r="W864" s="13" t="str">
        <f>MID(A864, SEARCH("_", A864) +1, SEARCH("_", A864, SEARCH("_", A864) +1) - SEARCH("_", A864) -1)</f>
        <v>Math-85</v>
      </c>
      <c r="Y864" s="1" t="str">
        <f t="shared" si="24"/>
        <v>NO</v>
      </c>
      <c r="Z864" s="1" t="str">
        <f t="shared" si="25"/>
        <v>NO</v>
      </c>
      <c r="AA864" t="str">
        <f>IF(AND(S864&gt;1,S1389&gt;1,S864=V864,S1389=V1389), "YES", "NO")</f>
        <v>NO</v>
      </c>
      <c r="AB864" t="str">
        <f>IF(AND(S864&gt;1,S1389&gt;1,S864&lt;V864,S1389&lt;V1389), "YES", "NO")</f>
        <v>NO</v>
      </c>
      <c r="AC864" t="str">
        <f t="shared" si="26"/>
        <v>YES</v>
      </c>
      <c r="AD864" t="str">
        <f t="shared" si="27"/>
        <v>NO</v>
      </c>
      <c r="AE864" t="str">
        <f t="shared" si="28"/>
        <v>YES</v>
      </c>
      <c r="AF864" t="str">
        <f t="shared" si="29"/>
        <v>NO</v>
      </c>
    </row>
    <row r="865" spans="1:32" ht="15" x14ac:dyDescent="0.35">
      <c r="A865" s="5" t="s">
        <v>1199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>LEFT($A865,FIND("_",$A865)-1)</f>
        <v>kPAR</v>
      </c>
      <c r="P865" s="13" t="str">
        <f>IF($O865="ACS", "True Search", IF($O865="Arja", "Evolutionary Search", IF($O865="AVATAR", "True Pattern", IF($O865="CapGen", "Search Like Pattern", IF($O865="Cardumen", "True Semantic", IF($O865="DynaMoth", "True Semantic", IF($O865="FixMiner", "True Pattern", IF($O865="GenProg-A", "Evolutionary Search", IF($O865="Hercules", "Learning Pattern", IF($O865="Jaid", "True Semantic",
IF($O865="Kali-A", "True Search", IF($O865="kPAR", "True Pattern", IF($O865="Nopol", "True Semantic", IF($O865="RSRepair-A", "Evolutionary Search", IF($O865="SequenceR", "Deep Learning", IF($O865="SimFix", "Search Like Pattern", IF($O865="SketchFix", "True Pattern", IF($O865="SOFix", "True Pattern", IF($O865="ssFix", "Search Like Pattern", IF($O865="TBar", "True Pattern", ""))))))))))))))))))))</f>
        <v>True Pattern</v>
      </c>
      <c r="Q865" s="13" t="str">
        <f>IF(NOT(ISERR(SEARCH("*_Buggy",$A865))), "Buggy", IF(NOT(ISERR(SEARCH("*_Fixed",$A865))), "Fixed", IF(NOT(ISERR(SEARCH("*_Repaired",$A865))), "Repaired", "")))</f>
        <v>Fixed</v>
      </c>
      <c r="R865" s="13" t="s">
        <v>1669</v>
      </c>
      <c r="S865" s="25">
        <v>4</v>
      </c>
      <c r="T865" s="25">
        <v>5</v>
      </c>
      <c r="U865" s="25">
        <v>6</v>
      </c>
      <c r="V865" s="13">
        <v>11</v>
      </c>
      <c r="W865" s="13" t="str">
        <f>MID(A865, SEARCH("_", A865) +1, SEARCH("_", A865, SEARCH("_", A865) +1) - SEARCH("_", A865) -1)</f>
        <v>Math-88</v>
      </c>
      <c r="Y865" s="1" t="str">
        <f t="shared" si="24"/>
        <v>NO</v>
      </c>
      <c r="Z865" s="1" t="str">
        <f t="shared" si="25"/>
        <v>YES</v>
      </c>
      <c r="AA865" t="str">
        <f>IF(AND(S865&gt;1,S1390&gt;1,S865=V865,S1390=V1390), "YES", "NO")</f>
        <v>NO</v>
      </c>
      <c r="AB865" t="str">
        <f>IF(AND(S865&gt;1,S1390&gt;1,S865&lt;V865,S1390&lt;V1390), "YES", "NO")</f>
        <v>NO</v>
      </c>
      <c r="AC865" t="str">
        <f t="shared" si="26"/>
        <v>NO</v>
      </c>
      <c r="AD865" t="str">
        <f t="shared" si="27"/>
        <v>NO</v>
      </c>
      <c r="AE865" t="str">
        <f t="shared" si="28"/>
        <v>NO</v>
      </c>
      <c r="AF865" t="str">
        <f t="shared" si="29"/>
        <v>NO</v>
      </c>
    </row>
    <row r="866" spans="1:32" ht="15" x14ac:dyDescent="0.35">
      <c r="A866" s="5" t="s">
        <v>185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>LEFT($A866,FIND("_",$A866)-1)</f>
        <v>kPAR</v>
      </c>
      <c r="P866" s="13" t="str">
        <f>IF($O866="ACS", "True Search", IF($O866="Arja", "Evolutionary Search", IF($O866="AVATAR", "True Pattern", IF($O866="CapGen", "Search Like Pattern", IF($O866="Cardumen", "True Semantic", IF($O866="DynaMoth", "True Semantic", IF($O866="FixMiner", "True Pattern", IF($O866="GenProg-A", "Evolutionary Search", IF($O866="Hercules", "Learning Pattern", IF($O866="Jaid", "True Semantic",
IF($O866="Kali-A", "True Search", IF($O866="kPAR", "True Pattern", IF($O866="Nopol", "True Semantic", IF($O866="RSRepair-A", "Evolutionary Search", IF($O866="SequenceR", "Deep Learning", IF($O866="SimFix", "Search Like Pattern", IF($O866="SketchFix", "True Pattern", IF($O866="SOFix", "True Pattern", IF($O866="ssFix", "Search Like Pattern", IF($O866="TBar", "True Pattern", ""))))))))))))))))))))</f>
        <v>True Pattern</v>
      </c>
      <c r="Q866" s="13" t="str">
        <f>IF(NOT(ISERR(SEARCH("*_Buggy",$A866))), "Buggy", IF(NOT(ISERR(SEARCH("*_Fixed",$A866))), "Fixed", IF(NOT(ISERR(SEARCH("*_Repaired",$A866))), "Repaired", "")))</f>
        <v>Fixed</v>
      </c>
      <c r="R866" s="13" t="s">
        <v>1668</v>
      </c>
      <c r="S866" s="25">
        <v>2</v>
      </c>
      <c r="T866" s="13">
        <v>4</v>
      </c>
      <c r="U866" s="25">
        <v>0</v>
      </c>
      <c r="V866" s="13">
        <v>4</v>
      </c>
      <c r="W866" s="13" t="str">
        <f>MID(A866, SEARCH("_", A866) +1, SEARCH("_", A866, SEARCH("_", A866) +1) - SEARCH("_", A866) -1)</f>
        <v>Math-89</v>
      </c>
      <c r="Y866" s="1" t="str">
        <f t="shared" si="24"/>
        <v>NO</v>
      </c>
      <c r="Z866" s="1" t="str">
        <f t="shared" si="25"/>
        <v>YES</v>
      </c>
      <c r="AA866" t="str">
        <f>IF(AND(S866&gt;1,S1391&gt;1,S866=V866,S1391=V1391), "YES", "NO")</f>
        <v>NO</v>
      </c>
      <c r="AB866" t="str">
        <f>IF(AND(S866&gt;1,S1391&gt;1,S866&lt;V866,S1391&lt;V1391), "YES", "NO")</f>
        <v>NO</v>
      </c>
      <c r="AC866" t="str">
        <f t="shared" si="26"/>
        <v>NO</v>
      </c>
      <c r="AD866" t="str">
        <f t="shared" si="27"/>
        <v>NO</v>
      </c>
      <c r="AE866" t="str">
        <f t="shared" si="28"/>
        <v>NO</v>
      </c>
      <c r="AF866" t="str">
        <f t="shared" si="29"/>
        <v>YES</v>
      </c>
    </row>
    <row r="867" spans="1:32" ht="15" x14ac:dyDescent="0.35">
      <c r="A867" s="5" t="s">
        <v>701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>LEFT($A867,FIND("_",$A867)-1)</f>
        <v>Nopol</v>
      </c>
      <c r="P867" s="13" t="str">
        <f>IF($O867="ACS", "True Search", IF($O867="Arja", "Evolutionary Search", IF($O867="AVATAR", "True Pattern", IF($O867="CapGen", "Search Like Pattern", IF($O867="Cardumen", "True Semantic", IF($O867="DynaMoth", "True Semantic", IF($O867="FixMiner", "True Pattern", IF($O867="GenProg-A", "Evolutionary Search", IF($O867="Hercules", "Learning Pattern", IF($O867="Jaid", "True Semantic",
IF($O867="Kali-A", "True Search", IF($O867="kPAR", "True Pattern", IF($O867="Nopol", "True Semantic", IF($O867="RSRepair-A", "Evolutionary Search", IF($O867="SequenceR", "Deep Learning", IF($O867="SimFix", "Search Like Pattern", IF($O867="SketchFix", "True Pattern", IF($O867="SOFix", "True Pattern", IF($O867="ssFix", "Search Like Pattern", IF($O867="TBar", "True Pattern", ""))))))))))))))))))))</f>
        <v>True Semantic</v>
      </c>
      <c r="Q867" s="13" t="str">
        <f>IF(NOT(ISERR(SEARCH("*_Buggy",$A867))), "Buggy", IF(NOT(ISERR(SEARCH("*_Fixed",$A867))), "Fixed", IF(NOT(ISERR(SEARCH("*_Repaired",$A867))), "Repaired", "")))</f>
        <v>Fixed</v>
      </c>
      <c r="R867" s="13" t="s">
        <v>1669</v>
      </c>
      <c r="S867" s="25">
        <v>1</v>
      </c>
      <c r="T867" s="25">
        <v>1</v>
      </c>
      <c r="U867" s="25">
        <v>1</v>
      </c>
      <c r="V867" s="13">
        <v>1</v>
      </c>
      <c r="W867" s="13" t="str">
        <f>MID(A867, SEARCH("_", A867) +1, SEARCH("_", A867, SEARCH("_", A867) +1) - SEARCH("_", A867) -1)</f>
        <v>Chart-13</v>
      </c>
      <c r="Y867" s="1" t="str">
        <f t="shared" si="24"/>
        <v>NO</v>
      </c>
      <c r="Z867" s="1" t="str">
        <f t="shared" si="25"/>
        <v>NO</v>
      </c>
      <c r="AA867" t="str">
        <f>IF(AND(S867&gt;1,S1392&gt;1,S867=V867,S1392=V1392), "YES", "NO")</f>
        <v>NO</v>
      </c>
      <c r="AB867" t="str">
        <f>IF(AND(S867&gt;1,S1392&gt;1,S867&lt;V867,S1392&lt;V1392), "YES", "NO")</f>
        <v>NO</v>
      </c>
      <c r="AC867" t="str">
        <f t="shared" si="26"/>
        <v>NO</v>
      </c>
      <c r="AD867" t="str">
        <f t="shared" si="27"/>
        <v>NO</v>
      </c>
      <c r="AE867" t="str">
        <f t="shared" si="28"/>
        <v>NO</v>
      </c>
      <c r="AF867" t="str">
        <f t="shared" si="29"/>
        <v>NO</v>
      </c>
    </row>
    <row r="868" spans="1:32" ht="15" x14ac:dyDescent="0.35">
      <c r="A868" s="7" t="s">
        <v>741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>LEFT($A868,FIND("_",$A868)-1)</f>
        <v>Nopol</v>
      </c>
      <c r="P868" s="13" t="str">
        <f>IF($O868="ACS", "True Search", IF($O868="Arja", "Evolutionary Search", IF($O868="AVATAR", "True Pattern", IF($O868="CapGen", "Search Like Pattern", IF($O868="Cardumen", "True Semantic", IF($O868="DynaMoth", "True Semantic", IF($O868="FixMiner", "True Pattern", IF($O868="GenProg-A", "Evolutionary Search", IF($O868="Hercules", "Learning Pattern", IF($O868="Jaid", "True Semantic",
IF($O868="Kali-A", "True Search", IF($O868="kPAR", "True Pattern", IF($O868="Nopol", "True Semantic", IF($O868="RSRepair-A", "Evolutionary Search", IF($O868="SequenceR", "Deep Learning", IF($O868="SimFix", "Search Like Pattern", IF($O868="SketchFix", "True Pattern", IF($O868="SOFix", "True Pattern", IF($O868="ssFix", "Search Like Pattern", IF($O868="TBar", "True Pattern", ""))))))))))))))))))))</f>
        <v>True Semantic</v>
      </c>
      <c r="Q868" s="13" t="str">
        <f>IF(NOT(ISERR(SEARCH("*_Buggy",$A868))), "Buggy", IF(NOT(ISERR(SEARCH("*_Fixed",$A868))), "Fixed", IF(NOT(ISERR(SEARCH("*_Repaired",$A868))), "Repaired", "")))</f>
        <v>Fixed</v>
      </c>
      <c r="R868" s="13" t="s">
        <v>1669</v>
      </c>
      <c r="S868" s="25">
        <v>1</v>
      </c>
      <c r="T868" s="25">
        <v>2</v>
      </c>
      <c r="U868" s="25">
        <v>1</v>
      </c>
      <c r="V868" s="13">
        <v>2</v>
      </c>
      <c r="W868" s="13" t="str">
        <f>MID(A868, SEARCH("_", A868) +1, SEARCH("_", A868, SEARCH("_", A868) +1) - SEARCH("_", A868) -1)</f>
        <v>Chart-17</v>
      </c>
      <c r="Y868" s="1" t="str">
        <f t="shared" si="24"/>
        <v>NO</v>
      </c>
      <c r="Z868" s="1" t="str">
        <f t="shared" si="25"/>
        <v>NO</v>
      </c>
      <c r="AA868" t="str">
        <f>IF(AND(S868&gt;1,S1393&gt;1,S868=V868,S1393=V1393), "YES", "NO")</f>
        <v>NO</v>
      </c>
      <c r="AB868" t="str">
        <f>IF(AND(S868&gt;1,S1393&gt;1,S868&lt;V868,S1393&lt;V1393), "YES", "NO")</f>
        <v>NO</v>
      </c>
      <c r="AC868" t="str">
        <f t="shared" si="26"/>
        <v>NO</v>
      </c>
      <c r="AD868" t="str">
        <f t="shared" si="27"/>
        <v>YES</v>
      </c>
      <c r="AE868" t="str">
        <f t="shared" si="28"/>
        <v>NO</v>
      </c>
      <c r="AF868" t="str">
        <f t="shared" si="29"/>
        <v>YES</v>
      </c>
    </row>
    <row r="869" spans="1:32" ht="15" x14ac:dyDescent="0.35">
      <c r="A869" s="7" t="s">
        <v>130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>LEFT($A869,FIND("_",$A869)-1)</f>
        <v>Nopol</v>
      </c>
      <c r="P869" s="13" t="str">
        <f>IF($O869="ACS", "True Search", IF($O869="Arja", "Evolutionary Search", IF($O869="AVATAR", "True Pattern", IF($O869="CapGen", "Search Like Pattern", IF($O869="Cardumen", "True Semantic", IF($O869="DynaMoth", "True Semantic", IF($O869="FixMiner", "True Pattern", IF($O869="GenProg-A", "Evolutionary Search", IF($O869="Hercules", "Learning Pattern", IF($O869="Jaid", "True Semantic",
IF($O869="Kali-A", "True Search", IF($O869="kPAR", "True Pattern", IF($O869="Nopol", "True Semantic", IF($O869="RSRepair-A", "Evolutionary Search", IF($O869="SequenceR", "Deep Learning", IF($O869="SimFix", "Search Like Pattern", IF($O869="SketchFix", "True Pattern", IF($O869="SOFix", "True Pattern", IF($O869="ssFix", "Search Like Pattern", IF($O869="TBar", "True Pattern", ""))))))))))))))))))))</f>
        <v>True Semantic</v>
      </c>
      <c r="Q869" s="13" t="str">
        <f>IF(NOT(ISERR(SEARCH("*_Buggy",$A869))), "Buggy", IF(NOT(ISERR(SEARCH("*_Fixed",$A869))), "Fixed", IF(NOT(ISERR(SEARCH("*_Repaired",$A869))), "Repaired", "")))</f>
        <v>Fixed</v>
      </c>
      <c r="R869" s="13" t="s">
        <v>1669</v>
      </c>
      <c r="S869" s="25">
        <v>6</v>
      </c>
      <c r="T869" s="25">
        <v>14</v>
      </c>
      <c r="U869" s="25">
        <v>2</v>
      </c>
      <c r="V869" s="13">
        <v>14</v>
      </c>
      <c r="W869" s="13" t="str">
        <f>MID(A869, SEARCH("_", A869) +1, SEARCH("_", A869, SEARCH("_", A869) +1) - SEARCH("_", A869) -1)</f>
        <v>Chart-25</v>
      </c>
      <c r="Y869" s="1" t="str">
        <f t="shared" si="24"/>
        <v>NO</v>
      </c>
      <c r="Z869" s="1" t="str">
        <f t="shared" si="25"/>
        <v>YES</v>
      </c>
      <c r="AA869" t="str">
        <f>IF(AND(S869&gt;1,S1394&gt;1,S869=V869,S1394=V1394), "YES", "NO")</f>
        <v>NO</v>
      </c>
      <c r="AB869" t="str">
        <f>IF(AND(S869&gt;1,S1394&gt;1,S869&lt;V869,S1394&lt;V1394), "YES", "NO")</f>
        <v>NO</v>
      </c>
      <c r="AC869" t="str">
        <f t="shared" si="26"/>
        <v>NO</v>
      </c>
      <c r="AD869" t="str">
        <f t="shared" si="27"/>
        <v>NO</v>
      </c>
      <c r="AE869" t="str">
        <f t="shared" si="28"/>
        <v>NO</v>
      </c>
      <c r="AF869" t="str">
        <f t="shared" si="29"/>
        <v>YES</v>
      </c>
    </row>
    <row r="870" spans="1:32" ht="15" x14ac:dyDescent="0.35">
      <c r="A870" s="7" t="s">
        <v>704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>LEFT($A870,FIND("_",$A870)-1)</f>
        <v>Nopol</v>
      </c>
      <c r="P870" s="13" t="str">
        <f>IF($O870="ACS", "True Search", IF($O870="Arja", "Evolutionary Search", IF($O870="AVATAR", "True Pattern", IF($O870="CapGen", "Search Like Pattern", IF($O870="Cardumen", "True Semantic", IF($O870="DynaMoth", "True Semantic", IF($O870="FixMiner", "True Pattern", IF($O870="GenProg-A", "Evolutionary Search", IF($O870="Hercules", "Learning Pattern", IF($O870="Jaid", "True Semantic",
IF($O870="Kali-A", "True Search", IF($O870="kPAR", "True Pattern", IF($O870="Nopol", "True Semantic", IF($O870="RSRepair-A", "Evolutionary Search", IF($O870="SequenceR", "Deep Learning", IF($O870="SimFix", "Search Like Pattern", IF($O870="SketchFix", "True Pattern", IF($O870="SOFix", "True Pattern", IF($O870="ssFix", "Search Like Pattern", IF($O870="TBar", "True Pattern", ""))))))))))))))))))))</f>
        <v>True Semantic</v>
      </c>
      <c r="Q870" s="13" t="str">
        <f>IF(NOT(ISERR(SEARCH("*_Buggy",$A870))), "Buggy", IF(NOT(ISERR(SEARCH("*_Fixed",$A870))), "Fixed", IF(NOT(ISERR(SEARCH("*_Repaired",$A870))), "Repaired", "")))</f>
        <v>Fixed</v>
      </c>
      <c r="R870" s="13" t="s">
        <v>1669</v>
      </c>
      <c r="S870" s="25">
        <v>2</v>
      </c>
      <c r="T870" s="25">
        <v>5</v>
      </c>
      <c r="U870" s="25">
        <v>1</v>
      </c>
      <c r="V870" s="13">
        <v>5</v>
      </c>
      <c r="W870" s="13" t="str">
        <f>MID(A870, SEARCH("_", A870) +1, SEARCH("_", A870, SEARCH("_", A870) +1) - SEARCH("_", A870) -1)</f>
        <v>Chart-5</v>
      </c>
      <c r="Y870" s="1" t="str">
        <f t="shared" ref="Y870:Y933" si="30">IF(AND(S870&gt;1,S870=V870), "YES", "NO")</f>
        <v>NO</v>
      </c>
      <c r="Z870" s="1" t="str">
        <f t="shared" ref="Z870:Z933" si="31">IF(AND(S870&gt;1,S870&lt;V870), "YES", "NO")</f>
        <v>YES</v>
      </c>
      <c r="AA870" t="str">
        <f>IF(AND(S870&gt;1,S1395&gt;1,S870=V870,S1395=V1395), "YES", "NO")</f>
        <v>NO</v>
      </c>
      <c r="AB870" t="str">
        <f>IF(AND(S870&gt;1,S1395&gt;1,S870&lt;V870,S1395&lt;V1395), "YES", "NO")</f>
        <v>NO</v>
      </c>
      <c r="AC870" t="str">
        <f t="shared" ref="AC870:AC933" si="32">IF(AND($S870=1,$S1395=1,$S870=$V870,$S1395=$V1395), "YES", "NO")</f>
        <v>NO</v>
      </c>
      <c r="AD870" t="str">
        <f t="shared" ref="AD870:AD933" si="33">IF(AND($S870=1,$S1395=1,$S870&lt;$V870,$S1395&lt;$V1395), "YES", "NO")</f>
        <v>NO</v>
      </c>
      <c r="AE870" t="str">
        <f t="shared" ref="AE870:AE933" si="34">IF(AND($V870=1,$V1395=1), "YES", "NO")</f>
        <v>NO</v>
      </c>
      <c r="AF870" t="str">
        <f t="shared" ref="AF870:AF933" si="35">IF(AND($V870&gt;1,$V1395&gt;1), "YES", "NO")</f>
        <v>NO</v>
      </c>
    </row>
    <row r="871" spans="1:32" ht="15" x14ac:dyDescent="0.35">
      <c r="A871" s="7" t="s">
        <v>802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>LEFT($A871,FIND("_",$A871)-1)</f>
        <v>Nopol</v>
      </c>
      <c r="P871" s="13" t="str">
        <f>IF($O871="ACS", "True Search", IF($O871="Arja", "Evolutionary Search", IF($O871="AVATAR", "True Pattern", IF($O871="CapGen", "Search Like Pattern", IF($O871="Cardumen", "True Semantic", IF($O871="DynaMoth", "True Semantic", IF($O871="FixMiner", "True Pattern", IF($O871="GenProg-A", "Evolutionary Search", IF($O871="Hercules", "Learning Pattern", IF($O871="Jaid", "True Semantic",
IF($O871="Kali-A", "True Search", IF($O871="kPAR", "True Pattern", IF($O871="Nopol", "True Semantic", IF($O871="RSRepair-A", "Evolutionary Search", IF($O871="SequenceR", "Deep Learning", IF($O871="SimFix", "Search Like Pattern", IF($O871="SketchFix", "True Pattern", IF($O871="SOFix", "True Pattern", IF($O871="ssFix", "Search Like Pattern", IF($O871="TBar", "True Pattern", ""))))))))))))))))))))</f>
        <v>True Semantic</v>
      </c>
      <c r="Q871" s="13" t="str">
        <f>IF(NOT(ISERR(SEARCH("*_Buggy",$A871))), "Buggy", IF(NOT(ISERR(SEARCH("*_Fixed",$A871))), "Fixed", IF(NOT(ISERR(SEARCH("*_Repaired",$A871))), "Repaired", "")))</f>
        <v>Fixed</v>
      </c>
      <c r="R871" s="13" t="s">
        <v>1669</v>
      </c>
      <c r="S871" s="25">
        <v>1</v>
      </c>
      <c r="T871" s="25">
        <v>1</v>
      </c>
      <c r="U871" s="25">
        <v>1</v>
      </c>
      <c r="V871" s="13">
        <v>1</v>
      </c>
      <c r="W871" s="13" t="str">
        <f>MID(A871, SEARCH("_", A871) +1, SEARCH("_", A871, SEARCH("_", A871) +1) - SEARCH("_", A871) -1)</f>
        <v>Chart-9</v>
      </c>
      <c r="Y871" s="1" t="str">
        <f t="shared" si="30"/>
        <v>NO</v>
      </c>
      <c r="Z871" s="1" t="str">
        <f t="shared" si="31"/>
        <v>NO</v>
      </c>
      <c r="AA871" t="str">
        <f>IF(AND(S871&gt;1,S1396&gt;1,S871=V871,S1396=V1396), "YES", "NO")</f>
        <v>NO</v>
      </c>
      <c r="AB871" t="str">
        <f>IF(AND(S871&gt;1,S1396&gt;1,S871&lt;V871,S1396&lt;V1396), "YES", "NO")</f>
        <v>NO</v>
      </c>
      <c r="AC871" t="str">
        <f t="shared" si="32"/>
        <v>YES</v>
      </c>
      <c r="AD871" t="str">
        <f t="shared" si="33"/>
        <v>NO</v>
      </c>
      <c r="AE871" t="str">
        <f t="shared" si="34"/>
        <v>YES</v>
      </c>
      <c r="AF871" t="str">
        <f t="shared" si="35"/>
        <v>NO</v>
      </c>
    </row>
    <row r="872" spans="1:32" ht="15" x14ac:dyDescent="0.35">
      <c r="A872" s="7" t="s">
        <v>770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>LEFT($A872,FIND("_",$A872)-1)</f>
        <v>Nopol</v>
      </c>
      <c r="P872" s="13" t="str">
        <f>IF($O872="ACS", "True Search", IF($O872="Arja", "Evolutionary Search", IF($O872="AVATAR", "True Pattern", IF($O872="CapGen", "Search Like Pattern", IF($O872="Cardumen", "True Semantic", IF($O872="DynaMoth", "True Semantic", IF($O872="FixMiner", "True Pattern", IF($O872="GenProg-A", "Evolutionary Search", IF($O872="Hercules", "Learning Pattern", IF($O872="Jaid", "True Semantic",
IF($O872="Kali-A", "True Search", IF($O872="kPAR", "True Pattern", IF($O872="Nopol", "True Semantic", IF($O872="RSRepair-A", "Evolutionary Search", IF($O872="SequenceR", "Deep Learning", IF($O872="SimFix", "Search Like Pattern", IF($O872="SketchFix", "True Pattern", IF($O872="SOFix", "True Pattern", IF($O872="ssFix", "Search Like Pattern", IF($O872="TBar", "True Pattern", ""))))))))))))))))))))</f>
        <v>True Semantic</v>
      </c>
      <c r="Q872" s="13" t="str">
        <f>IF(NOT(ISERR(SEARCH("*_Buggy",$A872))), "Buggy", IF(NOT(ISERR(SEARCH("*_Fixed",$A872))), "Fixed", IF(NOT(ISERR(SEARCH("*_Repaired",$A872))), "Repaired", "")))</f>
        <v>Fixed</v>
      </c>
      <c r="R872" s="13" t="s">
        <v>1669</v>
      </c>
      <c r="S872" s="25">
        <v>1</v>
      </c>
      <c r="T872" s="13">
        <v>3</v>
      </c>
      <c r="U872" s="25">
        <v>0</v>
      </c>
      <c r="V872" s="13">
        <v>3</v>
      </c>
      <c r="W872" s="13" t="str">
        <f>MID(A872, SEARCH("_", A872) +1, SEARCH("_", A872, SEARCH("_", A872) +1) - SEARCH("_", A872) -1)</f>
        <v>Lang-44</v>
      </c>
      <c r="Y872" s="1" t="str">
        <f t="shared" si="30"/>
        <v>NO</v>
      </c>
      <c r="Z872" s="1" t="str">
        <f t="shared" si="31"/>
        <v>NO</v>
      </c>
      <c r="AA872" t="str">
        <f>IF(AND(S872&gt;1,S1397&gt;1,S872=V872,S1397=V1397), "YES", "NO")</f>
        <v>NO</v>
      </c>
      <c r="AB872" t="str">
        <f>IF(AND(S872&gt;1,S1397&gt;1,S872&lt;V872,S1397&lt;V1397), "YES", "NO")</f>
        <v>NO</v>
      </c>
      <c r="AC872" t="str">
        <f t="shared" si="32"/>
        <v>NO</v>
      </c>
      <c r="AD872" t="str">
        <f t="shared" si="33"/>
        <v>NO</v>
      </c>
      <c r="AE872" t="str">
        <f t="shared" si="34"/>
        <v>NO</v>
      </c>
      <c r="AF872" t="str">
        <f t="shared" si="35"/>
        <v>YES</v>
      </c>
    </row>
    <row r="873" spans="1:32" ht="15" x14ac:dyDescent="0.35">
      <c r="A873" s="7" t="s">
        <v>169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>LEFT($A873,FIND("_",$A873)-1)</f>
        <v>Nopol</v>
      </c>
      <c r="P873" s="13" t="str">
        <f>IF($O873="ACS", "True Search", IF($O873="Arja", "Evolutionary Search", IF($O873="AVATAR", "True Pattern", IF($O873="CapGen", "Search Like Pattern", IF($O873="Cardumen", "True Semantic", IF($O873="DynaMoth", "True Semantic", IF($O873="FixMiner", "True Pattern", IF($O873="GenProg-A", "Evolutionary Search", IF($O873="Hercules", "Learning Pattern", IF($O873="Jaid", "True Semantic",
IF($O873="Kali-A", "True Search", IF($O873="kPAR", "True Pattern", IF($O873="Nopol", "True Semantic", IF($O873="RSRepair-A", "Evolutionary Search", IF($O873="SequenceR", "Deep Learning", IF($O873="SimFix", "Search Like Pattern", IF($O873="SketchFix", "True Pattern", IF($O873="SOFix", "True Pattern", IF($O873="ssFix", "Search Like Pattern", IF($O873="TBar", "True Pattern", ""))))))))))))))))))))</f>
        <v>True Semantic</v>
      </c>
      <c r="Q873" s="13" t="str">
        <f>IF(NOT(ISERR(SEARCH("*_Buggy",$A873))), "Buggy", IF(NOT(ISERR(SEARCH("*_Fixed",$A873))), "Fixed", IF(NOT(ISERR(SEARCH("*_Repaired",$A873))), "Repaired", "")))</f>
        <v>Fixed</v>
      </c>
      <c r="R873" s="13" t="s">
        <v>1668</v>
      </c>
      <c r="S873" s="25">
        <v>9</v>
      </c>
      <c r="T873" s="25">
        <v>10</v>
      </c>
      <c r="U873" s="25">
        <v>7</v>
      </c>
      <c r="V873" s="13">
        <v>10</v>
      </c>
      <c r="W873" s="13" t="str">
        <f>MID(A873, SEARCH("_", A873) +1, SEARCH("_", A873, SEARCH("_", A873) +1) - SEARCH("_", A873) -1)</f>
        <v>Lang-46</v>
      </c>
      <c r="Y873" s="1" t="str">
        <f t="shared" si="30"/>
        <v>NO</v>
      </c>
      <c r="Z873" s="1" t="str">
        <f t="shared" si="31"/>
        <v>YES</v>
      </c>
      <c r="AA873" t="str">
        <f>IF(AND(S873&gt;1,S1398&gt;1,S873=V873,S1398=V1398), "YES", "NO")</f>
        <v>NO</v>
      </c>
      <c r="AB873" t="str">
        <f>IF(AND(S873&gt;1,S1398&gt;1,S873&lt;V873,S1398&lt;V1398), "YES", "NO")</f>
        <v>NO</v>
      </c>
      <c r="AC873" t="str">
        <f t="shared" si="32"/>
        <v>NO</v>
      </c>
      <c r="AD873" t="str">
        <f t="shared" si="33"/>
        <v>NO</v>
      </c>
      <c r="AE873" t="str">
        <f t="shared" si="34"/>
        <v>NO</v>
      </c>
      <c r="AF873" t="str">
        <f t="shared" si="35"/>
        <v>YES</v>
      </c>
    </row>
    <row r="874" spans="1:32" ht="15" x14ac:dyDescent="0.35">
      <c r="A874" s="5" t="s">
        <v>1226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>LEFT($A874,FIND("_",$A874)-1)</f>
        <v>Nopol</v>
      </c>
      <c r="P874" s="13" t="str">
        <f>IF($O874="ACS", "True Search", IF($O874="Arja", "Evolutionary Search", IF($O874="AVATAR", "True Pattern", IF($O874="CapGen", "Search Like Pattern", IF($O874="Cardumen", "True Semantic", IF($O874="DynaMoth", "True Semantic", IF($O874="FixMiner", "True Pattern", IF($O874="GenProg-A", "Evolutionary Search", IF($O874="Hercules", "Learning Pattern", IF($O874="Jaid", "True Semantic",
IF($O874="Kali-A", "True Search", IF($O874="kPAR", "True Pattern", IF($O874="Nopol", "True Semantic", IF($O874="RSRepair-A", "Evolutionary Search", IF($O874="SequenceR", "Deep Learning", IF($O874="SimFix", "Search Like Pattern", IF($O874="SketchFix", "True Pattern", IF($O874="SOFix", "True Pattern", IF($O874="ssFix", "Search Like Pattern", IF($O874="TBar", "True Pattern", ""))))))))))))))))))))</f>
        <v>True Semantic</v>
      </c>
      <c r="Q874" s="13" t="str">
        <f>IF(NOT(ISERR(SEARCH("*_Buggy",$A874))), "Buggy", IF(NOT(ISERR(SEARCH("*_Fixed",$A874))), "Fixed", IF(NOT(ISERR(SEARCH("*_Repaired",$A874))), "Repaired", "")))</f>
        <v>Fixed</v>
      </c>
      <c r="R874" s="13" t="s">
        <v>1669</v>
      </c>
      <c r="S874" s="25">
        <v>1</v>
      </c>
      <c r="T874" s="13">
        <v>1</v>
      </c>
      <c r="U874" s="25">
        <v>0</v>
      </c>
      <c r="V874" s="13">
        <v>1</v>
      </c>
      <c r="W874" s="13" t="str">
        <f>MID(A874, SEARCH("_", A874) +1, SEARCH("_", A874, SEARCH("_", A874) +1) - SEARCH("_", A874) -1)</f>
        <v>Lang-51</v>
      </c>
      <c r="Y874" s="1" t="str">
        <f t="shared" si="30"/>
        <v>NO</v>
      </c>
      <c r="Z874" s="1" t="str">
        <f t="shared" si="31"/>
        <v>NO</v>
      </c>
      <c r="AA874" t="str">
        <f>IF(AND(S874&gt;1,S1399&gt;1,S874=V874,S1399=V1399), "YES", "NO")</f>
        <v>NO</v>
      </c>
      <c r="AB874" t="str">
        <f>IF(AND(S874&gt;1,S1399&gt;1,S874&lt;V874,S1399&lt;V1399), "YES", "NO")</f>
        <v>NO</v>
      </c>
      <c r="AC874" t="str">
        <f t="shared" si="32"/>
        <v>NO</v>
      </c>
      <c r="AD874" t="str">
        <f t="shared" si="33"/>
        <v>NO</v>
      </c>
      <c r="AE874" t="str">
        <f t="shared" si="34"/>
        <v>NO</v>
      </c>
      <c r="AF874" t="str">
        <f t="shared" si="35"/>
        <v>NO</v>
      </c>
    </row>
    <row r="875" spans="1:32" ht="15" x14ac:dyDescent="0.35">
      <c r="A875" s="7" t="s">
        <v>815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>LEFT($A875,FIND("_",$A875)-1)</f>
        <v>Nopol</v>
      </c>
      <c r="P875" s="13" t="str">
        <f>IF($O875="ACS", "True Search", IF($O875="Arja", "Evolutionary Search", IF($O875="AVATAR", "True Pattern", IF($O875="CapGen", "Search Like Pattern", IF($O875="Cardumen", "True Semantic", IF($O875="DynaMoth", "True Semantic", IF($O875="FixMiner", "True Pattern", IF($O875="GenProg-A", "Evolutionary Search", IF($O875="Hercules", "Learning Pattern", IF($O875="Jaid", "True Semantic",
IF($O875="Kali-A", "True Search", IF($O875="kPAR", "True Pattern", IF($O875="Nopol", "True Semantic", IF($O875="RSRepair-A", "Evolutionary Search", IF($O875="SequenceR", "Deep Learning", IF($O875="SimFix", "Search Like Pattern", IF($O875="SketchFix", "True Pattern", IF($O875="SOFix", "True Pattern", IF($O875="ssFix", "Search Like Pattern", IF($O875="TBar", "True Pattern", ""))))))))))))))))))))</f>
        <v>True Semantic</v>
      </c>
      <c r="Q875" s="13" t="str">
        <f>IF(NOT(ISERR(SEARCH("*_Buggy",$A875))), "Buggy", IF(NOT(ISERR(SEARCH("*_Fixed",$A875))), "Fixed", IF(NOT(ISERR(SEARCH("*_Repaired",$A875))), "Repaired", "")))</f>
        <v>Fixed</v>
      </c>
      <c r="R875" s="13" t="s">
        <v>1669</v>
      </c>
      <c r="S875" s="25">
        <v>4</v>
      </c>
      <c r="T875" s="25">
        <v>2</v>
      </c>
      <c r="U875" s="25">
        <v>2</v>
      </c>
      <c r="V875" s="13">
        <v>4</v>
      </c>
      <c r="W875" s="13" t="str">
        <f>MID(A875, SEARCH("_", A875) +1, SEARCH("_", A875, SEARCH("_", A875) +1) - SEARCH("_", A875) -1)</f>
        <v>Lang-53</v>
      </c>
      <c r="Y875" s="1" t="str">
        <f t="shared" si="30"/>
        <v>YES</v>
      </c>
      <c r="Z875" s="1" t="str">
        <f t="shared" si="31"/>
        <v>NO</v>
      </c>
      <c r="AA875" t="str">
        <f>IF(AND(S875&gt;1,S1400&gt;1,S875=V875,S1400=V1400), "YES", "NO")</f>
        <v>NO</v>
      </c>
      <c r="AB875" t="str">
        <f>IF(AND(S875&gt;1,S1400&gt;1,S875&lt;V875,S1400&lt;V1400), "YES", "NO")</f>
        <v>NO</v>
      </c>
      <c r="AC875" t="str">
        <f t="shared" si="32"/>
        <v>NO</v>
      </c>
      <c r="AD875" t="str">
        <f t="shared" si="33"/>
        <v>NO</v>
      </c>
      <c r="AE875" t="str">
        <f t="shared" si="34"/>
        <v>NO</v>
      </c>
      <c r="AF875" t="str">
        <f t="shared" si="35"/>
        <v>YES</v>
      </c>
    </row>
    <row r="876" spans="1:32" ht="15" x14ac:dyDescent="0.35">
      <c r="A876" s="5" t="s">
        <v>1230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>LEFT($A876,FIND("_",$A876)-1)</f>
        <v>Nopol</v>
      </c>
      <c r="P876" s="13" t="str">
        <f>IF($O876="ACS", "True Search", IF($O876="Arja", "Evolutionary Search", IF($O876="AVATAR", "True Pattern", IF($O876="CapGen", "Search Like Pattern", IF($O876="Cardumen", "True Semantic", IF($O876="DynaMoth", "True Semantic", IF($O876="FixMiner", "True Pattern", IF($O876="GenProg-A", "Evolutionary Search", IF($O876="Hercules", "Learning Pattern", IF($O876="Jaid", "True Semantic",
IF($O876="Kali-A", "True Search", IF($O876="kPAR", "True Pattern", IF($O876="Nopol", "True Semantic", IF($O876="RSRepair-A", "Evolutionary Search", IF($O876="SequenceR", "Deep Learning", IF($O876="SimFix", "Search Like Pattern", IF($O876="SketchFix", "True Pattern", IF($O876="SOFix", "True Pattern", IF($O876="ssFix", "Search Like Pattern", IF($O876="TBar", "True Pattern", ""))))))))))))))))))))</f>
        <v>True Semantic</v>
      </c>
      <c r="Q876" s="13" t="str">
        <f>IF(NOT(ISERR(SEARCH("*_Buggy",$A876))), "Buggy", IF(NOT(ISERR(SEARCH("*_Fixed",$A876))), "Fixed", IF(NOT(ISERR(SEARCH("*_Repaired",$A876))), "Repaired", "")))</f>
        <v>Fixed</v>
      </c>
      <c r="R876" s="13" t="s">
        <v>1669</v>
      </c>
      <c r="S876" s="25">
        <v>2</v>
      </c>
      <c r="T876" s="13">
        <v>2</v>
      </c>
      <c r="U876" s="25">
        <v>0</v>
      </c>
      <c r="V876" s="13">
        <v>2</v>
      </c>
      <c r="W876" s="13" t="str">
        <f>MID(A876, SEARCH("_", A876) +1, SEARCH("_", A876, SEARCH("_", A876) +1) - SEARCH("_", A876) -1)</f>
        <v>Lang-55</v>
      </c>
      <c r="Y876" s="1" t="str">
        <f t="shared" si="30"/>
        <v>YES</v>
      </c>
      <c r="Z876" s="1" t="str">
        <f t="shared" si="31"/>
        <v>NO</v>
      </c>
      <c r="AA876" t="str">
        <f>IF(AND(S876&gt;1,S1401&gt;1,S876=V876,S1401=V1401), "YES", "NO")</f>
        <v>NO</v>
      </c>
      <c r="AB876" t="str">
        <f>IF(AND(S876&gt;1,S1401&gt;1,S876&lt;V876,S1401&lt;V1401), "YES", "NO")</f>
        <v>NO</v>
      </c>
      <c r="AC876" t="str">
        <f t="shared" si="32"/>
        <v>NO</v>
      </c>
      <c r="AD876" t="str">
        <f t="shared" si="33"/>
        <v>NO</v>
      </c>
      <c r="AE876" t="str">
        <f t="shared" si="34"/>
        <v>NO</v>
      </c>
      <c r="AF876" t="str">
        <f t="shared" si="35"/>
        <v>YES</v>
      </c>
    </row>
    <row r="877" spans="1:32" ht="15" x14ac:dyDescent="0.35">
      <c r="A877" s="7" t="s">
        <v>870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>LEFT($A877,FIND("_",$A877)-1)</f>
        <v>Nopol</v>
      </c>
      <c r="P877" s="13" t="str">
        <f>IF($O877="ACS", "True Search", IF($O877="Arja", "Evolutionary Search", IF($O877="AVATAR", "True Pattern", IF($O877="CapGen", "Search Like Pattern", IF($O877="Cardumen", "True Semantic", IF($O877="DynaMoth", "True Semantic", IF($O877="FixMiner", "True Pattern", IF($O877="GenProg-A", "Evolutionary Search", IF($O877="Hercules", "Learning Pattern", IF($O877="Jaid", "True Semantic",
IF($O877="Kali-A", "True Search", IF($O877="kPAR", "True Pattern", IF($O877="Nopol", "True Semantic", IF($O877="RSRepair-A", "Evolutionary Search", IF($O877="SequenceR", "Deep Learning", IF($O877="SimFix", "Search Like Pattern", IF($O877="SketchFix", "True Pattern", IF($O877="SOFix", "True Pattern", IF($O877="ssFix", "Search Like Pattern", IF($O877="TBar", "True Pattern", ""))))))))))))))))))))</f>
        <v>True Semantic</v>
      </c>
      <c r="Q877" s="13" t="str">
        <f>IF(NOT(ISERR(SEARCH("*_Buggy",$A877))), "Buggy", IF(NOT(ISERR(SEARCH("*_Fixed",$A877))), "Fixed", IF(NOT(ISERR(SEARCH("*_Repaired",$A877))), "Repaired", "")))</f>
        <v>Fixed</v>
      </c>
      <c r="R877" s="13" t="s">
        <v>1669</v>
      </c>
      <c r="S877" s="25">
        <v>1</v>
      </c>
      <c r="T877" s="25">
        <v>1</v>
      </c>
      <c r="U877" s="25">
        <v>2</v>
      </c>
      <c r="V877" s="13">
        <v>2</v>
      </c>
      <c r="W877" s="13" t="str">
        <f>MID(A877, SEARCH("_", A877) +1, SEARCH("_", A877, SEARCH("_", A877) +1) - SEARCH("_", A877) -1)</f>
        <v>Lang-58</v>
      </c>
      <c r="Y877" s="1" t="str">
        <f t="shared" si="30"/>
        <v>NO</v>
      </c>
      <c r="Z877" s="1" t="str">
        <f t="shared" si="31"/>
        <v>NO</v>
      </c>
      <c r="AA877" t="str">
        <f>IF(AND(S877&gt;1,S1402&gt;1,S877=V877,S1402=V1402), "YES", "NO")</f>
        <v>NO</v>
      </c>
      <c r="AB877" t="str">
        <f>IF(AND(S877&gt;1,S1402&gt;1,S877&lt;V877,S1402&lt;V1402), "YES", "NO")</f>
        <v>NO</v>
      </c>
      <c r="AC877" t="str">
        <f t="shared" si="32"/>
        <v>NO</v>
      </c>
      <c r="AD877" t="str">
        <f t="shared" si="33"/>
        <v>NO</v>
      </c>
      <c r="AE877" t="str">
        <f t="shared" si="34"/>
        <v>NO</v>
      </c>
      <c r="AF877" t="str">
        <f t="shared" si="35"/>
        <v>YES</v>
      </c>
    </row>
    <row r="878" spans="1:32" ht="15" x14ac:dyDescent="0.35">
      <c r="A878" s="7" t="s">
        <v>993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>LEFT($A878,FIND("_",$A878)-1)</f>
        <v>Nopol</v>
      </c>
      <c r="P878" s="13" t="str">
        <f>IF($O878="ACS", "True Search", IF($O878="Arja", "Evolutionary Search", IF($O878="AVATAR", "True Pattern", IF($O878="CapGen", "Search Like Pattern", IF($O878="Cardumen", "True Semantic", IF($O878="DynaMoth", "True Semantic", IF($O878="FixMiner", "True Pattern", IF($O878="GenProg-A", "Evolutionary Search", IF($O878="Hercules", "Learning Pattern", IF($O878="Jaid", "True Semantic",
IF($O878="Kali-A", "True Search", IF($O878="kPAR", "True Pattern", IF($O878="Nopol", "True Semantic", IF($O878="RSRepair-A", "Evolutionary Search", IF($O878="SequenceR", "Deep Learning", IF($O878="SimFix", "Search Like Pattern", IF($O878="SketchFix", "True Pattern", IF($O878="SOFix", "True Pattern", IF($O878="ssFix", "Search Like Pattern", IF($O878="TBar", "True Pattern", ""))))))))))))))))))))</f>
        <v>True Semantic</v>
      </c>
      <c r="Q878" s="13" t="str">
        <f>IF(NOT(ISERR(SEARCH("*_Buggy",$A878))), "Buggy", IF(NOT(ISERR(SEARCH("*_Fixed",$A878))), "Fixed", IF(NOT(ISERR(SEARCH("*_Repaired",$A878))), "Repaired", "")))</f>
        <v>Fixed</v>
      </c>
      <c r="R878" s="13" t="s">
        <v>1669</v>
      </c>
      <c r="S878" s="25">
        <v>1</v>
      </c>
      <c r="T878" s="25">
        <v>1</v>
      </c>
      <c r="U878" s="25">
        <v>1</v>
      </c>
      <c r="V878" s="13">
        <v>1</v>
      </c>
      <c r="W878" s="13" t="str">
        <f>MID(A878, SEARCH("_", A878) +1, SEARCH("_", A878, SEARCH("_", A878) +1) - SEARCH("_", A878) -1)</f>
        <v>Math-105</v>
      </c>
      <c r="Y878" s="1" t="str">
        <f t="shared" si="30"/>
        <v>NO</v>
      </c>
      <c r="Z878" s="1" t="str">
        <f t="shared" si="31"/>
        <v>NO</v>
      </c>
      <c r="AA878" t="str">
        <f>IF(AND(S878&gt;1,S1403&gt;1,S878=V878,S1403=V1403), "YES", "NO")</f>
        <v>NO</v>
      </c>
      <c r="AB878" t="str">
        <f>IF(AND(S878&gt;1,S1403&gt;1,S878&lt;V878,S1403&lt;V1403), "YES", "NO")</f>
        <v>NO</v>
      </c>
      <c r="AC878" t="str">
        <f t="shared" si="32"/>
        <v>NO</v>
      </c>
      <c r="AD878" t="str">
        <f t="shared" si="33"/>
        <v>NO</v>
      </c>
      <c r="AE878" t="str">
        <f t="shared" si="34"/>
        <v>NO</v>
      </c>
      <c r="AF878" t="str">
        <f t="shared" si="35"/>
        <v>NO</v>
      </c>
    </row>
    <row r="879" spans="1:32" ht="15" x14ac:dyDescent="0.35">
      <c r="A879" s="7" t="s">
        <v>83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>LEFT($A879,FIND("_",$A879)-1)</f>
        <v>Nopol</v>
      </c>
      <c r="P879" s="13" t="str">
        <f>IF($O879="ACS", "True Search", IF($O879="Arja", "Evolutionary Search", IF($O879="AVATAR", "True Pattern", IF($O879="CapGen", "Search Like Pattern", IF($O879="Cardumen", "True Semantic", IF($O879="DynaMoth", "True Semantic", IF($O879="FixMiner", "True Pattern", IF($O879="GenProg-A", "Evolutionary Search", IF($O879="Hercules", "Learning Pattern", IF($O879="Jaid", "True Semantic",
IF($O879="Kali-A", "True Search", IF($O879="kPAR", "True Pattern", IF($O879="Nopol", "True Semantic", IF($O879="RSRepair-A", "Evolutionary Search", IF($O879="SequenceR", "Deep Learning", IF($O879="SimFix", "Search Like Pattern", IF($O879="SketchFix", "True Pattern", IF($O879="SOFix", "True Pattern", IF($O879="ssFix", "Search Like Pattern", IF($O879="TBar", "True Pattern", ""))))))))))))))))))))</f>
        <v>True Semantic</v>
      </c>
      <c r="Q879" s="13" t="str">
        <f>IF(NOT(ISERR(SEARCH("*_Buggy",$A879))), "Buggy", IF(NOT(ISERR(SEARCH("*_Fixed",$A879))), "Fixed", IF(NOT(ISERR(SEARCH("*_Repaired",$A879))), "Repaired", "")))</f>
        <v>Fixed</v>
      </c>
      <c r="R879" s="13" t="s">
        <v>1669</v>
      </c>
      <c r="S879" s="25">
        <v>5</v>
      </c>
      <c r="T879" s="25">
        <v>6</v>
      </c>
      <c r="U879" s="25">
        <v>4</v>
      </c>
      <c r="V879" s="13">
        <v>6</v>
      </c>
      <c r="W879" s="13" t="str">
        <f>MID(A879, SEARCH("_", A879) +1, SEARCH("_", A879, SEARCH("_", A879) +1) - SEARCH("_", A879) -1)</f>
        <v>Math-18</v>
      </c>
      <c r="Y879" s="1" t="str">
        <f t="shared" si="30"/>
        <v>NO</v>
      </c>
      <c r="Z879" s="1" t="str">
        <f t="shared" si="31"/>
        <v>YES</v>
      </c>
      <c r="AA879" t="str">
        <f>IF(AND(S879&gt;1,S1404&gt;1,S879=V879,S1404=V1404), "YES", "NO")</f>
        <v>NO</v>
      </c>
      <c r="AB879" t="str">
        <f>IF(AND(S879&gt;1,S1404&gt;1,S879&lt;V879,S1404&lt;V1404), "YES", "NO")</f>
        <v>NO</v>
      </c>
      <c r="AC879" t="str">
        <f t="shared" si="32"/>
        <v>NO</v>
      </c>
      <c r="AD879" t="str">
        <f t="shared" si="33"/>
        <v>NO</v>
      </c>
      <c r="AE879" t="str">
        <f t="shared" si="34"/>
        <v>NO</v>
      </c>
      <c r="AF879" t="str">
        <f t="shared" si="35"/>
        <v>YES</v>
      </c>
    </row>
    <row r="880" spans="1:32" ht="15" x14ac:dyDescent="0.35">
      <c r="A880" s="5" t="s">
        <v>251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>LEFT($A880,FIND("_",$A880)-1)</f>
        <v>Nopol</v>
      </c>
      <c r="P880" s="13" t="str">
        <f>IF($O880="ACS", "True Search", IF($O880="Arja", "Evolutionary Search", IF($O880="AVATAR", "True Pattern", IF($O880="CapGen", "Search Like Pattern", IF($O880="Cardumen", "True Semantic", IF($O880="DynaMoth", "True Semantic", IF($O880="FixMiner", "True Pattern", IF($O880="GenProg-A", "Evolutionary Search", IF($O880="Hercules", "Learning Pattern", IF($O880="Jaid", "True Semantic",
IF($O880="Kali-A", "True Search", IF($O880="kPAR", "True Pattern", IF($O880="Nopol", "True Semantic", IF($O880="RSRepair-A", "Evolutionary Search", IF($O880="SequenceR", "Deep Learning", IF($O880="SimFix", "Search Like Pattern", IF($O880="SketchFix", "True Pattern", IF($O880="SOFix", "True Pattern", IF($O880="ssFix", "Search Like Pattern", IF($O880="TBar", "True Pattern", ""))))))))))))))))))))</f>
        <v>True Semantic</v>
      </c>
      <c r="Q880" s="13" t="str">
        <f>IF(NOT(ISERR(SEARCH("*_Buggy",$A880))), "Buggy", IF(NOT(ISERR(SEARCH("*_Fixed",$A880))), "Fixed", IF(NOT(ISERR(SEARCH("*_Repaired",$A880))), "Repaired", "")))</f>
        <v>Fixed</v>
      </c>
      <c r="R880" s="13" t="s">
        <v>1669</v>
      </c>
      <c r="S880" s="25">
        <v>1</v>
      </c>
      <c r="T880" s="25">
        <v>2</v>
      </c>
      <c r="U880" s="25">
        <v>1</v>
      </c>
      <c r="V880" s="13">
        <v>2</v>
      </c>
      <c r="W880" s="13" t="str">
        <f>MID(A880, SEARCH("_", A880) +1, SEARCH("_", A880, SEARCH("_", A880) +1) - SEARCH("_", A880) -1)</f>
        <v>Math-20</v>
      </c>
      <c r="Y880" s="1" t="str">
        <f t="shared" si="30"/>
        <v>NO</v>
      </c>
      <c r="Z880" s="1" t="str">
        <f t="shared" si="31"/>
        <v>NO</v>
      </c>
      <c r="AA880" t="str">
        <f>IF(AND(S880&gt;1,S1405&gt;1,S880=V880,S1405=V1405), "YES", "NO")</f>
        <v>NO</v>
      </c>
      <c r="AB880" t="str">
        <f>IF(AND(S880&gt;1,S1405&gt;1,S880&lt;V880,S1405&lt;V1405), "YES", "NO")</f>
        <v>NO</v>
      </c>
      <c r="AC880" t="str">
        <f t="shared" si="32"/>
        <v>NO</v>
      </c>
      <c r="AD880" t="str">
        <f t="shared" si="33"/>
        <v>YES</v>
      </c>
      <c r="AE880" t="str">
        <f t="shared" si="34"/>
        <v>NO</v>
      </c>
      <c r="AF880" t="str">
        <f t="shared" si="35"/>
        <v>YES</v>
      </c>
    </row>
    <row r="881" spans="1:32" ht="15" x14ac:dyDescent="0.35">
      <c r="A881" s="5" t="s">
        <v>221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>LEFT($A881,FIND("_",$A881)-1)</f>
        <v>Nopol</v>
      </c>
      <c r="P881" s="13" t="str">
        <f>IF($O881="ACS", "True Search", IF($O881="Arja", "Evolutionary Search", IF($O881="AVATAR", "True Pattern", IF($O881="CapGen", "Search Like Pattern", IF($O881="Cardumen", "True Semantic", IF($O881="DynaMoth", "True Semantic", IF($O881="FixMiner", "True Pattern", IF($O881="GenProg-A", "Evolutionary Search", IF($O881="Hercules", "Learning Pattern", IF($O881="Jaid", "True Semantic",
IF($O881="Kali-A", "True Search", IF($O881="kPAR", "True Pattern", IF($O881="Nopol", "True Semantic", IF($O881="RSRepair-A", "Evolutionary Search", IF($O881="SequenceR", "Deep Learning", IF($O881="SimFix", "Search Like Pattern", IF($O881="SketchFix", "True Pattern", IF($O881="SOFix", "True Pattern", IF($O881="ssFix", "Search Like Pattern", IF($O881="TBar", "True Pattern", ""))))))))))))))))))))</f>
        <v>True Semantic</v>
      </c>
      <c r="Q881" s="13" t="str">
        <f>IF(NOT(ISERR(SEARCH("*_Buggy",$A881))), "Buggy", IF(NOT(ISERR(SEARCH("*_Fixed",$A881))), "Fixed", IF(NOT(ISERR(SEARCH("*_Repaired",$A881))), "Repaired", "")))</f>
        <v>Fixed</v>
      </c>
      <c r="R881" s="13" t="s">
        <v>1669</v>
      </c>
      <c r="S881" s="25">
        <v>1</v>
      </c>
      <c r="T881" s="25">
        <v>1</v>
      </c>
      <c r="U881" s="25">
        <v>1</v>
      </c>
      <c r="V881" s="13">
        <v>1</v>
      </c>
      <c r="W881" s="13" t="str">
        <f>MID(A881, SEARCH("_", A881) +1, SEARCH("_", A881, SEARCH("_", A881) +1) - SEARCH("_", A881) -1)</f>
        <v>Math-33</v>
      </c>
      <c r="Y881" s="1" t="str">
        <f t="shared" si="30"/>
        <v>NO</v>
      </c>
      <c r="Z881" s="1" t="str">
        <f t="shared" si="31"/>
        <v>NO</v>
      </c>
      <c r="AA881" t="str">
        <f>IF(AND(S881&gt;1,S1406&gt;1,S881=V881,S1406=V1406), "YES", "NO")</f>
        <v>NO</v>
      </c>
      <c r="AB881" t="str">
        <f>IF(AND(S881&gt;1,S1406&gt;1,S881&lt;V881,S1406&lt;V1406), "YES", "NO")</f>
        <v>NO</v>
      </c>
      <c r="AC881" t="str">
        <f t="shared" si="32"/>
        <v>NO</v>
      </c>
      <c r="AD881" t="str">
        <f t="shared" si="33"/>
        <v>NO</v>
      </c>
      <c r="AE881" t="str">
        <f t="shared" si="34"/>
        <v>NO</v>
      </c>
      <c r="AF881" t="str">
        <f t="shared" si="35"/>
        <v>NO</v>
      </c>
    </row>
    <row r="882" spans="1:32" ht="15" x14ac:dyDescent="0.35">
      <c r="A882" s="7" t="s">
        <v>423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>LEFT($A882,FIND("_",$A882)-1)</f>
        <v>Nopol</v>
      </c>
      <c r="P882" s="13" t="str">
        <f>IF($O882="ACS", "True Search", IF($O882="Arja", "Evolutionary Search", IF($O882="AVATAR", "True Pattern", IF($O882="CapGen", "Search Like Pattern", IF($O882="Cardumen", "True Semantic", IF($O882="DynaMoth", "True Semantic", IF($O882="FixMiner", "True Pattern", IF($O882="GenProg-A", "Evolutionary Search", IF($O882="Hercules", "Learning Pattern", IF($O882="Jaid", "True Semantic",
IF($O882="Kali-A", "True Search", IF($O882="kPAR", "True Pattern", IF($O882="Nopol", "True Semantic", IF($O882="RSRepair-A", "Evolutionary Search", IF($O882="SequenceR", "Deep Learning", IF($O882="SimFix", "Search Like Pattern", IF($O882="SketchFix", "True Pattern", IF($O882="SOFix", "True Pattern", IF($O882="ssFix", "Search Like Pattern", IF($O882="TBar", "True Pattern", ""))))))))))))))))))))</f>
        <v>True Semantic</v>
      </c>
      <c r="Q882" s="13" t="str">
        <f>IF(NOT(ISERR(SEARCH("*_Buggy",$A882))), "Buggy", IF(NOT(ISERR(SEARCH("*_Fixed",$A882))), "Fixed", IF(NOT(ISERR(SEARCH("*_Repaired",$A882))), "Repaired", "")))</f>
        <v>Fixed</v>
      </c>
      <c r="R882" s="13" t="s">
        <v>1669</v>
      </c>
      <c r="S882" s="25">
        <v>2</v>
      </c>
      <c r="T882" s="25">
        <v>3</v>
      </c>
      <c r="U882" s="25">
        <v>1</v>
      </c>
      <c r="V882" s="13">
        <v>3</v>
      </c>
      <c r="W882" s="13" t="str">
        <f>MID(A882, SEARCH("_", A882) +1, SEARCH("_", A882, SEARCH("_", A882) +1) - SEARCH("_", A882) -1)</f>
        <v>Math-42</v>
      </c>
      <c r="Y882" s="1" t="str">
        <f t="shared" si="30"/>
        <v>NO</v>
      </c>
      <c r="Z882" s="1" t="str">
        <f t="shared" si="31"/>
        <v>YES</v>
      </c>
      <c r="AA882" t="str">
        <f>IF(AND(S882&gt;1,S1407&gt;1,S882=V882,S1407=V1407), "YES", "NO")</f>
        <v>NO</v>
      </c>
      <c r="AB882" t="str">
        <f>IF(AND(S882&gt;1,S1407&gt;1,S882&lt;V882,S1407&lt;V1407), "YES", "NO")</f>
        <v>YES</v>
      </c>
      <c r="AC882" t="str">
        <f t="shared" si="32"/>
        <v>NO</v>
      </c>
      <c r="AD882" t="str">
        <f t="shared" si="33"/>
        <v>NO</v>
      </c>
      <c r="AE882" t="str">
        <f t="shared" si="34"/>
        <v>NO</v>
      </c>
      <c r="AF882" t="str">
        <f t="shared" si="35"/>
        <v>YES</v>
      </c>
    </row>
    <row r="883" spans="1:32" ht="15" x14ac:dyDescent="0.35">
      <c r="A883" s="5" t="s">
        <v>886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>LEFT($A883,FIND("_",$A883)-1)</f>
        <v>Nopol</v>
      </c>
      <c r="P883" s="13" t="str">
        <f>IF($O883="ACS", "True Search", IF($O883="Arja", "Evolutionary Search", IF($O883="AVATAR", "True Pattern", IF($O883="CapGen", "Search Like Pattern", IF($O883="Cardumen", "True Semantic", IF($O883="DynaMoth", "True Semantic", IF($O883="FixMiner", "True Pattern", IF($O883="GenProg-A", "Evolutionary Search", IF($O883="Hercules", "Learning Pattern", IF($O883="Jaid", "True Semantic",
IF($O883="Kali-A", "True Search", IF($O883="kPAR", "True Pattern", IF($O883="Nopol", "True Semantic", IF($O883="RSRepair-A", "Evolutionary Search", IF($O883="SequenceR", "Deep Learning", IF($O883="SimFix", "Search Like Pattern", IF($O883="SketchFix", "True Pattern", IF($O883="SOFix", "True Pattern", IF($O883="ssFix", "Search Like Pattern", IF($O883="TBar", "True Pattern", ""))))))))))))))))))))</f>
        <v>True Semantic</v>
      </c>
      <c r="Q883" s="13" t="str">
        <f>IF(NOT(ISERR(SEARCH("*_Buggy",$A883))), "Buggy", IF(NOT(ISERR(SEARCH("*_Fixed",$A883))), "Fixed", IF(NOT(ISERR(SEARCH("*_Repaired",$A883))), "Repaired", "")))</f>
        <v>Fixed</v>
      </c>
      <c r="R883" s="13" t="s">
        <v>1669</v>
      </c>
      <c r="S883" s="25">
        <v>4</v>
      </c>
      <c r="T883" s="25">
        <v>4</v>
      </c>
      <c r="U883" s="25">
        <v>4</v>
      </c>
      <c r="V883" s="13">
        <v>4</v>
      </c>
      <c r="W883" s="13" t="str">
        <f>MID(A883, SEARCH("_", A883) +1, SEARCH("_", A883, SEARCH("_", A883) +1) - SEARCH("_", A883) -1)</f>
        <v>Math-49</v>
      </c>
      <c r="Y883" s="1" t="str">
        <f t="shared" si="30"/>
        <v>YES</v>
      </c>
      <c r="Z883" s="1" t="str">
        <f t="shared" si="31"/>
        <v>NO</v>
      </c>
      <c r="AA883" t="str">
        <f>IF(AND(S883&gt;1,S1408&gt;1,S883=V883,S1408=V1408), "YES", "NO")</f>
        <v>NO</v>
      </c>
      <c r="AB883" t="str">
        <f>IF(AND(S883&gt;1,S1408&gt;1,S883&lt;V883,S1408&lt;V1408), "YES", "NO")</f>
        <v>NO</v>
      </c>
      <c r="AC883" t="str">
        <f t="shared" si="32"/>
        <v>NO</v>
      </c>
      <c r="AD883" t="str">
        <f t="shared" si="33"/>
        <v>NO</v>
      </c>
      <c r="AE883" t="str">
        <f t="shared" si="34"/>
        <v>NO</v>
      </c>
      <c r="AF883" t="str">
        <f t="shared" si="35"/>
        <v>YES</v>
      </c>
    </row>
    <row r="884" spans="1:32" ht="15" x14ac:dyDescent="0.35">
      <c r="A884" s="7" t="s">
        <v>448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>LEFT($A884,FIND("_",$A884)-1)</f>
        <v>Nopol</v>
      </c>
      <c r="P884" s="13" t="str">
        <f>IF($O884="ACS", "True Search", IF($O884="Arja", "Evolutionary Search", IF($O884="AVATAR", "True Pattern", IF($O884="CapGen", "Search Like Pattern", IF($O884="Cardumen", "True Semantic", IF($O884="DynaMoth", "True Semantic", IF($O884="FixMiner", "True Pattern", IF($O884="GenProg-A", "Evolutionary Search", IF($O884="Hercules", "Learning Pattern", IF($O884="Jaid", "True Semantic",
IF($O884="Kali-A", "True Search", IF($O884="kPAR", "True Pattern", IF($O884="Nopol", "True Semantic", IF($O884="RSRepair-A", "Evolutionary Search", IF($O884="SequenceR", "Deep Learning", IF($O884="SimFix", "Search Like Pattern", IF($O884="SketchFix", "True Pattern", IF($O884="SOFix", "True Pattern", IF($O884="ssFix", "Search Like Pattern", IF($O884="TBar", "True Pattern", ""))))))))))))))))))))</f>
        <v>True Semantic</v>
      </c>
      <c r="Q884" s="13" t="str">
        <f>IF(NOT(ISERR(SEARCH("*_Buggy",$A884))), "Buggy", IF(NOT(ISERR(SEARCH("*_Fixed",$A884))), "Fixed", IF(NOT(ISERR(SEARCH("*_Repaired",$A884))), "Repaired", "")))</f>
        <v>Fixed</v>
      </c>
      <c r="R884" s="13" t="s">
        <v>1668</v>
      </c>
      <c r="S884" s="25">
        <v>1</v>
      </c>
      <c r="T884" s="25">
        <v>0</v>
      </c>
      <c r="U884" s="13">
        <v>4</v>
      </c>
      <c r="V884" s="13">
        <v>4</v>
      </c>
      <c r="W884" s="13" t="str">
        <f>MID(A884, SEARCH("_", A884) +1, SEARCH("_", A884, SEARCH("_", A884) +1) - SEARCH("_", A884) -1)</f>
        <v>Math-50</v>
      </c>
      <c r="Y884" s="1" t="str">
        <f t="shared" si="30"/>
        <v>NO</v>
      </c>
      <c r="Z884" s="1" t="str">
        <f t="shared" si="31"/>
        <v>NO</v>
      </c>
      <c r="AA884" t="str">
        <f>IF(AND(S884&gt;1,S1409&gt;1,S884=V884,S1409=V1409), "YES", "NO")</f>
        <v>NO</v>
      </c>
      <c r="AB884" t="str">
        <f>IF(AND(S884&gt;1,S1409&gt;1,S884&lt;V884,S1409&lt;V1409), "YES", "NO")</f>
        <v>NO</v>
      </c>
      <c r="AC884" t="str">
        <f t="shared" si="32"/>
        <v>NO</v>
      </c>
      <c r="AD884" t="str">
        <f t="shared" si="33"/>
        <v>YES</v>
      </c>
      <c r="AE884" t="str">
        <f t="shared" si="34"/>
        <v>NO</v>
      </c>
      <c r="AF884" t="str">
        <f t="shared" si="35"/>
        <v>YES</v>
      </c>
    </row>
    <row r="885" spans="1:32" ht="15" x14ac:dyDescent="0.35">
      <c r="A885" s="7" t="s">
        <v>708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>LEFT($A885,FIND("_",$A885)-1)</f>
        <v>Nopol</v>
      </c>
      <c r="P885" s="13" t="str">
        <f>IF($O885="ACS", "True Search", IF($O885="Arja", "Evolutionary Search", IF($O885="AVATAR", "True Pattern", IF($O885="CapGen", "Search Like Pattern", IF($O885="Cardumen", "True Semantic", IF($O885="DynaMoth", "True Semantic", IF($O885="FixMiner", "True Pattern", IF($O885="GenProg-A", "Evolutionary Search", IF($O885="Hercules", "Learning Pattern", IF($O885="Jaid", "True Semantic",
IF($O885="Kali-A", "True Search", IF($O885="kPAR", "True Pattern", IF($O885="Nopol", "True Semantic", IF($O885="RSRepair-A", "Evolutionary Search", IF($O885="SequenceR", "Deep Learning", IF($O885="SimFix", "Search Like Pattern", IF($O885="SketchFix", "True Pattern", IF($O885="SOFix", "True Pattern", IF($O885="ssFix", "Search Like Pattern", IF($O885="TBar", "True Pattern", ""))))))))))))))))))))</f>
        <v>True Semantic</v>
      </c>
      <c r="Q885" s="13" t="str">
        <f>IF(NOT(ISERR(SEARCH("*_Buggy",$A885))), "Buggy", IF(NOT(ISERR(SEARCH("*_Fixed",$A885))), "Fixed", IF(NOT(ISERR(SEARCH("*_Repaired",$A885))), "Repaired", "")))</f>
        <v>Fixed</v>
      </c>
      <c r="R885" s="13" t="s">
        <v>1669</v>
      </c>
      <c r="S885" s="25">
        <v>1</v>
      </c>
      <c r="T885" s="25">
        <v>1</v>
      </c>
      <c r="U885" s="25">
        <v>1</v>
      </c>
      <c r="V885" s="13">
        <v>1</v>
      </c>
      <c r="W885" s="13" t="str">
        <f>MID(A885, SEARCH("_", A885) +1, SEARCH("_", A885, SEARCH("_", A885) +1) - SEARCH("_", A885) -1)</f>
        <v>Math-69</v>
      </c>
      <c r="Y885" s="1" t="str">
        <f t="shared" si="30"/>
        <v>NO</v>
      </c>
      <c r="Z885" s="1" t="str">
        <f t="shared" si="31"/>
        <v>NO</v>
      </c>
      <c r="AA885" t="str">
        <f>IF(AND(S885&gt;1,S1410&gt;1,S885=V885,S1410=V1410), "YES", "NO")</f>
        <v>NO</v>
      </c>
      <c r="AB885" t="str">
        <f>IF(AND(S885&gt;1,S1410&gt;1,S885&lt;V885,S1410&lt;V1410), "YES", "NO")</f>
        <v>NO</v>
      </c>
      <c r="AC885" t="str">
        <f t="shared" si="32"/>
        <v>NO</v>
      </c>
      <c r="AD885" t="str">
        <f t="shared" si="33"/>
        <v>NO</v>
      </c>
      <c r="AE885" t="str">
        <f t="shared" si="34"/>
        <v>NO</v>
      </c>
      <c r="AF885" t="str">
        <f t="shared" si="35"/>
        <v>NO</v>
      </c>
    </row>
    <row r="886" spans="1:32" ht="15" x14ac:dyDescent="0.35">
      <c r="A886" s="5" t="s">
        <v>282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>LEFT($A886,FIND("_",$A886)-1)</f>
        <v>Nopol</v>
      </c>
      <c r="P886" s="13" t="str">
        <f>IF($O886="ACS", "True Search", IF($O886="Arja", "Evolutionary Search", IF($O886="AVATAR", "True Pattern", IF($O886="CapGen", "Search Like Pattern", IF($O886="Cardumen", "True Semantic", IF($O886="DynaMoth", "True Semantic", IF($O886="FixMiner", "True Pattern", IF($O886="GenProg-A", "Evolutionary Search", IF($O886="Hercules", "Learning Pattern", IF($O886="Jaid", "True Semantic",
IF($O886="Kali-A", "True Search", IF($O886="kPAR", "True Pattern", IF($O886="Nopol", "True Semantic", IF($O886="RSRepair-A", "Evolutionary Search", IF($O886="SequenceR", "Deep Learning", IF($O886="SimFix", "Search Like Pattern", IF($O886="SketchFix", "True Pattern", IF($O886="SOFix", "True Pattern", IF($O886="ssFix", "Search Like Pattern", IF($O886="TBar", "True Pattern", ""))))))))))))))))))))</f>
        <v>True Semantic</v>
      </c>
      <c r="Q886" s="13" t="str">
        <f>IF(NOT(ISERR(SEARCH("*_Buggy",$A886))), "Buggy", IF(NOT(ISERR(SEARCH("*_Fixed",$A886))), "Fixed", IF(NOT(ISERR(SEARCH("*_Repaired",$A886))), "Repaired", "")))</f>
        <v>Fixed</v>
      </c>
      <c r="R886" s="13" t="s">
        <v>1669</v>
      </c>
      <c r="S886" s="25">
        <v>4</v>
      </c>
      <c r="T886" s="25">
        <v>8</v>
      </c>
      <c r="U886" s="25">
        <v>9</v>
      </c>
      <c r="V886" s="13">
        <v>14</v>
      </c>
      <c r="W886" s="13" t="str">
        <f>MID(A886, SEARCH("_", A886) +1, SEARCH("_", A886, SEARCH("_", A886) +1) - SEARCH("_", A886) -1)</f>
        <v>Math-7</v>
      </c>
      <c r="Y886" s="1" t="str">
        <f t="shared" si="30"/>
        <v>NO</v>
      </c>
      <c r="Z886" s="1" t="str">
        <f t="shared" si="31"/>
        <v>YES</v>
      </c>
      <c r="AA886" t="str">
        <f>IF(AND(S886&gt;1,S1411&gt;1,S886=V886,S1411=V1411), "YES", "NO")</f>
        <v>NO</v>
      </c>
      <c r="AB886" t="str">
        <f>IF(AND(S886&gt;1,S1411&gt;1,S886&lt;V886,S1411&lt;V1411), "YES", "NO")</f>
        <v>NO</v>
      </c>
      <c r="AC886" t="str">
        <f t="shared" si="32"/>
        <v>NO</v>
      </c>
      <c r="AD886" t="str">
        <f t="shared" si="33"/>
        <v>NO</v>
      </c>
      <c r="AE886" t="str">
        <f t="shared" si="34"/>
        <v>NO</v>
      </c>
      <c r="AF886" t="str">
        <f t="shared" si="35"/>
        <v>YES</v>
      </c>
    </row>
    <row r="887" spans="1:32" ht="15" x14ac:dyDescent="0.35">
      <c r="A887" s="7" t="s">
        <v>888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>LEFT($A887,FIND("_",$A887)-1)</f>
        <v>Nopol</v>
      </c>
      <c r="P887" s="13" t="str">
        <f>IF($O887="ACS", "True Search", IF($O887="Arja", "Evolutionary Search", IF($O887="AVATAR", "True Pattern", IF($O887="CapGen", "Search Like Pattern", IF($O887="Cardumen", "True Semantic", IF($O887="DynaMoth", "True Semantic", IF($O887="FixMiner", "True Pattern", IF($O887="GenProg-A", "Evolutionary Search", IF($O887="Hercules", "Learning Pattern", IF($O887="Jaid", "True Semantic",
IF($O887="Kali-A", "True Search", IF($O887="kPAR", "True Pattern", IF($O887="Nopol", "True Semantic", IF($O887="RSRepair-A", "Evolutionary Search", IF($O887="SequenceR", "Deep Learning", IF($O887="SimFix", "Search Like Pattern", IF($O887="SketchFix", "True Pattern", IF($O887="SOFix", "True Pattern", IF($O887="ssFix", "Search Like Pattern", IF($O887="TBar", "True Pattern", ""))))))))))))))))))))</f>
        <v>True Semantic</v>
      </c>
      <c r="Q887" s="13" t="str">
        <f>IF(NOT(ISERR(SEARCH("*_Buggy",$A887))), "Buggy", IF(NOT(ISERR(SEARCH("*_Fixed",$A887))), "Fixed", IF(NOT(ISERR(SEARCH("*_Repaired",$A887))), "Repaired", "")))</f>
        <v>Fixed</v>
      </c>
      <c r="R887" s="13" t="s">
        <v>1669</v>
      </c>
      <c r="S887" s="25">
        <v>1</v>
      </c>
      <c r="T887" s="25">
        <v>1</v>
      </c>
      <c r="U887" s="25">
        <v>1</v>
      </c>
      <c r="V887" s="13">
        <v>1</v>
      </c>
      <c r="W887" s="13" t="str">
        <f>MID(A887, SEARCH("_", A887) +1, SEARCH("_", A887, SEARCH("_", A887) +1) - SEARCH("_", A887) -1)</f>
        <v>Math-80</v>
      </c>
      <c r="Y887" s="1" t="str">
        <f t="shared" si="30"/>
        <v>NO</v>
      </c>
      <c r="Z887" s="1" t="str">
        <f t="shared" si="31"/>
        <v>NO</v>
      </c>
      <c r="AA887" t="str">
        <f>IF(AND(S887&gt;1,S1412&gt;1,S887=V887,S1412=V1412), "YES", "NO")</f>
        <v>NO</v>
      </c>
      <c r="AB887" t="str">
        <f>IF(AND(S887&gt;1,S1412&gt;1,S887&lt;V887,S1412&lt;V1412), "YES", "NO")</f>
        <v>NO</v>
      </c>
      <c r="AC887" t="str">
        <f t="shared" si="32"/>
        <v>NO</v>
      </c>
      <c r="AD887" t="str">
        <f t="shared" si="33"/>
        <v>NO</v>
      </c>
      <c r="AE887" t="str">
        <f t="shared" si="34"/>
        <v>NO</v>
      </c>
      <c r="AF887" t="str">
        <f t="shared" si="35"/>
        <v>NO</v>
      </c>
    </row>
    <row r="888" spans="1:32" ht="15" x14ac:dyDescent="0.35">
      <c r="A888" s="5" t="s">
        <v>1018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>LEFT($A888,FIND("_",$A888)-1)</f>
        <v>Nopol</v>
      </c>
      <c r="P888" s="13" t="str">
        <f>IF($O888="ACS", "True Search", IF($O888="Arja", "Evolutionary Search", IF($O888="AVATAR", "True Pattern", IF($O888="CapGen", "Search Like Pattern", IF($O888="Cardumen", "True Semantic", IF($O888="DynaMoth", "True Semantic", IF($O888="FixMiner", "True Pattern", IF($O888="GenProg-A", "Evolutionary Search", IF($O888="Hercules", "Learning Pattern", IF($O888="Jaid", "True Semantic",
IF($O888="Kali-A", "True Search", IF($O888="kPAR", "True Pattern", IF($O888="Nopol", "True Semantic", IF($O888="RSRepair-A", "Evolutionary Search", IF($O888="SequenceR", "Deep Learning", IF($O888="SimFix", "Search Like Pattern", IF($O888="SketchFix", "True Pattern", IF($O888="SOFix", "True Pattern", IF($O888="ssFix", "Search Like Pattern", IF($O888="TBar", "True Pattern", ""))))))))))))))))))))</f>
        <v>True Semantic</v>
      </c>
      <c r="Q888" s="13" t="str">
        <f>IF(NOT(ISERR(SEARCH("*_Buggy",$A888))), "Buggy", IF(NOT(ISERR(SEARCH("*_Fixed",$A888))), "Fixed", IF(NOT(ISERR(SEARCH("*_Repaired",$A888))), "Repaired", "")))</f>
        <v>Fixed</v>
      </c>
      <c r="R888" s="13" t="s">
        <v>1669</v>
      </c>
      <c r="S888" s="25">
        <v>3</v>
      </c>
      <c r="T888" s="25">
        <v>4</v>
      </c>
      <c r="U888" s="25">
        <v>3</v>
      </c>
      <c r="V888" s="13">
        <v>4</v>
      </c>
      <c r="W888" s="13" t="str">
        <f>MID(A888, SEARCH("_", A888) +1, SEARCH("_", A888, SEARCH("_", A888) +1) - SEARCH("_", A888) -1)</f>
        <v>Math-81</v>
      </c>
      <c r="Y888" s="1" t="str">
        <f t="shared" si="30"/>
        <v>NO</v>
      </c>
      <c r="Z888" s="1" t="str">
        <f t="shared" si="31"/>
        <v>YES</v>
      </c>
      <c r="AA888" t="str">
        <f>IF(AND(S888&gt;1,S1413&gt;1,S888=V888,S1413=V1413), "YES", "NO")</f>
        <v>NO</v>
      </c>
      <c r="AB888" t="str">
        <f>IF(AND(S888&gt;1,S1413&gt;1,S888&lt;V888,S1413&lt;V1413), "YES", "NO")</f>
        <v>NO</v>
      </c>
      <c r="AC888" t="str">
        <f t="shared" si="32"/>
        <v>NO</v>
      </c>
      <c r="AD888" t="str">
        <f t="shared" si="33"/>
        <v>NO</v>
      </c>
      <c r="AE888" t="str">
        <f t="shared" si="34"/>
        <v>NO</v>
      </c>
      <c r="AF888" t="str">
        <f t="shared" si="35"/>
        <v>YES</v>
      </c>
    </row>
    <row r="889" spans="1:32" ht="15" x14ac:dyDescent="0.35">
      <c r="A889" s="7" t="s">
        <v>414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>LEFT($A889,FIND("_",$A889)-1)</f>
        <v>Nopol</v>
      </c>
      <c r="P889" s="13" t="str">
        <f>IF($O889="ACS", "True Search", IF($O889="Arja", "Evolutionary Search", IF($O889="AVATAR", "True Pattern", IF($O889="CapGen", "Search Like Pattern", IF($O889="Cardumen", "True Semantic", IF($O889="DynaMoth", "True Semantic", IF($O889="FixMiner", "True Pattern", IF($O889="GenProg-A", "Evolutionary Search", IF($O889="Hercules", "Learning Pattern", IF($O889="Jaid", "True Semantic",
IF($O889="Kali-A", "True Search", IF($O889="kPAR", "True Pattern", IF($O889="Nopol", "True Semantic", IF($O889="RSRepair-A", "Evolutionary Search", IF($O889="SequenceR", "Deep Learning", IF($O889="SimFix", "Search Like Pattern", IF($O889="SketchFix", "True Pattern", IF($O889="SOFix", "True Pattern", IF($O889="ssFix", "Search Like Pattern", IF($O889="TBar", "True Pattern", ""))))))))))))))))))))</f>
        <v>True Semantic</v>
      </c>
      <c r="Q889" s="13" t="str">
        <f>IF(NOT(ISERR(SEARCH("*_Buggy",$A889))), "Buggy", IF(NOT(ISERR(SEARCH("*_Fixed",$A889))), "Fixed", IF(NOT(ISERR(SEARCH("*_Repaired",$A889))), "Repaired", "")))</f>
        <v>Fixed</v>
      </c>
      <c r="R889" s="13" t="s">
        <v>1669</v>
      </c>
      <c r="S889" s="25">
        <v>1</v>
      </c>
      <c r="T889" s="25">
        <v>1</v>
      </c>
      <c r="U889" s="25">
        <v>1</v>
      </c>
      <c r="V889" s="13">
        <v>1</v>
      </c>
      <c r="W889" s="13" t="str">
        <f>MID(A889, SEARCH("_", A889) +1, SEARCH("_", A889, SEARCH("_", A889) +1) - SEARCH("_", A889) -1)</f>
        <v>Math-82</v>
      </c>
      <c r="Y889" s="1" t="str">
        <f t="shared" si="30"/>
        <v>NO</v>
      </c>
      <c r="Z889" s="1" t="str">
        <f t="shared" si="31"/>
        <v>NO</v>
      </c>
      <c r="AA889" t="str">
        <f>IF(AND(S889&gt;1,S1414&gt;1,S889=V889,S1414=V1414), "YES", "NO")</f>
        <v>NO</v>
      </c>
      <c r="AB889" t="str">
        <f>IF(AND(S889&gt;1,S1414&gt;1,S889&lt;V889,S1414&lt;V1414), "YES", "NO")</f>
        <v>NO</v>
      </c>
      <c r="AC889" t="str">
        <f t="shared" si="32"/>
        <v>NO</v>
      </c>
      <c r="AD889" t="str">
        <f t="shared" si="33"/>
        <v>NO</v>
      </c>
      <c r="AE889" t="str">
        <f t="shared" si="34"/>
        <v>NO</v>
      </c>
      <c r="AF889" t="str">
        <f t="shared" si="35"/>
        <v>NO</v>
      </c>
    </row>
    <row r="890" spans="1:32" ht="15" x14ac:dyDescent="0.35">
      <c r="A890" s="7" t="s">
        <v>49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>LEFT($A890,FIND("_",$A890)-1)</f>
        <v>Nopol</v>
      </c>
      <c r="P890" s="13" t="str">
        <f>IF($O890="ACS", "True Search", IF($O890="Arja", "Evolutionary Search", IF($O890="AVATAR", "True Pattern", IF($O890="CapGen", "Search Like Pattern", IF($O890="Cardumen", "True Semantic", IF($O890="DynaMoth", "True Semantic", IF($O890="FixMiner", "True Pattern", IF($O890="GenProg-A", "Evolutionary Search", IF($O890="Hercules", "Learning Pattern", IF($O890="Jaid", "True Semantic",
IF($O890="Kali-A", "True Search", IF($O890="kPAR", "True Pattern", IF($O890="Nopol", "True Semantic", IF($O890="RSRepair-A", "Evolutionary Search", IF($O890="SequenceR", "Deep Learning", IF($O890="SimFix", "Search Like Pattern", IF($O890="SketchFix", "True Pattern", IF($O890="SOFix", "True Pattern", IF($O890="ssFix", "Search Like Pattern", IF($O890="TBar", "True Pattern", ""))))))))))))))))))))</f>
        <v>True Semantic</v>
      </c>
      <c r="Q890" s="13" t="str">
        <f>IF(NOT(ISERR(SEARCH("*_Buggy",$A890))), "Buggy", IF(NOT(ISERR(SEARCH("*_Fixed",$A890))), "Fixed", IF(NOT(ISERR(SEARCH("*_Repaired",$A890))), "Repaired", "")))</f>
        <v>Fixed</v>
      </c>
      <c r="R890" s="13" t="s">
        <v>1669</v>
      </c>
      <c r="S890" s="25">
        <v>1</v>
      </c>
      <c r="T890" s="25">
        <v>1</v>
      </c>
      <c r="U890" s="25">
        <v>1</v>
      </c>
      <c r="V890" s="13">
        <v>1</v>
      </c>
      <c r="W890" s="13" t="str">
        <f>MID(A890, SEARCH("_", A890) +1, SEARCH("_", A890, SEARCH("_", A890) +1) - SEARCH("_", A890) -1)</f>
        <v>Math-85</v>
      </c>
      <c r="Y890" s="1" t="str">
        <f t="shared" si="30"/>
        <v>NO</v>
      </c>
      <c r="Z890" s="1" t="str">
        <f t="shared" si="31"/>
        <v>NO</v>
      </c>
      <c r="AA890" t="str">
        <f>IF(AND(S890&gt;1,S1415&gt;1,S890=V890,S1415=V1415), "YES", "NO")</f>
        <v>NO</v>
      </c>
      <c r="AB890" t="str">
        <f>IF(AND(S890&gt;1,S1415&gt;1,S890&lt;V890,S1415&lt;V1415), "YES", "NO")</f>
        <v>NO</v>
      </c>
      <c r="AC890" t="str">
        <f t="shared" si="32"/>
        <v>NO</v>
      </c>
      <c r="AD890" t="str">
        <f t="shared" si="33"/>
        <v>NO</v>
      </c>
      <c r="AE890" t="str">
        <f t="shared" si="34"/>
        <v>NO</v>
      </c>
      <c r="AF890" t="str">
        <f t="shared" si="35"/>
        <v>NO</v>
      </c>
    </row>
    <row r="891" spans="1:32" ht="15" x14ac:dyDescent="0.35">
      <c r="A891" s="5" t="s">
        <v>433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>LEFT($A891,FIND("_",$A891)-1)</f>
        <v>Nopol</v>
      </c>
      <c r="P891" s="13" t="str">
        <f>IF($O891="ACS", "True Search", IF($O891="Arja", "Evolutionary Search", IF($O891="AVATAR", "True Pattern", IF($O891="CapGen", "Search Like Pattern", IF($O891="Cardumen", "True Semantic", IF($O891="DynaMoth", "True Semantic", IF($O891="FixMiner", "True Pattern", IF($O891="GenProg-A", "Evolutionary Search", IF($O891="Hercules", "Learning Pattern", IF($O891="Jaid", "True Semantic",
IF($O891="Kali-A", "True Search", IF($O891="kPAR", "True Pattern", IF($O891="Nopol", "True Semantic", IF($O891="RSRepair-A", "Evolutionary Search", IF($O891="SequenceR", "Deep Learning", IF($O891="SimFix", "Search Like Pattern", IF($O891="SketchFix", "True Pattern", IF($O891="SOFix", "True Pattern", IF($O891="ssFix", "Search Like Pattern", IF($O891="TBar", "True Pattern", ""))))))))))))))))))))</f>
        <v>True Semantic</v>
      </c>
      <c r="Q891" s="13" t="str">
        <f>IF(NOT(ISERR(SEARCH("*_Buggy",$A891))), "Buggy", IF(NOT(ISERR(SEARCH("*_Fixed",$A891))), "Fixed", IF(NOT(ISERR(SEARCH("*_Repaired",$A891))), "Repaired", "")))</f>
        <v>Fixed</v>
      </c>
      <c r="R891" s="13" t="s">
        <v>1669</v>
      </c>
      <c r="S891" s="25">
        <v>3</v>
      </c>
      <c r="T891" s="25">
        <v>2</v>
      </c>
      <c r="U891" s="25">
        <v>4</v>
      </c>
      <c r="V891" s="13">
        <v>4</v>
      </c>
      <c r="W891" s="13" t="str">
        <f>MID(A891, SEARCH("_", A891) +1, SEARCH("_", A891, SEARCH("_", A891) +1) - SEARCH("_", A891) -1)</f>
        <v>Math-87</v>
      </c>
      <c r="Y891" s="1" t="str">
        <f t="shared" si="30"/>
        <v>NO</v>
      </c>
      <c r="Z891" s="1" t="str">
        <f t="shared" si="31"/>
        <v>YES</v>
      </c>
      <c r="AA891" t="str">
        <f>IF(AND(S891&gt;1,S1416&gt;1,S891=V891,S1416=V1416), "YES", "NO")</f>
        <v>NO</v>
      </c>
      <c r="AB891" t="str">
        <f>IF(AND(S891&gt;1,S1416&gt;1,S891&lt;V891,S1416&lt;V1416), "YES", "NO")</f>
        <v>YES</v>
      </c>
      <c r="AC891" t="str">
        <f t="shared" si="32"/>
        <v>NO</v>
      </c>
      <c r="AD891" t="str">
        <f t="shared" si="33"/>
        <v>NO</v>
      </c>
      <c r="AE891" t="str">
        <f t="shared" si="34"/>
        <v>NO</v>
      </c>
      <c r="AF891" t="str">
        <f t="shared" si="35"/>
        <v>YES</v>
      </c>
    </row>
    <row r="892" spans="1:32" ht="15" x14ac:dyDescent="0.35">
      <c r="A892" s="5" t="s">
        <v>82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>LEFT($A892,FIND("_",$A892)-1)</f>
        <v>Nopol</v>
      </c>
      <c r="P892" s="13" t="str">
        <f>IF($O892="ACS", "True Search", IF($O892="Arja", "Evolutionary Search", IF($O892="AVATAR", "True Pattern", IF($O892="CapGen", "Search Like Pattern", IF($O892="Cardumen", "True Semantic", IF($O892="DynaMoth", "True Semantic", IF($O892="FixMiner", "True Pattern", IF($O892="GenProg-A", "Evolutionary Search", IF($O892="Hercules", "Learning Pattern", IF($O892="Jaid", "True Semantic",
IF($O892="Kali-A", "True Search", IF($O892="kPAR", "True Pattern", IF($O892="Nopol", "True Semantic", IF($O892="RSRepair-A", "Evolutionary Search", IF($O892="SequenceR", "Deep Learning", IF($O892="SimFix", "Search Like Pattern", IF($O892="SketchFix", "True Pattern", IF($O892="SOFix", "True Pattern", IF($O892="ssFix", "Search Like Pattern", IF($O892="TBar", "True Pattern", ""))))))))))))))))))))</f>
        <v>True Semantic</v>
      </c>
      <c r="Q892" s="13" t="str">
        <f>IF(NOT(ISERR(SEARCH("*_Buggy",$A892))), "Buggy", IF(NOT(ISERR(SEARCH("*_Fixed",$A892))), "Fixed", IF(NOT(ISERR(SEARCH("*_Repaired",$A892))), "Repaired", "")))</f>
        <v>Fixed</v>
      </c>
      <c r="R892" s="13" t="s">
        <v>1669</v>
      </c>
      <c r="S892" s="25">
        <v>4</v>
      </c>
      <c r="T892" s="25">
        <v>5</v>
      </c>
      <c r="U892" s="25">
        <v>6</v>
      </c>
      <c r="V892" s="13">
        <v>11</v>
      </c>
      <c r="W892" s="13" t="str">
        <f>MID(A892, SEARCH("_", A892) +1, SEARCH("_", A892, SEARCH("_", A892) +1) - SEARCH("_", A892) -1)</f>
        <v>Math-88</v>
      </c>
      <c r="Y892" s="1" t="str">
        <f t="shared" si="30"/>
        <v>NO</v>
      </c>
      <c r="Z892" s="1" t="str">
        <f t="shared" si="31"/>
        <v>YES</v>
      </c>
      <c r="AA892" t="str">
        <f>IF(AND(S892&gt;1,S1417&gt;1,S892=V892,S1417=V1417), "YES", "NO")</f>
        <v>NO</v>
      </c>
      <c r="AB892" t="str">
        <f>IF(AND(S892&gt;1,S1417&gt;1,S892&lt;V892,S1417&lt;V1417), "YES", "NO")</f>
        <v>NO</v>
      </c>
      <c r="AC892" t="str">
        <f t="shared" si="32"/>
        <v>NO</v>
      </c>
      <c r="AD892" t="str">
        <f t="shared" si="33"/>
        <v>NO</v>
      </c>
      <c r="AE892" t="str">
        <f t="shared" si="34"/>
        <v>NO</v>
      </c>
      <c r="AF892" t="str">
        <f t="shared" si="35"/>
        <v>YES</v>
      </c>
    </row>
    <row r="893" spans="1:32" ht="15" x14ac:dyDescent="0.35">
      <c r="A893" s="7" t="s">
        <v>955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>LEFT($A893,FIND("_",$A893)-1)</f>
        <v>Nopol</v>
      </c>
      <c r="P893" s="13" t="str">
        <f>IF($O893="ACS", "True Search", IF($O893="Arja", "Evolutionary Search", IF($O893="AVATAR", "True Pattern", IF($O893="CapGen", "Search Like Pattern", IF($O893="Cardumen", "True Semantic", IF($O893="DynaMoth", "True Semantic", IF($O893="FixMiner", "True Pattern", IF($O893="GenProg-A", "Evolutionary Search", IF($O893="Hercules", "Learning Pattern", IF($O893="Jaid", "True Semantic",
IF($O893="Kali-A", "True Search", IF($O893="kPAR", "True Pattern", IF($O893="Nopol", "True Semantic", IF($O893="RSRepair-A", "Evolutionary Search", IF($O893="SequenceR", "Deep Learning", IF($O893="SimFix", "Search Like Pattern", IF($O893="SketchFix", "True Pattern", IF($O893="SOFix", "True Pattern", IF($O893="ssFix", "Search Like Pattern", IF($O893="TBar", "True Pattern", ""))))))))))))))))))))</f>
        <v>True Semantic</v>
      </c>
      <c r="Q893" s="13" t="str">
        <f>IF(NOT(ISERR(SEARCH("*_Buggy",$A893))), "Buggy", IF(NOT(ISERR(SEARCH("*_Fixed",$A893))), "Fixed", IF(NOT(ISERR(SEARCH("*_Repaired",$A893))), "Repaired", "")))</f>
        <v>Fixed</v>
      </c>
      <c r="R893" s="13" t="s">
        <v>1669</v>
      </c>
      <c r="S893" s="25">
        <v>2</v>
      </c>
      <c r="T893" s="13">
        <v>5</v>
      </c>
      <c r="U893" s="25">
        <v>0</v>
      </c>
      <c r="V893" s="13">
        <v>5</v>
      </c>
      <c r="W893" s="13" t="str">
        <f>MID(A893, SEARCH("_", A893) +1, SEARCH("_", A893, SEARCH("_", A893) +1) - SEARCH("_", A893) -1)</f>
        <v>Time-14</v>
      </c>
      <c r="Y893" s="1" t="str">
        <f t="shared" si="30"/>
        <v>NO</v>
      </c>
      <c r="Z893" s="1" t="str">
        <f t="shared" si="31"/>
        <v>YES</v>
      </c>
      <c r="AA893" t="str">
        <f>IF(AND(S893&gt;1,S1418&gt;1,S893=V893,S1418=V1418), "YES", "NO")</f>
        <v>NO</v>
      </c>
      <c r="AB893" t="str">
        <f>IF(AND(S893&gt;1,S1418&gt;1,S893&lt;V893,S1418&lt;V1418), "YES", "NO")</f>
        <v>NO</v>
      </c>
      <c r="AC893" t="str">
        <f t="shared" si="32"/>
        <v>NO</v>
      </c>
      <c r="AD893" t="str">
        <f t="shared" si="33"/>
        <v>NO</v>
      </c>
      <c r="AE893" t="str">
        <f t="shared" si="34"/>
        <v>NO</v>
      </c>
      <c r="AF893" t="str">
        <f t="shared" si="35"/>
        <v>NO</v>
      </c>
    </row>
    <row r="894" spans="1:32" ht="15" x14ac:dyDescent="0.35">
      <c r="A894" s="7" t="s">
        <v>1507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>LEFT($A894,FIND("_",$A894)-1)</f>
        <v>RSRepair-A</v>
      </c>
      <c r="P894" s="13" t="str">
        <f>IF($O894="ACS", "True Search", IF($O894="Arja", "Evolutionary Search", IF($O894="AVATAR", "True Pattern", IF($O894="CapGen", "Search Like Pattern", IF($O894="Cardumen", "True Semantic", IF($O894="DynaMoth", "True Semantic", IF($O894="FixMiner", "True Pattern", IF($O894="GenProg-A", "Evolutionary Search", IF($O894="Hercules", "Learning Pattern", IF($O894="Jaid", "True Semantic",
IF($O894="Kali-A", "True Search", IF($O894="kPAR", "True Pattern", IF($O894="Nopol", "True Semantic", IF($O894="RSRepair-A", "Evolutionary Search", IF($O894="SequenceR", "Deep Learning", IF($O894="SimFix", "Search Like Pattern", IF($O894="SketchFix", "True Pattern", IF($O894="SOFix", "True Pattern", IF($O894="ssFix", "Search Like Pattern", IF($O894="TBar", "True Pattern", ""))))))))))))))))))))</f>
        <v>Evolutionary Search</v>
      </c>
      <c r="Q894" s="13" t="str">
        <f>IF(NOT(ISERR(SEARCH("*_Buggy",$A894))), "Buggy", IF(NOT(ISERR(SEARCH("*_Fixed",$A894))), "Fixed", IF(NOT(ISERR(SEARCH("*_Repaired",$A894))), "Repaired", "")))</f>
        <v>Fixed</v>
      </c>
      <c r="R894" s="13" t="s">
        <v>1669</v>
      </c>
      <c r="S894" s="25">
        <v>1</v>
      </c>
      <c r="T894" s="25">
        <v>1</v>
      </c>
      <c r="U894" s="25">
        <v>1</v>
      </c>
      <c r="V894" s="13">
        <v>1</v>
      </c>
      <c r="W894" s="13" t="str">
        <f>MID(A894, SEARCH("_", A894) +1, SEARCH("_", A894, SEARCH("_", A894) +1) - SEARCH("_", A894) -1)</f>
        <v>Chart-1</v>
      </c>
      <c r="Y894" s="1" t="str">
        <f t="shared" si="30"/>
        <v>NO</v>
      </c>
      <c r="Z894" s="1" t="str">
        <f t="shared" si="31"/>
        <v>NO</v>
      </c>
      <c r="AA894" t="str">
        <f>IF(AND(S894&gt;1,S1419&gt;1,S894=V894,S1419=V1419), "YES", "NO")</f>
        <v>NO</v>
      </c>
      <c r="AB894" t="str">
        <f>IF(AND(S894&gt;1,S1419&gt;1,S894&lt;V894,S1419&lt;V1419), "YES", "NO")</f>
        <v>NO</v>
      </c>
      <c r="AC894" t="str">
        <f t="shared" si="32"/>
        <v>NO</v>
      </c>
      <c r="AD894" t="str">
        <f t="shared" si="33"/>
        <v>NO</v>
      </c>
      <c r="AE894" t="str">
        <f t="shared" si="34"/>
        <v>NO</v>
      </c>
      <c r="AF894" t="str">
        <f t="shared" si="35"/>
        <v>NO</v>
      </c>
    </row>
    <row r="895" spans="1:32" ht="15" x14ac:dyDescent="0.35">
      <c r="A895" s="7" t="s">
        <v>1508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>LEFT($A895,FIND("_",$A895)-1)</f>
        <v>RSRepair-A</v>
      </c>
      <c r="P895" s="13" t="str">
        <f>IF($O895="ACS", "True Search", IF($O895="Arja", "Evolutionary Search", IF($O895="AVATAR", "True Pattern", IF($O895="CapGen", "Search Like Pattern", IF($O895="Cardumen", "True Semantic", IF($O895="DynaMoth", "True Semantic", IF($O895="FixMiner", "True Pattern", IF($O895="GenProg-A", "Evolutionary Search", IF($O895="Hercules", "Learning Pattern", IF($O895="Jaid", "True Semantic",
IF($O895="Kali-A", "True Search", IF($O895="kPAR", "True Pattern", IF($O895="Nopol", "True Semantic", IF($O895="RSRepair-A", "Evolutionary Search", IF($O895="SequenceR", "Deep Learning", IF($O895="SimFix", "Search Like Pattern", IF($O895="SketchFix", "True Pattern", IF($O895="SOFix", "True Pattern", IF($O895="ssFix", "Search Like Pattern", IF($O895="TBar", "True Pattern", ""))))))))))))))))))))</f>
        <v>Evolutionary Search</v>
      </c>
      <c r="Q895" s="13" t="str">
        <f>IF(NOT(ISERR(SEARCH("*_Buggy",$A895))), "Buggy", IF(NOT(ISERR(SEARCH("*_Fixed",$A895))), "Fixed", IF(NOT(ISERR(SEARCH("*_Repaired",$A895))), "Repaired", "")))</f>
        <v>Fixed</v>
      </c>
      <c r="R895" s="13" t="s">
        <v>1669</v>
      </c>
      <c r="S895" s="25">
        <v>1</v>
      </c>
      <c r="T895" s="25">
        <v>1</v>
      </c>
      <c r="U895" s="25">
        <v>1</v>
      </c>
      <c r="V895" s="13">
        <v>1</v>
      </c>
      <c r="W895" s="13" t="str">
        <f>MID(A895, SEARCH("_", A895) +1, SEARCH("_", A895, SEARCH("_", A895) +1) - SEARCH("_", A895) -1)</f>
        <v>Chart-12</v>
      </c>
      <c r="Y895" s="1" t="str">
        <f t="shared" si="30"/>
        <v>NO</v>
      </c>
      <c r="Z895" s="1" t="str">
        <f t="shared" si="31"/>
        <v>NO</v>
      </c>
      <c r="AA895" t="str">
        <f>IF(AND(S895&gt;1,S1420&gt;1,S895=V895,S1420=V1420), "YES", "NO")</f>
        <v>NO</v>
      </c>
      <c r="AB895" t="str">
        <f>IF(AND(S895&gt;1,S1420&gt;1,S895&lt;V895,S1420&lt;V1420), "YES", "NO")</f>
        <v>NO</v>
      </c>
      <c r="AC895" t="str">
        <f t="shared" si="32"/>
        <v>NO</v>
      </c>
      <c r="AD895" t="str">
        <f t="shared" si="33"/>
        <v>NO</v>
      </c>
      <c r="AE895" t="str">
        <f t="shared" si="34"/>
        <v>NO</v>
      </c>
      <c r="AF895" t="str">
        <f t="shared" si="35"/>
        <v>NO</v>
      </c>
    </row>
    <row r="896" spans="1:32" ht="15" x14ac:dyDescent="0.35">
      <c r="A896" s="7" t="s">
        <v>1509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>LEFT($A896,FIND("_",$A896)-1)</f>
        <v>RSRepair-A</v>
      </c>
      <c r="P896" s="13" t="str">
        <f>IF($O896="ACS", "True Search", IF($O896="Arja", "Evolutionary Search", IF($O896="AVATAR", "True Pattern", IF($O896="CapGen", "Search Like Pattern", IF($O896="Cardumen", "True Semantic", IF($O896="DynaMoth", "True Semantic", IF($O896="FixMiner", "True Pattern", IF($O896="GenProg-A", "Evolutionary Search", IF($O896="Hercules", "Learning Pattern", IF($O896="Jaid", "True Semantic",
IF($O896="Kali-A", "True Search", IF($O896="kPAR", "True Pattern", IF($O896="Nopol", "True Semantic", IF($O896="RSRepair-A", "Evolutionary Search", IF($O896="SequenceR", "Deep Learning", IF($O896="SimFix", "Search Like Pattern", IF($O896="SketchFix", "True Pattern", IF($O896="SOFix", "True Pattern", IF($O896="ssFix", "Search Like Pattern", IF($O896="TBar", "True Pattern", ""))))))))))))))))))))</f>
        <v>Evolutionary Search</v>
      </c>
      <c r="Q896" s="13" t="str">
        <f>IF(NOT(ISERR(SEARCH("*_Buggy",$A896))), "Buggy", IF(NOT(ISERR(SEARCH("*_Fixed",$A896))), "Fixed", IF(NOT(ISERR(SEARCH("*_Repaired",$A896))), "Repaired", "")))</f>
        <v>Fixed</v>
      </c>
      <c r="R896" s="13" t="s">
        <v>1669</v>
      </c>
      <c r="S896" s="25">
        <v>2</v>
      </c>
      <c r="T896" s="25">
        <v>5</v>
      </c>
      <c r="U896" s="25">
        <v>1</v>
      </c>
      <c r="V896" s="13">
        <v>5</v>
      </c>
      <c r="W896" s="13" t="str">
        <f>MID(A896, SEARCH("_", A896) +1, SEARCH("_", A896, SEARCH("_", A896) +1) - SEARCH("_", A896) -1)</f>
        <v>Chart-5</v>
      </c>
      <c r="Y896" s="1" t="str">
        <f t="shared" si="30"/>
        <v>NO</v>
      </c>
      <c r="Z896" s="1" t="str">
        <f t="shared" si="31"/>
        <v>YES</v>
      </c>
      <c r="AA896" t="str">
        <f>IF(AND(S896&gt;1,S1421&gt;1,S896=V896,S1421=V1421), "YES", "NO")</f>
        <v>NO</v>
      </c>
      <c r="AB896" t="str">
        <f>IF(AND(S896&gt;1,S1421&gt;1,S896&lt;V896,S1421&lt;V1421), "YES", "NO")</f>
        <v>NO</v>
      </c>
      <c r="AC896" t="str">
        <f t="shared" si="32"/>
        <v>NO</v>
      </c>
      <c r="AD896" t="str">
        <f t="shared" si="33"/>
        <v>NO</v>
      </c>
      <c r="AE896" t="str">
        <f t="shared" si="34"/>
        <v>NO</v>
      </c>
      <c r="AF896" t="str">
        <f t="shared" si="35"/>
        <v>YES</v>
      </c>
    </row>
    <row r="897" spans="1:32" ht="15" x14ac:dyDescent="0.35">
      <c r="A897" s="5" t="s">
        <v>1510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>LEFT($A897,FIND("_",$A897)-1)</f>
        <v>RSRepair-A</v>
      </c>
      <c r="P897" s="13" t="str">
        <f>IF($O897="ACS", "True Search", IF($O897="Arja", "Evolutionary Search", IF($O897="AVATAR", "True Pattern", IF($O897="CapGen", "Search Like Pattern", IF($O897="Cardumen", "True Semantic", IF($O897="DynaMoth", "True Semantic", IF($O897="FixMiner", "True Pattern", IF($O897="GenProg-A", "Evolutionary Search", IF($O897="Hercules", "Learning Pattern", IF($O897="Jaid", "True Semantic",
IF($O897="Kali-A", "True Search", IF($O897="kPAR", "True Pattern", IF($O897="Nopol", "True Semantic", IF($O897="RSRepair-A", "Evolutionary Search", IF($O897="SequenceR", "Deep Learning", IF($O897="SimFix", "Search Like Pattern", IF($O897="SketchFix", "True Pattern", IF($O897="SOFix", "True Pattern", IF($O897="ssFix", "Search Like Pattern", IF($O897="TBar", "True Pattern", ""))))))))))))))))))))</f>
        <v>Evolutionary Search</v>
      </c>
      <c r="Q897" s="13" t="str">
        <f>IF(NOT(ISERR(SEARCH("*_Buggy",$A897))), "Buggy", IF(NOT(ISERR(SEARCH("*_Fixed",$A897))), "Fixed", IF(NOT(ISERR(SEARCH("*_Repaired",$A897))), "Repaired", "")))</f>
        <v>Fixed</v>
      </c>
      <c r="R897" s="13" t="s">
        <v>1669</v>
      </c>
      <c r="S897" s="25">
        <v>1</v>
      </c>
      <c r="T897" s="25">
        <v>1</v>
      </c>
      <c r="U897" s="25">
        <v>1</v>
      </c>
      <c r="V897" s="13">
        <v>1</v>
      </c>
      <c r="W897" s="13" t="str">
        <f>MID(A897, SEARCH("_", A897) +1, SEARCH("_", A897, SEARCH("_", A897) +1) - SEARCH("_", A897) -1)</f>
        <v>Closure-10</v>
      </c>
      <c r="Y897" s="1" t="str">
        <f t="shared" si="30"/>
        <v>NO</v>
      </c>
      <c r="Z897" s="1" t="str">
        <f t="shared" si="31"/>
        <v>NO</v>
      </c>
      <c r="AA897" t="str">
        <f>IF(AND(S897&gt;1,S1422&gt;1,S897=V897,S1422=V1422), "YES", "NO")</f>
        <v>NO</v>
      </c>
      <c r="AB897" t="str">
        <f>IF(AND(S897&gt;1,S1422&gt;1,S897&lt;V897,S1422&lt;V1422), "YES", "NO")</f>
        <v>NO</v>
      </c>
      <c r="AC897" t="str">
        <f t="shared" si="32"/>
        <v>NO</v>
      </c>
      <c r="AD897" t="str">
        <f t="shared" si="33"/>
        <v>NO</v>
      </c>
      <c r="AE897" t="str">
        <f t="shared" si="34"/>
        <v>NO</v>
      </c>
      <c r="AF897" t="str">
        <f t="shared" si="35"/>
        <v>NO</v>
      </c>
    </row>
    <row r="898" spans="1:32" ht="15" x14ac:dyDescent="0.35">
      <c r="A898" s="7" t="s">
        <v>1511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>LEFT($A898,FIND("_",$A898)-1)</f>
        <v>RSRepair-A</v>
      </c>
      <c r="P898" s="13" t="str">
        <f>IF($O898="ACS", "True Search", IF($O898="Arja", "Evolutionary Search", IF($O898="AVATAR", "True Pattern", IF($O898="CapGen", "Search Like Pattern", IF($O898="Cardumen", "True Semantic", IF($O898="DynaMoth", "True Semantic", IF($O898="FixMiner", "True Pattern", IF($O898="GenProg-A", "Evolutionary Search", IF($O898="Hercules", "Learning Pattern", IF($O898="Jaid", "True Semantic",
IF($O898="Kali-A", "True Search", IF($O898="kPAR", "True Pattern", IF($O898="Nopol", "True Semantic", IF($O898="RSRepair-A", "Evolutionary Search", IF($O898="SequenceR", "Deep Learning", IF($O898="SimFix", "Search Like Pattern", IF($O898="SketchFix", "True Pattern", IF($O898="SOFix", "True Pattern", IF($O898="ssFix", "Search Like Pattern", IF($O898="TBar", "True Pattern", ""))))))))))))))))))))</f>
        <v>Evolutionary Search</v>
      </c>
      <c r="Q898" s="13" t="str">
        <f>IF(NOT(ISERR(SEARCH("*_Buggy",$A898))), "Buggy", IF(NOT(ISERR(SEARCH("*_Fixed",$A898))), "Fixed", IF(NOT(ISERR(SEARCH("*_Repaired",$A898))), "Repaired", "")))</f>
        <v>Fixed</v>
      </c>
      <c r="R898" s="13" t="s">
        <v>1669</v>
      </c>
      <c r="S898" s="25">
        <v>1</v>
      </c>
      <c r="T898" s="25">
        <v>9</v>
      </c>
      <c r="U898" s="25">
        <v>3</v>
      </c>
      <c r="V898" s="13">
        <v>9</v>
      </c>
      <c r="W898" s="13" t="str">
        <f>MID(A898, SEARCH("_", A898) +1, SEARCH("_", A898, SEARCH("_", A898) +1) - SEARCH("_", A898) -1)</f>
        <v>Closure-112</v>
      </c>
      <c r="Y898" s="1" t="str">
        <f t="shared" si="30"/>
        <v>NO</v>
      </c>
      <c r="Z898" s="1" t="str">
        <f t="shared" si="31"/>
        <v>NO</v>
      </c>
      <c r="AA898" t="str">
        <f>IF(AND(S898&gt;1,S1423&gt;1,S898=V898,S1423=V1423), "YES", "NO")</f>
        <v>NO</v>
      </c>
      <c r="AB898" t="str">
        <f>IF(AND(S898&gt;1,S1423&gt;1,S898&lt;V898,S1423&lt;V1423), "YES", "NO")</f>
        <v>NO</v>
      </c>
      <c r="AC898" t="str">
        <f t="shared" si="32"/>
        <v>NO</v>
      </c>
      <c r="AD898" t="str">
        <f t="shared" si="33"/>
        <v>YES</v>
      </c>
      <c r="AE898" t="str">
        <f t="shared" si="34"/>
        <v>NO</v>
      </c>
      <c r="AF898" t="str">
        <f t="shared" si="35"/>
        <v>YES</v>
      </c>
    </row>
    <row r="899" spans="1:32" ht="15" x14ac:dyDescent="0.35">
      <c r="A899" s="5" t="s">
        <v>1512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>LEFT($A899,FIND("_",$A899)-1)</f>
        <v>RSRepair-A</v>
      </c>
      <c r="P899" s="13" t="str">
        <f>IF($O899="ACS", "True Search", IF($O899="Arja", "Evolutionary Search", IF($O899="AVATAR", "True Pattern", IF($O899="CapGen", "Search Like Pattern", IF($O899="Cardumen", "True Semantic", IF($O899="DynaMoth", "True Semantic", IF($O899="FixMiner", "True Pattern", IF($O899="GenProg-A", "Evolutionary Search", IF($O899="Hercules", "Learning Pattern", IF($O899="Jaid", "True Semantic",
IF($O899="Kali-A", "True Search", IF($O899="kPAR", "True Pattern", IF($O899="Nopol", "True Semantic", IF($O899="RSRepair-A", "Evolutionary Search", IF($O899="SequenceR", "Deep Learning", IF($O899="SimFix", "Search Like Pattern", IF($O899="SketchFix", "True Pattern", IF($O899="SOFix", "True Pattern", IF($O899="ssFix", "Search Like Pattern", IF($O899="TBar", "True Pattern", ""))))))))))))))))))))</f>
        <v>Evolutionary Search</v>
      </c>
      <c r="Q899" s="13" t="str">
        <f>IF(NOT(ISERR(SEARCH("*_Buggy",$A899))), "Buggy", IF(NOT(ISERR(SEARCH("*_Fixed",$A899))), "Fixed", IF(NOT(ISERR(SEARCH("*_Repaired",$A899))), "Repaired", "")))</f>
        <v>Fixed</v>
      </c>
      <c r="R899" s="13" t="s">
        <v>1668</v>
      </c>
      <c r="S899" s="25">
        <v>2</v>
      </c>
      <c r="T899" s="25">
        <v>0</v>
      </c>
      <c r="U899" s="13">
        <v>11</v>
      </c>
      <c r="V899" s="13">
        <v>11</v>
      </c>
      <c r="W899" s="13" t="str">
        <f>MID(A899, SEARCH("_", A899) +1, SEARCH("_", A899, SEARCH("_", A899) +1) - SEARCH("_", A899) -1)</f>
        <v>Closure-115</v>
      </c>
      <c r="Y899" s="1" t="str">
        <f t="shared" si="30"/>
        <v>NO</v>
      </c>
      <c r="Z899" s="1" t="str">
        <f t="shared" si="31"/>
        <v>YES</v>
      </c>
      <c r="AA899" t="str">
        <f>IF(AND(S899&gt;1,S1424&gt;1,S899=V899,S1424=V1424), "YES", "NO")</f>
        <v>NO</v>
      </c>
      <c r="AB899" t="str">
        <f>IF(AND(S899&gt;1,S1424&gt;1,S899&lt;V899,S1424&lt;V1424), "YES", "NO")</f>
        <v>NO</v>
      </c>
      <c r="AC899" t="str">
        <f t="shared" si="32"/>
        <v>NO</v>
      </c>
      <c r="AD899" t="str">
        <f t="shared" si="33"/>
        <v>NO</v>
      </c>
      <c r="AE899" t="str">
        <f t="shared" si="34"/>
        <v>NO</v>
      </c>
      <c r="AF899" t="str">
        <f t="shared" si="35"/>
        <v>NO</v>
      </c>
    </row>
    <row r="900" spans="1:32" ht="15" x14ac:dyDescent="0.35">
      <c r="A900" s="5" t="s">
        <v>1513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>LEFT($A900,FIND("_",$A900)-1)</f>
        <v>RSRepair-A</v>
      </c>
      <c r="P900" s="13" t="str">
        <f>IF($O900="ACS", "True Search", IF($O900="Arja", "Evolutionary Search", IF($O900="AVATAR", "True Pattern", IF($O900="CapGen", "Search Like Pattern", IF($O900="Cardumen", "True Semantic", IF($O900="DynaMoth", "True Semantic", IF($O900="FixMiner", "True Pattern", IF($O900="GenProg-A", "Evolutionary Search", IF($O900="Hercules", "Learning Pattern", IF($O900="Jaid", "True Semantic",
IF($O900="Kali-A", "True Search", IF($O900="kPAR", "True Pattern", IF($O900="Nopol", "True Semantic", IF($O900="RSRepair-A", "Evolutionary Search", IF($O900="SequenceR", "Deep Learning", IF($O900="SimFix", "Search Like Pattern", IF($O900="SketchFix", "True Pattern", IF($O900="SOFix", "True Pattern", IF($O900="ssFix", "Search Like Pattern", IF($O900="TBar", "True Pattern", ""))))))))))))))))))))</f>
        <v>Evolutionary Search</v>
      </c>
      <c r="Q900" s="13" t="str">
        <f>IF(NOT(ISERR(SEARCH("*_Buggy",$A900))), "Buggy", IF(NOT(ISERR(SEARCH("*_Fixed",$A900))), "Fixed", IF(NOT(ISERR(SEARCH("*_Repaired",$A900))), "Repaired", "")))</f>
        <v>Fixed</v>
      </c>
      <c r="R900" s="13" t="s">
        <v>1669</v>
      </c>
      <c r="S900" s="25">
        <v>3</v>
      </c>
      <c r="T900" s="25">
        <v>12</v>
      </c>
      <c r="U900" s="25">
        <v>12</v>
      </c>
      <c r="V900" s="13">
        <v>24</v>
      </c>
      <c r="W900" s="13" t="str">
        <f>MID(A900, SEARCH("_", A900) +1, SEARCH("_", A900, SEARCH("_", A900) +1) - SEARCH("_", A900) -1)</f>
        <v>Closure-117</v>
      </c>
      <c r="Y900" s="1" t="str">
        <f t="shared" si="30"/>
        <v>NO</v>
      </c>
      <c r="Z900" s="1" t="str">
        <f t="shared" si="31"/>
        <v>YES</v>
      </c>
      <c r="AA900" t="str">
        <f>IF(AND(S900&gt;1,S1425&gt;1,S900=V900,S1425=V1425), "YES", "NO")</f>
        <v>NO</v>
      </c>
      <c r="AB900" t="str">
        <f>IF(AND(S900&gt;1,S1425&gt;1,S900&lt;V900,S1425&lt;V1425), "YES", "NO")</f>
        <v>NO</v>
      </c>
      <c r="AC900" t="str">
        <f t="shared" si="32"/>
        <v>NO</v>
      </c>
      <c r="AD900" t="str">
        <f t="shared" si="33"/>
        <v>NO</v>
      </c>
      <c r="AE900" t="str">
        <f t="shared" si="34"/>
        <v>NO</v>
      </c>
      <c r="AF900" t="str">
        <f t="shared" si="35"/>
        <v>YES</v>
      </c>
    </row>
    <row r="901" spans="1:32" ht="15" x14ac:dyDescent="0.35">
      <c r="A901" s="5" t="s">
        <v>1514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>LEFT($A901,FIND("_",$A901)-1)</f>
        <v>RSRepair-A</v>
      </c>
      <c r="P901" s="13" t="str">
        <f>IF($O901="ACS", "True Search", IF($O901="Arja", "Evolutionary Search", IF($O901="AVATAR", "True Pattern", IF($O901="CapGen", "Search Like Pattern", IF($O901="Cardumen", "True Semantic", IF($O901="DynaMoth", "True Semantic", IF($O901="FixMiner", "True Pattern", IF($O901="GenProg-A", "Evolutionary Search", IF($O901="Hercules", "Learning Pattern", IF($O901="Jaid", "True Semantic",
IF($O901="Kali-A", "True Search", IF($O901="kPAR", "True Pattern", IF($O901="Nopol", "True Semantic", IF($O901="RSRepair-A", "Evolutionary Search", IF($O901="SequenceR", "Deep Learning", IF($O901="SimFix", "Search Like Pattern", IF($O901="SketchFix", "True Pattern", IF($O901="SOFix", "True Pattern", IF($O901="ssFix", "Search Like Pattern", IF($O901="TBar", "True Pattern", ""))))))))))))))))))))</f>
        <v>Evolutionary Search</v>
      </c>
      <c r="Q901" s="13" t="str">
        <f>IF(NOT(ISERR(SEARCH("*_Buggy",$A901))), "Buggy", IF(NOT(ISERR(SEARCH("*_Fixed",$A901))), "Fixed", IF(NOT(ISERR(SEARCH("*_Repaired",$A901))), "Repaired", "")))</f>
        <v>Fixed</v>
      </c>
      <c r="R901" s="13" t="s">
        <v>1669</v>
      </c>
      <c r="S901" s="25">
        <v>1</v>
      </c>
      <c r="T901" s="13">
        <v>3</v>
      </c>
      <c r="U901" s="25">
        <v>0</v>
      </c>
      <c r="V901" s="13">
        <v>3</v>
      </c>
      <c r="W901" s="13" t="str">
        <f>MID(A901, SEARCH("_", A901) +1, SEARCH("_", A901, SEARCH("_", A901) +1) - SEARCH("_", A901) -1)</f>
        <v>Closure-120</v>
      </c>
      <c r="Y901" s="1" t="str">
        <f t="shared" si="30"/>
        <v>NO</v>
      </c>
      <c r="Z901" s="1" t="str">
        <f t="shared" si="31"/>
        <v>NO</v>
      </c>
      <c r="AA901" t="str">
        <f>IF(AND(S901&gt;1,S1426&gt;1,S901=V901,S1426=V1426), "YES", "NO")</f>
        <v>NO</v>
      </c>
      <c r="AB901" t="str">
        <f>IF(AND(S901&gt;1,S1426&gt;1,S901&lt;V901,S1426&lt;V1426), "YES", "NO")</f>
        <v>NO</v>
      </c>
      <c r="AC901" t="str">
        <f t="shared" si="32"/>
        <v>NO</v>
      </c>
      <c r="AD901" t="str">
        <f t="shared" si="33"/>
        <v>NO</v>
      </c>
      <c r="AE901" t="str">
        <f t="shared" si="34"/>
        <v>NO</v>
      </c>
      <c r="AF901" t="str">
        <f t="shared" si="35"/>
        <v>NO</v>
      </c>
    </row>
    <row r="902" spans="1:32" ht="15" x14ac:dyDescent="0.35">
      <c r="A902" s="7" t="s">
        <v>1515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>LEFT($A902,FIND("_",$A902)-1)</f>
        <v>RSRepair-A</v>
      </c>
      <c r="P902" s="13" t="str">
        <f>IF($O902="ACS", "True Search", IF($O902="Arja", "Evolutionary Search", IF($O902="AVATAR", "True Pattern", IF($O902="CapGen", "Search Like Pattern", IF($O902="Cardumen", "True Semantic", IF($O902="DynaMoth", "True Semantic", IF($O902="FixMiner", "True Pattern", IF($O902="GenProg-A", "Evolutionary Search", IF($O902="Hercules", "Learning Pattern", IF($O902="Jaid", "True Semantic",
IF($O902="Kali-A", "True Search", IF($O902="kPAR", "True Pattern", IF($O902="Nopol", "True Semantic", IF($O902="RSRepair-A", "Evolutionary Search", IF($O902="SequenceR", "Deep Learning", IF($O902="SimFix", "Search Like Pattern", IF($O902="SketchFix", "True Pattern", IF($O902="SOFix", "True Pattern", IF($O902="ssFix", "Search Like Pattern", IF($O902="TBar", "True Pattern", ""))))))))))))))))))))</f>
        <v>Evolutionary Search</v>
      </c>
      <c r="Q902" s="13" t="str">
        <f>IF(NOT(ISERR(SEARCH("*_Buggy",$A902))), "Buggy", IF(NOT(ISERR(SEARCH("*_Fixed",$A902))), "Fixed", IF(NOT(ISERR(SEARCH("*_Repaired",$A902))), "Repaired", "")))</f>
        <v>Fixed</v>
      </c>
      <c r="R902" s="13" t="s">
        <v>1669</v>
      </c>
      <c r="S902" s="25">
        <v>2</v>
      </c>
      <c r="T902" s="25">
        <v>3</v>
      </c>
      <c r="U902" s="25">
        <v>1</v>
      </c>
      <c r="V902" s="13">
        <v>3</v>
      </c>
      <c r="W902" s="13" t="str">
        <f>MID(A902, SEARCH("_", A902) +1, SEARCH("_", A902, SEARCH("_", A902) +1) - SEARCH("_", A902) -1)</f>
        <v>Closure-121</v>
      </c>
      <c r="Y902" s="1" t="str">
        <f t="shared" si="30"/>
        <v>NO</v>
      </c>
      <c r="Z902" s="1" t="str">
        <f t="shared" si="31"/>
        <v>YES</v>
      </c>
      <c r="AA902" t="str">
        <f>IF(AND(S902&gt;1,S1427&gt;1,S902=V902,S1427=V1427), "YES", "NO")</f>
        <v>NO</v>
      </c>
      <c r="AB902" t="str">
        <f>IF(AND(S902&gt;1,S1427&gt;1,S902&lt;V902,S1427&lt;V1427), "YES", "NO")</f>
        <v>NO</v>
      </c>
      <c r="AC902" t="str">
        <f t="shared" si="32"/>
        <v>NO</v>
      </c>
      <c r="AD902" t="str">
        <f t="shared" si="33"/>
        <v>NO</v>
      </c>
      <c r="AE902" t="str">
        <f t="shared" si="34"/>
        <v>NO</v>
      </c>
      <c r="AF902" t="str">
        <f t="shared" si="35"/>
        <v>NO</v>
      </c>
    </row>
    <row r="903" spans="1:32" ht="15" x14ac:dyDescent="0.35">
      <c r="A903" s="5" t="s">
        <v>1516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>LEFT($A903,FIND("_",$A903)-1)</f>
        <v>RSRepair-A</v>
      </c>
      <c r="P903" s="13" t="str">
        <f>IF($O903="ACS", "True Search", IF($O903="Arja", "Evolutionary Search", IF($O903="AVATAR", "True Pattern", IF($O903="CapGen", "Search Like Pattern", IF($O903="Cardumen", "True Semantic", IF($O903="DynaMoth", "True Semantic", IF($O903="FixMiner", "True Pattern", IF($O903="GenProg-A", "Evolutionary Search", IF($O903="Hercules", "Learning Pattern", IF($O903="Jaid", "True Semantic",
IF($O903="Kali-A", "True Search", IF($O903="kPAR", "True Pattern", IF($O903="Nopol", "True Semantic", IF($O903="RSRepair-A", "Evolutionary Search", IF($O903="SequenceR", "Deep Learning", IF($O903="SimFix", "Search Like Pattern", IF($O903="SketchFix", "True Pattern", IF($O903="SOFix", "True Pattern", IF($O903="ssFix", "Search Like Pattern", IF($O903="TBar", "True Pattern", ""))))))))))))))))))))</f>
        <v>Evolutionary Search</v>
      </c>
      <c r="Q903" s="13" t="str">
        <f>IF(NOT(ISERR(SEARCH("*_Buggy",$A903))), "Buggy", IF(NOT(ISERR(SEARCH("*_Fixed",$A903))), "Fixed", IF(NOT(ISERR(SEARCH("*_Repaired",$A903))), "Repaired", "")))</f>
        <v>Fixed</v>
      </c>
      <c r="R903" s="13" t="s">
        <v>1669</v>
      </c>
      <c r="S903" s="25">
        <v>2</v>
      </c>
      <c r="T903" s="13">
        <v>2</v>
      </c>
      <c r="U903" s="25">
        <v>0</v>
      </c>
      <c r="V903" s="13">
        <v>2</v>
      </c>
      <c r="W903" s="13" t="str">
        <f>MID(A903, SEARCH("_", A903) +1, SEARCH("_", A903, SEARCH("_", A903) +1) - SEARCH("_", A903) -1)</f>
        <v>Closure-124</v>
      </c>
      <c r="Y903" s="1" t="str">
        <f t="shared" si="30"/>
        <v>YES</v>
      </c>
      <c r="Z903" s="1" t="str">
        <f t="shared" si="31"/>
        <v>NO</v>
      </c>
      <c r="AA903" t="str">
        <f>IF(AND(S903&gt;1,S1428&gt;1,S903=V903,S1428=V1428), "YES", "NO")</f>
        <v>NO</v>
      </c>
      <c r="AB903" t="str">
        <f>IF(AND(S903&gt;1,S1428&gt;1,S903&lt;V903,S1428&lt;V1428), "YES", "NO")</f>
        <v>NO</v>
      </c>
      <c r="AC903" t="str">
        <f t="shared" si="32"/>
        <v>NO</v>
      </c>
      <c r="AD903" t="str">
        <f t="shared" si="33"/>
        <v>NO</v>
      </c>
      <c r="AE903" t="str">
        <f t="shared" si="34"/>
        <v>NO</v>
      </c>
      <c r="AF903" t="str">
        <f t="shared" si="35"/>
        <v>YES</v>
      </c>
    </row>
    <row r="904" spans="1:32" ht="15" x14ac:dyDescent="0.35">
      <c r="A904" s="7" t="s">
        <v>1517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>LEFT($A904,FIND("_",$A904)-1)</f>
        <v>RSRepair-A</v>
      </c>
      <c r="P904" s="13" t="str">
        <f>IF($O904="ACS", "True Search", IF($O904="Arja", "Evolutionary Search", IF($O904="AVATAR", "True Pattern", IF($O904="CapGen", "Search Like Pattern", IF($O904="Cardumen", "True Semantic", IF($O904="DynaMoth", "True Semantic", IF($O904="FixMiner", "True Pattern", IF($O904="GenProg-A", "Evolutionary Search", IF($O904="Hercules", "Learning Pattern", IF($O904="Jaid", "True Semantic",
IF($O904="Kali-A", "True Search", IF($O904="kPAR", "True Pattern", IF($O904="Nopol", "True Semantic", IF($O904="RSRepair-A", "Evolutionary Search", IF($O904="SequenceR", "Deep Learning", IF($O904="SimFix", "Search Like Pattern", IF($O904="SketchFix", "True Pattern", IF($O904="SOFix", "True Pattern", IF($O904="ssFix", "Search Like Pattern", IF($O904="TBar", "True Pattern", ""))))))))))))))))))))</f>
        <v>Evolutionary Search</v>
      </c>
      <c r="Q904" s="13" t="str">
        <f>IF(NOT(ISERR(SEARCH("*_Buggy",$A904))), "Buggy", IF(NOT(ISERR(SEARCH("*_Fixed",$A904))), "Fixed", IF(NOT(ISERR(SEARCH("*_Repaired",$A904))), "Repaired", "")))</f>
        <v>Fixed</v>
      </c>
      <c r="R904" s="13" t="s">
        <v>1669</v>
      </c>
      <c r="S904" s="25">
        <v>1</v>
      </c>
      <c r="T904" s="25">
        <v>1</v>
      </c>
      <c r="U904" s="25">
        <v>1</v>
      </c>
      <c r="V904" s="13">
        <v>1</v>
      </c>
      <c r="W904" s="13" t="str">
        <f>MID(A904, SEARCH("_", A904) +1, SEARCH("_", A904, SEARCH("_", A904) +1) - SEARCH("_", A904) -1)</f>
        <v>Closure-125</v>
      </c>
      <c r="Y904" s="1" t="str">
        <f t="shared" si="30"/>
        <v>NO</v>
      </c>
      <c r="Z904" s="1" t="str">
        <f t="shared" si="31"/>
        <v>NO</v>
      </c>
      <c r="AA904" t="str">
        <f>IF(AND(S904&gt;1,S1429&gt;1,S904=V904,S1429=V1429), "YES", "NO")</f>
        <v>NO</v>
      </c>
      <c r="AB904" t="str">
        <f>IF(AND(S904&gt;1,S1429&gt;1,S904&lt;V904,S1429&lt;V1429), "YES", "NO")</f>
        <v>NO</v>
      </c>
      <c r="AC904" t="str">
        <f t="shared" si="32"/>
        <v>NO</v>
      </c>
      <c r="AD904" t="str">
        <f t="shared" si="33"/>
        <v>NO</v>
      </c>
      <c r="AE904" t="str">
        <f t="shared" si="34"/>
        <v>NO</v>
      </c>
      <c r="AF904" t="str">
        <f t="shared" si="35"/>
        <v>NO</v>
      </c>
    </row>
    <row r="905" spans="1:32" ht="15" x14ac:dyDescent="0.35">
      <c r="A905" s="5" t="s">
        <v>1518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>LEFT($A905,FIND("_",$A905)-1)</f>
        <v>RSRepair-A</v>
      </c>
      <c r="P905" s="13" t="str">
        <f>IF($O905="ACS", "True Search", IF($O905="Arja", "Evolutionary Search", IF($O905="AVATAR", "True Pattern", IF($O905="CapGen", "Search Like Pattern", IF($O905="Cardumen", "True Semantic", IF($O905="DynaMoth", "True Semantic", IF($O905="FixMiner", "True Pattern", IF($O905="GenProg-A", "Evolutionary Search", IF($O905="Hercules", "Learning Pattern", IF($O905="Jaid", "True Semantic",
IF($O905="Kali-A", "True Search", IF($O905="kPAR", "True Pattern", IF($O905="Nopol", "True Semantic", IF($O905="RSRepair-A", "Evolutionary Search", IF($O905="SequenceR", "Deep Learning", IF($O905="SimFix", "Search Like Pattern", IF($O905="SketchFix", "True Pattern", IF($O905="SOFix", "True Pattern", IF($O905="ssFix", "Search Like Pattern", IF($O905="TBar", "True Pattern", ""))))))))))))))))))))</f>
        <v>Evolutionary Search</v>
      </c>
      <c r="Q905" s="13" t="str">
        <f>IF(NOT(ISERR(SEARCH("*_Buggy",$A905))), "Buggy", IF(NOT(ISERR(SEARCH("*_Fixed",$A905))), "Fixed", IF(NOT(ISERR(SEARCH("*_Repaired",$A905))), "Repaired", "")))</f>
        <v>Fixed</v>
      </c>
      <c r="R905" s="13" t="s">
        <v>1668</v>
      </c>
      <c r="S905" s="25">
        <v>2</v>
      </c>
      <c r="T905" s="25">
        <v>2</v>
      </c>
      <c r="U905" s="25">
        <v>19</v>
      </c>
      <c r="V905" s="13">
        <v>19</v>
      </c>
      <c r="W905" s="13" t="str">
        <f>MID(A905, SEARCH("_", A905) +1, SEARCH("_", A905, SEARCH("_", A905) +1) - SEARCH("_", A905) -1)</f>
        <v>Closure-21</v>
      </c>
      <c r="Y905" s="1" t="str">
        <f t="shared" si="30"/>
        <v>NO</v>
      </c>
      <c r="Z905" s="1" t="str">
        <f t="shared" si="31"/>
        <v>YES</v>
      </c>
      <c r="AA905" t="str">
        <f>IF(AND(S905&gt;1,S1430&gt;1,S905=V905,S1430=V1430), "YES", "NO")</f>
        <v>NO</v>
      </c>
      <c r="AB905" t="str">
        <f>IF(AND(S905&gt;1,S1430&gt;1,S905&lt;V905,S1430&lt;V1430), "YES", "NO")</f>
        <v>NO</v>
      </c>
      <c r="AC905" t="str">
        <f t="shared" si="32"/>
        <v>NO</v>
      </c>
      <c r="AD905" t="str">
        <f t="shared" si="33"/>
        <v>NO</v>
      </c>
      <c r="AE905" t="str">
        <f t="shared" si="34"/>
        <v>NO</v>
      </c>
      <c r="AF905" t="str">
        <f t="shared" si="35"/>
        <v>YES</v>
      </c>
    </row>
    <row r="906" spans="1:32" ht="15" x14ac:dyDescent="0.35">
      <c r="A906" s="5" t="s">
        <v>1519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>LEFT($A906,FIND("_",$A906)-1)</f>
        <v>RSRepair-A</v>
      </c>
      <c r="P906" s="13" t="str">
        <f>IF($O906="ACS", "True Search", IF($O906="Arja", "Evolutionary Search", IF($O906="AVATAR", "True Pattern", IF($O906="CapGen", "Search Like Pattern", IF($O906="Cardumen", "True Semantic", IF($O906="DynaMoth", "True Semantic", IF($O906="FixMiner", "True Pattern", IF($O906="GenProg-A", "Evolutionary Search", IF($O906="Hercules", "Learning Pattern", IF($O906="Jaid", "True Semantic",
IF($O906="Kali-A", "True Search", IF($O906="kPAR", "True Pattern", IF($O906="Nopol", "True Semantic", IF($O906="RSRepair-A", "Evolutionary Search", IF($O906="SequenceR", "Deep Learning", IF($O906="SimFix", "Search Like Pattern", IF($O906="SketchFix", "True Pattern", IF($O906="SOFix", "True Pattern", IF($O906="ssFix", "Search Like Pattern", IF($O906="TBar", "True Pattern", ""))))))))))))))))))))</f>
        <v>Evolutionary Search</v>
      </c>
      <c r="Q906" s="13" t="str">
        <f>IF(NOT(ISERR(SEARCH("*_Buggy",$A906))), "Buggy", IF(NOT(ISERR(SEARCH("*_Fixed",$A906))), "Fixed", IF(NOT(ISERR(SEARCH("*_Repaired",$A906))), "Repaired", "")))</f>
        <v>Fixed</v>
      </c>
      <c r="R906" s="13" t="s">
        <v>1668</v>
      </c>
      <c r="S906" s="25">
        <v>5</v>
      </c>
      <c r="T906" s="25">
        <v>2</v>
      </c>
      <c r="U906" s="25">
        <v>26</v>
      </c>
      <c r="V906" s="13">
        <v>26</v>
      </c>
      <c r="W906" s="13" t="str">
        <f>MID(A906, SEARCH("_", A906) +1, SEARCH("_", A906, SEARCH("_", A906) +1) - SEARCH("_", A906) -1)</f>
        <v>Closure-22</v>
      </c>
      <c r="Y906" s="1" t="str">
        <f t="shared" si="30"/>
        <v>NO</v>
      </c>
      <c r="Z906" s="1" t="str">
        <f t="shared" si="31"/>
        <v>YES</v>
      </c>
      <c r="AA906" t="str">
        <f>IF(AND(S906&gt;1,S1431&gt;1,S906=V906,S1431=V1431), "YES", "NO")</f>
        <v>NO</v>
      </c>
      <c r="AB906" t="str">
        <f>IF(AND(S906&gt;1,S1431&gt;1,S906&lt;V906,S1431&lt;V1431), "YES", "NO")</f>
        <v>NO</v>
      </c>
      <c r="AC906" t="str">
        <f t="shared" si="32"/>
        <v>NO</v>
      </c>
      <c r="AD906" t="str">
        <f t="shared" si="33"/>
        <v>NO</v>
      </c>
      <c r="AE906" t="str">
        <f t="shared" si="34"/>
        <v>NO</v>
      </c>
      <c r="AF906" t="str">
        <f t="shared" si="35"/>
        <v>YES</v>
      </c>
    </row>
    <row r="907" spans="1:32" ht="15" x14ac:dyDescent="0.35">
      <c r="A907" s="5" t="s">
        <v>1520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>LEFT($A907,FIND("_",$A907)-1)</f>
        <v>RSRepair-A</v>
      </c>
      <c r="P907" s="13" t="str">
        <f>IF($O907="ACS", "True Search", IF($O907="Arja", "Evolutionary Search", IF($O907="AVATAR", "True Pattern", IF($O907="CapGen", "Search Like Pattern", IF($O907="Cardumen", "True Semantic", IF($O907="DynaMoth", "True Semantic", IF($O907="FixMiner", "True Pattern", IF($O907="GenProg-A", "Evolutionary Search", IF($O907="Hercules", "Learning Pattern", IF($O907="Jaid", "True Semantic",
IF($O907="Kali-A", "True Search", IF($O907="kPAR", "True Pattern", IF($O907="Nopol", "True Semantic", IF($O907="RSRepair-A", "Evolutionary Search", IF($O907="SequenceR", "Deep Learning", IF($O907="SimFix", "Search Like Pattern", IF($O907="SketchFix", "True Pattern", IF($O907="SOFix", "True Pattern", IF($O907="ssFix", "Search Like Pattern", IF($O907="TBar", "True Pattern", ""))))))))))))))))))))</f>
        <v>Evolutionary Search</v>
      </c>
      <c r="Q907" s="13" t="str">
        <f>IF(NOT(ISERR(SEARCH("*_Buggy",$A907))), "Buggy", IF(NOT(ISERR(SEARCH("*_Fixed",$A907))), "Fixed", IF(NOT(ISERR(SEARCH("*_Repaired",$A907))), "Repaired", "")))</f>
        <v>Fixed</v>
      </c>
      <c r="R907" s="13" t="s">
        <v>1669</v>
      </c>
      <c r="S907" s="25">
        <v>3</v>
      </c>
      <c r="T907" s="25">
        <v>8</v>
      </c>
      <c r="U907" s="25">
        <v>2</v>
      </c>
      <c r="V907" s="13">
        <v>8</v>
      </c>
      <c r="W907" s="13" t="str">
        <f>MID(A907, SEARCH("_", A907) +1, SEARCH("_", A907, SEARCH("_", A907) +1) - SEARCH("_", A907) -1)</f>
        <v>Closure-3</v>
      </c>
      <c r="Y907" s="1" t="str">
        <f t="shared" si="30"/>
        <v>NO</v>
      </c>
      <c r="Z907" s="1" t="str">
        <f t="shared" si="31"/>
        <v>YES</v>
      </c>
      <c r="AA907" t="str">
        <f>IF(AND(S907&gt;1,S1432&gt;1,S907=V907,S1432=V1432), "YES", "NO")</f>
        <v>NO</v>
      </c>
      <c r="AB907" t="str">
        <f>IF(AND(S907&gt;1,S1432&gt;1,S907&lt;V907,S1432&lt;V1432), "YES", "NO")</f>
        <v>NO</v>
      </c>
      <c r="AC907" t="str">
        <f t="shared" si="32"/>
        <v>NO</v>
      </c>
      <c r="AD907" t="str">
        <f t="shared" si="33"/>
        <v>NO</v>
      </c>
      <c r="AE907" t="str">
        <f t="shared" si="34"/>
        <v>NO</v>
      </c>
      <c r="AF907" t="str">
        <f t="shared" si="35"/>
        <v>YES</v>
      </c>
    </row>
    <row r="908" spans="1:32" ht="15" x14ac:dyDescent="0.35">
      <c r="A908" s="5" t="s">
        <v>1521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>LEFT($A908,FIND("_",$A908)-1)</f>
        <v>RSRepair-A</v>
      </c>
      <c r="P908" s="13" t="str">
        <f>IF($O908="ACS", "True Search", IF($O908="Arja", "Evolutionary Search", IF($O908="AVATAR", "True Pattern", IF($O908="CapGen", "Search Like Pattern", IF($O908="Cardumen", "True Semantic", IF($O908="DynaMoth", "True Semantic", IF($O908="FixMiner", "True Pattern", IF($O908="GenProg-A", "Evolutionary Search", IF($O908="Hercules", "Learning Pattern", IF($O908="Jaid", "True Semantic",
IF($O908="Kali-A", "True Search", IF($O908="kPAR", "True Pattern", IF($O908="Nopol", "True Semantic", IF($O908="RSRepair-A", "Evolutionary Search", IF($O908="SequenceR", "Deep Learning", IF($O908="SimFix", "Search Like Pattern", IF($O908="SketchFix", "True Pattern", IF($O908="SOFix", "True Pattern", IF($O908="ssFix", "Search Like Pattern", IF($O908="TBar", "True Pattern", ""))))))))))))))))))))</f>
        <v>Evolutionary Search</v>
      </c>
      <c r="Q908" s="13" t="str">
        <f>IF(NOT(ISERR(SEARCH("*_Buggy",$A908))), "Buggy", IF(NOT(ISERR(SEARCH("*_Fixed",$A908))), "Fixed", IF(NOT(ISERR(SEARCH("*_Repaired",$A908))), "Repaired", "")))</f>
        <v>Fixed</v>
      </c>
      <c r="R908" s="13" t="s">
        <v>1669</v>
      </c>
      <c r="S908" s="25">
        <v>1</v>
      </c>
      <c r="T908" s="13">
        <v>3</v>
      </c>
      <c r="U908" s="25">
        <v>0</v>
      </c>
      <c r="V908" s="13">
        <v>3</v>
      </c>
      <c r="W908" s="13" t="str">
        <f>MID(A908, SEARCH("_", A908) +1, SEARCH("_", A908, SEARCH("_", A908) +1) - SEARCH("_", A908) -1)</f>
        <v>Closure-33</v>
      </c>
      <c r="Y908" s="1" t="str">
        <f t="shared" si="30"/>
        <v>NO</v>
      </c>
      <c r="Z908" s="1" t="str">
        <f t="shared" si="31"/>
        <v>NO</v>
      </c>
      <c r="AA908" t="str">
        <f>IF(AND(S908&gt;1,S1433&gt;1,S908=V908,S1433=V1433), "YES", "NO")</f>
        <v>NO</v>
      </c>
      <c r="AB908" t="str">
        <f>IF(AND(S908&gt;1,S1433&gt;1,S908&lt;V908,S1433&lt;V1433), "YES", "NO")</f>
        <v>NO</v>
      </c>
      <c r="AC908" t="str">
        <f t="shared" si="32"/>
        <v>NO</v>
      </c>
      <c r="AD908" t="str">
        <f t="shared" si="33"/>
        <v>YES</v>
      </c>
      <c r="AE908" t="str">
        <f t="shared" si="34"/>
        <v>NO</v>
      </c>
      <c r="AF908" t="str">
        <f t="shared" si="35"/>
        <v>YES</v>
      </c>
    </row>
    <row r="909" spans="1:32" ht="15" x14ac:dyDescent="0.35">
      <c r="A909" s="5" t="s">
        <v>1522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>LEFT($A909,FIND("_",$A909)-1)</f>
        <v>RSRepair-A</v>
      </c>
      <c r="P909" s="13" t="str">
        <f>IF($O909="ACS", "True Search", IF($O909="Arja", "Evolutionary Search", IF($O909="AVATAR", "True Pattern", IF($O909="CapGen", "Search Like Pattern", IF($O909="Cardumen", "True Semantic", IF($O909="DynaMoth", "True Semantic", IF($O909="FixMiner", "True Pattern", IF($O909="GenProg-A", "Evolutionary Search", IF($O909="Hercules", "Learning Pattern", IF($O909="Jaid", "True Semantic",
IF($O909="Kali-A", "True Search", IF($O909="kPAR", "True Pattern", IF($O909="Nopol", "True Semantic", IF($O909="RSRepair-A", "Evolutionary Search", IF($O909="SequenceR", "Deep Learning", IF($O909="SimFix", "Search Like Pattern", IF($O909="SketchFix", "True Pattern", IF($O909="SOFix", "True Pattern", IF($O909="ssFix", "Search Like Pattern", IF($O909="TBar", "True Pattern", ""))))))))))))))))))))</f>
        <v>Evolutionary Search</v>
      </c>
      <c r="Q909" s="13" t="str">
        <f>IF(NOT(ISERR(SEARCH("*_Buggy",$A909))), "Buggy", IF(NOT(ISERR(SEARCH("*_Fixed",$A909))), "Fixed", IF(NOT(ISERR(SEARCH("*_Repaired",$A909))), "Repaired", "")))</f>
        <v>Fixed</v>
      </c>
      <c r="R909" s="13" t="s">
        <v>1669</v>
      </c>
      <c r="S909" s="25">
        <v>1</v>
      </c>
      <c r="T909" s="25">
        <v>2</v>
      </c>
      <c r="U909" s="25">
        <v>1</v>
      </c>
      <c r="V909" s="13">
        <v>2</v>
      </c>
      <c r="W909" s="13" t="str">
        <f>MID(A909, SEARCH("_", A909) +1, SEARCH("_", A909, SEARCH("_", A909) +1) - SEARCH("_", A909) -1)</f>
        <v>Closure-55</v>
      </c>
      <c r="Y909" s="1" t="str">
        <f t="shared" si="30"/>
        <v>NO</v>
      </c>
      <c r="Z909" s="1" t="str">
        <f t="shared" si="31"/>
        <v>NO</v>
      </c>
      <c r="AA909" t="str">
        <f>IF(AND(S909&gt;1,S1434&gt;1,S909=V909,S1434=V1434), "YES", "NO")</f>
        <v>NO</v>
      </c>
      <c r="AB909" t="str">
        <f>IF(AND(S909&gt;1,S1434&gt;1,S909&lt;V909,S1434&lt;V1434), "YES", "NO")</f>
        <v>NO</v>
      </c>
      <c r="AC909" t="str">
        <f t="shared" si="32"/>
        <v>NO</v>
      </c>
      <c r="AD909" t="str">
        <f t="shared" si="33"/>
        <v>NO</v>
      </c>
      <c r="AE909" t="str">
        <f t="shared" si="34"/>
        <v>NO</v>
      </c>
      <c r="AF909" t="str">
        <f t="shared" si="35"/>
        <v>NO</v>
      </c>
    </row>
    <row r="910" spans="1:32" ht="15" x14ac:dyDescent="0.35">
      <c r="A910" s="5" t="s">
        <v>1523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>LEFT($A910,FIND("_",$A910)-1)</f>
        <v>RSRepair-A</v>
      </c>
      <c r="P910" s="13" t="str">
        <f>IF($O910="ACS", "True Search", IF($O910="Arja", "Evolutionary Search", IF($O910="AVATAR", "True Pattern", IF($O910="CapGen", "Search Like Pattern", IF($O910="Cardumen", "True Semantic", IF($O910="DynaMoth", "True Semantic", IF($O910="FixMiner", "True Pattern", IF($O910="GenProg-A", "Evolutionary Search", IF($O910="Hercules", "Learning Pattern", IF($O910="Jaid", "True Semantic",
IF($O910="Kali-A", "True Search", IF($O910="kPAR", "True Pattern", IF($O910="Nopol", "True Semantic", IF($O910="RSRepair-A", "Evolutionary Search", IF($O910="SequenceR", "Deep Learning", IF($O910="SimFix", "Search Like Pattern", IF($O910="SketchFix", "True Pattern", IF($O910="SOFix", "True Pattern", IF($O910="ssFix", "Search Like Pattern", IF($O910="TBar", "True Pattern", ""))))))))))))))))))))</f>
        <v>Evolutionary Search</v>
      </c>
      <c r="Q910" s="13" t="str">
        <f>IF(NOT(ISERR(SEARCH("*_Buggy",$A910))), "Buggy", IF(NOT(ISERR(SEARCH("*_Fixed",$A910))), "Fixed", IF(NOT(ISERR(SEARCH("*_Repaired",$A910))), "Repaired", "")))</f>
        <v>Fixed</v>
      </c>
      <c r="R910" s="13" t="s">
        <v>1669</v>
      </c>
      <c r="S910" s="25">
        <v>3</v>
      </c>
      <c r="T910" s="25">
        <v>4</v>
      </c>
      <c r="U910" s="25">
        <v>1</v>
      </c>
      <c r="V910" s="13">
        <v>4</v>
      </c>
      <c r="W910" s="13" t="str">
        <f>MID(A910, SEARCH("_", A910) +1, SEARCH("_", A910, SEARCH("_", A910) +1) - SEARCH("_", A910) -1)</f>
        <v>Closure-75</v>
      </c>
      <c r="Y910" s="1" t="str">
        <f t="shared" si="30"/>
        <v>NO</v>
      </c>
      <c r="Z910" s="1" t="str">
        <f t="shared" si="31"/>
        <v>YES</v>
      </c>
      <c r="AA910" t="str">
        <f>IF(AND(S910&gt;1,S1435&gt;1,S910=V910,S1435=V1435), "YES", "NO")</f>
        <v>NO</v>
      </c>
      <c r="AB910" t="str">
        <f>IF(AND(S910&gt;1,S1435&gt;1,S910&lt;V910,S1435&lt;V1435), "YES", "NO")</f>
        <v>NO</v>
      </c>
      <c r="AC910" t="str">
        <f t="shared" si="32"/>
        <v>NO</v>
      </c>
      <c r="AD910" t="str">
        <f t="shared" si="33"/>
        <v>NO</v>
      </c>
      <c r="AE910" t="str">
        <f t="shared" si="34"/>
        <v>NO</v>
      </c>
      <c r="AF910" t="str">
        <f t="shared" si="35"/>
        <v>NO</v>
      </c>
    </row>
    <row r="911" spans="1:32" ht="15" x14ac:dyDescent="0.35">
      <c r="A911" s="5" t="s">
        <v>1524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>LEFT($A911,FIND("_",$A911)-1)</f>
        <v>RSRepair-A</v>
      </c>
      <c r="P911" s="13" t="str">
        <f>IF($O911="ACS", "True Search", IF($O911="Arja", "Evolutionary Search", IF($O911="AVATAR", "True Pattern", IF($O911="CapGen", "Search Like Pattern", IF($O911="Cardumen", "True Semantic", IF($O911="DynaMoth", "True Semantic", IF($O911="FixMiner", "True Pattern", IF($O911="GenProg-A", "Evolutionary Search", IF($O911="Hercules", "Learning Pattern", IF($O911="Jaid", "True Semantic",
IF($O911="Kali-A", "True Search", IF($O911="kPAR", "True Pattern", IF($O911="Nopol", "True Semantic", IF($O911="RSRepair-A", "Evolutionary Search", IF($O911="SequenceR", "Deep Learning", IF($O911="SimFix", "Search Like Pattern", IF($O911="SketchFix", "True Pattern", IF($O911="SOFix", "True Pattern", IF($O911="ssFix", "Search Like Pattern", IF($O911="TBar", "True Pattern", ""))))))))))))))))))))</f>
        <v>Evolutionary Search</v>
      </c>
      <c r="Q911" s="13" t="str">
        <f>IF(NOT(ISERR(SEARCH("*_Buggy",$A911))), "Buggy", IF(NOT(ISERR(SEARCH("*_Fixed",$A911))), "Fixed", IF(NOT(ISERR(SEARCH("*_Repaired",$A911))), "Repaired", "")))</f>
        <v>Fixed</v>
      </c>
      <c r="R911" s="13" t="s">
        <v>1668</v>
      </c>
      <c r="S911" s="25">
        <v>1</v>
      </c>
      <c r="T911" s="25">
        <v>1</v>
      </c>
      <c r="U911" s="25">
        <v>1</v>
      </c>
      <c r="V911" s="13">
        <v>1</v>
      </c>
      <c r="W911" s="13" t="str">
        <f>MID(A911, SEARCH("_", A911) +1, SEARCH("_", A911, SEARCH("_", A911) +1) - SEARCH("_", A911) -1)</f>
        <v>Closure-86</v>
      </c>
      <c r="Y911" s="1" t="str">
        <f t="shared" si="30"/>
        <v>NO</v>
      </c>
      <c r="Z911" s="1" t="str">
        <f t="shared" si="31"/>
        <v>NO</v>
      </c>
      <c r="AA911" t="str">
        <f>IF(AND(S911&gt;1,S1436&gt;1,S911=V911,S1436=V1436), "YES", "NO")</f>
        <v>NO</v>
      </c>
      <c r="AB911" t="str">
        <f>IF(AND(S911&gt;1,S1436&gt;1,S911&lt;V911,S1436&lt;V1436), "YES", "NO")</f>
        <v>NO</v>
      </c>
      <c r="AC911" t="str">
        <f t="shared" si="32"/>
        <v>NO</v>
      </c>
      <c r="AD911" t="str">
        <f t="shared" si="33"/>
        <v>NO</v>
      </c>
      <c r="AE911" t="str">
        <f t="shared" si="34"/>
        <v>NO</v>
      </c>
      <c r="AF911" t="str">
        <f t="shared" si="35"/>
        <v>NO</v>
      </c>
    </row>
    <row r="912" spans="1:32" ht="15" x14ac:dyDescent="0.35">
      <c r="A912" s="7" t="s">
        <v>1525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>LEFT($A912,FIND("_",$A912)-1)</f>
        <v>RSRepair-A</v>
      </c>
      <c r="P912" s="13" t="str">
        <f>IF($O912="ACS", "True Search", IF($O912="Arja", "Evolutionary Search", IF($O912="AVATAR", "True Pattern", IF($O912="CapGen", "Search Like Pattern", IF($O912="Cardumen", "True Semantic", IF($O912="DynaMoth", "True Semantic", IF($O912="FixMiner", "True Pattern", IF($O912="GenProg-A", "Evolutionary Search", IF($O912="Hercules", "Learning Pattern", IF($O912="Jaid", "True Semantic",
IF($O912="Kali-A", "True Search", IF($O912="kPAR", "True Pattern", IF($O912="Nopol", "True Semantic", IF($O912="RSRepair-A", "Evolutionary Search", IF($O912="SequenceR", "Deep Learning", IF($O912="SimFix", "Search Like Pattern", IF($O912="SketchFix", "True Pattern", IF($O912="SOFix", "True Pattern", IF($O912="ssFix", "Search Like Pattern", IF($O912="TBar", "True Pattern", ""))))))))))))))))))))</f>
        <v>Evolutionary Search</v>
      </c>
      <c r="Q912" s="13" t="str">
        <f>IF(NOT(ISERR(SEARCH("*_Buggy",$A912))), "Buggy", IF(NOT(ISERR(SEARCH("*_Fixed",$A912))), "Fixed", IF(NOT(ISERR(SEARCH("*_Repaired",$A912))), "Repaired", "")))</f>
        <v>Fixed</v>
      </c>
      <c r="R912" s="13" t="s">
        <v>1669</v>
      </c>
      <c r="S912" s="25">
        <v>2</v>
      </c>
      <c r="T912" s="13">
        <v>6</v>
      </c>
      <c r="U912" s="25">
        <v>0</v>
      </c>
      <c r="V912" s="13">
        <v>6</v>
      </c>
      <c r="W912" s="13" t="str">
        <f>MID(A912, SEARCH("_", A912) +1, SEARCH("_", A912, SEARCH("_", A912) +1) - SEARCH("_", A912) -1)</f>
        <v>Closure-88</v>
      </c>
      <c r="Y912" s="1" t="str">
        <f t="shared" si="30"/>
        <v>NO</v>
      </c>
      <c r="Z912" s="1" t="str">
        <f t="shared" si="31"/>
        <v>YES</v>
      </c>
      <c r="AA912" t="str">
        <f>IF(AND(S912&gt;1,S1437&gt;1,S912=V912,S1437=V1437), "YES", "NO")</f>
        <v>NO</v>
      </c>
      <c r="AB912" t="str">
        <f>IF(AND(S912&gt;1,S1437&gt;1,S912&lt;V912,S1437&lt;V1437), "YES", "NO")</f>
        <v>NO</v>
      </c>
      <c r="AC912" t="str">
        <f t="shared" si="32"/>
        <v>NO</v>
      </c>
      <c r="AD912" t="str">
        <f t="shared" si="33"/>
        <v>NO</v>
      </c>
      <c r="AE912" t="str">
        <f t="shared" si="34"/>
        <v>NO</v>
      </c>
      <c r="AF912" t="str">
        <f t="shared" si="35"/>
        <v>YES</v>
      </c>
    </row>
    <row r="913" spans="1:32" ht="15" x14ac:dyDescent="0.35">
      <c r="A913" s="5" t="s">
        <v>1526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>LEFT($A913,FIND("_",$A913)-1)</f>
        <v>RSRepair-A</v>
      </c>
      <c r="P913" s="13" t="str">
        <f>IF($O913="ACS", "True Search", IF($O913="Arja", "Evolutionary Search", IF($O913="AVATAR", "True Pattern", IF($O913="CapGen", "Search Like Pattern", IF($O913="Cardumen", "True Semantic", IF($O913="DynaMoth", "True Semantic", IF($O913="FixMiner", "True Pattern", IF($O913="GenProg-A", "Evolutionary Search", IF($O913="Hercules", "Learning Pattern", IF($O913="Jaid", "True Semantic",
IF($O913="Kali-A", "True Search", IF($O913="kPAR", "True Pattern", IF($O913="Nopol", "True Semantic", IF($O913="RSRepair-A", "Evolutionary Search", IF($O913="SequenceR", "Deep Learning", IF($O913="SimFix", "Search Like Pattern", IF($O913="SketchFix", "True Pattern", IF($O913="SOFix", "True Pattern", IF($O913="ssFix", "Search Like Pattern", IF($O913="TBar", "True Pattern", ""))))))))))))))))))))</f>
        <v>Evolutionary Search</v>
      </c>
      <c r="Q913" s="13" t="str">
        <f>IF(NOT(ISERR(SEARCH("*_Buggy",$A913))), "Buggy", IF(NOT(ISERR(SEARCH("*_Fixed",$A913))), "Fixed", IF(NOT(ISERR(SEARCH("*_Repaired",$A913))), "Repaired", "")))</f>
        <v>Fixed</v>
      </c>
      <c r="R913" s="13" t="s">
        <v>1669</v>
      </c>
      <c r="S913" s="25">
        <v>4</v>
      </c>
      <c r="T913" s="13">
        <v>19</v>
      </c>
      <c r="U913" s="25">
        <v>0</v>
      </c>
      <c r="V913" s="13">
        <v>19</v>
      </c>
      <c r="W913" s="13" t="str">
        <f>MID(A913, SEARCH("_", A913) +1, SEARCH("_", A913, SEARCH("_", A913) +1) - SEARCH("_", A913) -1)</f>
        <v>Lang-13</v>
      </c>
      <c r="Y913" s="1" t="str">
        <f t="shared" si="30"/>
        <v>NO</v>
      </c>
      <c r="Z913" s="1" t="str">
        <f t="shared" si="31"/>
        <v>YES</v>
      </c>
      <c r="AA913" t="str">
        <f>IF(AND(S913&gt;1,S1438&gt;1,S913=V913,S1438=V1438), "YES", "NO")</f>
        <v>NO</v>
      </c>
      <c r="AB913" t="str">
        <f>IF(AND(S913&gt;1,S1438&gt;1,S913&lt;V913,S1438&lt;V1438), "YES", "NO")</f>
        <v>NO</v>
      </c>
      <c r="AC913" t="str">
        <f t="shared" si="32"/>
        <v>NO</v>
      </c>
      <c r="AD913" t="str">
        <f t="shared" si="33"/>
        <v>NO</v>
      </c>
      <c r="AE913" t="str">
        <f t="shared" si="34"/>
        <v>NO</v>
      </c>
      <c r="AF913" t="str">
        <f t="shared" si="35"/>
        <v>NO</v>
      </c>
    </row>
    <row r="914" spans="1:32" ht="15" x14ac:dyDescent="0.35">
      <c r="A914" s="7" t="s">
        <v>1527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>LEFT($A914,FIND("_",$A914)-1)</f>
        <v>RSRepair-A</v>
      </c>
      <c r="P914" s="13" t="str">
        <f>IF($O914="ACS", "True Search", IF($O914="Arja", "Evolutionary Search", IF($O914="AVATAR", "True Pattern", IF($O914="CapGen", "Search Like Pattern", IF($O914="Cardumen", "True Semantic", IF($O914="DynaMoth", "True Semantic", IF($O914="FixMiner", "True Pattern", IF($O914="GenProg-A", "Evolutionary Search", IF($O914="Hercules", "Learning Pattern", IF($O914="Jaid", "True Semantic",
IF($O914="Kali-A", "True Search", IF($O914="kPAR", "True Pattern", IF($O914="Nopol", "True Semantic", IF($O914="RSRepair-A", "Evolutionary Search", IF($O914="SequenceR", "Deep Learning", IF($O914="SimFix", "Search Like Pattern", IF($O914="SketchFix", "True Pattern", IF($O914="SOFix", "True Pattern", IF($O914="ssFix", "Search Like Pattern", IF($O914="TBar", "True Pattern", ""))))))))))))))))))))</f>
        <v>Evolutionary Search</v>
      </c>
      <c r="Q914" s="13" t="str">
        <f>IF(NOT(ISERR(SEARCH("*_Buggy",$A914))), "Buggy", IF(NOT(ISERR(SEARCH("*_Fixed",$A914))), "Fixed", IF(NOT(ISERR(SEARCH("*_Repaired",$A914))), "Repaired", "")))</f>
        <v>Fixed</v>
      </c>
      <c r="R914" s="13" t="s">
        <v>1669</v>
      </c>
      <c r="S914" s="25">
        <v>1</v>
      </c>
      <c r="T914" s="25">
        <v>1</v>
      </c>
      <c r="U914" s="25">
        <v>1</v>
      </c>
      <c r="V914" s="13">
        <v>1</v>
      </c>
      <c r="W914" s="13" t="str">
        <f>MID(A914, SEARCH("_", A914) +1, SEARCH("_", A914, SEARCH("_", A914) +1) - SEARCH("_", A914) -1)</f>
        <v>Lang-16</v>
      </c>
      <c r="Y914" s="1" t="str">
        <f t="shared" si="30"/>
        <v>NO</v>
      </c>
      <c r="Z914" s="1" t="str">
        <f t="shared" si="31"/>
        <v>NO</v>
      </c>
      <c r="AA914" t="str">
        <f>IF(AND(S914&gt;1,S1439&gt;1,S914=V914,S1439=V1439), "YES", "NO")</f>
        <v>NO</v>
      </c>
      <c r="AB914" t="str">
        <f>IF(AND(S914&gt;1,S1439&gt;1,S914&lt;V914,S1439&lt;V1439), "YES", "NO")</f>
        <v>NO</v>
      </c>
      <c r="AC914" t="str">
        <f t="shared" si="32"/>
        <v>YES</v>
      </c>
      <c r="AD914" t="str">
        <f t="shared" si="33"/>
        <v>NO</v>
      </c>
      <c r="AE914" t="str">
        <f t="shared" si="34"/>
        <v>YES</v>
      </c>
      <c r="AF914" t="str">
        <f t="shared" si="35"/>
        <v>NO</v>
      </c>
    </row>
    <row r="915" spans="1:32" ht="15" x14ac:dyDescent="0.35">
      <c r="A915" s="5" t="s">
        <v>1528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>LEFT($A915,FIND("_",$A915)-1)</f>
        <v>RSRepair-A</v>
      </c>
      <c r="P915" s="13" t="str">
        <f>IF($O915="ACS", "True Search", IF($O915="Arja", "Evolutionary Search", IF($O915="AVATAR", "True Pattern", IF($O915="CapGen", "Search Like Pattern", IF($O915="Cardumen", "True Semantic", IF($O915="DynaMoth", "True Semantic", IF($O915="FixMiner", "True Pattern", IF($O915="GenProg-A", "Evolutionary Search", IF($O915="Hercules", "Learning Pattern", IF($O915="Jaid", "True Semantic",
IF($O915="Kali-A", "True Search", IF($O915="kPAR", "True Pattern", IF($O915="Nopol", "True Semantic", IF($O915="RSRepair-A", "Evolutionary Search", IF($O915="SequenceR", "Deep Learning", IF($O915="SimFix", "Search Like Pattern", IF($O915="SketchFix", "True Pattern", IF($O915="SOFix", "True Pattern", IF($O915="ssFix", "Search Like Pattern", IF($O915="TBar", "True Pattern", ""))))))))))))))))))))</f>
        <v>Evolutionary Search</v>
      </c>
      <c r="Q915" s="13" t="str">
        <f>IF(NOT(ISERR(SEARCH("*_Buggy",$A915))), "Buggy", IF(NOT(ISERR(SEARCH("*_Fixed",$A915))), "Fixed", IF(NOT(ISERR(SEARCH("*_Repaired",$A915))), "Repaired", "")))</f>
        <v>Fixed</v>
      </c>
      <c r="R915" s="13" t="s">
        <v>1669</v>
      </c>
      <c r="S915" s="25">
        <v>1</v>
      </c>
      <c r="T915" s="13">
        <v>1</v>
      </c>
      <c r="U915" s="25">
        <v>0</v>
      </c>
      <c r="V915" s="13">
        <v>1</v>
      </c>
      <c r="W915" s="13" t="str">
        <f>MID(A915, SEARCH("_", A915) +1, SEARCH("_", A915, SEARCH("_", A915) +1) - SEARCH("_", A915) -1)</f>
        <v>Lang-43</v>
      </c>
      <c r="Y915" s="1" t="str">
        <f t="shared" si="30"/>
        <v>NO</v>
      </c>
      <c r="Z915" s="1" t="str">
        <f t="shared" si="31"/>
        <v>NO</v>
      </c>
      <c r="AA915" t="str">
        <f>IF(AND(S915&gt;1,S1440&gt;1,S915=V915,S1440=V1440), "YES", "NO")</f>
        <v>NO</v>
      </c>
      <c r="AB915" t="str">
        <f>IF(AND(S915&gt;1,S1440&gt;1,S915&lt;V915,S1440&lt;V1440), "YES", "NO")</f>
        <v>NO</v>
      </c>
      <c r="AC915" t="str">
        <f t="shared" si="32"/>
        <v>YES</v>
      </c>
      <c r="AD915" t="str">
        <f t="shared" si="33"/>
        <v>NO</v>
      </c>
      <c r="AE915" t="str">
        <f t="shared" si="34"/>
        <v>YES</v>
      </c>
      <c r="AF915" t="str">
        <f t="shared" si="35"/>
        <v>NO</v>
      </c>
    </row>
    <row r="916" spans="1:32" ht="15" x14ac:dyDescent="0.35">
      <c r="A916" s="7" t="s">
        <v>1529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>LEFT($A916,FIND("_",$A916)-1)</f>
        <v>RSRepair-A</v>
      </c>
      <c r="P916" s="13" t="str">
        <f>IF($O916="ACS", "True Search", IF($O916="Arja", "Evolutionary Search", IF($O916="AVATAR", "True Pattern", IF($O916="CapGen", "Search Like Pattern", IF($O916="Cardumen", "True Semantic", IF($O916="DynaMoth", "True Semantic", IF($O916="FixMiner", "True Pattern", IF($O916="GenProg-A", "Evolutionary Search", IF($O916="Hercules", "Learning Pattern", IF($O916="Jaid", "True Semantic",
IF($O916="Kali-A", "True Search", IF($O916="kPAR", "True Pattern", IF($O916="Nopol", "True Semantic", IF($O916="RSRepair-A", "Evolutionary Search", IF($O916="SequenceR", "Deep Learning", IF($O916="SimFix", "Search Like Pattern", IF($O916="SketchFix", "True Pattern", IF($O916="SOFix", "True Pattern", IF($O916="ssFix", "Search Like Pattern", IF($O916="TBar", "True Pattern", ""))))))))))))))))))))</f>
        <v>Evolutionary Search</v>
      </c>
      <c r="Q916" s="13" t="str">
        <f>IF(NOT(ISERR(SEARCH("*_Buggy",$A916))), "Buggy", IF(NOT(ISERR(SEARCH("*_Fixed",$A916))), "Fixed", IF(NOT(ISERR(SEARCH("*_Repaired",$A916))), "Repaired", "")))</f>
        <v>Fixed</v>
      </c>
      <c r="R916" s="13" t="s">
        <v>1668</v>
      </c>
      <c r="S916" s="25">
        <v>9</v>
      </c>
      <c r="T916" s="25">
        <v>10</v>
      </c>
      <c r="U916" s="25">
        <v>7</v>
      </c>
      <c r="V916" s="13">
        <v>10</v>
      </c>
      <c r="W916" s="13" t="str">
        <f>MID(A916, SEARCH("_", A916) +1, SEARCH("_", A916, SEARCH("_", A916) +1) - SEARCH("_", A916) -1)</f>
        <v>Lang-46</v>
      </c>
      <c r="Y916" s="1" t="str">
        <f t="shared" si="30"/>
        <v>NO</v>
      </c>
      <c r="Z916" s="1" t="str">
        <f t="shared" si="31"/>
        <v>YES</v>
      </c>
      <c r="AA916" t="str">
        <f>IF(AND(S916&gt;1,S1441&gt;1,S916=V916,S1441=V1441), "YES", "NO")</f>
        <v>NO</v>
      </c>
      <c r="AB916" t="str">
        <f>IF(AND(S916&gt;1,S1441&gt;1,S916&lt;V916,S1441&lt;V1441), "YES", "NO")</f>
        <v>NO</v>
      </c>
      <c r="AC916" t="str">
        <f t="shared" si="32"/>
        <v>NO</v>
      </c>
      <c r="AD916" t="str">
        <f t="shared" si="33"/>
        <v>NO</v>
      </c>
      <c r="AE916" t="str">
        <f t="shared" si="34"/>
        <v>NO</v>
      </c>
      <c r="AF916" t="str">
        <f t="shared" si="35"/>
        <v>YES</v>
      </c>
    </row>
    <row r="917" spans="1:32" ht="15" x14ac:dyDescent="0.35">
      <c r="A917" s="7" t="s">
        <v>1530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>LEFT($A917,FIND("_",$A917)-1)</f>
        <v>RSRepair-A</v>
      </c>
      <c r="P917" s="13" t="str">
        <f>IF($O917="ACS", "True Search", IF($O917="Arja", "Evolutionary Search", IF($O917="AVATAR", "True Pattern", IF($O917="CapGen", "Search Like Pattern", IF($O917="Cardumen", "True Semantic", IF($O917="DynaMoth", "True Semantic", IF($O917="FixMiner", "True Pattern", IF($O917="GenProg-A", "Evolutionary Search", IF($O917="Hercules", "Learning Pattern", IF($O917="Jaid", "True Semantic",
IF($O917="Kali-A", "True Search", IF($O917="kPAR", "True Pattern", IF($O917="Nopol", "True Semantic", IF($O917="RSRepair-A", "Evolutionary Search", IF($O917="SequenceR", "Deep Learning", IF($O917="SimFix", "Search Like Pattern", IF($O917="SketchFix", "True Pattern", IF($O917="SOFix", "True Pattern", IF($O917="ssFix", "Search Like Pattern", IF($O917="TBar", "True Pattern", ""))))))))))))))))))))</f>
        <v>Evolutionary Search</v>
      </c>
      <c r="Q917" s="13" t="str">
        <f>IF(NOT(ISERR(SEARCH("*_Buggy",$A917))), "Buggy", IF(NOT(ISERR(SEARCH("*_Fixed",$A917))), "Fixed", IF(NOT(ISERR(SEARCH("*_Repaired",$A917))), "Repaired", "")))</f>
        <v>Fixed</v>
      </c>
      <c r="R917" s="13" t="s">
        <v>1669</v>
      </c>
      <c r="S917" s="25">
        <v>1</v>
      </c>
      <c r="T917" s="25">
        <v>1</v>
      </c>
      <c r="U917" s="25">
        <v>1</v>
      </c>
      <c r="V917" s="13">
        <v>1</v>
      </c>
      <c r="W917" s="13" t="str">
        <f>MID(A917, SEARCH("_", A917) +1, SEARCH("_", A917, SEARCH("_", A917) +1) - SEARCH("_", A917) -1)</f>
        <v>Lang-59</v>
      </c>
      <c r="Y917" s="1" t="str">
        <f t="shared" si="30"/>
        <v>NO</v>
      </c>
      <c r="Z917" s="1" t="str">
        <f t="shared" si="31"/>
        <v>NO</v>
      </c>
      <c r="AA917" t="str">
        <f>IF(AND(S917&gt;1,S1442&gt;1,S917=V917,S1442=V1442), "YES", "NO")</f>
        <v>NO</v>
      </c>
      <c r="AB917" t="str">
        <f>IF(AND(S917&gt;1,S1442&gt;1,S917&lt;V917,S1442&lt;V1442), "YES", "NO")</f>
        <v>NO</v>
      </c>
      <c r="AC917" t="str">
        <f t="shared" si="32"/>
        <v>NO</v>
      </c>
      <c r="AD917" t="str">
        <f t="shared" si="33"/>
        <v>NO</v>
      </c>
      <c r="AE917" t="str">
        <f t="shared" si="34"/>
        <v>NO</v>
      </c>
      <c r="AF917" t="str">
        <f t="shared" si="35"/>
        <v>NO</v>
      </c>
    </row>
    <row r="918" spans="1:32" ht="15" x14ac:dyDescent="0.35">
      <c r="A918" s="5" t="s">
        <v>1531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>LEFT($A918,FIND("_",$A918)-1)</f>
        <v>RSRepair-A</v>
      </c>
      <c r="P918" s="13" t="str">
        <f>IF($O918="ACS", "True Search", IF($O918="Arja", "Evolutionary Search", IF($O918="AVATAR", "True Pattern", IF($O918="CapGen", "Search Like Pattern", IF($O918="Cardumen", "True Semantic", IF($O918="DynaMoth", "True Semantic", IF($O918="FixMiner", "True Pattern", IF($O918="GenProg-A", "Evolutionary Search", IF($O918="Hercules", "Learning Pattern", IF($O918="Jaid", "True Semantic",
IF($O918="Kali-A", "True Search", IF($O918="kPAR", "True Pattern", IF($O918="Nopol", "True Semantic", IF($O918="RSRepair-A", "Evolutionary Search", IF($O918="SequenceR", "Deep Learning", IF($O918="SimFix", "Search Like Pattern", IF($O918="SketchFix", "True Pattern", IF($O918="SOFix", "True Pattern", IF($O918="ssFix", "Search Like Pattern", IF($O918="TBar", "True Pattern", ""))))))))))))))))))))</f>
        <v>Evolutionary Search</v>
      </c>
      <c r="Q918" s="13" t="str">
        <f>IF(NOT(ISERR(SEARCH("*_Buggy",$A918))), "Buggy", IF(NOT(ISERR(SEARCH("*_Fixed",$A918))), "Fixed", IF(NOT(ISERR(SEARCH("*_Repaired",$A918))), "Repaired", "")))</f>
        <v>Fixed</v>
      </c>
      <c r="R918" s="13" t="s">
        <v>1669</v>
      </c>
      <c r="S918" s="25">
        <v>4</v>
      </c>
      <c r="T918" s="25">
        <v>3</v>
      </c>
      <c r="U918" s="25">
        <v>20</v>
      </c>
      <c r="V918" s="13">
        <v>22</v>
      </c>
      <c r="W918" s="13" t="str">
        <f>MID(A918, SEARCH("_", A918) +1, SEARCH("_", A918, SEARCH("_", A918) +1) - SEARCH("_", A918) -1)</f>
        <v>Lang-63</v>
      </c>
      <c r="Y918" s="1" t="str">
        <f t="shared" si="30"/>
        <v>NO</v>
      </c>
      <c r="Z918" s="1" t="str">
        <f t="shared" si="31"/>
        <v>YES</v>
      </c>
      <c r="AA918" t="str">
        <f>IF(AND(S918&gt;1,S1443&gt;1,S918=V918,S1443=V1443), "YES", "NO")</f>
        <v>NO</v>
      </c>
      <c r="AB918" t="str">
        <f>IF(AND(S918&gt;1,S1443&gt;1,S918&lt;V918,S1443&lt;V1443), "YES", "NO")</f>
        <v>NO</v>
      </c>
      <c r="AC918" t="str">
        <f t="shared" si="32"/>
        <v>NO</v>
      </c>
      <c r="AD918" t="str">
        <f t="shared" si="33"/>
        <v>NO</v>
      </c>
      <c r="AE918" t="str">
        <f t="shared" si="34"/>
        <v>NO</v>
      </c>
      <c r="AF918" t="str">
        <f t="shared" si="35"/>
        <v>YES</v>
      </c>
    </row>
    <row r="919" spans="1:32" ht="15" x14ac:dyDescent="0.35">
      <c r="A919" s="7" t="s">
        <v>1532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>LEFT($A919,FIND("_",$A919)-1)</f>
        <v>RSRepair-A</v>
      </c>
      <c r="P919" s="13" t="str">
        <f>IF($O919="ACS", "True Search", IF($O919="Arja", "Evolutionary Search", IF($O919="AVATAR", "True Pattern", IF($O919="CapGen", "Search Like Pattern", IF($O919="Cardumen", "True Semantic", IF($O919="DynaMoth", "True Semantic", IF($O919="FixMiner", "True Pattern", IF($O919="GenProg-A", "Evolutionary Search", IF($O919="Hercules", "Learning Pattern", IF($O919="Jaid", "True Semantic",
IF($O919="Kali-A", "True Search", IF($O919="kPAR", "True Pattern", IF($O919="Nopol", "True Semantic", IF($O919="RSRepair-A", "Evolutionary Search", IF($O919="SequenceR", "Deep Learning", IF($O919="SimFix", "Search Like Pattern", IF($O919="SketchFix", "True Pattern", IF($O919="SOFix", "True Pattern", IF($O919="ssFix", "Search Like Pattern", IF($O919="TBar", "True Pattern", ""))))))))))))))))))))</f>
        <v>Evolutionary Search</v>
      </c>
      <c r="Q919" s="13" t="str">
        <f>IF(NOT(ISERR(SEARCH("*_Buggy",$A919))), "Buggy", IF(NOT(ISERR(SEARCH("*_Fixed",$A919))), "Fixed", IF(NOT(ISERR(SEARCH("*_Repaired",$A919))), "Repaired", "")))</f>
        <v>Fixed</v>
      </c>
      <c r="R919" s="13" t="s">
        <v>1669</v>
      </c>
      <c r="S919" s="25">
        <v>3</v>
      </c>
      <c r="T919" s="25">
        <v>3</v>
      </c>
      <c r="U919" s="25">
        <v>3</v>
      </c>
      <c r="V919" s="13">
        <v>6</v>
      </c>
      <c r="W919" s="13" t="str">
        <f>MID(A919, SEARCH("_", A919) +1, SEARCH("_", A919, SEARCH("_", A919) +1) - SEARCH("_", A919) -1)</f>
        <v>Lang-7</v>
      </c>
      <c r="Y919" s="1" t="str">
        <f t="shared" si="30"/>
        <v>NO</v>
      </c>
      <c r="Z919" s="1" t="str">
        <f t="shared" si="31"/>
        <v>YES</v>
      </c>
      <c r="AA919" t="str">
        <f>IF(AND(S919&gt;1,S1444&gt;1,S919=V919,S1444=V1444), "YES", "NO")</f>
        <v>NO</v>
      </c>
      <c r="AB919" t="str">
        <f>IF(AND(S919&gt;1,S1444&gt;1,S919&lt;V919,S1444&lt;V1444), "YES", "NO")</f>
        <v>NO</v>
      </c>
      <c r="AC919" t="str">
        <f t="shared" si="32"/>
        <v>NO</v>
      </c>
      <c r="AD919" t="str">
        <f t="shared" si="33"/>
        <v>NO</v>
      </c>
      <c r="AE919" t="str">
        <f t="shared" si="34"/>
        <v>NO</v>
      </c>
      <c r="AF919" t="str">
        <f t="shared" si="35"/>
        <v>NO</v>
      </c>
    </row>
    <row r="920" spans="1:32" ht="15" x14ac:dyDescent="0.35">
      <c r="A920" s="7" t="s">
        <v>1533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>LEFT($A920,FIND("_",$A920)-1)</f>
        <v>RSRepair-A</v>
      </c>
      <c r="P920" s="13" t="str">
        <f>IF($O920="ACS", "True Search", IF($O920="Arja", "Evolutionary Search", IF($O920="AVATAR", "True Pattern", IF($O920="CapGen", "Search Like Pattern", IF($O920="Cardumen", "True Semantic", IF($O920="DynaMoth", "True Semantic", IF($O920="FixMiner", "True Pattern", IF($O920="GenProg-A", "Evolutionary Search", IF($O920="Hercules", "Learning Pattern", IF($O920="Jaid", "True Semantic",
IF($O920="Kali-A", "True Search", IF($O920="kPAR", "True Pattern", IF($O920="Nopol", "True Semantic", IF($O920="RSRepair-A", "Evolutionary Search", IF($O920="SequenceR", "Deep Learning", IF($O920="SimFix", "Search Like Pattern", IF($O920="SketchFix", "True Pattern", IF($O920="SOFix", "True Pattern", IF($O920="ssFix", "Search Like Pattern", IF($O920="TBar", "True Pattern", ""))))))))))))))))))))</f>
        <v>Evolutionary Search</v>
      </c>
      <c r="Q920" s="13" t="str">
        <f>IF(NOT(ISERR(SEARCH("*_Buggy",$A920))), "Buggy", IF(NOT(ISERR(SEARCH("*_Fixed",$A920))), "Fixed", IF(NOT(ISERR(SEARCH("*_Repaired",$A920))), "Repaired", "")))</f>
        <v>Fixed</v>
      </c>
      <c r="R920" s="13" t="s">
        <v>1669</v>
      </c>
      <c r="S920" s="25">
        <v>4</v>
      </c>
      <c r="T920" s="13">
        <v>4</v>
      </c>
      <c r="U920" s="25">
        <v>0</v>
      </c>
      <c r="V920" s="13">
        <v>4</v>
      </c>
      <c r="W920" s="13" t="str">
        <f>MID(A920, SEARCH("_", A920) +1, SEARCH("_", A920, SEARCH("_", A920) +1) - SEARCH("_", A920) -1)</f>
        <v>Math-28</v>
      </c>
      <c r="Y920" s="1" t="str">
        <f t="shared" si="30"/>
        <v>YES</v>
      </c>
      <c r="Z920" s="1" t="str">
        <f t="shared" si="31"/>
        <v>NO</v>
      </c>
      <c r="AA920" t="str">
        <f>IF(AND(S920&gt;1,S1445&gt;1,S920=V920,S1445=V1445), "YES", "NO")</f>
        <v>NO</v>
      </c>
      <c r="AB920" t="str">
        <f>IF(AND(S920&gt;1,S1445&gt;1,S920&lt;V920,S1445&lt;V1445), "YES", "NO")</f>
        <v>NO</v>
      </c>
      <c r="AC920" t="str">
        <f t="shared" si="32"/>
        <v>NO</v>
      </c>
      <c r="AD920" t="str">
        <f t="shared" si="33"/>
        <v>NO</v>
      </c>
      <c r="AE920" t="str">
        <f t="shared" si="34"/>
        <v>NO</v>
      </c>
      <c r="AF920" t="str">
        <f t="shared" si="35"/>
        <v>YES</v>
      </c>
    </row>
    <row r="921" spans="1:32" ht="15" x14ac:dyDescent="0.35">
      <c r="A921" s="5" t="s">
        <v>1534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>LEFT($A921,FIND("_",$A921)-1)</f>
        <v>RSRepair-A</v>
      </c>
      <c r="P921" s="13" t="str">
        <f>IF($O921="ACS", "True Search", IF($O921="Arja", "Evolutionary Search", IF($O921="AVATAR", "True Pattern", IF($O921="CapGen", "Search Like Pattern", IF($O921="Cardumen", "True Semantic", IF($O921="DynaMoth", "True Semantic", IF($O921="FixMiner", "True Pattern", IF($O921="GenProg-A", "Evolutionary Search", IF($O921="Hercules", "Learning Pattern", IF($O921="Jaid", "True Semantic",
IF($O921="Kali-A", "True Search", IF($O921="kPAR", "True Pattern", IF($O921="Nopol", "True Semantic", IF($O921="RSRepair-A", "Evolutionary Search", IF($O921="SequenceR", "Deep Learning", IF($O921="SimFix", "Search Like Pattern", IF($O921="SketchFix", "True Pattern", IF($O921="SOFix", "True Pattern", IF($O921="ssFix", "Search Like Pattern", IF($O921="TBar", "True Pattern", ""))))))))))))))))))))</f>
        <v>Evolutionary Search</v>
      </c>
      <c r="Q921" s="13" t="str">
        <f>IF(NOT(ISERR(SEARCH("*_Buggy",$A921))), "Buggy", IF(NOT(ISERR(SEARCH("*_Fixed",$A921))), "Fixed", IF(NOT(ISERR(SEARCH("*_Repaired",$A921))), "Repaired", "")))</f>
        <v>Fixed</v>
      </c>
      <c r="R921" s="13" t="s">
        <v>1669</v>
      </c>
      <c r="S921" s="25">
        <v>1</v>
      </c>
      <c r="T921" s="25">
        <v>1</v>
      </c>
      <c r="U921" s="25">
        <v>1</v>
      </c>
      <c r="V921" s="13">
        <v>1</v>
      </c>
      <c r="W921" s="13" t="str">
        <f>MID(A921, SEARCH("_", A921) +1, SEARCH("_", A921, SEARCH("_", A921) +1) - SEARCH("_", A921) -1)</f>
        <v>Math-33</v>
      </c>
      <c r="Y921" s="1" t="str">
        <f t="shared" si="30"/>
        <v>NO</v>
      </c>
      <c r="Z921" s="1" t="str">
        <f t="shared" si="31"/>
        <v>NO</v>
      </c>
      <c r="AA921" t="str">
        <f>IF(AND(S921&gt;1,S1446&gt;1,S921=V921,S1446=V1446), "YES", "NO")</f>
        <v>NO</v>
      </c>
      <c r="AB921" t="str">
        <f>IF(AND(S921&gt;1,S1446&gt;1,S921&lt;V921,S1446&lt;V1446), "YES", "NO")</f>
        <v>NO</v>
      </c>
      <c r="AC921" t="str">
        <f t="shared" si="32"/>
        <v>NO</v>
      </c>
      <c r="AD921" t="str">
        <f t="shared" si="33"/>
        <v>NO</v>
      </c>
      <c r="AE921" t="str">
        <f t="shared" si="34"/>
        <v>NO</v>
      </c>
      <c r="AF921" t="str">
        <f t="shared" si="35"/>
        <v>NO</v>
      </c>
    </row>
    <row r="922" spans="1:32" ht="15" x14ac:dyDescent="0.35">
      <c r="A922" s="5" t="s">
        <v>1535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>LEFT($A922,FIND("_",$A922)-1)</f>
        <v>RSRepair-A</v>
      </c>
      <c r="P922" s="13" t="str">
        <f>IF($O922="ACS", "True Search", IF($O922="Arja", "Evolutionary Search", IF($O922="AVATAR", "True Pattern", IF($O922="CapGen", "Search Like Pattern", IF($O922="Cardumen", "True Semantic", IF($O922="DynaMoth", "True Semantic", IF($O922="FixMiner", "True Pattern", IF($O922="GenProg-A", "Evolutionary Search", IF($O922="Hercules", "Learning Pattern", IF($O922="Jaid", "True Semantic",
IF($O922="Kali-A", "True Search", IF($O922="kPAR", "True Pattern", IF($O922="Nopol", "True Semantic", IF($O922="RSRepair-A", "Evolutionary Search", IF($O922="SequenceR", "Deep Learning", IF($O922="SimFix", "Search Like Pattern", IF($O922="SketchFix", "True Pattern", IF($O922="SOFix", "True Pattern", IF($O922="ssFix", "Search Like Pattern", IF($O922="TBar", "True Pattern", ""))))))))))))))))))))</f>
        <v>Evolutionary Search</v>
      </c>
      <c r="Q922" s="13" t="str">
        <f>IF(NOT(ISERR(SEARCH("*_Buggy",$A922))), "Buggy", IF(NOT(ISERR(SEARCH("*_Fixed",$A922))), "Fixed", IF(NOT(ISERR(SEARCH("*_Repaired",$A922))), "Repaired", "")))</f>
        <v>Fixed</v>
      </c>
      <c r="R922" s="13" t="s">
        <v>1669</v>
      </c>
      <c r="S922" s="25">
        <v>2</v>
      </c>
      <c r="T922" s="25">
        <v>8</v>
      </c>
      <c r="U922" s="25">
        <v>2</v>
      </c>
      <c r="V922" s="13">
        <v>8</v>
      </c>
      <c r="W922" s="13" t="str">
        <f>MID(A922, SEARCH("_", A922) +1, SEARCH("_", A922, SEARCH("_", A922) +1) - SEARCH("_", A922) -1)</f>
        <v>Math-40</v>
      </c>
      <c r="Y922" s="1" t="str">
        <f t="shared" si="30"/>
        <v>NO</v>
      </c>
      <c r="Z922" s="1" t="str">
        <f t="shared" si="31"/>
        <v>YES</v>
      </c>
      <c r="AA922" t="str">
        <f>IF(AND(S922&gt;1,S1447&gt;1,S922=V922,S1447=V1447), "YES", "NO")</f>
        <v>NO</v>
      </c>
      <c r="AB922" t="str">
        <f>IF(AND(S922&gt;1,S1447&gt;1,S922&lt;V922,S1447&lt;V1447), "YES", "NO")</f>
        <v>NO</v>
      </c>
      <c r="AC922" t="str">
        <f t="shared" si="32"/>
        <v>NO</v>
      </c>
      <c r="AD922" t="str">
        <f t="shared" si="33"/>
        <v>NO</v>
      </c>
      <c r="AE922" t="str">
        <f t="shared" si="34"/>
        <v>NO</v>
      </c>
      <c r="AF922" t="str">
        <f t="shared" si="35"/>
        <v>YES</v>
      </c>
    </row>
    <row r="923" spans="1:32" ht="15" x14ac:dyDescent="0.35">
      <c r="A923" s="5" t="s">
        <v>1536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>LEFT($A923,FIND("_",$A923)-1)</f>
        <v>RSRepair-A</v>
      </c>
      <c r="P923" s="13" t="str">
        <f>IF($O923="ACS", "True Search", IF($O923="Arja", "Evolutionary Search", IF($O923="AVATAR", "True Pattern", IF($O923="CapGen", "Search Like Pattern", IF($O923="Cardumen", "True Semantic", IF($O923="DynaMoth", "True Semantic", IF($O923="FixMiner", "True Pattern", IF($O923="GenProg-A", "Evolutionary Search", IF($O923="Hercules", "Learning Pattern", IF($O923="Jaid", "True Semantic",
IF($O923="Kali-A", "True Search", IF($O923="kPAR", "True Pattern", IF($O923="Nopol", "True Semantic", IF($O923="RSRepair-A", "Evolutionary Search", IF($O923="SequenceR", "Deep Learning", IF($O923="SimFix", "Search Like Pattern", IF($O923="SketchFix", "True Pattern", IF($O923="SOFix", "True Pattern", IF($O923="ssFix", "Search Like Pattern", IF($O923="TBar", "True Pattern", ""))))))))))))))))))))</f>
        <v>Evolutionary Search</v>
      </c>
      <c r="Q923" s="13" t="str">
        <f>IF(NOT(ISERR(SEARCH("*_Buggy",$A923))), "Buggy", IF(NOT(ISERR(SEARCH("*_Fixed",$A923))), "Fixed", IF(NOT(ISERR(SEARCH("*_Repaired",$A923))), "Repaired", "")))</f>
        <v>Fixed</v>
      </c>
      <c r="R923" s="13" t="s">
        <v>1668</v>
      </c>
      <c r="S923" s="25">
        <v>1</v>
      </c>
      <c r="T923" s="25">
        <v>1</v>
      </c>
      <c r="U923" s="25">
        <v>1</v>
      </c>
      <c r="V923" s="13">
        <v>1</v>
      </c>
      <c r="W923" s="13" t="str">
        <f>MID(A923, SEARCH("_", A923) +1, SEARCH("_", A923, SEARCH("_", A923) +1) - SEARCH("_", A923) -1)</f>
        <v>Math-5</v>
      </c>
      <c r="Y923" s="1" t="str">
        <f t="shared" si="30"/>
        <v>NO</v>
      </c>
      <c r="Z923" s="1" t="str">
        <f t="shared" si="31"/>
        <v>NO</v>
      </c>
      <c r="AA923" t="str">
        <f>IF(AND(S923&gt;1,S1448&gt;1,S923=V923,S1448=V1448), "YES", "NO")</f>
        <v>NO</v>
      </c>
      <c r="AB923" t="str">
        <f>IF(AND(S923&gt;1,S1448&gt;1,S923&lt;V923,S1448&lt;V1448), "YES", "NO")</f>
        <v>NO</v>
      </c>
      <c r="AC923" t="str">
        <f t="shared" si="32"/>
        <v>YES</v>
      </c>
      <c r="AD923" t="str">
        <f t="shared" si="33"/>
        <v>NO</v>
      </c>
      <c r="AE923" t="str">
        <f t="shared" si="34"/>
        <v>YES</v>
      </c>
      <c r="AF923" t="str">
        <f t="shared" si="35"/>
        <v>NO</v>
      </c>
    </row>
    <row r="924" spans="1:32" ht="15" x14ac:dyDescent="0.35">
      <c r="A924" s="7" t="s">
        <v>1537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>LEFT($A924,FIND("_",$A924)-1)</f>
        <v>RSRepair-A</v>
      </c>
      <c r="P924" s="13" t="str">
        <f>IF($O924="ACS", "True Search", IF($O924="Arja", "Evolutionary Search", IF($O924="AVATAR", "True Pattern", IF($O924="CapGen", "Search Like Pattern", IF($O924="Cardumen", "True Semantic", IF($O924="DynaMoth", "True Semantic", IF($O924="FixMiner", "True Pattern", IF($O924="GenProg-A", "Evolutionary Search", IF($O924="Hercules", "Learning Pattern", IF($O924="Jaid", "True Semantic",
IF($O924="Kali-A", "True Search", IF($O924="kPAR", "True Pattern", IF($O924="Nopol", "True Semantic", IF($O924="RSRepair-A", "Evolutionary Search", IF($O924="SequenceR", "Deep Learning", IF($O924="SimFix", "Search Like Pattern", IF($O924="SketchFix", "True Pattern", IF($O924="SOFix", "True Pattern", IF($O924="ssFix", "Search Like Pattern", IF($O924="TBar", "True Pattern", ""))))))))))))))))))))</f>
        <v>Evolutionary Search</v>
      </c>
      <c r="Q924" s="13" t="str">
        <f>IF(NOT(ISERR(SEARCH("*_Buggy",$A924))), "Buggy", IF(NOT(ISERR(SEARCH("*_Fixed",$A924))), "Fixed", IF(NOT(ISERR(SEARCH("*_Repaired",$A924))), "Repaired", "")))</f>
        <v>Fixed</v>
      </c>
      <c r="R924" s="13" t="s">
        <v>1668</v>
      </c>
      <c r="S924" s="25">
        <v>1</v>
      </c>
      <c r="T924" s="25">
        <v>0</v>
      </c>
      <c r="U924" s="13">
        <v>4</v>
      </c>
      <c r="V924" s="13">
        <v>4</v>
      </c>
      <c r="W924" s="13" t="str">
        <f>MID(A924, SEARCH("_", A924) +1, SEARCH("_", A924, SEARCH("_", A924) +1) - SEARCH("_", A924) -1)</f>
        <v>Math-50</v>
      </c>
      <c r="Y924" s="1" t="str">
        <f t="shared" si="30"/>
        <v>NO</v>
      </c>
      <c r="Z924" s="1" t="str">
        <f t="shared" si="31"/>
        <v>NO</v>
      </c>
      <c r="AA924" t="str">
        <f>IF(AND(S924&gt;1,S1449&gt;1,S924=V924,S1449=V1449), "YES", "NO")</f>
        <v>NO</v>
      </c>
      <c r="AB924" t="str">
        <f>IF(AND(S924&gt;1,S1449&gt;1,S924&lt;V924,S1449&lt;V1449), "YES", "NO")</f>
        <v>NO</v>
      </c>
      <c r="AC924" t="str">
        <f t="shared" si="32"/>
        <v>NO</v>
      </c>
      <c r="AD924" t="str">
        <f t="shared" si="33"/>
        <v>YES</v>
      </c>
      <c r="AE924" t="str">
        <f t="shared" si="34"/>
        <v>NO</v>
      </c>
      <c r="AF924" t="str">
        <f t="shared" si="35"/>
        <v>YES</v>
      </c>
    </row>
    <row r="925" spans="1:32" ht="15" x14ac:dyDescent="0.35">
      <c r="A925" s="5" t="s">
        <v>1538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>LEFT($A925,FIND("_",$A925)-1)</f>
        <v>RSRepair-A</v>
      </c>
      <c r="P925" s="13" t="str">
        <f>IF($O925="ACS", "True Search", IF($O925="Arja", "Evolutionary Search", IF($O925="AVATAR", "True Pattern", IF($O925="CapGen", "Search Like Pattern", IF($O925="Cardumen", "True Semantic", IF($O925="DynaMoth", "True Semantic", IF($O925="FixMiner", "True Pattern", IF($O925="GenProg-A", "Evolutionary Search", IF($O925="Hercules", "Learning Pattern", IF($O925="Jaid", "True Semantic",
IF($O925="Kali-A", "True Search", IF($O925="kPAR", "True Pattern", IF($O925="Nopol", "True Semantic", IF($O925="RSRepair-A", "Evolutionary Search", IF($O925="SequenceR", "Deep Learning", IF($O925="SimFix", "Search Like Pattern", IF($O925="SketchFix", "True Pattern", IF($O925="SOFix", "True Pattern", IF($O925="ssFix", "Search Like Pattern", IF($O925="TBar", "True Pattern", ""))))))))))))))))))))</f>
        <v>Evolutionary Search</v>
      </c>
      <c r="Q925" s="13" t="str">
        <f>IF(NOT(ISERR(SEARCH("*_Buggy",$A925))), "Buggy", IF(NOT(ISERR(SEARCH("*_Fixed",$A925))), "Fixed", IF(NOT(ISERR(SEARCH("*_Repaired",$A925))), "Repaired", "")))</f>
        <v>Fixed</v>
      </c>
      <c r="R925" s="13" t="s">
        <v>1669</v>
      </c>
      <c r="S925" s="25">
        <v>1</v>
      </c>
      <c r="T925" s="13">
        <v>3</v>
      </c>
      <c r="U925" s="25">
        <v>0</v>
      </c>
      <c r="V925" s="13">
        <v>3</v>
      </c>
      <c r="W925" s="13" t="str">
        <f>MID(A925, SEARCH("_", A925) +1, SEARCH("_", A925, SEARCH("_", A925) +1) - SEARCH("_", A925) -1)</f>
        <v>Math-53</v>
      </c>
      <c r="Y925" s="1" t="str">
        <f t="shared" si="30"/>
        <v>NO</v>
      </c>
      <c r="Z925" s="1" t="str">
        <f t="shared" si="31"/>
        <v>NO</v>
      </c>
      <c r="AA925" t="str">
        <f>IF(AND(S925&gt;1,S1450&gt;1,S925=V925,S1450=V1450), "YES", "NO")</f>
        <v>NO</v>
      </c>
      <c r="AB925" t="str">
        <f>IF(AND(S925&gt;1,S1450&gt;1,S925&lt;V925,S1450&lt;V1450), "YES", "NO")</f>
        <v>NO</v>
      </c>
      <c r="AC925" t="str">
        <f t="shared" si="32"/>
        <v>NO</v>
      </c>
      <c r="AD925" t="str">
        <f t="shared" si="33"/>
        <v>YES</v>
      </c>
      <c r="AE925" t="str">
        <f t="shared" si="34"/>
        <v>NO</v>
      </c>
      <c r="AF925" t="str">
        <f t="shared" si="35"/>
        <v>YES</v>
      </c>
    </row>
    <row r="926" spans="1:32" ht="15" x14ac:dyDescent="0.35">
      <c r="A926" s="5" t="s">
        <v>1539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>LEFT($A926,FIND("_",$A926)-1)</f>
        <v>RSRepair-A</v>
      </c>
      <c r="P926" s="13" t="str">
        <f>IF($O926="ACS", "True Search", IF($O926="Arja", "Evolutionary Search", IF($O926="AVATAR", "True Pattern", IF($O926="CapGen", "Search Like Pattern", IF($O926="Cardumen", "True Semantic", IF($O926="DynaMoth", "True Semantic", IF($O926="FixMiner", "True Pattern", IF($O926="GenProg-A", "Evolutionary Search", IF($O926="Hercules", "Learning Pattern", IF($O926="Jaid", "True Semantic",
IF($O926="Kali-A", "True Search", IF($O926="kPAR", "True Pattern", IF($O926="Nopol", "True Semantic", IF($O926="RSRepair-A", "Evolutionary Search", IF($O926="SequenceR", "Deep Learning", IF($O926="SimFix", "Search Like Pattern", IF($O926="SketchFix", "True Pattern", IF($O926="SOFix", "True Pattern", IF($O926="ssFix", "Search Like Pattern", IF($O926="TBar", "True Pattern", ""))))))))))))))))))))</f>
        <v>Evolutionary Search</v>
      </c>
      <c r="Q926" s="13" t="str">
        <f>IF(NOT(ISERR(SEARCH("*_Buggy",$A926))), "Buggy", IF(NOT(ISERR(SEARCH("*_Fixed",$A926))), "Fixed", IF(NOT(ISERR(SEARCH("*_Repaired",$A926))), "Repaired", "")))</f>
        <v>Fixed</v>
      </c>
      <c r="R926" s="13" t="s">
        <v>1668</v>
      </c>
      <c r="S926" s="25">
        <v>1</v>
      </c>
      <c r="T926" s="25">
        <v>1</v>
      </c>
      <c r="U926" s="25">
        <v>1</v>
      </c>
      <c r="V926" s="13">
        <v>1</v>
      </c>
      <c r="W926" s="13" t="str">
        <f>MID(A926, SEARCH("_", A926) +1, SEARCH("_", A926, SEARCH("_", A926) +1) - SEARCH("_", A926) -1)</f>
        <v>Math-58</v>
      </c>
      <c r="Y926" s="1" t="str">
        <f t="shared" si="30"/>
        <v>NO</v>
      </c>
      <c r="Z926" s="1" t="str">
        <f t="shared" si="31"/>
        <v>NO</v>
      </c>
      <c r="AA926" t="str">
        <f>IF(AND(S926&gt;1,S1451&gt;1,S926=V926,S1451=V1451), "YES", "NO")</f>
        <v>NO</v>
      </c>
      <c r="AB926" t="str">
        <f>IF(AND(S926&gt;1,S1451&gt;1,S926&lt;V926,S1451&lt;V1451), "YES", "NO")</f>
        <v>NO</v>
      </c>
      <c r="AC926" t="str">
        <f t="shared" si="32"/>
        <v>YES</v>
      </c>
      <c r="AD926" t="str">
        <f t="shared" si="33"/>
        <v>NO</v>
      </c>
      <c r="AE926" t="str">
        <f t="shared" si="34"/>
        <v>YES</v>
      </c>
      <c r="AF926" t="str">
        <f t="shared" si="35"/>
        <v>NO</v>
      </c>
    </row>
    <row r="927" spans="1:32" ht="15" x14ac:dyDescent="0.35">
      <c r="A927" s="5" t="s">
        <v>1540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>LEFT($A927,FIND("_",$A927)-1)</f>
        <v>RSRepair-A</v>
      </c>
      <c r="P927" s="13" t="str">
        <f>IF($O927="ACS", "True Search", IF($O927="Arja", "Evolutionary Search", IF($O927="AVATAR", "True Pattern", IF($O927="CapGen", "Search Like Pattern", IF($O927="Cardumen", "True Semantic", IF($O927="DynaMoth", "True Semantic", IF($O927="FixMiner", "True Pattern", IF($O927="GenProg-A", "Evolutionary Search", IF($O927="Hercules", "Learning Pattern", IF($O927="Jaid", "True Semantic",
IF($O927="Kali-A", "True Search", IF($O927="kPAR", "True Pattern", IF($O927="Nopol", "True Semantic", IF($O927="RSRepair-A", "Evolutionary Search", IF($O927="SequenceR", "Deep Learning", IF($O927="SimFix", "Search Like Pattern", IF($O927="SketchFix", "True Pattern", IF($O927="SOFix", "True Pattern", IF($O927="ssFix", "Search Like Pattern", IF($O927="TBar", "True Pattern", ""))))))))))))))))))))</f>
        <v>Evolutionary Search</v>
      </c>
      <c r="Q927" s="13" t="str">
        <f>IF(NOT(ISERR(SEARCH("*_Buggy",$A927))), "Buggy", IF(NOT(ISERR(SEARCH("*_Fixed",$A927))), "Fixed", IF(NOT(ISERR(SEARCH("*_Repaired",$A927))), "Repaired", "")))</f>
        <v>Fixed</v>
      </c>
      <c r="R927" s="13" t="s">
        <v>1668</v>
      </c>
      <c r="S927" s="25">
        <v>1</v>
      </c>
      <c r="T927" s="25">
        <v>1</v>
      </c>
      <c r="U927" s="25">
        <v>1</v>
      </c>
      <c r="V927" s="13">
        <v>1</v>
      </c>
      <c r="W927" s="13" t="str">
        <f>MID(A927, SEARCH("_", A927) +1, SEARCH("_", A927, SEARCH("_", A927) +1) - SEARCH("_", A927) -1)</f>
        <v>Math-70</v>
      </c>
      <c r="Y927" s="1" t="str">
        <f t="shared" si="30"/>
        <v>NO</v>
      </c>
      <c r="Z927" s="1" t="str">
        <f t="shared" si="31"/>
        <v>NO</v>
      </c>
      <c r="AA927" t="str">
        <f>IF(AND(S927&gt;1,S1452&gt;1,S927=V927,S1452=V1452), "YES", "NO")</f>
        <v>NO</v>
      </c>
      <c r="AB927" t="str">
        <f>IF(AND(S927&gt;1,S1452&gt;1,S927&lt;V927,S1452&lt;V1452), "YES", "NO")</f>
        <v>NO</v>
      </c>
      <c r="AC927" t="str">
        <f t="shared" si="32"/>
        <v>YES</v>
      </c>
      <c r="AD927" t="str">
        <f t="shared" si="33"/>
        <v>NO</v>
      </c>
      <c r="AE927" t="str">
        <f t="shared" si="34"/>
        <v>YES</v>
      </c>
      <c r="AF927" t="str">
        <f t="shared" si="35"/>
        <v>NO</v>
      </c>
    </row>
    <row r="928" spans="1:32" ht="15" x14ac:dyDescent="0.35">
      <c r="A928" s="7" t="s">
        <v>1541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>LEFT($A928,FIND("_",$A928)-1)</f>
        <v>RSRepair-A</v>
      </c>
      <c r="P928" s="13" t="str">
        <f>IF($O928="ACS", "True Search", IF($O928="Arja", "Evolutionary Search", IF($O928="AVATAR", "True Pattern", IF($O928="CapGen", "Search Like Pattern", IF($O928="Cardumen", "True Semantic", IF($O928="DynaMoth", "True Semantic", IF($O928="FixMiner", "True Pattern", IF($O928="GenProg-A", "Evolutionary Search", IF($O928="Hercules", "Learning Pattern", IF($O928="Jaid", "True Semantic",
IF($O928="Kali-A", "True Search", IF($O928="kPAR", "True Pattern", IF($O928="Nopol", "True Semantic", IF($O928="RSRepair-A", "Evolutionary Search", IF($O928="SequenceR", "Deep Learning", IF($O928="SimFix", "Search Like Pattern", IF($O928="SketchFix", "True Pattern", IF($O928="SOFix", "True Pattern", IF($O928="ssFix", "Search Like Pattern", IF($O928="TBar", "True Pattern", ""))))))))))))))))))))</f>
        <v>Evolutionary Search</v>
      </c>
      <c r="Q928" s="13" t="str">
        <f>IF(NOT(ISERR(SEARCH("*_Buggy",$A928))), "Buggy", IF(NOT(ISERR(SEARCH("*_Fixed",$A928))), "Fixed", IF(NOT(ISERR(SEARCH("*_Repaired",$A928))), "Repaired", "")))</f>
        <v>Fixed</v>
      </c>
      <c r="R928" s="13" t="s">
        <v>1669</v>
      </c>
      <c r="S928" s="25">
        <v>1</v>
      </c>
      <c r="T928" s="25">
        <v>1</v>
      </c>
      <c r="U928" s="25">
        <v>1</v>
      </c>
      <c r="V928" s="13">
        <v>1</v>
      </c>
      <c r="W928" s="13" t="str">
        <f>MID(A928, SEARCH("_", A928) +1, SEARCH("_", A928, SEARCH("_", A928) +1) - SEARCH("_", A928) -1)</f>
        <v>Math-80</v>
      </c>
      <c r="Y928" s="1" t="str">
        <f t="shared" si="30"/>
        <v>NO</v>
      </c>
      <c r="Z928" s="1" t="str">
        <f t="shared" si="31"/>
        <v>NO</v>
      </c>
      <c r="AA928" t="str">
        <f>IF(AND(S928&gt;1,S1453&gt;1,S928=V928,S1453=V1453), "YES", "NO")</f>
        <v>NO</v>
      </c>
      <c r="AB928" t="str">
        <f>IF(AND(S928&gt;1,S1453&gt;1,S928&lt;V928,S1453&lt;V1453), "YES", "NO")</f>
        <v>NO</v>
      </c>
      <c r="AC928" t="str">
        <f t="shared" si="32"/>
        <v>NO</v>
      </c>
      <c r="AD928" t="str">
        <f t="shared" si="33"/>
        <v>NO</v>
      </c>
      <c r="AE928" t="str">
        <f t="shared" si="34"/>
        <v>NO</v>
      </c>
      <c r="AF928" t="str">
        <f t="shared" si="35"/>
        <v>NO</v>
      </c>
    </row>
    <row r="929" spans="1:32" ht="15" x14ac:dyDescent="0.35">
      <c r="A929" s="7" t="s">
        <v>1542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>LEFT($A929,FIND("_",$A929)-1)</f>
        <v>RSRepair-A</v>
      </c>
      <c r="P929" s="13" t="str">
        <f>IF($O929="ACS", "True Search", IF($O929="Arja", "Evolutionary Search", IF($O929="AVATAR", "True Pattern", IF($O929="CapGen", "Search Like Pattern", IF($O929="Cardumen", "True Semantic", IF($O929="DynaMoth", "True Semantic", IF($O929="FixMiner", "True Pattern", IF($O929="GenProg-A", "Evolutionary Search", IF($O929="Hercules", "Learning Pattern", IF($O929="Jaid", "True Semantic",
IF($O929="Kali-A", "True Search", IF($O929="kPAR", "True Pattern", IF($O929="Nopol", "True Semantic", IF($O929="RSRepair-A", "Evolutionary Search", IF($O929="SequenceR", "Deep Learning", IF($O929="SimFix", "Search Like Pattern", IF($O929="SketchFix", "True Pattern", IF($O929="SOFix", "True Pattern", IF($O929="ssFix", "Search Like Pattern", IF($O929="TBar", "True Pattern", ""))))))))))))))))))))</f>
        <v>Evolutionary Search</v>
      </c>
      <c r="Q929" s="13" t="str">
        <f>IF(NOT(ISERR(SEARCH("*_Buggy",$A929))), "Buggy", IF(NOT(ISERR(SEARCH("*_Fixed",$A929))), "Fixed", IF(NOT(ISERR(SEARCH("*_Repaired",$A929))), "Repaired", "")))</f>
        <v>Fixed</v>
      </c>
      <c r="R929" s="13" t="s">
        <v>1669</v>
      </c>
      <c r="S929" s="25">
        <v>3</v>
      </c>
      <c r="T929" s="25">
        <v>4</v>
      </c>
      <c r="U929" s="25">
        <v>3</v>
      </c>
      <c r="V929" s="13">
        <v>4</v>
      </c>
      <c r="W929" s="13" t="str">
        <f>MID(A929, SEARCH("_", A929) +1, SEARCH("_", A929, SEARCH("_", A929) +1) - SEARCH("_", A929) -1)</f>
        <v>Math-81</v>
      </c>
      <c r="Y929" s="1" t="str">
        <f t="shared" si="30"/>
        <v>NO</v>
      </c>
      <c r="Z929" s="1" t="str">
        <f t="shared" si="31"/>
        <v>YES</v>
      </c>
      <c r="AA929" t="str">
        <f>IF(AND(S929&gt;1,S1454&gt;1,S929=V929,S1454=V1454), "YES", "NO")</f>
        <v>NO</v>
      </c>
      <c r="AB929" t="str">
        <f>IF(AND(S929&gt;1,S1454&gt;1,S929&lt;V929,S1454&lt;V1454), "YES", "NO")</f>
        <v>NO</v>
      </c>
      <c r="AC929" t="str">
        <f t="shared" si="32"/>
        <v>NO</v>
      </c>
      <c r="AD929" t="str">
        <f t="shared" si="33"/>
        <v>NO</v>
      </c>
      <c r="AE929" t="str">
        <f t="shared" si="34"/>
        <v>NO</v>
      </c>
      <c r="AF929" t="str">
        <f t="shared" si="35"/>
        <v>YES</v>
      </c>
    </row>
    <row r="930" spans="1:32" ht="15" x14ac:dyDescent="0.35">
      <c r="A930" s="5" t="s">
        <v>1543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>LEFT($A930,FIND("_",$A930)-1)</f>
        <v>RSRepair-A</v>
      </c>
      <c r="P930" s="13" t="str">
        <f>IF($O930="ACS", "True Search", IF($O930="Arja", "Evolutionary Search", IF($O930="AVATAR", "True Pattern", IF($O930="CapGen", "Search Like Pattern", IF($O930="Cardumen", "True Semantic", IF($O930="DynaMoth", "True Semantic", IF($O930="FixMiner", "True Pattern", IF($O930="GenProg-A", "Evolutionary Search", IF($O930="Hercules", "Learning Pattern", IF($O930="Jaid", "True Semantic",
IF($O930="Kali-A", "True Search", IF($O930="kPAR", "True Pattern", IF($O930="Nopol", "True Semantic", IF($O930="RSRepair-A", "Evolutionary Search", IF($O930="SequenceR", "Deep Learning", IF($O930="SimFix", "Search Like Pattern", IF($O930="SketchFix", "True Pattern", IF($O930="SOFix", "True Pattern", IF($O930="ssFix", "Search Like Pattern", IF($O930="TBar", "True Pattern", ""))))))))))))))))))))</f>
        <v>Evolutionary Search</v>
      </c>
      <c r="Q930" s="13" t="str">
        <f>IF(NOT(ISERR(SEARCH("*_Buggy",$A930))), "Buggy", IF(NOT(ISERR(SEARCH("*_Fixed",$A930))), "Fixed", IF(NOT(ISERR(SEARCH("*_Repaired",$A930))), "Repaired", "")))</f>
        <v>Fixed</v>
      </c>
      <c r="R930" s="13" t="s">
        <v>1669</v>
      </c>
      <c r="S930" s="25">
        <v>1</v>
      </c>
      <c r="T930" s="25">
        <v>1</v>
      </c>
      <c r="U930" s="25">
        <v>1</v>
      </c>
      <c r="V930" s="13">
        <v>1</v>
      </c>
      <c r="W930" s="13" t="str">
        <f>MID(A930, SEARCH("_", A930) +1, SEARCH("_", A930, SEARCH("_", A930) +1) - SEARCH("_", A930) -1)</f>
        <v>Math-82</v>
      </c>
      <c r="Y930" s="1" t="str">
        <f t="shared" si="30"/>
        <v>NO</v>
      </c>
      <c r="Z930" s="1" t="str">
        <f t="shared" si="31"/>
        <v>NO</v>
      </c>
      <c r="AA930" t="str">
        <f>IF(AND(S930&gt;1,S1455&gt;1,S930=V930,S1455=V1455), "YES", "NO")</f>
        <v>NO</v>
      </c>
      <c r="AB930" t="str">
        <f>IF(AND(S930&gt;1,S1455&gt;1,S930&lt;V930,S1455&lt;V1455), "YES", "NO")</f>
        <v>NO</v>
      </c>
      <c r="AC930" t="str">
        <f t="shared" si="32"/>
        <v>YES</v>
      </c>
      <c r="AD930" t="str">
        <f t="shared" si="33"/>
        <v>NO</v>
      </c>
      <c r="AE930" t="str">
        <f t="shared" si="34"/>
        <v>YES</v>
      </c>
      <c r="AF930" t="str">
        <f t="shared" si="35"/>
        <v>NO</v>
      </c>
    </row>
    <row r="931" spans="1:32" ht="15" x14ac:dyDescent="0.35">
      <c r="A931" s="5" t="s">
        <v>1544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>LEFT($A931,FIND("_",$A931)-1)</f>
        <v>RSRepair-A</v>
      </c>
      <c r="P931" s="13" t="str">
        <f>IF($O931="ACS", "True Search", IF($O931="Arja", "Evolutionary Search", IF($O931="AVATAR", "True Pattern", IF($O931="CapGen", "Search Like Pattern", IF($O931="Cardumen", "True Semantic", IF($O931="DynaMoth", "True Semantic", IF($O931="FixMiner", "True Pattern", IF($O931="GenProg-A", "Evolutionary Search", IF($O931="Hercules", "Learning Pattern", IF($O931="Jaid", "True Semantic",
IF($O931="Kali-A", "True Search", IF($O931="kPAR", "True Pattern", IF($O931="Nopol", "True Semantic", IF($O931="RSRepair-A", "Evolutionary Search", IF($O931="SequenceR", "Deep Learning", IF($O931="SimFix", "Search Like Pattern", IF($O931="SketchFix", "True Pattern", IF($O931="SOFix", "True Pattern", IF($O931="ssFix", "Search Like Pattern", IF($O931="TBar", "True Pattern", ""))))))))))))))))))))</f>
        <v>Evolutionary Search</v>
      </c>
      <c r="Q931" s="13" t="str">
        <f>IF(NOT(ISERR(SEARCH("*_Buggy",$A931))), "Buggy", IF(NOT(ISERR(SEARCH("*_Fixed",$A931))), "Fixed", IF(NOT(ISERR(SEARCH("*_Repaired",$A931))), "Repaired", "")))</f>
        <v>Fixed</v>
      </c>
      <c r="R931" s="13" t="s">
        <v>1669</v>
      </c>
      <c r="S931" s="25">
        <v>3</v>
      </c>
      <c r="T931" s="13">
        <v>9</v>
      </c>
      <c r="U931" s="25">
        <v>0</v>
      </c>
      <c r="V931" s="13">
        <v>9</v>
      </c>
      <c r="W931" s="13" t="str">
        <f>MID(A931, SEARCH("_", A931) +1, SEARCH("_", A931, SEARCH("_", A931) +1) - SEARCH("_", A931) -1)</f>
        <v>Math-84</v>
      </c>
      <c r="Y931" s="1" t="str">
        <f t="shared" si="30"/>
        <v>NO</v>
      </c>
      <c r="Z931" s="1" t="str">
        <f t="shared" si="31"/>
        <v>YES</v>
      </c>
      <c r="AA931" t="str">
        <f>IF(AND(S931&gt;1,S1456&gt;1,S931=V931,S1456=V1456), "YES", "NO")</f>
        <v>NO</v>
      </c>
      <c r="AB931" t="str">
        <f>IF(AND(S931&gt;1,S1456&gt;1,S931&lt;V931,S1456&lt;V1456), "YES", "NO")</f>
        <v>NO</v>
      </c>
      <c r="AC931" t="str">
        <f t="shared" si="32"/>
        <v>NO</v>
      </c>
      <c r="AD931" t="str">
        <f t="shared" si="33"/>
        <v>NO</v>
      </c>
      <c r="AE931" t="str">
        <f t="shared" si="34"/>
        <v>NO</v>
      </c>
      <c r="AF931" t="str">
        <f t="shared" si="35"/>
        <v>YES</v>
      </c>
    </row>
    <row r="932" spans="1:32" ht="15" x14ac:dyDescent="0.35">
      <c r="A932" s="5" t="s">
        <v>1545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>LEFT($A932,FIND("_",$A932)-1)</f>
        <v>RSRepair-A</v>
      </c>
      <c r="P932" s="13" t="str">
        <f>IF($O932="ACS", "True Search", IF($O932="Arja", "Evolutionary Search", IF($O932="AVATAR", "True Pattern", IF($O932="CapGen", "Search Like Pattern", IF($O932="Cardumen", "True Semantic", IF($O932="DynaMoth", "True Semantic", IF($O932="FixMiner", "True Pattern", IF($O932="GenProg-A", "Evolutionary Search", IF($O932="Hercules", "Learning Pattern", IF($O932="Jaid", "True Semantic",
IF($O932="Kali-A", "True Search", IF($O932="kPAR", "True Pattern", IF($O932="Nopol", "True Semantic", IF($O932="RSRepair-A", "Evolutionary Search", IF($O932="SequenceR", "Deep Learning", IF($O932="SimFix", "Search Like Pattern", IF($O932="SketchFix", "True Pattern", IF($O932="SOFix", "True Pattern", IF($O932="ssFix", "Search Like Pattern", IF($O932="TBar", "True Pattern", ""))))))))))))))))))))</f>
        <v>Evolutionary Search</v>
      </c>
      <c r="Q932" s="13" t="str">
        <f>IF(NOT(ISERR(SEARCH("*_Buggy",$A932))), "Buggy", IF(NOT(ISERR(SEARCH("*_Fixed",$A932))), "Fixed", IF(NOT(ISERR(SEARCH("*_Repaired",$A932))), "Repaired", "")))</f>
        <v>Fixed</v>
      </c>
      <c r="R932" s="13" t="s">
        <v>1669</v>
      </c>
      <c r="S932" s="25">
        <v>1</v>
      </c>
      <c r="T932" s="25">
        <v>1</v>
      </c>
      <c r="U932" s="25">
        <v>1</v>
      </c>
      <c r="V932" s="13">
        <v>1</v>
      </c>
      <c r="W932" s="13" t="str">
        <f>MID(A932, SEARCH("_", A932) +1, SEARCH("_", A932, SEARCH("_", A932) +1) - SEARCH("_", A932) -1)</f>
        <v>Math-85</v>
      </c>
      <c r="Y932" s="1" t="str">
        <f t="shared" si="30"/>
        <v>NO</v>
      </c>
      <c r="Z932" s="1" t="str">
        <f t="shared" si="31"/>
        <v>NO</v>
      </c>
      <c r="AA932" t="str">
        <f>IF(AND(S932&gt;1,S1457&gt;1,S932=V932,S1457=V1457), "YES", "NO")</f>
        <v>NO</v>
      </c>
      <c r="AB932" t="str">
        <f>IF(AND(S932&gt;1,S1457&gt;1,S932&lt;V932,S1457&lt;V1457), "YES", "NO")</f>
        <v>NO</v>
      </c>
      <c r="AC932" t="str">
        <f t="shared" si="32"/>
        <v>NO</v>
      </c>
      <c r="AD932" t="str">
        <f t="shared" si="33"/>
        <v>NO</v>
      </c>
      <c r="AE932" t="str">
        <f t="shared" si="34"/>
        <v>NO</v>
      </c>
      <c r="AF932" t="str">
        <f t="shared" si="35"/>
        <v>NO</v>
      </c>
    </row>
    <row r="933" spans="1:32" ht="15" x14ac:dyDescent="0.35">
      <c r="A933" s="7" t="s">
        <v>1546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>LEFT($A933,FIND("_",$A933)-1)</f>
        <v>RSRepair-A</v>
      </c>
      <c r="P933" s="13" t="str">
        <f>IF($O933="ACS", "True Search", IF($O933="Arja", "Evolutionary Search", IF($O933="AVATAR", "True Pattern", IF($O933="CapGen", "Search Like Pattern", IF($O933="Cardumen", "True Semantic", IF($O933="DynaMoth", "True Semantic", IF($O933="FixMiner", "True Pattern", IF($O933="GenProg-A", "Evolutionary Search", IF($O933="Hercules", "Learning Pattern", IF($O933="Jaid", "True Semantic",
IF($O933="Kali-A", "True Search", IF($O933="kPAR", "True Pattern", IF($O933="Nopol", "True Semantic", IF($O933="RSRepair-A", "Evolutionary Search", IF($O933="SequenceR", "Deep Learning", IF($O933="SimFix", "Search Like Pattern", IF($O933="SketchFix", "True Pattern", IF($O933="SOFix", "True Pattern", IF($O933="ssFix", "Search Like Pattern", IF($O933="TBar", "True Pattern", ""))))))))))))))))))))</f>
        <v>Evolutionary Search</v>
      </c>
      <c r="Q933" s="13" t="str">
        <f>IF(NOT(ISERR(SEARCH("*_Buggy",$A933))), "Buggy", IF(NOT(ISERR(SEARCH("*_Fixed",$A933))), "Fixed", IF(NOT(ISERR(SEARCH("*_Repaired",$A933))), "Repaired", "")))</f>
        <v>Fixed</v>
      </c>
      <c r="R933" s="13" t="s">
        <v>1669</v>
      </c>
      <c r="S933" s="25">
        <v>4</v>
      </c>
      <c r="T933" s="25">
        <v>5</v>
      </c>
      <c r="U933" s="25">
        <v>6</v>
      </c>
      <c r="V933" s="13">
        <v>11</v>
      </c>
      <c r="W933" s="13" t="str">
        <f>MID(A933, SEARCH("_", A933) +1, SEARCH("_", A933, SEARCH("_", A933) +1) - SEARCH("_", A933) -1)</f>
        <v>Math-88</v>
      </c>
      <c r="Y933" s="1" t="str">
        <f t="shared" si="30"/>
        <v>NO</v>
      </c>
      <c r="Z933" s="1" t="str">
        <f t="shared" si="31"/>
        <v>YES</v>
      </c>
      <c r="AA933" t="str">
        <f>IF(AND(S933&gt;1,S1458&gt;1,S933=V933,S1458=V1458), "YES", "NO")</f>
        <v>NO</v>
      </c>
      <c r="AB933" t="str">
        <f>IF(AND(S933&gt;1,S1458&gt;1,S933&lt;V933,S1458&lt;V1458), "YES", "NO")</f>
        <v>NO</v>
      </c>
      <c r="AC933" t="str">
        <f t="shared" si="32"/>
        <v>NO</v>
      </c>
      <c r="AD933" t="str">
        <f t="shared" si="33"/>
        <v>NO</v>
      </c>
      <c r="AE933" t="str">
        <f t="shared" si="34"/>
        <v>NO</v>
      </c>
      <c r="AF933" t="str">
        <f t="shared" si="35"/>
        <v>YES</v>
      </c>
    </row>
    <row r="934" spans="1:32" ht="15" x14ac:dyDescent="0.35">
      <c r="A934" s="7" t="s">
        <v>1547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>LEFT($A934,FIND("_",$A934)-1)</f>
        <v>RSRepair-A</v>
      </c>
      <c r="P934" s="13" t="str">
        <f>IF($O934="ACS", "True Search", IF($O934="Arja", "Evolutionary Search", IF($O934="AVATAR", "True Pattern", IF($O934="CapGen", "Search Like Pattern", IF($O934="Cardumen", "True Semantic", IF($O934="DynaMoth", "True Semantic", IF($O934="FixMiner", "True Pattern", IF($O934="GenProg-A", "Evolutionary Search", IF($O934="Hercules", "Learning Pattern", IF($O934="Jaid", "True Semantic",
IF($O934="Kali-A", "True Search", IF($O934="kPAR", "True Pattern", IF($O934="Nopol", "True Semantic", IF($O934="RSRepair-A", "Evolutionary Search", IF($O934="SequenceR", "Deep Learning", IF($O934="SimFix", "Search Like Pattern", IF($O934="SketchFix", "True Pattern", IF($O934="SOFix", "True Pattern", IF($O934="ssFix", "Search Like Pattern", IF($O934="TBar", "True Pattern", ""))))))))))))))))))))</f>
        <v>Evolutionary Search</v>
      </c>
      <c r="Q934" s="13" t="str">
        <f>IF(NOT(ISERR(SEARCH("*_Buggy",$A934))), "Buggy", IF(NOT(ISERR(SEARCH("*_Fixed",$A934))), "Fixed", IF(NOT(ISERR(SEARCH("*_Repaired",$A934))), "Repaired", "")))</f>
        <v>Fixed</v>
      </c>
      <c r="R934" s="13" t="s">
        <v>1669</v>
      </c>
      <c r="S934" s="25">
        <v>3</v>
      </c>
      <c r="T934" s="25">
        <v>3</v>
      </c>
      <c r="U934" s="25">
        <v>1</v>
      </c>
      <c r="V934" s="13">
        <v>3</v>
      </c>
      <c r="W934" s="13" t="str">
        <f>MID(A934, SEARCH("_", A934) +1, SEARCH("_", A934, SEARCH("_", A934) +1) - SEARCH("_", A934) -1)</f>
        <v>Math-95</v>
      </c>
      <c r="Y934" s="1" t="str">
        <f t="shared" ref="Y934:Y997" si="36">IF(AND(S934&gt;1,S934=V934), "YES", "NO")</f>
        <v>YES</v>
      </c>
      <c r="Z934" s="1" t="str">
        <f t="shared" ref="Z934:Z997" si="37">IF(AND(S934&gt;1,S934&lt;V934), "YES", "NO")</f>
        <v>NO</v>
      </c>
      <c r="AA934" t="str">
        <f>IF(AND(S934&gt;1,S1459&gt;1,S934=V934,S1459=V1459), "YES", "NO")</f>
        <v>NO</v>
      </c>
      <c r="AB934" t="str">
        <f>IF(AND(S934&gt;1,S1459&gt;1,S934&lt;V934,S1459&lt;V1459), "YES", "NO")</f>
        <v>NO</v>
      </c>
      <c r="AC934" t="str">
        <f t="shared" ref="AC934:AC997" si="38">IF(AND($S934=1,$S1459=1,$S934=$V934,$S1459=$V1459), "YES", "NO")</f>
        <v>NO</v>
      </c>
      <c r="AD934" t="str">
        <f t="shared" ref="AD934:AD997" si="39">IF(AND($S934=1,$S1459=1,$S934&lt;$V934,$S1459&lt;$V1459), "YES", "NO")</f>
        <v>NO</v>
      </c>
      <c r="AE934" t="str">
        <f t="shared" ref="AE934:AE997" si="40">IF(AND($V934=1,$V1459=1), "YES", "NO")</f>
        <v>NO</v>
      </c>
      <c r="AF934" t="str">
        <f t="shared" ref="AF934:AF997" si="41">IF(AND($V934&gt;1,$V1459&gt;1), "YES", "NO")</f>
        <v>YES</v>
      </c>
    </row>
    <row r="935" spans="1:32" ht="15" x14ac:dyDescent="0.35">
      <c r="A935" s="5" t="s">
        <v>1193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>LEFT($A935,FIND("_",$A935)-1)</f>
        <v>SimFix</v>
      </c>
      <c r="P935" s="13" t="str">
        <f>IF($O935="ACS", "True Search", IF($O935="Arja", "Evolutionary Search", IF($O935="AVATAR", "True Pattern", IF($O935="CapGen", "Search Like Pattern", IF($O935="Cardumen", "True Semantic", IF($O935="DynaMoth", "True Semantic", IF($O935="FixMiner", "True Pattern", IF($O935="GenProg-A", "Evolutionary Search", IF($O935="Hercules", "Learning Pattern", IF($O935="Jaid", "True Semantic",
IF($O935="Kali-A", "True Search", IF($O935="kPAR", "True Pattern", IF($O935="Nopol", "True Semantic", IF($O935="RSRepair-A", "Evolutionary Search", IF($O935="SequenceR", "Deep Learning", IF($O935="SimFix", "Search Like Pattern", IF($O935="SketchFix", "True Pattern", IF($O935="SOFix", "True Pattern", IF($O935="ssFix", "Search Like Pattern", IF($O935="TBar", "True Pattern", ""))))))))))))))))))))</f>
        <v>Search Like Pattern</v>
      </c>
      <c r="Q935" s="13" t="str">
        <f>IF(NOT(ISERR(SEARCH("*_Buggy",$A935))), "Buggy", IF(NOT(ISERR(SEARCH("*_Fixed",$A935))), "Fixed", IF(NOT(ISERR(SEARCH("*_Repaired",$A935))), "Repaired", "")))</f>
        <v>Fixed</v>
      </c>
      <c r="R935" s="13" t="s">
        <v>1668</v>
      </c>
      <c r="S935" s="25">
        <v>1</v>
      </c>
      <c r="T935" s="25">
        <v>1</v>
      </c>
      <c r="U935" s="25">
        <v>1</v>
      </c>
      <c r="V935" s="13">
        <v>1</v>
      </c>
      <c r="W935" s="13" t="str">
        <f>MID(A935, SEARCH("_", A935) +1, SEARCH("_", A935, SEARCH("_", A935) +1) - SEARCH("_", A935) -1)</f>
        <v>Chart-1</v>
      </c>
      <c r="Y935" s="1" t="str">
        <f t="shared" si="36"/>
        <v>NO</v>
      </c>
      <c r="Z935" s="1" t="str">
        <f t="shared" si="37"/>
        <v>NO</v>
      </c>
      <c r="AA935" t="str">
        <f>IF(AND(S935&gt;1,S1460&gt;1,S935=V935,S1460=V1460), "YES", "NO")</f>
        <v>NO</v>
      </c>
      <c r="AB935" t="str">
        <f>IF(AND(S935&gt;1,S1460&gt;1,S935&lt;V935,S1460&lt;V1460), "YES", "NO")</f>
        <v>NO</v>
      </c>
      <c r="AC935" t="str">
        <f t="shared" si="38"/>
        <v>NO</v>
      </c>
      <c r="AD935" t="str">
        <f t="shared" si="39"/>
        <v>NO</v>
      </c>
      <c r="AE935" t="str">
        <f t="shared" si="40"/>
        <v>NO</v>
      </c>
      <c r="AF935" t="str">
        <f t="shared" si="41"/>
        <v>NO</v>
      </c>
    </row>
    <row r="936" spans="1:32" ht="15" x14ac:dyDescent="0.35">
      <c r="A936" s="5" t="s">
        <v>992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>LEFT($A936,FIND("_",$A936)-1)</f>
        <v>SimFix</v>
      </c>
      <c r="P936" s="13" t="str">
        <f>IF($O936="ACS", "True Search", IF($O936="Arja", "Evolutionary Search", IF($O936="AVATAR", "True Pattern", IF($O936="CapGen", "Search Like Pattern", IF($O936="Cardumen", "True Semantic", IF($O936="DynaMoth", "True Semantic", IF($O936="FixMiner", "True Pattern", IF($O936="GenProg-A", "Evolutionary Search", IF($O936="Hercules", "Learning Pattern", IF($O936="Jaid", "True Semantic",
IF($O936="Kali-A", "True Search", IF($O936="kPAR", "True Pattern", IF($O936="Nopol", "True Semantic", IF($O936="RSRepair-A", "Evolutionary Search", IF($O936="SequenceR", "Deep Learning", IF($O936="SimFix", "Search Like Pattern", IF($O936="SketchFix", "True Pattern", IF($O936="SOFix", "True Pattern", IF($O936="ssFix", "Search Like Pattern", IF($O936="TBar", "True Pattern", ""))))))))))))))))))))</f>
        <v>Search Like Pattern</v>
      </c>
      <c r="Q936" s="13" t="str">
        <f>IF(NOT(ISERR(SEARCH("*_Buggy",$A936))), "Buggy", IF(NOT(ISERR(SEARCH("*_Fixed",$A936))), "Fixed", IF(NOT(ISERR(SEARCH("*_Repaired",$A936))), "Repaired", "")))</f>
        <v>Fixed</v>
      </c>
      <c r="R936" s="13" t="s">
        <v>1669</v>
      </c>
      <c r="S936" s="25">
        <v>1</v>
      </c>
      <c r="T936" s="25">
        <v>1</v>
      </c>
      <c r="U936" s="25">
        <v>1</v>
      </c>
      <c r="V936" s="13">
        <v>1</v>
      </c>
      <c r="W936" s="13" t="str">
        <f>MID(A936, SEARCH("_", A936) +1, SEARCH("_", A936, SEARCH("_", A936) +1) - SEARCH("_", A936) -1)</f>
        <v>Chart-12</v>
      </c>
      <c r="Y936" s="1" t="str">
        <f t="shared" si="36"/>
        <v>NO</v>
      </c>
      <c r="Z936" s="1" t="str">
        <f t="shared" si="37"/>
        <v>NO</v>
      </c>
      <c r="AA936" t="str">
        <f>IF(AND(S936&gt;1,S1461&gt;1,S936=V936,S1461=V1461), "YES", "NO")</f>
        <v>NO</v>
      </c>
      <c r="AB936" t="str">
        <f>IF(AND(S936&gt;1,S1461&gt;1,S936&lt;V936,S1461&lt;V1461), "YES", "NO")</f>
        <v>NO</v>
      </c>
      <c r="AC936" t="str">
        <f t="shared" si="38"/>
        <v>NO</v>
      </c>
      <c r="AD936" t="str">
        <f t="shared" si="39"/>
        <v>NO</v>
      </c>
      <c r="AE936" t="str">
        <f t="shared" si="40"/>
        <v>NO</v>
      </c>
      <c r="AF936" t="str">
        <f t="shared" si="41"/>
        <v>NO</v>
      </c>
    </row>
    <row r="937" spans="1:32" ht="15" x14ac:dyDescent="0.35">
      <c r="A937" s="7" t="s">
        <v>346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>LEFT($A937,FIND("_",$A937)-1)</f>
        <v>SimFix</v>
      </c>
      <c r="P937" s="13" t="str">
        <f>IF($O937="ACS", "True Search", IF($O937="Arja", "Evolutionary Search", IF($O937="AVATAR", "True Pattern", IF($O937="CapGen", "Search Like Pattern", IF($O937="Cardumen", "True Semantic", IF($O937="DynaMoth", "True Semantic", IF($O937="FixMiner", "True Pattern", IF($O937="GenProg-A", "Evolutionary Search", IF($O937="Hercules", "Learning Pattern", IF($O937="Jaid", "True Semantic",
IF($O937="Kali-A", "True Search", IF($O937="kPAR", "True Pattern", IF($O937="Nopol", "True Semantic", IF($O937="RSRepair-A", "Evolutionary Search", IF($O937="SequenceR", "Deep Learning", IF($O937="SimFix", "Search Like Pattern", IF($O937="SketchFix", "True Pattern", IF($O937="SOFix", "True Pattern", IF($O937="ssFix", "Search Like Pattern", IF($O937="TBar", "True Pattern", ""))))))))))))))))))))</f>
        <v>Search Like Pattern</v>
      </c>
      <c r="Q937" s="13" t="str">
        <f>IF(NOT(ISERR(SEARCH("*_Buggy",$A937))), "Buggy", IF(NOT(ISERR(SEARCH("*_Fixed",$A937))), "Fixed", IF(NOT(ISERR(SEARCH("*_Repaired",$A937))), "Repaired", "")))</f>
        <v>Fixed</v>
      </c>
      <c r="R937" s="13" t="s">
        <v>1669</v>
      </c>
      <c r="S937" s="25">
        <v>7</v>
      </c>
      <c r="T937" s="25">
        <v>32</v>
      </c>
      <c r="U937" s="25">
        <v>3</v>
      </c>
      <c r="V937" s="13">
        <v>33</v>
      </c>
      <c r="W937" s="13" t="str">
        <f>MID(A937, SEARCH("_", A937) +1, SEARCH("_", A937, SEARCH("_", A937) +1) - SEARCH("_", A937) -1)</f>
        <v>Chart-22</v>
      </c>
      <c r="Y937" s="1" t="str">
        <f t="shared" si="36"/>
        <v>NO</v>
      </c>
      <c r="Z937" s="1" t="str">
        <f t="shared" si="37"/>
        <v>YES</v>
      </c>
      <c r="AA937" t="str">
        <f>IF(AND(S937&gt;1,S1462&gt;1,S937=V937,S1462=V1462), "YES", "NO")</f>
        <v>NO</v>
      </c>
      <c r="AB937" t="str">
        <f>IF(AND(S937&gt;1,S1462&gt;1,S937&lt;V937,S1462&lt;V1462), "YES", "NO")</f>
        <v>YES</v>
      </c>
      <c r="AC937" t="str">
        <f t="shared" si="38"/>
        <v>NO</v>
      </c>
      <c r="AD937" t="str">
        <f t="shared" si="39"/>
        <v>NO</v>
      </c>
      <c r="AE937" t="str">
        <f t="shared" si="40"/>
        <v>NO</v>
      </c>
      <c r="AF937" t="str">
        <f t="shared" si="41"/>
        <v>YES</v>
      </c>
    </row>
    <row r="938" spans="1:32" ht="15" x14ac:dyDescent="0.35">
      <c r="A938" s="5" t="s">
        <v>962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>LEFT($A938,FIND("_",$A938)-1)</f>
        <v>SimFix</v>
      </c>
      <c r="P938" s="13" t="str">
        <f>IF($O938="ACS", "True Search", IF($O938="Arja", "Evolutionary Search", IF($O938="AVATAR", "True Pattern", IF($O938="CapGen", "Search Like Pattern", IF($O938="Cardumen", "True Semantic", IF($O938="DynaMoth", "True Semantic", IF($O938="FixMiner", "True Pattern", IF($O938="GenProg-A", "Evolutionary Search", IF($O938="Hercules", "Learning Pattern", IF($O938="Jaid", "True Semantic",
IF($O938="Kali-A", "True Search", IF($O938="kPAR", "True Pattern", IF($O938="Nopol", "True Semantic", IF($O938="RSRepair-A", "Evolutionary Search", IF($O938="SequenceR", "Deep Learning", IF($O938="SimFix", "Search Like Pattern", IF($O938="SketchFix", "True Pattern", IF($O938="SOFix", "True Pattern", IF($O938="ssFix", "Search Like Pattern", IF($O938="TBar", "True Pattern", ""))))))))))))))))))))</f>
        <v>Search Like Pattern</v>
      </c>
      <c r="Q938" s="13" t="str">
        <f>IF(NOT(ISERR(SEARCH("*_Buggy",$A938))), "Buggy", IF(NOT(ISERR(SEARCH("*_Fixed",$A938))), "Fixed", IF(NOT(ISERR(SEARCH("*_Repaired",$A938))), "Repaired", "")))</f>
        <v>Fixed</v>
      </c>
      <c r="R938" s="13" t="s">
        <v>1669</v>
      </c>
      <c r="S938" s="25">
        <v>6</v>
      </c>
      <c r="T938" s="25">
        <v>14</v>
      </c>
      <c r="U938" s="25">
        <v>2</v>
      </c>
      <c r="V938" s="13">
        <v>14</v>
      </c>
      <c r="W938" s="13" t="str">
        <f>MID(A938, SEARCH("_", A938) +1, SEARCH("_", A938, SEARCH("_", A938) +1) - SEARCH("_", A938) -1)</f>
        <v>Chart-25</v>
      </c>
      <c r="Y938" s="1" t="str">
        <f t="shared" si="36"/>
        <v>NO</v>
      </c>
      <c r="Z938" s="1" t="str">
        <f t="shared" si="37"/>
        <v>YES</v>
      </c>
      <c r="AA938" t="str">
        <f>IF(AND(S938&gt;1,S1463&gt;1,S938=V938,S1463=V1463), "YES", "NO")</f>
        <v>NO</v>
      </c>
      <c r="AB938" t="str">
        <f>IF(AND(S938&gt;1,S1463&gt;1,S938&lt;V938,S1463&lt;V1463), "YES", "NO")</f>
        <v>YES</v>
      </c>
      <c r="AC938" t="str">
        <f t="shared" si="38"/>
        <v>NO</v>
      </c>
      <c r="AD938" t="str">
        <f t="shared" si="39"/>
        <v>NO</v>
      </c>
      <c r="AE938" t="str">
        <f t="shared" si="40"/>
        <v>NO</v>
      </c>
      <c r="AF938" t="str">
        <f t="shared" si="41"/>
        <v>YES</v>
      </c>
    </row>
    <row r="939" spans="1:32" ht="15" x14ac:dyDescent="0.35">
      <c r="A939" s="7" t="s">
        <v>96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>LEFT($A939,FIND("_",$A939)-1)</f>
        <v>SimFix</v>
      </c>
      <c r="P939" s="13" t="str">
        <f>IF($O939="ACS", "True Search", IF($O939="Arja", "Evolutionary Search", IF($O939="AVATAR", "True Pattern", IF($O939="CapGen", "Search Like Pattern", IF($O939="Cardumen", "True Semantic", IF($O939="DynaMoth", "True Semantic", IF($O939="FixMiner", "True Pattern", IF($O939="GenProg-A", "Evolutionary Search", IF($O939="Hercules", "Learning Pattern", IF($O939="Jaid", "True Semantic",
IF($O939="Kali-A", "True Search", IF($O939="kPAR", "True Pattern", IF($O939="Nopol", "True Semantic", IF($O939="RSRepair-A", "Evolutionary Search", IF($O939="SequenceR", "Deep Learning", IF($O939="SimFix", "Search Like Pattern", IF($O939="SketchFix", "True Pattern", IF($O939="SOFix", "True Pattern", IF($O939="ssFix", "Search Like Pattern", IF($O939="TBar", "True Pattern", ""))))))))))))))))))))</f>
        <v>Search Like Pattern</v>
      </c>
      <c r="Q939" s="13" t="str">
        <f>IF(NOT(ISERR(SEARCH("*_Buggy",$A939))), "Buggy", IF(NOT(ISERR(SEARCH("*_Fixed",$A939))), "Fixed", IF(NOT(ISERR(SEARCH("*_Repaired",$A939))), "Repaired", "")))</f>
        <v>Fixed</v>
      </c>
      <c r="R939" s="13" t="s">
        <v>1669</v>
      </c>
      <c r="S939" s="25">
        <v>1</v>
      </c>
      <c r="T939" s="25">
        <v>0</v>
      </c>
      <c r="U939" s="13">
        <v>2</v>
      </c>
      <c r="V939" s="13">
        <v>2</v>
      </c>
      <c r="W939" s="13" t="str">
        <f>MID(A939, SEARCH("_", A939) +1, SEARCH("_", A939, SEARCH("_", A939) +1) - SEARCH("_", A939) -1)</f>
        <v>Closure-11</v>
      </c>
      <c r="Y939" s="1" t="str">
        <f t="shared" si="36"/>
        <v>NO</v>
      </c>
      <c r="Z939" s="1" t="str">
        <f t="shared" si="37"/>
        <v>NO</v>
      </c>
      <c r="AA939" t="str">
        <f>IF(AND(S939&gt;1,S1464&gt;1,S939=V939,S1464=V1464), "YES", "NO")</f>
        <v>NO</v>
      </c>
      <c r="AB939" t="str">
        <f>IF(AND(S939&gt;1,S1464&gt;1,S939&lt;V939,S1464&lt;V1464), "YES", "NO")</f>
        <v>NO</v>
      </c>
      <c r="AC939" t="str">
        <f t="shared" si="38"/>
        <v>NO</v>
      </c>
      <c r="AD939" t="str">
        <f t="shared" si="39"/>
        <v>NO</v>
      </c>
      <c r="AE939" t="str">
        <f t="shared" si="40"/>
        <v>NO</v>
      </c>
      <c r="AF939" t="str">
        <f t="shared" si="41"/>
        <v>YES</v>
      </c>
    </row>
    <row r="940" spans="1:32" ht="15" x14ac:dyDescent="0.35">
      <c r="A940" s="7" t="s">
        <v>932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>LEFT($A940,FIND("_",$A940)-1)</f>
        <v>SimFix</v>
      </c>
      <c r="P940" s="13" t="str">
        <f>IF($O940="ACS", "True Search", IF($O940="Arja", "Evolutionary Search", IF($O940="AVATAR", "True Pattern", IF($O940="CapGen", "Search Like Pattern", IF($O940="Cardumen", "True Semantic", IF($O940="DynaMoth", "True Semantic", IF($O940="FixMiner", "True Pattern", IF($O940="GenProg-A", "Evolutionary Search", IF($O940="Hercules", "Learning Pattern", IF($O940="Jaid", "True Semantic",
IF($O940="Kali-A", "True Search", IF($O940="kPAR", "True Pattern", IF($O940="Nopol", "True Semantic", IF($O940="RSRepair-A", "Evolutionary Search", IF($O940="SequenceR", "Deep Learning", IF($O940="SimFix", "Search Like Pattern", IF($O940="SketchFix", "True Pattern", IF($O940="SOFix", "True Pattern", IF($O940="ssFix", "Search Like Pattern", IF($O940="TBar", "True Pattern", ""))))))))))))))))))))</f>
        <v>Search Like Pattern</v>
      </c>
      <c r="Q940" s="13" t="str">
        <f>IF(NOT(ISERR(SEARCH("*_Buggy",$A940))), "Buggy", IF(NOT(ISERR(SEARCH("*_Fixed",$A940))), "Fixed", IF(NOT(ISERR(SEARCH("*_Repaired",$A940))), "Repaired", "")))</f>
        <v>Fixed</v>
      </c>
      <c r="R940" s="13" t="s">
        <v>1668</v>
      </c>
      <c r="S940" s="25">
        <v>2</v>
      </c>
      <c r="T940" s="25">
        <v>0</v>
      </c>
      <c r="U940" s="13">
        <v>11</v>
      </c>
      <c r="V940" s="13">
        <v>11</v>
      </c>
      <c r="W940" s="13" t="str">
        <f>MID(A940, SEARCH("_", A940) +1, SEARCH("_", A940, SEARCH("_", A940) +1) - SEARCH("_", A940) -1)</f>
        <v>Closure-115</v>
      </c>
      <c r="Y940" s="1" t="str">
        <f t="shared" si="36"/>
        <v>NO</v>
      </c>
      <c r="Z940" s="1" t="str">
        <f t="shared" si="37"/>
        <v>YES</v>
      </c>
      <c r="AA940" t="str">
        <f>IF(AND(S940&gt;1,S1465&gt;1,S940=V940,S1465=V1465), "YES", "NO")</f>
        <v>NO</v>
      </c>
      <c r="AB940" t="str">
        <f>IF(AND(S940&gt;1,S1465&gt;1,S940&lt;V940,S1465&lt;V1465), "YES", "NO")</f>
        <v>YES</v>
      </c>
      <c r="AC940" t="str">
        <f t="shared" si="38"/>
        <v>NO</v>
      </c>
      <c r="AD940" t="str">
        <f t="shared" si="39"/>
        <v>NO</v>
      </c>
      <c r="AE940" t="str">
        <f t="shared" si="40"/>
        <v>NO</v>
      </c>
      <c r="AF940" t="str">
        <f t="shared" si="41"/>
        <v>YES</v>
      </c>
    </row>
    <row r="941" spans="1:32" ht="15" x14ac:dyDescent="0.35">
      <c r="A941" s="5" t="s">
        <v>1242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>LEFT($A941,FIND("_",$A941)-1)</f>
        <v>SimFix</v>
      </c>
      <c r="P941" s="13" t="str">
        <f>IF($O941="ACS", "True Search", IF($O941="Arja", "Evolutionary Search", IF($O941="AVATAR", "True Pattern", IF($O941="CapGen", "Search Like Pattern", IF($O941="Cardumen", "True Semantic", IF($O941="DynaMoth", "True Semantic", IF($O941="FixMiner", "True Pattern", IF($O941="GenProg-A", "Evolutionary Search", IF($O941="Hercules", "Learning Pattern", IF($O941="Jaid", "True Semantic",
IF($O941="Kali-A", "True Search", IF($O941="kPAR", "True Pattern", IF($O941="Nopol", "True Semantic", IF($O941="RSRepair-A", "Evolutionary Search", IF($O941="SequenceR", "Deep Learning", IF($O941="SimFix", "Search Like Pattern", IF($O941="SketchFix", "True Pattern", IF($O941="SOFix", "True Pattern", IF($O941="ssFix", "Search Like Pattern", IF($O941="TBar", "True Pattern", ""))))))))))))))))))))</f>
        <v>Search Like Pattern</v>
      </c>
      <c r="Q941" s="13" t="str">
        <f>IF(NOT(ISERR(SEARCH("*_Buggy",$A941))), "Buggy", IF(NOT(ISERR(SEARCH("*_Fixed",$A941))), "Fixed", IF(NOT(ISERR(SEARCH("*_Repaired",$A941))), "Repaired", "")))</f>
        <v>Fixed</v>
      </c>
      <c r="R941" s="13" t="s">
        <v>1669</v>
      </c>
      <c r="S941" s="25">
        <v>1</v>
      </c>
      <c r="T941" s="25">
        <v>1</v>
      </c>
      <c r="U941" s="25">
        <v>1</v>
      </c>
      <c r="V941" s="13">
        <v>1</v>
      </c>
      <c r="W941" s="13" t="str">
        <f>MID(A941, SEARCH("_", A941) +1, SEARCH("_", A941, SEARCH("_", A941) +1) - SEARCH("_", A941) -1)</f>
        <v>Closure-125</v>
      </c>
      <c r="Y941" s="1" t="str">
        <f t="shared" si="36"/>
        <v>NO</v>
      </c>
      <c r="Z941" s="1" t="str">
        <f t="shared" si="37"/>
        <v>NO</v>
      </c>
      <c r="AA941" t="str">
        <f>IF(AND(S941&gt;1,S1466&gt;1,S941=V941,S1466=V1466), "YES", "NO")</f>
        <v>NO</v>
      </c>
      <c r="AB941" t="str">
        <f>IF(AND(S941&gt;1,S1466&gt;1,S941&lt;V941,S1466&lt;V1466), "YES", "NO")</f>
        <v>NO</v>
      </c>
      <c r="AC941" t="str">
        <f t="shared" si="38"/>
        <v>NO</v>
      </c>
      <c r="AD941" t="str">
        <f t="shared" si="39"/>
        <v>NO</v>
      </c>
      <c r="AE941" t="str">
        <f t="shared" si="40"/>
        <v>NO</v>
      </c>
      <c r="AF941" t="str">
        <f t="shared" si="41"/>
        <v>NO</v>
      </c>
    </row>
    <row r="942" spans="1:32" ht="15" x14ac:dyDescent="0.35">
      <c r="A942" s="5" t="s">
        <v>179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>LEFT($A942,FIND("_",$A942)-1)</f>
        <v>SimFix</v>
      </c>
      <c r="P942" s="13" t="str">
        <f>IF($O942="ACS", "True Search", IF($O942="Arja", "Evolutionary Search", IF($O942="AVATAR", "True Pattern", IF($O942="CapGen", "Search Like Pattern", IF($O942="Cardumen", "True Semantic", IF($O942="DynaMoth", "True Semantic", IF($O942="FixMiner", "True Pattern", IF($O942="GenProg-A", "Evolutionary Search", IF($O942="Hercules", "Learning Pattern", IF($O942="Jaid", "True Semantic",
IF($O942="Kali-A", "True Search", IF($O942="kPAR", "True Pattern", IF($O942="Nopol", "True Semantic", IF($O942="RSRepair-A", "Evolutionary Search", IF($O942="SequenceR", "Deep Learning", IF($O942="SimFix", "Search Like Pattern", IF($O942="SketchFix", "True Pattern", IF($O942="SOFix", "True Pattern", IF($O942="ssFix", "Search Like Pattern", IF($O942="TBar", "True Pattern", ""))))))))))))))))))))</f>
        <v>Search Like Pattern</v>
      </c>
      <c r="Q942" s="13" t="str">
        <f>IF(NOT(ISERR(SEARCH("*_Buggy",$A942))), "Buggy", IF(NOT(ISERR(SEARCH("*_Fixed",$A942))), "Fixed", IF(NOT(ISERR(SEARCH("*_Repaired",$A942))), "Repaired", "")))</f>
        <v>Fixed</v>
      </c>
      <c r="R942" s="13" t="s">
        <v>1668</v>
      </c>
      <c r="S942" s="25">
        <v>1</v>
      </c>
      <c r="T942" s="25">
        <v>1</v>
      </c>
      <c r="U942" s="25">
        <v>1</v>
      </c>
      <c r="V942" s="13">
        <v>1</v>
      </c>
      <c r="W942" s="13" t="str">
        <f>MID(A942, SEARCH("_", A942) +1, SEARCH("_", A942, SEARCH("_", A942) +1) - SEARCH("_", A942) -1)</f>
        <v>Closure-14</v>
      </c>
      <c r="Y942" s="1" t="str">
        <f t="shared" si="36"/>
        <v>NO</v>
      </c>
      <c r="Z942" s="1" t="str">
        <f t="shared" si="37"/>
        <v>NO</v>
      </c>
      <c r="AA942" t="str">
        <f>IF(AND(S942&gt;1,S1467&gt;1,S942=V942,S1467=V1467), "YES", "NO")</f>
        <v>NO</v>
      </c>
      <c r="AB942" t="str">
        <f>IF(AND(S942&gt;1,S1467&gt;1,S942&lt;V942,S1467&lt;V1467), "YES", "NO")</f>
        <v>NO</v>
      </c>
      <c r="AC942" t="str">
        <f t="shared" si="38"/>
        <v>NO</v>
      </c>
      <c r="AD942" t="str">
        <f t="shared" si="39"/>
        <v>NO</v>
      </c>
      <c r="AE942" t="str">
        <f t="shared" si="40"/>
        <v>NO</v>
      </c>
      <c r="AF942" t="str">
        <f t="shared" si="41"/>
        <v>NO</v>
      </c>
    </row>
    <row r="943" spans="1:32" ht="15" x14ac:dyDescent="0.35">
      <c r="A943" s="7" t="s">
        <v>924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>LEFT($A943,FIND("_",$A943)-1)</f>
        <v>SimFix</v>
      </c>
      <c r="P943" s="13" t="str">
        <f>IF($O943="ACS", "True Search", IF($O943="Arja", "Evolutionary Search", IF($O943="AVATAR", "True Pattern", IF($O943="CapGen", "Search Like Pattern", IF($O943="Cardumen", "True Semantic", IF($O943="DynaMoth", "True Semantic", IF($O943="FixMiner", "True Pattern", IF($O943="GenProg-A", "Evolutionary Search", IF($O943="Hercules", "Learning Pattern", IF($O943="Jaid", "True Semantic",
IF($O943="Kali-A", "True Search", IF($O943="kPAR", "True Pattern", IF($O943="Nopol", "True Semantic", IF($O943="RSRepair-A", "Evolutionary Search", IF($O943="SequenceR", "Deep Learning", IF($O943="SimFix", "Search Like Pattern", IF($O943="SketchFix", "True Pattern", IF($O943="SOFix", "True Pattern", IF($O943="ssFix", "Search Like Pattern", IF($O943="TBar", "True Pattern", ""))))))))))))))))))))</f>
        <v>Search Like Pattern</v>
      </c>
      <c r="Q943" s="13" t="str">
        <f>IF(NOT(ISERR(SEARCH("*_Buggy",$A943))), "Buggy", IF(NOT(ISERR(SEARCH("*_Fixed",$A943))), "Fixed", IF(NOT(ISERR(SEARCH("*_Repaired",$A943))), "Repaired", "")))</f>
        <v>Fixed</v>
      </c>
      <c r="R943" s="13" t="s">
        <v>1668</v>
      </c>
      <c r="S943" s="25">
        <v>2</v>
      </c>
      <c r="T943" s="13">
        <v>2</v>
      </c>
      <c r="U943" s="25">
        <v>0</v>
      </c>
      <c r="V943" s="13">
        <v>2</v>
      </c>
      <c r="W943" s="13" t="str">
        <f>MID(A943, SEARCH("_", A943) +1, SEARCH("_", A943, SEARCH("_", A943) +1) - SEARCH("_", A943) -1)</f>
        <v>Closure-19</v>
      </c>
      <c r="Y943" s="1" t="str">
        <f t="shared" si="36"/>
        <v>YES</v>
      </c>
      <c r="Z943" s="1" t="str">
        <f t="shared" si="37"/>
        <v>NO</v>
      </c>
      <c r="AA943" t="str">
        <f>IF(AND(S943&gt;1,S1468&gt;1,S943=V943,S1468=V1468), "YES", "NO")</f>
        <v>NO</v>
      </c>
      <c r="AB943" t="str">
        <f>IF(AND(S943&gt;1,S1468&gt;1,S943&lt;V943,S1468&lt;V1468), "YES", "NO")</f>
        <v>NO</v>
      </c>
      <c r="AC943" t="str">
        <f t="shared" si="38"/>
        <v>NO</v>
      </c>
      <c r="AD943" t="str">
        <f t="shared" si="39"/>
        <v>NO</v>
      </c>
      <c r="AE943" t="str">
        <f t="shared" si="40"/>
        <v>NO</v>
      </c>
      <c r="AF943" t="str">
        <f t="shared" si="41"/>
        <v>YES</v>
      </c>
    </row>
    <row r="944" spans="1:32" ht="15" x14ac:dyDescent="0.35">
      <c r="A944" s="5" t="s">
        <v>76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>LEFT($A944,FIND("_",$A944)-1)</f>
        <v>SimFix</v>
      </c>
      <c r="P944" s="13" t="str">
        <f>IF($O944="ACS", "True Search", IF($O944="Arja", "Evolutionary Search", IF($O944="AVATAR", "True Pattern", IF($O944="CapGen", "Search Like Pattern", IF($O944="Cardumen", "True Semantic", IF($O944="DynaMoth", "True Semantic", IF($O944="FixMiner", "True Pattern", IF($O944="GenProg-A", "Evolutionary Search", IF($O944="Hercules", "Learning Pattern", IF($O944="Jaid", "True Semantic",
IF($O944="Kali-A", "True Search", IF($O944="kPAR", "True Pattern", IF($O944="Nopol", "True Semantic", IF($O944="RSRepair-A", "Evolutionary Search", IF($O944="SequenceR", "Deep Learning", IF($O944="SimFix", "Search Like Pattern", IF($O944="SketchFix", "True Pattern", IF($O944="SOFix", "True Pattern", IF($O944="ssFix", "Search Like Pattern", IF($O944="TBar", "True Pattern", ""))))))))))))))))))))</f>
        <v>Search Like Pattern</v>
      </c>
      <c r="Q944" s="13" t="str">
        <f>IF(NOT(ISERR(SEARCH("*_Buggy",$A944))), "Buggy", IF(NOT(ISERR(SEARCH("*_Fixed",$A944))), "Fixed", IF(NOT(ISERR(SEARCH("*_Repaired",$A944))), "Repaired", "")))</f>
        <v>Fixed</v>
      </c>
      <c r="R944" s="13" t="s">
        <v>1669</v>
      </c>
      <c r="S944" s="25">
        <v>2</v>
      </c>
      <c r="T944" s="25">
        <v>2</v>
      </c>
      <c r="U944" s="25">
        <v>19</v>
      </c>
      <c r="V944" s="13">
        <v>19</v>
      </c>
      <c r="W944" s="13" t="str">
        <f>MID(A944, SEARCH("_", A944) +1, SEARCH("_", A944, SEARCH("_", A944) +1) - SEARCH("_", A944) -1)</f>
        <v>Closure-21</v>
      </c>
      <c r="Y944" s="1" t="str">
        <f t="shared" si="36"/>
        <v>NO</v>
      </c>
      <c r="Z944" s="1" t="str">
        <f t="shared" si="37"/>
        <v>YES</v>
      </c>
      <c r="AA944" t="str">
        <f>IF(AND(S944&gt;1,S1469&gt;1,S944=V944,S1469=V1469), "YES", "NO")</f>
        <v>NO</v>
      </c>
      <c r="AB944" t="str">
        <f>IF(AND(S944&gt;1,S1469&gt;1,S944&lt;V944,S1469&lt;V1469), "YES", "NO")</f>
        <v>YES</v>
      </c>
      <c r="AC944" t="str">
        <f t="shared" si="38"/>
        <v>NO</v>
      </c>
      <c r="AD944" t="str">
        <f t="shared" si="39"/>
        <v>NO</v>
      </c>
      <c r="AE944" t="str">
        <f t="shared" si="40"/>
        <v>NO</v>
      </c>
      <c r="AF944" t="str">
        <f t="shared" si="41"/>
        <v>YES</v>
      </c>
    </row>
    <row r="945" spans="1:32" ht="15" x14ac:dyDescent="0.35">
      <c r="A945" s="7" t="s">
        <v>1125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>LEFT($A945,FIND("_",$A945)-1)</f>
        <v>SimFix</v>
      </c>
      <c r="P945" s="13" t="str">
        <f>IF($O945="ACS", "True Search", IF($O945="Arja", "Evolutionary Search", IF($O945="AVATAR", "True Pattern", IF($O945="CapGen", "Search Like Pattern", IF($O945="Cardumen", "True Semantic", IF($O945="DynaMoth", "True Semantic", IF($O945="FixMiner", "True Pattern", IF($O945="GenProg-A", "Evolutionary Search", IF($O945="Hercules", "Learning Pattern", IF($O945="Jaid", "True Semantic",
IF($O945="Kali-A", "True Search", IF($O945="kPAR", "True Pattern", IF($O945="Nopol", "True Semantic", IF($O945="RSRepair-A", "Evolutionary Search", IF($O945="SequenceR", "Deep Learning", IF($O945="SimFix", "Search Like Pattern", IF($O945="SketchFix", "True Pattern", IF($O945="SOFix", "True Pattern", IF($O945="ssFix", "Search Like Pattern", IF($O945="TBar", "True Pattern", ""))))))))))))))))))))</f>
        <v>Search Like Pattern</v>
      </c>
      <c r="Q945" s="13" t="str">
        <f>IF(NOT(ISERR(SEARCH("*_Buggy",$A945))), "Buggy", IF(NOT(ISERR(SEARCH("*_Fixed",$A945))), "Fixed", IF(NOT(ISERR(SEARCH("*_Repaired",$A945))), "Repaired", "")))</f>
        <v>Fixed</v>
      </c>
      <c r="R945" s="13" t="s">
        <v>1669</v>
      </c>
      <c r="S945" s="25">
        <v>5</v>
      </c>
      <c r="T945" s="25">
        <v>2</v>
      </c>
      <c r="U945" s="25">
        <v>26</v>
      </c>
      <c r="V945" s="13">
        <v>26</v>
      </c>
      <c r="W945" s="13" t="str">
        <f>MID(A945, SEARCH("_", A945) +1, SEARCH("_", A945, SEARCH("_", A945) +1) - SEARCH("_", A945) -1)</f>
        <v>Closure-22</v>
      </c>
      <c r="Y945" s="1" t="str">
        <f t="shared" si="36"/>
        <v>NO</v>
      </c>
      <c r="Z945" s="1" t="str">
        <f t="shared" si="37"/>
        <v>YES</v>
      </c>
      <c r="AA945" t="str">
        <f>IF(AND(S945&gt;1,S1470&gt;1,S945=V945,S1470=V1470), "YES", "NO")</f>
        <v>NO</v>
      </c>
      <c r="AB945" t="str">
        <f>IF(AND(S945&gt;1,S1470&gt;1,S945&lt;V945,S1470&lt;V1470), "YES", "NO")</f>
        <v>YES</v>
      </c>
      <c r="AC945" t="str">
        <f t="shared" si="38"/>
        <v>NO</v>
      </c>
      <c r="AD945" t="str">
        <f t="shared" si="39"/>
        <v>NO</v>
      </c>
      <c r="AE945" t="str">
        <f t="shared" si="40"/>
        <v>NO</v>
      </c>
      <c r="AF945" t="str">
        <f t="shared" si="41"/>
        <v>YES</v>
      </c>
    </row>
    <row r="946" spans="1:32" ht="15" x14ac:dyDescent="0.35">
      <c r="A946" s="7" t="s">
        <v>40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>LEFT($A946,FIND("_",$A946)-1)</f>
        <v>SimFix</v>
      </c>
      <c r="P946" s="13" t="str">
        <f>IF($O946="ACS", "True Search", IF($O946="Arja", "Evolutionary Search", IF($O946="AVATAR", "True Pattern", IF($O946="CapGen", "Search Like Pattern", IF($O946="Cardumen", "True Semantic", IF($O946="DynaMoth", "True Semantic", IF($O946="FixMiner", "True Pattern", IF($O946="GenProg-A", "Evolutionary Search", IF($O946="Hercules", "Learning Pattern", IF($O946="Jaid", "True Semantic",
IF($O946="Kali-A", "True Search", IF($O946="kPAR", "True Pattern", IF($O946="Nopol", "True Semantic", IF($O946="RSRepair-A", "Evolutionary Search", IF($O946="SequenceR", "Deep Learning", IF($O946="SimFix", "Search Like Pattern", IF($O946="SketchFix", "True Pattern", IF($O946="SOFix", "True Pattern", IF($O946="ssFix", "Search Like Pattern", IF($O946="TBar", "True Pattern", ""))))))))))))))))))))</f>
        <v>Search Like Pattern</v>
      </c>
      <c r="Q946" s="13" t="str">
        <f>IF(NOT(ISERR(SEARCH("*_Buggy",$A946))), "Buggy", IF(NOT(ISERR(SEARCH("*_Fixed",$A946))), "Fixed", IF(NOT(ISERR(SEARCH("*_Repaired",$A946))), "Repaired", "")))</f>
        <v>Fixed</v>
      </c>
      <c r="R946" s="13" t="s">
        <v>1669</v>
      </c>
      <c r="S946" s="25">
        <v>1</v>
      </c>
      <c r="T946" s="25">
        <v>1</v>
      </c>
      <c r="U946" s="25">
        <v>1</v>
      </c>
      <c r="V946" s="13">
        <v>1</v>
      </c>
      <c r="W946" s="13" t="str">
        <f>MID(A946, SEARCH("_", A946) +1, SEARCH("_", A946, SEARCH("_", A946) +1) - SEARCH("_", A946) -1)</f>
        <v>Closure-38</v>
      </c>
      <c r="Y946" s="1" t="str">
        <f t="shared" si="36"/>
        <v>NO</v>
      </c>
      <c r="Z946" s="1" t="str">
        <f t="shared" si="37"/>
        <v>NO</v>
      </c>
      <c r="AA946" t="str">
        <f>IF(AND(S946&gt;1,S1471&gt;1,S946=V946,S1471=V1471), "YES", "NO")</f>
        <v>NO</v>
      </c>
      <c r="AB946" t="str">
        <f>IF(AND(S946&gt;1,S1471&gt;1,S946&lt;V946,S1471&lt;V1471), "YES", "NO")</f>
        <v>NO</v>
      </c>
      <c r="AC946" t="str">
        <f t="shared" si="38"/>
        <v>NO</v>
      </c>
      <c r="AD946" t="str">
        <f t="shared" si="39"/>
        <v>NO</v>
      </c>
      <c r="AE946" t="str">
        <f t="shared" si="40"/>
        <v>NO</v>
      </c>
      <c r="AF946" t="str">
        <f t="shared" si="41"/>
        <v>NO</v>
      </c>
    </row>
    <row r="947" spans="1:32" ht="15" x14ac:dyDescent="0.35">
      <c r="A947" s="5" t="s">
        <v>824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>LEFT($A947,FIND("_",$A947)-1)</f>
        <v>SimFix</v>
      </c>
      <c r="P947" s="13" t="str">
        <f>IF($O947="ACS", "True Search", IF($O947="Arja", "Evolutionary Search", IF($O947="AVATAR", "True Pattern", IF($O947="CapGen", "Search Like Pattern", IF($O947="Cardumen", "True Semantic", IF($O947="DynaMoth", "True Semantic", IF($O947="FixMiner", "True Pattern", IF($O947="GenProg-A", "Evolutionary Search", IF($O947="Hercules", "Learning Pattern", IF($O947="Jaid", "True Semantic",
IF($O947="Kali-A", "True Search", IF($O947="kPAR", "True Pattern", IF($O947="Nopol", "True Semantic", IF($O947="RSRepair-A", "Evolutionary Search", IF($O947="SequenceR", "Deep Learning", IF($O947="SimFix", "Search Like Pattern", IF($O947="SketchFix", "True Pattern", IF($O947="SOFix", "True Pattern", IF($O947="ssFix", "Search Like Pattern", IF($O947="TBar", "True Pattern", ""))))))))))))))))))))</f>
        <v>Search Like Pattern</v>
      </c>
      <c r="Q947" s="13" t="str">
        <f>IF(NOT(ISERR(SEARCH("*_Buggy",$A947))), "Buggy", IF(NOT(ISERR(SEARCH("*_Fixed",$A947))), "Fixed", IF(NOT(ISERR(SEARCH("*_Repaired",$A947))), "Repaired", "")))</f>
        <v>Fixed</v>
      </c>
      <c r="R947" s="13" t="s">
        <v>1669</v>
      </c>
      <c r="S947" s="25">
        <v>1</v>
      </c>
      <c r="T947" s="25">
        <v>0</v>
      </c>
      <c r="U947" s="13">
        <v>16</v>
      </c>
      <c r="V947" s="13">
        <v>16</v>
      </c>
      <c r="W947" s="13" t="str">
        <f>MID(A947, SEARCH("_", A947) +1, SEARCH("_", A947, SEARCH("_", A947) +1) - SEARCH("_", A947) -1)</f>
        <v>Closure-46</v>
      </c>
      <c r="Y947" s="1" t="str">
        <f t="shared" si="36"/>
        <v>NO</v>
      </c>
      <c r="Z947" s="1" t="str">
        <f t="shared" si="37"/>
        <v>NO</v>
      </c>
      <c r="AA947" t="str">
        <f>IF(AND(S947&gt;1,S1472&gt;1,S947=V947,S1472=V1472), "YES", "NO")</f>
        <v>NO</v>
      </c>
      <c r="AB947" t="str">
        <f>IF(AND(S947&gt;1,S1472&gt;1,S947&lt;V947,S1472&lt;V1472), "YES", "NO")</f>
        <v>NO</v>
      </c>
      <c r="AC947" t="str">
        <f t="shared" si="38"/>
        <v>NO</v>
      </c>
      <c r="AD947" t="str">
        <f t="shared" si="39"/>
        <v>NO</v>
      </c>
      <c r="AE947" t="str">
        <f t="shared" si="40"/>
        <v>NO</v>
      </c>
      <c r="AF947" t="str">
        <f t="shared" si="41"/>
        <v>YES</v>
      </c>
    </row>
    <row r="948" spans="1:32" ht="15" x14ac:dyDescent="0.35">
      <c r="A948" s="7" t="s">
        <v>878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>LEFT($A948,FIND("_",$A948)-1)</f>
        <v>SimFix</v>
      </c>
      <c r="P948" s="13" t="str">
        <f>IF($O948="ACS", "True Search", IF($O948="Arja", "Evolutionary Search", IF($O948="AVATAR", "True Pattern", IF($O948="CapGen", "Search Like Pattern", IF($O948="Cardumen", "True Semantic", IF($O948="DynaMoth", "True Semantic", IF($O948="FixMiner", "True Pattern", IF($O948="GenProg-A", "Evolutionary Search", IF($O948="Hercules", "Learning Pattern", IF($O948="Jaid", "True Semantic",
IF($O948="Kali-A", "True Search", IF($O948="kPAR", "True Pattern", IF($O948="Nopol", "True Semantic", IF($O948="RSRepair-A", "Evolutionary Search", IF($O948="SequenceR", "Deep Learning", IF($O948="SimFix", "Search Like Pattern", IF($O948="SketchFix", "True Pattern", IF($O948="SOFix", "True Pattern", IF($O948="ssFix", "Search Like Pattern", IF($O948="TBar", "True Pattern", ""))))))))))))))))))))</f>
        <v>Search Like Pattern</v>
      </c>
      <c r="Q948" s="13" t="str">
        <f>IF(NOT(ISERR(SEARCH("*_Buggy",$A948))), "Buggy", IF(NOT(ISERR(SEARCH("*_Fixed",$A948))), "Fixed", IF(NOT(ISERR(SEARCH("*_Repaired",$A948))), "Repaired", "")))</f>
        <v>Fixed</v>
      </c>
      <c r="R948" s="13" t="s">
        <v>1668</v>
      </c>
      <c r="S948" s="25">
        <v>1</v>
      </c>
      <c r="T948" s="25">
        <v>1</v>
      </c>
      <c r="U948" s="25">
        <v>1</v>
      </c>
      <c r="V948" s="13">
        <v>1</v>
      </c>
      <c r="W948" s="13" t="str">
        <f>MID(A948, SEARCH("_", A948) +1, SEARCH("_", A948, SEARCH("_", A948) +1) - SEARCH("_", A948) -1)</f>
        <v>Closure-57</v>
      </c>
      <c r="Y948" s="1" t="str">
        <f t="shared" si="36"/>
        <v>NO</v>
      </c>
      <c r="Z948" s="1" t="str">
        <f t="shared" si="37"/>
        <v>NO</v>
      </c>
      <c r="AA948" t="str">
        <f>IF(AND(S948&gt;1,S1473&gt;1,S948=V948,S1473=V1473), "YES", "NO")</f>
        <v>NO</v>
      </c>
      <c r="AB948" t="str">
        <f>IF(AND(S948&gt;1,S1473&gt;1,S948&lt;V948,S1473&lt;V1473), "YES", "NO")</f>
        <v>NO</v>
      </c>
      <c r="AC948" t="str">
        <f t="shared" si="38"/>
        <v>NO</v>
      </c>
      <c r="AD948" t="str">
        <f t="shared" si="39"/>
        <v>NO</v>
      </c>
      <c r="AE948" t="str">
        <f t="shared" si="40"/>
        <v>NO</v>
      </c>
      <c r="AF948" t="str">
        <f t="shared" si="41"/>
        <v>NO</v>
      </c>
    </row>
    <row r="949" spans="1:32" ht="15" x14ac:dyDescent="0.35">
      <c r="A949" s="5" t="s">
        <v>1085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>LEFT($A949,FIND("_",$A949)-1)</f>
        <v>SimFix</v>
      </c>
      <c r="P949" s="13" t="str">
        <f>IF($O949="ACS", "True Search", IF($O949="Arja", "Evolutionary Search", IF($O949="AVATAR", "True Pattern", IF($O949="CapGen", "Search Like Pattern", IF($O949="Cardumen", "True Semantic", IF($O949="DynaMoth", "True Semantic", IF($O949="FixMiner", "True Pattern", IF($O949="GenProg-A", "Evolutionary Search", IF($O949="Hercules", "Learning Pattern", IF($O949="Jaid", "True Semantic",
IF($O949="Kali-A", "True Search", IF($O949="kPAR", "True Pattern", IF($O949="Nopol", "True Semantic", IF($O949="RSRepair-A", "Evolutionary Search", IF($O949="SequenceR", "Deep Learning", IF($O949="SimFix", "Search Like Pattern", IF($O949="SketchFix", "True Pattern", IF($O949="SOFix", "True Pattern", IF($O949="ssFix", "Search Like Pattern", IF($O949="TBar", "True Pattern", ""))))))))))))))))))))</f>
        <v>Search Like Pattern</v>
      </c>
      <c r="Q949" s="13" t="str">
        <f>IF(NOT(ISERR(SEARCH("*_Buggy",$A949))), "Buggy", IF(NOT(ISERR(SEARCH("*_Fixed",$A949))), "Fixed", IF(NOT(ISERR(SEARCH("*_Repaired",$A949))), "Repaired", "")))</f>
        <v>Fixed</v>
      </c>
      <c r="R949" s="13" t="s">
        <v>1669</v>
      </c>
      <c r="S949" s="25">
        <v>4</v>
      </c>
      <c r="T949" s="25">
        <v>0</v>
      </c>
      <c r="U949" s="13">
        <v>8</v>
      </c>
      <c r="V949" s="13">
        <v>8</v>
      </c>
      <c r="W949" s="13" t="str">
        <f>MID(A949, SEARCH("_", A949) +1, SEARCH("_", A949, SEARCH("_", A949) +1) - SEARCH("_", A949) -1)</f>
        <v>Closure-6</v>
      </c>
      <c r="Y949" s="1" t="str">
        <f t="shared" si="36"/>
        <v>NO</v>
      </c>
      <c r="Z949" s="1" t="str">
        <f t="shared" si="37"/>
        <v>YES</v>
      </c>
      <c r="AA949" t="str">
        <f>IF(AND(S949&gt;1,S1474&gt;1,S949=V949,S1474=V1474), "YES", "NO")</f>
        <v>NO</v>
      </c>
      <c r="AB949" t="str">
        <f>IF(AND(S949&gt;1,S1474&gt;1,S949&lt;V949,S1474&lt;V1474), "YES", "NO")</f>
        <v>YES</v>
      </c>
      <c r="AC949" t="str">
        <f t="shared" si="38"/>
        <v>NO</v>
      </c>
      <c r="AD949" t="str">
        <f t="shared" si="39"/>
        <v>NO</v>
      </c>
      <c r="AE949" t="str">
        <f t="shared" si="40"/>
        <v>NO</v>
      </c>
      <c r="AF949" t="str">
        <f t="shared" si="41"/>
        <v>YES</v>
      </c>
    </row>
    <row r="950" spans="1:32" ht="15" x14ac:dyDescent="0.35">
      <c r="A950" s="7" t="s">
        <v>990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>LEFT($A950,FIND("_",$A950)-1)</f>
        <v>SimFix</v>
      </c>
      <c r="P950" s="13" t="str">
        <f>IF($O950="ACS", "True Search", IF($O950="Arja", "Evolutionary Search", IF($O950="AVATAR", "True Pattern", IF($O950="CapGen", "Search Like Pattern", IF($O950="Cardumen", "True Semantic", IF($O950="DynaMoth", "True Semantic", IF($O950="FixMiner", "True Pattern", IF($O950="GenProg-A", "Evolutionary Search", IF($O950="Hercules", "Learning Pattern", IF($O950="Jaid", "True Semantic",
IF($O950="Kali-A", "True Search", IF($O950="kPAR", "True Pattern", IF($O950="Nopol", "True Semantic", IF($O950="RSRepair-A", "Evolutionary Search", IF($O950="SequenceR", "Deep Learning", IF($O950="SimFix", "Search Like Pattern", IF($O950="SketchFix", "True Pattern", IF($O950="SOFix", "True Pattern", IF($O950="ssFix", "Search Like Pattern", IF($O950="TBar", "True Pattern", ""))))))))))))))))))))</f>
        <v>Search Like Pattern</v>
      </c>
      <c r="Q950" s="13" t="str">
        <f>IF(NOT(ISERR(SEARCH("*_Buggy",$A950))), "Buggy", IF(NOT(ISERR(SEARCH("*_Fixed",$A950))), "Fixed", IF(NOT(ISERR(SEARCH("*_Repaired",$A950))), "Repaired", "")))</f>
        <v>Fixed</v>
      </c>
      <c r="R950" s="13" t="s">
        <v>1668</v>
      </c>
      <c r="S950" s="25">
        <v>1</v>
      </c>
      <c r="T950" s="25">
        <v>1</v>
      </c>
      <c r="U950" s="25">
        <v>1</v>
      </c>
      <c r="V950" s="13">
        <v>1</v>
      </c>
      <c r="W950" s="13" t="str">
        <f>MID(A950, SEARCH("_", A950) +1, SEARCH("_", A950, SEARCH("_", A950) +1) - SEARCH("_", A950) -1)</f>
        <v>Closure-62</v>
      </c>
      <c r="Y950" s="1" t="str">
        <f t="shared" si="36"/>
        <v>NO</v>
      </c>
      <c r="Z950" s="1" t="str">
        <f t="shared" si="37"/>
        <v>NO</v>
      </c>
      <c r="AA950" t="str">
        <f>IF(AND(S950&gt;1,S1475&gt;1,S950=V950,S1475=V1475), "YES", "NO")</f>
        <v>NO</v>
      </c>
      <c r="AB950" t="str">
        <f>IF(AND(S950&gt;1,S1475&gt;1,S950&lt;V950,S1475&lt;V1475), "YES", "NO")</f>
        <v>NO</v>
      </c>
      <c r="AC950" t="str">
        <f t="shared" si="38"/>
        <v>NO</v>
      </c>
      <c r="AD950" t="str">
        <f t="shared" si="39"/>
        <v>NO</v>
      </c>
      <c r="AE950" t="str">
        <f t="shared" si="40"/>
        <v>NO</v>
      </c>
      <c r="AF950" t="str">
        <f t="shared" si="41"/>
        <v>NO</v>
      </c>
    </row>
    <row r="951" spans="1:32" ht="15" x14ac:dyDescent="0.35">
      <c r="A951" s="7" t="s">
        <v>550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>LEFT($A951,FIND("_",$A951)-1)</f>
        <v>SimFix</v>
      </c>
      <c r="P951" s="13" t="str">
        <f>IF($O951="ACS", "True Search", IF($O951="Arja", "Evolutionary Search", IF($O951="AVATAR", "True Pattern", IF($O951="CapGen", "Search Like Pattern", IF($O951="Cardumen", "True Semantic", IF($O951="DynaMoth", "True Semantic", IF($O951="FixMiner", "True Pattern", IF($O951="GenProg-A", "Evolutionary Search", IF($O951="Hercules", "Learning Pattern", IF($O951="Jaid", "True Semantic",
IF($O951="Kali-A", "True Search", IF($O951="kPAR", "True Pattern", IF($O951="Nopol", "True Semantic", IF($O951="RSRepair-A", "Evolutionary Search", IF($O951="SequenceR", "Deep Learning", IF($O951="SimFix", "Search Like Pattern", IF($O951="SketchFix", "True Pattern", IF($O951="SOFix", "True Pattern", IF($O951="ssFix", "Search Like Pattern", IF($O951="TBar", "True Pattern", ""))))))))))))))))))))</f>
        <v>Search Like Pattern</v>
      </c>
      <c r="Q951" s="13" t="str">
        <f>IF(NOT(ISERR(SEARCH("*_Buggy",$A951))), "Buggy", IF(NOT(ISERR(SEARCH("*_Fixed",$A951))), "Fixed", IF(NOT(ISERR(SEARCH("*_Repaired",$A951))), "Repaired", "")))</f>
        <v>Fixed</v>
      </c>
      <c r="R951" s="13" t="s">
        <v>1668</v>
      </c>
      <c r="S951" s="25">
        <v>1</v>
      </c>
      <c r="T951" s="25">
        <v>1</v>
      </c>
      <c r="U951" s="25">
        <v>1</v>
      </c>
      <c r="V951" s="13">
        <v>1</v>
      </c>
      <c r="W951" s="13" t="str">
        <f>MID(A951, SEARCH("_", A951) +1, SEARCH("_", A951, SEARCH("_", A951) +1) - SEARCH("_", A951) -1)</f>
        <v>Closure-73</v>
      </c>
      <c r="Y951" s="1" t="str">
        <f t="shared" si="36"/>
        <v>NO</v>
      </c>
      <c r="Z951" s="1" t="str">
        <f t="shared" si="37"/>
        <v>NO</v>
      </c>
      <c r="AA951" t="str">
        <f>IF(AND(S951&gt;1,S1476&gt;1,S951=V951,S1476=V1476), "YES", "NO")</f>
        <v>NO</v>
      </c>
      <c r="AB951" t="str">
        <f>IF(AND(S951&gt;1,S1476&gt;1,S951&lt;V951,S1476&lt;V1476), "YES", "NO")</f>
        <v>NO</v>
      </c>
      <c r="AC951" t="str">
        <f t="shared" si="38"/>
        <v>NO</v>
      </c>
      <c r="AD951" t="str">
        <f t="shared" si="39"/>
        <v>NO</v>
      </c>
      <c r="AE951" t="str">
        <f t="shared" si="40"/>
        <v>NO</v>
      </c>
      <c r="AF951" t="str">
        <f t="shared" si="41"/>
        <v>NO</v>
      </c>
    </row>
    <row r="952" spans="1:32" ht="15" x14ac:dyDescent="0.35">
      <c r="A952" s="7" t="s">
        <v>928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>LEFT($A952,FIND("_",$A952)-1)</f>
        <v>SimFix</v>
      </c>
      <c r="P952" s="13" t="str">
        <f>IF($O952="ACS", "True Search", IF($O952="Arja", "Evolutionary Search", IF($O952="AVATAR", "True Pattern", IF($O952="CapGen", "Search Like Pattern", IF($O952="Cardumen", "True Semantic", IF($O952="DynaMoth", "True Semantic", IF($O952="FixMiner", "True Pattern", IF($O952="GenProg-A", "Evolutionary Search", IF($O952="Hercules", "Learning Pattern", IF($O952="Jaid", "True Semantic",
IF($O952="Kali-A", "True Search", IF($O952="kPAR", "True Pattern", IF($O952="Nopol", "True Semantic", IF($O952="RSRepair-A", "Evolutionary Search", IF($O952="SequenceR", "Deep Learning", IF($O952="SimFix", "Search Like Pattern", IF($O952="SketchFix", "True Pattern", IF($O952="SOFix", "True Pattern", IF($O952="ssFix", "Search Like Pattern", IF($O952="TBar", "True Pattern", ""))))))))))))))))))))</f>
        <v>Search Like Pattern</v>
      </c>
      <c r="Q952" s="13" t="str">
        <f>IF(NOT(ISERR(SEARCH("*_Buggy",$A952))), "Buggy", IF(NOT(ISERR(SEARCH("*_Fixed",$A952))), "Fixed", IF(NOT(ISERR(SEARCH("*_Repaired",$A952))), "Repaired", "")))</f>
        <v>Fixed</v>
      </c>
      <c r="R952" s="13" t="s">
        <v>1669</v>
      </c>
      <c r="S952" s="25">
        <v>3</v>
      </c>
      <c r="T952" s="25">
        <v>11</v>
      </c>
      <c r="U952" s="25">
        <v>2</v>
      </c>
      <c r="V952" s="13">
        <v>11</v>
      </c>
      <c r="W952" s="13" t="str">
        <f>MID(A952, SEARCH("_", A952) +1, SEARCH("_", A952, SEARCH("_", A952) +1) - SEARCH("_", A952) -1)</f>
        <v>Lang-1</v>
      </c>
      <c r="Y952" s="1" t="str">
        <f t="shared" si="36"/>
        <v>NO</v>
      </c>
      <c r="Z952" s="1" t="str">
        <f t="shared" si="37"/>
        <v>YES</v>
      </c>
      <c r="AA952" t="str">
        <f>IF(AND(S952&gt;1,S1477&gt;1,S952=V952,S1477=V1477), "YES", "NO")</f>
        <v>NO</v>
      </c>
      <c r="AB952" t="str">
        <f>IF(AND(S952&gt;1,S1477&gt;1,S952&lt;V952,S1477&lt;V1477), "YES", "NO")</f>
        <v>YES</v>
      </c>
      <c r="AC952" t="str">
        <f t="shared" si="38"/>
        <v>NO</v>
      </c>
      <c r="AD952" t="str">
        <f t="shared" si="39"/>
        <v>NO</v>
      </c>
      <c r="AE952" t="str">
        <f t="shared" si="40"/>
        <v>NO</v>
      </c>
      <c r="AF952" t="str">
        <f t="shared" si="41"/>
        <v>YES</v>
      </c>
    </row>
    <row r="953" spans="1:32" ht="15" x14ac:dyDescent="0.35">
      <c r="A953" s="5" t="s">
        <v>1243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>LEFT($A953,FIND("_",$A953)-1)</f>
        <v>SimFix</v>
      </c>
      <c r="P953" s="13" t="str">
        <f>IF($O953="ACS", "True Search", IF($O953="Arja", "Evolutionary Search", IF($O953="AVATAR", "True Pattern", IF($O953="CapGen", "Search Like Pattern", IF($O953="Cardumen", "True Semantic", IF($O953="DynaMoth", "True Semantic", IF($O953="FixMiner", "True Pattern", IF($O953="GenProg-A", "Evolutionary Search", IF($O953="Hercules", "Learning Pattern", IF($O953="Jaid", "True Semantic",
IF($O953="Kali-A", "True Search", IF($O953="kPAR", "True Pattern", IF($O953="Nopol", "True Semantic", IF($O953="RSRepair-A", "Evolutionary Search", IF($O953="SequenceR", "Deep Learning", IF($O953="SimFix", "Search Like Pattern", IF($O953="SketchFix", "True Pattern", IF($O953="SOFix", "True Pattern", IF($O953="ssFix", "Search Like Pattern", IF($O953="TBar", "True Pattern", ""))))))))))))))))))))</f>
        <v>Search Like Pattern</v>
      </c>
      <c r="Q953" s="13" t="str">
        <f>IF(NOT(ISERR(SEARCH("*_Buggy",$A953))), "Buggy", IF(NOT(ISERR(SEARCH("*_Fixed",$A953))), "Fixed", IF(NOT(ISERR(SEARCH("*_Repaired",$A953))), "Repaired", "")))</f>
        <v>Fixed</v>
      </c>
      <c r="R953" s="13" t="s">
        <v>1669</v>
      </c>
      <c r="S953" s="25">
        <v>3</v>
      </c>
      <c r="T953" s="13">
        <v>7</v>
      </c>
      <c r="U953" s="25">
        <v>0</v>
      </c>
      <c r="V953" s="13">
        <v>7</v>
      </c>
      <c r="W953" s="13" t="str">
        <f>MID(A953, SEARCH("_", A953) +1, SEARCH("_", A953, SEARCH("_", A953) +1) - SEARCH("_", A953) -1)</f>
        <v>Lang-12</v>
      </c>
      <c r="Y953" s="1" t="str">
        <f t="shared" si="36"/>
        <v>NO</v>
      </c>
      <c r="Z953" s="1" t="str">
        <f t="shared" si="37"/>
        <v>YES</v>
      </c>
      <c r="AA953" t="str">
        <f>IF(AND(S953&gt;1,S1478&gt;1,S953=V953,S1478=V1478), "YES", "NO")</f>
        <v>NO</v>
      </c>
      <c r="AB953" t="str">
        <f>IF(AND(S953&gt;1,S1478&gt;1,S953&lt;V953,S1478&lt;V1478), "YES", "NO")</f>
        <v>YES</v>
      </c>
      <c r="AC953" t="str">
        <f t="shared" si="38"/>
        <v>NO</v>
      </c>
      <c r="AD953" t="str">
        <f t="shared" si="39"/>
        <v>NO</v>
      </c>
      <c r="AE953" t="str">
        <f t="shared" si="40"/>
        <v>NO</v>
      </c>
      <c r="AF953" t="str">
        <f t="shared" si="41"/>
        <v>YES</v>
      </c>
    </row>
    <row r="954" spans="1:32" ht="15" x14ac:dyDescent="0.35">
      <c r="A954" s="5" t="s">
        <v>958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>LEFT($A954,FIND("_",$A954)-1)</f>
        <v>SimFix</v>
      </c>
      <c r="P954" s="13" t="str">
        <f>IF($O954="ACS", "True Search", IF($O954="Arja", "Evolutionary Search", IF($O954="AVATAR", "True Pattern", IF($O954="CapGen", "Search Like Pattern", IF($O954="Cardumen", "True Semantic", IF($O954="DynaMoth", "True Semantic", IF($O954="FixMiner", "True Pattern", IF($O954="GenProg-A", "Evolutionary Search", IF($O954="Hercules", "Learning Pattern", IF($O954="Jaid", "True Semantic",
IF($O954="Kali-A", "True Search", IF($O954="kPAR", "True Pattern", IF($O954="Nopol", "True Semantic", IF($O954="RSRepair-A", "Evolutionary Search", IF($O954="SequenceR", "Deep Learning", IF($O954="SimFix", "Search Like Pattern", IF($O954="SketchFix", "True Pattern", IF($O954="SOFix", "True Pattern", IF($O954="ssFix", "Search Like Pattern", IF($O954="TBar", "True Pattern", ""))))))))))))))))))))</f>
        <v>Search Like Pattern</v>
      </c>
      <c r="Q954" s="13" t="str">
        <f>IF(NOT(ISERR(SEARCH("*_Buggy",$A954))), "Buggy", IF(NOT(ISERR(SEARCH("*_Fixed",$A954))), "Fixed", IF(NOT(ISERR(SEARCH("*_Repaired",$A954))), "Repaired", "")))</f>
        <v>Fixed</v>
      </c>
      <c r="R954" s="13" t="s">
        <v>1669</v>
      </c>
      <c r="S954" s="25">
        <v>1</v>
      </c>
      <c r="T954" s="25">
        <v>1</v>
      </c>
      <c r="U954" s="25">
        <v>1</v>
      </c>
      <c r="V954" s="13">
        <v>1</v>
      </c>
      <c r="W954" s="13" t="str">
        <f>MID(A954, SEARCH("_", A954) +1, SEARCH("_", A954, SEARCH("_", A954) +1) - SEARCH("_", A954) -1)</f>
        <v>Lang-16</v>
      </c>
      <c r="Y954" s="1" t="str">
        <f t="shared" si="36"/>
        <v>NO</v>
      </c>
      <c r="Z954" s="1" t="str">
        <f t="shared" si="37"/>
        <v>NO</v>
      </c>
      <c r="AA954" t="str">
        <f>IF(AND(S954&gt;1,S1479&gt;1,S954=V954,S1479=V1479), "YES", "NO")</f>
        <v>NO</v>
      </c>
      <c r="AB954" t="str">
        <f>IF(AND(S954&gt;1,S1479&gt;1,S954&lt;V954,S1479&lt;V1479), "YES", "NO")</f>
        <v>NO</v>
      </c>
      <c r="AC954" t="str">
        <f t="shared" si="38"/>
        <v>NO</v>
      </c>
      <c r="AD954" t="str">
        <f t="shared" si="39"/>
        <v>NO</v>
      </c>
      <c r="AE954" t="str">
        <f t="shared" si="40"/>
        <v>NO</v>
      </c>
      <c r="AF954" t="str">
        <f t="shared" si="41"/>
        <v>NO</v>
      </c>
    </row>
    <row r="955" spans="1:32" ht="15" x14ac:dyDescent="0.35">
      <c r="A955" s="7" t="s">
        <v>408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>LEFT($A955,FIND("_",$A955)-1)</f>
        <v>SimFix</v>
      </c>
      <c r="P955" s="13" t="str">
        <f>IF($O955="ACS", "True Search", IF($O955="Arja", "Evolutionary Search", IF($O955="AVATAR", "True Pattern", IF($O955="CapGen", "Search Like Pattern", IF($O955="Cardumen", "True Semantic", IF($O955="DynaMoth", "True Semantic", IF($O955="FixMiner", "True Pattern", IF($O955="GenProg-A", "Evolutionary Search", IF($O955="Hercules", "Learning Pattern", IF($O955="Jaid", "True Semantic",
IF($O955="Kali-A", "True Search", IF($O955="kPAR", "True Pattern", IF($O955="Nopol", "True Semantic", IF($O955="RSRepair-A", "Evolutionary Search", IF($O955="SequenceR", "Deep Learning", IF($O955="SimFix", "Search Like Pattern", IF($O955="SketchFix", "True Pattern", IF($O955="SOFix", "True Pattern", IF($O955="ssFix", "Search Like Pattern", IF($O955="TBar", "True Pattern", ""))))))))))))))))))))</f>
        <v>Search Like Pattern</v>
      </c>
      <c r="Q955" s="13" t="str">
        <f>IF(NOT(ISERR(SEARCH("*_Buggy",$A955))), "Buggy", IF(NOT(ISERR(SEARCH("*_Fixed",$A955))), "Fixed", IF(NOT(ISERR(SEARCH("*_Repaired",$A955))), "Repaired", "")))</f>
        <v>Fixed</v>
      </c>
      <c r="R955" s="13" t="s">
        <v>1669</v>
      </c>
      <c r="S955" s="25">
        <v>2</v>
      </c>
      <c r="T955" s="25">
        <v>4</v>
      </c>
      <c r="U955" s="25">
        <v>1</v>
      </c>
      <c r="V955" s="13">
        <v>4</v>
      </c>
      <c r="W955" s="13" t="str">
        <f>MID(A955, SEARCH("_", A955) +1, SEARCH("_", A955, SEARCH("_", A955) +1) - SEARCH("_", A955) -1)</f>
        <v>Lang-27</v>
      </c>
      <c r="Y955" s="1" t="str">
        <f t="shared" si="36"/>
        <v>NO</v>
      </c>
      <c r="Z955" s="1" t="str">
        <f t="shared" si="37"/>
        <v>YES</v>
      </c>
      <c r="AA955" t="str">
        <f>IF(AND(S955&gt;1,S1480&gt;1,S955=V955,S1480=V1480), "YES", "NO")</f>
        <v>NO</v>
      </c>
      <c r="AB955" t="str">
        <f>IF(AND(S955&gt;1,S1480&gt;1,S955&lt;V955,S1480&lt;V1480), "YES", "NO")</f>
        <v>YES</v>
      </c>
      <c r="AC955" t="str">
        <f t="shared" si="38"/>
        <v>NO</v>
      </c>
      <c r="AD955" t="str">
        <f t="shared" si="39"/>
        <v>NO</v>
      </c>
      <c r="AE955" t="str">
        <f t="shared" si="40"/>
        <v>NO</v>
      </c>
      <c r="AF955" t="str">
        <f t="shared" si="41"/>
        <v>YES</v>
      </c>
    </row>
    <row r="956" spans="1:32" ht="15" x14ac:dyDescent="0.35">
      <c r="A956" s="7" t="s">
        <v>873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>LEFT($A956,FIND("_",$A956)-1)</f>
        <v>SimFix</v>
      </c>
      <c r="P956" s="13" t="str">
        <f>IF($O956="ACS", "True Search", IF($O956="Arja", "Evolutionary Search", IF($O956="AVATAR", "True Pattern", IF($O956="CapGen", "Search Like Pattern", IF($O956="Cardumen", "True Semantic", IF($O956="DynaMoth", "True Semantic", IF($O956="FixMiner", "True Pattern", IF($O956="GenProg-A", "Evolutionary Search", IF($O956="Hercules", "Learning Pattern", IF($O956="Jaid", "True Semantic",
IF($O956="Kali-A", "True Search", IF($O956="kPAR", "True Pattern", IF($O956="Nopol", "True Semantic", IF($O956="RSRepair-A", "Evolutionary Search", IF($O956="SequenceR", "Deep Learning", IF($O956="SimFix", "Search Like Pattern", IF($O956="SketchFix", "True Pattern", IF($O956="SOFix", "True Pattern", IF($O956="ssFix", "Search Like Pattern", IF($O956="TBar", "True Pattern", ""))))))))))))))))))))</f>
        <v>Search Like Pattern</v>
      </c>
      <c r="Q956" s="13" t="str">
        <f>IF(NOT(ISERR(SEARCH("*_Buggy",$A956))), "Buggy", IF(NOT(ISERR(SEARCH("*_Fixed",$A956))), "Fixed", IF(NOT(ISERR(SEARCH("*_Repaired",$A956))), "Repaired", "")))</f>
        <v>Fixed</v>
      </c>
      <c r="R956" s="13" t="s">
        <v>1668</v>
      </c>
      <c r="S956" s="25">
        <v>1</v>
      </c>
      <c r="T956" s="25">
        <v>1</v>
      </c>
      <c r="U956" s="25">
        <v>1</v>
      </c>
      <c r="V956" s="13">
        <v>1</v>
      </c>
      <c r="W956" s="13" t="str">
        <f>MID(A956, SEARCH("_", A956) +1, SEARCH("_", A956, SEARCH("_", A956) +1) - SEARCH("_", A956) -1)</f>
        <v>Lang-33</v>
      </c>
      <c r="Y956" s="1" t="str">
        <f t="shared" si="36"/>
        <v>NO</v>
      </c>
      <c r="Z956" s="1" t="str">
        <f t="shared" si="37"/>
        <v>NO</v>
      </c>
      <c r="AA956" t="str">
        <f>IF(AND(S956&gt;1,S1481&gt;1,S956=V956,S1481=V1481), "YES", "NO")</f>
        <v>NO</v>
      </c>
      <c r="AB956" t="str">
        <f>IF(AND(S956&gt;1,S1481&gt;1,S956&lt;V956,S1481&lt;V1481), "YES", "NO")</f>
        <v>NO</v>
      </c>
      <c r="AC956" t="str">
        <f t="shared" si="38"/>
        <v>NO</v>
      </c>
      <c r="AD956" t="str">
        <f t="shared" si="39"/>
        <v>NO</v>
      </c>
      <c r="AE956" t="str">
        <f t="shared" si="40"/>
        <v>NO</v>
      </c>
      <c r="AF956" t="str">
        <f t="shared" si="41"/>
        <v>NO</v>
      </c>
    </row>
    <row r="957" spans="1:32" ht="15" x14ac:dyDescent="0.35">
      <c r="A957" s="5" t="s">
        <v>351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>LEFT($A957,FIND("_",$A957)-1)</f>
        <v>SimFix</v>
      </c>
      <c r="P957" s="13" t="str">
        <f>IF($O957="ACS", "True Search", IF($O957="Arja", "Evolutionary Search", IF($O957="AVATAR", "True Pattern", IF($O957="CapGen", "Search Like Pattern", IF($O957="Cardumen", "True Semantic", IF($O957="DynaMoth", "True Semantic", IF($O957="FixMiner", "True Pattern", IF($O957="GenProg-A", "Evolutionary Search", IF($O957="Hercules", "Learning Pattern", IF($O957="Jaid", "True Semantic",
IF($O957="Kali-A", "True Search", IF($O957="kPAR", "True Pattern", IF($O957="Nopol", "True Semantic", IF($O957="RSRepair-A", "Evolutionary Search", IF($O957="SequenceR", "Deep Learning", IF($O957="SimFix", "Search Like Pattern", IF($O957="SketchFix", "True Pattern", IF($O957="SOFix", "True Pattern", IF($O957="ssFix", "Search Like Pattern", IF($O957="TBar", "True Pattern", ""))))))))))))))))))))</f>
        <v>Search Like Pattern</v>
      </c>
      <c r="Q957" s="13" t="str">
        <f>IF(NOT(ISERR(SEARCH("*_Buggy",$A957))), "Buggy", IF(NOT(ISERR(SEARCH("*_Fixed",$A957))), "Fixed", IF(NOT(ISERR(SEARCH("*_Repaired",$A957))), "Repaired", "")))</f>
        <v>Fixed</v>
      </c>
      <c r="R957" s="13" t="s">
        <v>1668</v>
      </c>
      <c r="S957" s="25">
        <v>1</v>
      </c>
      <c r="T957" s="13">
        <v>3</v>
      </c>
      <c r="U957" s="25">
        <v>0</v>
      </c>
      <c r="V957" s="13">
        <v>3</v>
      </c>
      <c r="W957" s="13" t="str">
        <f>MID(A957, SEARCH("_", A957) +1, SEARCH("_", A957, SEARCH("_", A957) +1) - SEARCH("_", A957) -1)</f>
        <v>Lang-39</v>
      </c>
      <c r="Y957" s="1" t="str">
        <f t="shared" si="36"/>
        <v>NO</v>
      </c>
      <c r="Z957" s="1" t="str">
        <f t="shared" si="37"/>
        <v>NO</v>
      </c>
      <c r="AA957" t="str">
        <f>IF(AND(S957&gt;1,S1482&gt;1,S957=V957,S1482=V1482), "YES", "NO")</f>
        <v>NO</v>
      </c>
      <c r="AB957" t="str">
        <f>IF(AND(S957&gt;1,S1482&gt;1,S957&lt;V957,S1482&lt;V1482), "YES", "NO")</f>
        <v>NO</v>
      </c>
      <c r="AC957" t="str">
        <f t="shared" si="38"/>
        <v>NO</v>
      </c>
      <c r="AD957" t="str">
        <f t="shared" si="39"/>
        <v>NO</v>
      </c>
      <c r="AE957" t="str">
        <f t="shared" si="40"/>
        <v>NO</v>
      </c>
      <c r="AF957" t="str">
        <f t="shared" si="41"/>
        <v>YES</v>
      </c>
    </row>
    <row r="958" spans="1:32" ht="15" x14ac:dyDescent="0.35">
      <c r="A958" s="7" t="s">
        <v>1240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>LEFT($A958,FIND("_",$A958)-1)</f>
        <v>SimFix</v>
      </c>
      <c r="P958" s="13" t="str">
        <f>IF($O958="ACS", "True Search", IF($O958="Arja", "Evolutionary Search", IF($O958="AVATAR", "True Pattern", IF($O958="CapGen", "Search Like Pattern", IF($O958="Cardumen", "True Semantic", IF($O958="DynaMoth", "True Semantic", IF($O958="FixMiner", "True Pattern", IF($O958="GenProg-A", "Evolutionary Search", IF($O958="Hercules", "Learning Pattern", IF($O958="Jaid", "True Semantic",
IF($O958="Kali-A", "True Search", IF($O958="kPAR", "True Pattern", IF($O958="Nopol", "True Semantic", IF($O958="RSRepair-A", "Evolutionary Search", IF($O958="SequenceR", "Deep Learning", IF($O958="SimFix", "Search Like Pattern", IF($O958="SketchFix", "True Pattern", IF($O958="SOFix", "True Pattern", IF($O958="ssFix", "Search Like Pattern", IF($O958="TBar", "True Pattern", ""))))))))))))))))))))</f>
        <v>Search Like Pattern</v>
      </c>
      <c r="Q958" s="13" t="str">
        <f>IF(NOT(ISERR(SEARCH("*_Buggy",$A958))), "Buggy", IF(NOT(ISERR(SEARCH("*_Fixed",$A958))), "Fixed", IF(NOT(ISERR(SEARCH("*_Repaired",$A958))), "Repaired", "")))</f>
        <v>Fixed</v>
      </c>
      <c r="R958" s="13" t="s">
        <v>1669</v>
      </c>
      <c r="S958" s="25">
        <v>8</v>
      </c>
      <c r="T958" s="25">
        <v>21</v>
      </c>
      <c r="U958" s="25">
        <v>2</v>
      </c>
      <c r="V958" s="13">
        <v>21</v>
      </c>
      <c r="W958" s="13" t="str">
        <f>MID(A958, SEARCH("_", A958) +1, SEARCH("_", A958, SEARCH("_", A958) +1) - SEARCH("_", A958) -1)</f>
        <v>Lang-41</v>
      </c>
      <c r="Y958" s="1" t="str">
        <f t="shared" si="36"/>
        <v>NO</v>
      </c>
      <c r="Z958" s="1" t="str">
        <f t="shared" si="37"/>
        <v>YES</v>
      </c>
      <c r="AA958" t="str">
        <f>IF(AND(S958&gt;1,S1483&gt;1,S958=V958,S1483=V1483), "YES", "NO")</f>
        <v>NO</v>
      </c>
      <c r="AB958" t="str">
        <f>IF(AND(S958&gt;1,S1483&gt;1,S958&lt;V958,S1483&lt;V1483), "YES", "NO")</f>
        <v>YES</v>
      </c>
      <c r="AC958" t="str">
        <f t="shared" si="38"/>
        <v>NO</v>
      </c>
      <c r="AD958" t="str">
        <f t="shared" si="39"/>
        <v>NO</v>
      </c>
      <c r="AE958" t="str">
        <f t="shared" si="40"/>
        <v>NO</v>
      </c>
      <c r="AF958" t="str">
        <f t="shared" si="41"/>
        <v>YES</v>
      </c>
    </row>
    <row r="959" spans="1:32" ht="15" x14ac:dyDescent="0.35">
      <c r="A959" s="7" t="s">
        <v>164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>LEFT($A959,FIND("_",$A959)-1)</f>
        <v>SimFix</v>
      </c>
      <c r="P959" s="13" t="str">
        <f>IF($O959="ACS", "True Search", IF($O959="Arja", "Evolutionary Search", IF($O959="AVATAR", "True Pattern", IF($O959="CapGen", "Search Like Pattern", IF($O959="Cardumen", "True Semantic", IF($O959="DynaMoth", "True Semantic", IF($O959="FixMiner", "True Pattern", IF($O959="GenProg-A", "Evolutionary Search", IF($O959="Hercules", "Learning Pattern", IF($O959="Jaid", "True Semantic",
IF($O959="Kali-A", "True Search", IF($O959="kPAR", "True Pattern", IF($O959="Nopol", "True Semantic", IF($O959="RSRepair-A", "Evolutionary Search", IF($O959="SequenceR", "Deep Learning", IF($O959="SimFix", "Search Like Pattern", IF($O959="SketchFix", "True Pattern", IF($O959="SOFix", "True Pattern", IF($O959="ssFix", "Search Like Pattern", IF($O959="TBar", "True Pattern", ""))))))))))))))))))))</f>
        <v>Search Like Pattern</v>
      </c>
      <c r="Q959" s="13" t="str">
        <f>IF(NOT(ISERR(SEARCH("*_Buggy",$A959))), "Buggy", IF(NOT(ISERR(SEARCH("*_Fixed",$A959))), "Fixed", IF(NOT(ISERR(SEARCH("*_Repaired",$A959))), "Repaired", "")))</f>
        <v>Fixed</v>
      </c>
      <c r="R959" s="13" t="s">
        <v>1668</v>
      </c>
      <c r="S959" s="25">
        <v>1</v>
      </c>
      <c r="T959" s="13">
        <v>1</v>
      </c>
      <c r="U959" s="25">
        <v>0</v>
      </c>
      <c r="V959" s="13">
        <v>1</v>
      </c>
      <c r="W959" s="13" t="str">
        <f>MID(A959, SEARCH("_", A959) +1, SEARCH("_", A959, SEARCH("_", A959) +1) - SEARCH("_", A959) -1)</f>
        <v>Lang-43</v>
      </c>
      <c r="Y959" s="1" t="str">
        <f t="shared" si="36"/>
        <v>NO</v>
      </c>
      <c r="Z959" s="1" t="str">
        <f t="shared" si="37"/>
        <v>NO</v>
      </c>
      <c r="AA959" t="str">
        <f>IF(AND(S959&gt;1,S1484&gt;1,S959=V959,S1484=V1484), "YES", "NO")</f>
        <v>NO</v>
      </c>
      <c r="AB959" t="str">
        <f>IF(AND(S959&gt;1,S1484&gt;1,S959&lt;V959,S1484&lt;V1484), "YES", "NO")</f>
        <v>NO</v>
      </c>
      <c r="AC959" t="str">
        <f t="shared" si="38"/>
        <v>NO</v>
      </c>
      <c r="AD959" t="str">
        <f t="shared" si="39"/>
        <v>NO</v>
      </c>
      <c r="AE959" t="str">
        <f t="shared" si="40"/>
        <v>NO</v>
      </c>
      <c r="AF959" t="str">
        <f t="shared" si="41"/>
        <v>NO</v>
      </c>
    </row>
    <row r="960" spans="1:32" ht="15" x14ac:dyDescent="0.35">
      <c r="A960" s="5" t="s">
        <v>484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>LEFT($A960,FIND("_",$A960)-1)</f>
        <v>SimFix</v>
      </c>
      <c r="P960" s="13" t="str">
        <f>IF($O960="ACS", "True Search", IF($O960="Arja", "Evolutionary Search", IF($O960="AVATAR", "True Pattern", IF($O960="CapGen", "Search Like Pattern", IF($O960="Cardumen", "True Semantic", IF($O960="DynaMoth", "True Semantic", IF($O960="FixMiner", "True Pattern", IF($O960="GenProg-A", "Evolutionary Search", IF($O960="Hercules", "Learning Pattern", IF($O960="Jaid", "True Semantic",
IF($O960="Kali-A", "True Search", IF($O960="kPAR", "True Pattern", IF($O960="Nopol", "True Semantic", IF($O960="RSRepair-A", "Evolutionary Search", IF($O960="SequenceR", "Deep Learning", IF($O960="SimFix", "Search Like Pattern", IF($O960="SketchFix", "True Pattern", IF($O960="SOFix", "True Pattern", IF($O960="ssFix", "Search Like Pattern", IF($O960="TBar", "True Pattern", ""))))))))))))))))))))</f>
        <v>Search Like Pattern</v>
      </c>
      <c r="Q960" s="13" t="str">
        <f>IF(NOT(ISERR(SEARCH("*_Buggy",$A960))), "Buggy", IF(NOT(ISERR(SEARCH("*_Fixed",$A960))), "Fixed", IF(NOT(ISERR(SEARCH("*_Repaired",$A960))), "Repaired", "")))</f>
        <v>Fixed</v>
      </c>
      <c r="R960" s="13" t="s">
        <v>1669</v>
      </c>
      <c r="S960" s="25">
        <v>1</v>
      </c>
      <c r="T960" s="13">
        <v>3</v>
      </c>
      <c r="U960" s="25">
        <v>0</v>
      </c>
      <c r="V960" s="13">
        <v>3</v>
      </c>
      <c r="W960" s="13" t="str">
        <f>MID(A960, SEARCH("_", A960) +1, SEARCH("_", A960, SEARCH("_", A960) +1) - SEARCH("_", A960) -1)</f>
        <v>Lang-45</v>
      </c>
      <c r="Y960" s="1" t="str">
        <f t="shared" si="36"/>
        <v>NO</v>
      </c>
      <c r="Z960" s="1" t="str">
        <f t="shared" si="37"/>
        <v>NO</v>
      </c>
      <c r="AA960" t="str">
        <f>IF(AND(S960&gt;1,S1485&gt;1,S960=V960,S1485=V1485), "YES", "NO")</f>
        <v>NO</v>
      </c>
      <c r="AB960" t="str">
        <f>IF(AND(S960&gt;1,S1485&gt;1,S960&lt;V960,S1485&lt;V1485), "YES", "NO")</f>
        <v>NO</v>
      </c>
      <c r="AC960" t="str">
        <f t="shared" si="38"/>
        <v>NO</v>
      </c>
      <c r="AD960" t="str">
        <f t="shared" si="39"/>
        <v>NO</v>
      </c>
      <c r="AE960" t="str">
        <f t="shared" si="40"/>
        <v>NO</v>
      </c>
      <c r="AF960" t="str">
        <f t="shared" si="41"/>
        <v>YES</v>
      </c>
    </row>
    <row r="961" spans="1:32" ht="15" x14ac:dyDescent="0.35">
      <c r="A961" s="7" t="s">
        <v>314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>LEFT($A961,FIND("_",$A961)-1)</f>
        <v>SimFix</v>
      </c>
      <c r="P961" s="13" t="str">
        <f>IF($O961="ACS", "True Search", IF($O961="Arja", "Evolutionary Search", IF($O961="AVATAR", "True Pattern", IF($O961="CapGen", "Search Like Pattern", IF($O961="Cardumen", "True Semantic", IF($O961="DynaMoth", "True Semantic", IF($O961="FixMiner", "True Pattern", IF($O961="GenProg-A", "Evolutionary Search", IF($O961="Hercules", "Learning Pattern", IF($O961="Jaid", "True Semantic",
IF($O961="Kali-A", "True Search", IF($O961="kPAR", "True Pattern", IF($O961="Nopol", "True Semantic", IF($O961="RSRepair-A", "Evolutionary Search", IF($O961="SequenceR", "Deep Learning", IF($O961="SimFix", "Search Like Pattern", IF($O961="SketchFix", "True Pattern", IF($O961="SOFix", "True Pattern", IF($O961="ssFix", "Search Like Pattern", IF($O961="TBar", "True Pattern", ""))))))))))))))))))))</f>
        <v>Search Like Pattern</v>
      </c>
      <c r="Q961" s="13" t="str">
        <f>IF(NOT(ISERR(SEARCH("*_Buggy",$A961))), "Buggy", IF(NOT(ISERR(SEARCH("*_Fixed",$A961))), "Fixed", IF(NOT(ISERR(SEARCH("*_Repaired",$A961))), "Repaired", "")))</f>
        <v>Fixed</v>
      </c>
      <c r="R961" s="13" t="s">
        <v>1669</v>
      </c>
      <c r="S961" s="25">
        <v>6</v>
      </c>
      <c r="T961" s="25">
        <v>6</v>
      </c>
      <c r="U961" s="25">
        <v>10</v>
      </c>
      <c r="V961" s="13">
        <v>12</v>
      </c>
      <c r="W961" s="13" t="str">
        <f>MID(A961, SEARCH("_", A961) +1, SEARCH("_", A961, SEARCH("_", A961) +1) - SEARCH("_", A961) -1)</f>
        <v>Lang-50</v>
      </c>
      <c r="Y961" s="1" t="str">
        <f t="shared" si="36"/>
        <v>NO</v>
      </c>
      <c r="Z961" s="1" t="str">
        <f t="shared" si="37"/>
        <v>YES</v>
      </c>
      <c r="AA961" t="str">
        <f>IF(AND(S961&gt;1,S1486&gt;1,S961=V961,S1486=V1486), "YES", "NO")</f>
        <v>NO</v>
      </c>
      <c r="AB961" t="str">
        <f>IF(AND(S961&gt;1,S1486&gt;1,S961&lt;V961,S1486&lt;V1486), "YES", "NO")</f>
        <v>YES</v>
      </c>
      <c r="AC961" t="str">
        <f t="shared" si="38"/>
        <v>NO</v>
      </c>
      <c r="AD961" t="str">
        <f t="shared" si="39"/>
        <v>NO</v>
      </c>
      <c r="AE961" t="str">
        <f t="shared" si="40"/>
        <v>NO</v>
      </c>
      <c r="AF961" t="str">
        <f t="shared" si="41"/>
        <v>YES</v>
      </c>
    </row>
    <row r="962" spans="1:32" ht="15" x14ac:dyDescent="0.35">
      <c r="A962" s="5" t="s">
        <v>1255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>LEFT($A962,FIND("_",$A962)-1)</f>
        <v>SimFix</v>
      </c>
      <c r="P962" s="13" t="str">
        <f>IF($O962="ACS", "True Search", IF($O962="Arja", "Evolutionary Search", IF($O962="AVATAR", "True Pattern", IF($O962="CapGen", "Search Like Pattern", IF($O962="Cardumen", "True Semantic", IF($O962="DynaMoth", "True Semantic", IF($O962="FixMiner", "True Pattern", IF($O962="GenProg-A", "Evolutionary Search", IF($O962="Hercules", "Learning Pattern", IF($O962="Jaid", "True Semantic",
IF($O962="Kali-A", "True Search", IF($O962="kPAR", "True Pattern", IF($O962="Nopol", "True Semantic", IF($O962="RSRepair-A", "Evolutionary Search", IF($O962="SequenceR", "Deep Learning", IF($O962="SimFix", "Search Like Pattern", IF($O962="SketchFix", "True Pattern", IF($O962="SOFix", "True Pattern", IF($O962="ssFix", "Search Like Pattern", IF($O962="TBar", "True Pattern", ""))))))))))))))))))))</f>
        <v>Search Like Pattern</v>
      </c>
      <c r="Q962" s="13" t="str">
        <f>IF(NOT(ISERR(SEARCH("*_Buggy",$A962))), "Buggy", IF(NOT(ISERR(SEARCH("*_Fixed",$A962))), "Fixed", IF(NOT(ISERR(SEARCH("*_Repaired",$A962))), "Repaired", "")))</f>
        <v>Fixed</v>
      </c>
      <c r="R962" s="13" t="s">
        <v>1668</v>
      </c>
      <c r="S962" s="25">
        <v>1</v>
      </c>
      <c r="T962" s="25">
        <v>1</v>
      </c>
      <c r="U962" s="25">
        <v>2</v>
      </c>
      <c r="V962" s="13">
        <v>2</v>
      </c>
      <c r="W962" s="13" t="str">
        <f>MID(A962, SEARCH("_", A962) +1, SEARCH("_", A962, SEARCH("_", A962) +1) - SEARCH("_", A962) -1)</f>
        <v>Lang-58</v>
      </c>
      <c r="Y962" s="1" t="str">
        <f t="shared" si="36"/>
        <v>NO</v>
      </c>
      <c r="Z962" s="1" t="str">
        <f t="shared" si="37"/>
        <v>NO</v>
      </c>
      <c r="AA962" t="str">
        <f>IF(AND(S962&gt;1,S1487&gt;1,S962=V962,S1487=V1487), "YES", "NO")</f>
        <v>NO</v>
      </c>
      <c r="AB962" t="str">
        <f>IF(AND(S962&gt;1,S1487&gt;1,S962&lt;V962,S1487&lt;V1487), "YES", "NO")</f>
        <v>NO</v>
      </c>
      <c r="AC962" t="str">
        <f t="shared" si="38"/>
        <v>NO</v>
      </c>
      <c r="AD962" t="str">
        <f t="shared" si="39"/>
        <v>NO</v>
      </c>
      <c r="AE962" t="str">
        <f t="shared" si="40"/>
        <v>NO</v>
      </c>
      <c r="AF962" t="str">
        <f t="shared" si="41"/>
        <v>YES</v>
      </c>
    </row>
    <row r="963" spans="1:32" ht="15" x14ac:dyDescent="0.35">
      <c r="A963" s="5" t="s">
        <v>556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>LEFT($A963,FIND("_",$A963)-1)</f>
        <v>SimFix</v>
      </c>
      <c r="P963" s="13" t="str">
        <f>IF($O963="ACS", "True Search", IF($O963="Arja", "Evolutionary Search", IF($O963="AVATAR", "True Pattern", IF($O963="CapGen", "Search Like Pattern", IF($O963="Cardumen", "True Semantic", IF($O963="DynaMoth", "True Semantic", IF($O963="FixMiner", "True Pattern", IF($O963="GenProg-A", "Evolutionary Search", IF($O963="Hercules", "Learning Pattern", IF($O963="Jaid", "True Semantic",
IF($O963="Kali-A", "True Search", IF($O963="kPAR", "True Pattern", IF($O963="Nopol", "True Semantic", IF($O963="RSRepair-A", "Evolutionary Search", IF($O963="SequenceR", "Deep Learning", IF($O963="SimFix", "Search Like Pattern", IF($O963="SketchFix", "True Pattern", IF($O963="SOFix", "True Pattern", IF($O963="ssFix", "Search Like Pattern", IF($O963="TBar", "True Pattern", ""))))))))))))))))))))</f>
        <v>Search Like Pattern</v>
      </c>
      <c r="Q963" s="13" t="str">
        <f>IF(NOT(ISERR(SEARCH("*_Buggy",$A963))), "Buggy", IF(NOT(ISERR(SEARCH("*_Fixed",$A963))), "Fixed", IF(NOT(ISERR(SEARCH("*_Repaired",$A963))), "Repaired", "")))</f>
        <v>Fixed</v>
      </c>
      <c r="R963" s="13" t="s">
        <v>1668</v>
      </c>
      <c r="S963" s="25">
        <v>2</v>
      </c>
      <c r="T963" s="25">
        <v>2</v>
      </c>
      <c r="U963" s="25">
        <v>2</v>
      </c>
      <c r="V963" s="13">
        <v>2</v>
      </c>
      <c r="W963" s="13" t="str">
        <f>MID(A963, SEARCH("_", A963) +1, SEARCH("_", A963, SEARCH("_", A963) +1) - SEARCH("_", A963) -1)</f>
        <v>Lang-60</v>
      </c>
      <c r="Y963" s="1" t="str">
        <f t="shared" si="36"/>
        <v>YES</v>
      </c>
      <c r="Z963" s="1" t="str">
        <f t="shared" si="37"/>
        <v>NO</v>
      </c>
      <c r="AA963" t="str">
        <f>IF(AND(S963&gt;1,S1488&gt;1,S963=V963,S1488=V1488), "YES", "NO")</f>
        <v>NO</v>
      </c>
      <c r="AB963" t="str">
        <f>IF(AND(S963&gt;1,S1488&gt;1,S963&lt;V963,S1488&lt;V1488), "YES", "NO")</f>
        <v>NO</v>
      </c>
      <c r="AC963" t="str">
        <f t="shared" si="38"/>
        <v>NO</v>
      </c>
      <c r="AD963" t="str">
        <f t="shared" si="39"/>
        <v>NO</v>
      </c>
      <c r="AE963" t="str">
        <f t="shared" si="40"/>
        <v>NO</v>
      </c>
      <c r="AF963" t="str">
        <f t="shared" si="41"/>
        <v>YES</v>
      </c>
    </row>
    <row r="964" spans="1:32" ht="15" x14ac:dyDescent="0.35">
      <c r="A964" s="5" t="s">
        <v>613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>LEFT($A964,FIND("_",$A964)-1)</f>
        <v>SimFix</v>
      </c>
      <c r="P964" s="13" t="str">
        <f>IF($O964="ACS", "True Search", IF($O964="Arja", "Evolutionary Search", IF($O964="AVATAR", "True Pattern", IF($O964="CapGen", "Search Like Pattern", IF($O964="Cardumen", "True Semantic", IF($O964="DynaMoth", "True Semantic", IF($O964="FixMiner", "True Pattern", IF($O964="GenProg-A", "Evolutionary Search", IF($O964="Hercules", "Learning Pattern", IF($O964="Jaid", "True Semantic",
IF($O964="Kali-A", "True Search", IF($O964="kPAR", "True Pattern", IF($O964="Nopol", "True Semantic", IF($O964="RSRepair-A", "Evolutionary Search", IF($O964="SequenceR", "Deep Learning", IF($O964="SimFix", "Search Like Pattern", IF($O964="SketchFix", "True Pattern", IF($O964="SOFix", "True Pattern", IF($O964="ssFix", "Search Like Pattern", IF($O964="TBar", "True Pattern", ""))))))))))))))))))))</f>
        <v>Search Like Pattern</v>
      </c>
      <c r="Q964" s="13" t="str">
        <f>IF(NOT(ISERR(SEARCH("*_Buggy",$A964))), "Buggy", IF(NOT(ISERR(SEARCH("*_Fixed",$A964))), "Fixed", IF(NOT(ISERR(SEARCH("*_Repaired",$A964))), "Repaired", "")))</f>
        <v>Fixed</v>
      </c>
      <c r="R964" s="13" t="s">
        <v>1669</v>
      </c>
      <c r="S964" s="25">
        <v>1</v>
      </c>
      <c r="T964" s="25">
        <v>1</v>
      </c>
      <c r="U964" s="25">
        <v>1</v>
      </c>
      <c r="V964" s="13">
        <v>1</v>
      </c>
      <c r="W964" s="13" t="str">
        <f>MID(A964, SEARCH("_", A964) +1, SEARCH("_", A964, SEARCH("_", A964) +1) - SEARCH("_", A964) -1)</f>
        <v>Lang-61</v>
      </c>
      <c r="Y964" s="1" t="str">
        <f t="shared" si="36"/>
        <v>NO</v>
      </c>
      <c r="Z964" s="1" t="str">
        <f t="shared" si="37"/>
        <v>NO</v>
      </c>
      <c r="AA964" t="str">
        <f>IF(AND(S964&gt;1,S1489&gt;1,S964=V964,S1489=V1489), "YES", "NO")</f>
        <v>NO</v>
      </c>
      <c r="AB964" t="str">
        <f>IF(AND(S964&gt;1,S1489&gt;1,S964&lt;V964,S1489&lt;V1489), "YES", "NO")</f>
        <v>NO</v>
      </c>
      <c r="AC964" t="str">
        <f t="shared" si="38"/>
        <v>NO</v>
      </c>
      <c r="AD964" t="str">
        <f t="shared" si="39"/>
        <v>NO</v>
      </c>
      <c r="AE964" t="str">
        <f t="shared" si="40"/>
        <v>NO</v>
      </c>
      <c r="AF964" t="str">
        <f t="shared" si="41"/>
        <v>NO</v>
      </c>
    </row>
    <row r="965" spans="1:32" ht="15" x14ac:dyDescent="0.35">
      <c r="A965" s="5" t="s">
        <v>729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>LEFT($A965,FIND("_",$A965)-1)</f>
        <v>SimFix</v>
      </c>
      <c r="P965" s="13" t="str">
        <f>IF($O965="ACS", "True Search", IF($O965="Arja", "Evolutionary Search", IF($O965="AVATAR", "True Pattern", IF($O965="CapGen", "Search Like Pattern", IF($O965="Cardumen", "True Semantic", IF($O965="DynaMoth", "True Semantic", IF($O965="FixMiner", "True Pattern", IF($O965="GenProg-A", "Evolutionary Search", IF($O965="Hercules", "Learning Pattern", IF($O965="Jaid", "True Semantic",
IF($O965="Kali-A", "True Search", IF($O965="kPAR", "True Pattern", IF($O965="Nopol", "True Semantic", IF($O965="RSRepair-A", "Evolutionary Search", IF($O965="SequenceR", "Deep Learning", IF($O965="SimFix", "Search Like Pattern", IF($O965="SketchFix", "True Pattern", IF($O965="SOFix", "True Pattern", IF($O965="ssFix", "Search Like Pattern", IF($O965="TBar", "True Pattern", ""))))))))))))))))))))</f>
        <v>Search Like Pattern</v>
      </c>
      <c r="Q965" s="13" t="str">
        <f>IF(NOT(ISERR(SEARCH("*_Buggy",$A965))), "Buggy", IF(NOT(ISERR(SEARCH("*_Fixed",$A965))), "Fixed", IF(NOT(ISERR(SEARCH("*_Repaired",$A965))), "Repaired", "")))</f>
        <v>Fixed</v>
      </c>
      <c r="R965" s="13" t="s">
        <v>1669</v>
      </c>
      <c r="S965" s="25">
        <v>4</v>
      </c>
      <c r="T965" s="25">
        <v>3</v>
      </c>
      <c r="U965" s="25">
        <v>20</v>
      </c>
      <c r="V965" s="13">
        <v>22</v>
      </c>
      <c r="W965" s="13" t="str">
        <f>MID(A965, SEARCH("_", A965) +1, SEARCH("_", A965, SEARCH("_", A965) +1) - SEARCH("_", A965) -1)</f>
        <v>Lang-63</v>
      </c>
      <c r="Y965" s="1" t="str">
        <f t="shared" si="36"/>
        <v>NO</v>
      </c>
      <c r="Z965" s="1" t="str">
        <f t="shared" si="37"/>
        <v>YES</v>
      </c>
      <c r="AA965" t="str">
        <f>IF(AND(S965&gt;1,S1490&gt;1,S965=V965,S1490=V1490), "YES", "NO")</f>
        <v>NO</v>
      </c>
      <c r="AB965" t="str">
        <f>IF(AND(S965&gt;1,S1490&gt;1,S965&lt;V965,S1490&lt;V1490), "YES", "NO")</f>
        <v>YES</v>
      </c>
      <c r="AC965" t="str">
        <f t="shared" si="38"/>
        <v>NO</v>
      </c>
      <c r="AD965" t="str">
        <f t="shared" si="39"/>
        <v>NO</v>
      </c>
      <c r="AE965" t="str">
        <f t="shared" si="40"/>
        <v>NO</v>
      </c>
      <c r="AF965" t="str">
        <f t="shared" si="41"/>
        <v>YES</v>
      </c>
    </row>
    <row r="966" spans="1:32" ht="15" x14ac:dyDescent="0.35">
      <c r="A966" s="7" t="s">
        <v>991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>LEFT($A966,FIND("_",$A966)-1)</f>
        <v>SimFix</v>
      </c>
      <c r="P966" s="13" t="str">
        <f>IF($O966="ACS", "True Search", IF($O966="Arja", "Evolutionary Search", IF($O966="AVATAR", "True Pattern", IF($O966="CapGen", "Search Like Pattern", IF($O966="Cardumen", "True Semantic", IF($O966="DynaMoth", "True Semantic", IF($O966="FixMiner", "True Pattern", IF($O966="GenProg-A", "Evolutionary Search", IF($O966="Hercules", "Learning Pattern", IF($O966="Jaid", "True Semantic",
IF($O966="Kali-A", "True Search", IF($O966="kPAR", "True Pattern", IF($O966="Nopol", "True Semantic", IF($O966="RSRepair-A", "Evolutionary Search", IF($O966="SequenceR", "Deep Learning", IF($O966="SimFix", "Search Like Pattern", IF($O966="SketchFix", "True Pattern", IF($O966="SOFix", "True Pattern", IF($O966="ssFix", "Search Like Pattern", IF($O966="TBar", "True Pattern", ""))))))))))))))))))))</f>
        <v>Search Like Pattern</v>
      </c>
      <c r="Q966" s="13" t="str">
        <f>IF(NOT(ISERR(SEARCH("*_Buggy",$A966))), "Buggy", IF(NOT(ISERR(SEARCH("*_Fixed",$A966))), "Fixed", IF(NOT(ISERR(SEARCH("*_Repaired",$A966))), "Repaired", "")))</f>
        <v>Fixed</v>
      </c>
      <c r="R966" s="13" t="s">
        <v>1668</v>
      </c>
      <c r="S966" s="25">
        <v>1</v>
      </c>
      <c r="T966" s="25">
        <v>1</v>
      </c>
      <c r="U966" s="25">
        <v>1</v>
      </c>
      <c r="V966" s="13">
        <v>1</v>
      </c>
      <c r="W966" s="13" t="str">
        <f>MID(A966, SEARCH("_", A966) +1, SEARCH("_", A966, SEARCH("_", A966) +1) - SEARCH("_", A966) -1)</f>
        <v>Math-33</v>
      </c>
      <c r="Y966" s="1" t="str">
        <f t="shared" si="36"/>
        <v>NO</v>
      </c>
      <c r="Z966" s="1" t="str">
        <f t="shared" si="37"/>
        <v>NO</v>
      </c>
      <c r="AA966" t="str">
        <f>IF(AND(S966&gt;1,S1491&gt;1,S966=V966,S1491=V1491), "YES", "NO")</f>
        <v>NO</v>
      </c>
      <c r="AB966" t="str">
        <f>IF(AND(S966&gt;1,S1491&gt;1,S966&lt;V966,S1491&lt;V1491), "YES", "NO")</f>
        <v>NO</v>
      </c>
      <c r="AC966" t="str">
        <f t="shared" si="38"/>
        <v>NO</v>
      </c>
      <c r="AD966" t="str">
        <f t="shared" si="39"/>
        <v>NO</v>
      </c>
      <c r="AE966" t="str">
        <f t="shared" si="40"/>
        <v>NO</v>
      </c>
      <c r="AF966" t="str">
        <f t="shared" si="41"/>
        <v>NO</v>
      </c>
    </row>
    <row r="967" spans="1:32" ht="15" x14ac:dyDescent="0.35">
      <c r="A967" s="5" t="s">
        <v>624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>LEFT($A967,FIND("_",$A967)-1)</f>
        <v>SimFix</v>
      </c>
      <c r="P967" s="13" t="str">
        <f>IF($O967="ACS", "True Search", IF($O967="Arja", "Evolutionary Search", IF($O967="AVATAR", "True Pattern", IF($O967="CapGen", "Search Like Pattern", IF($O967="Cardumen", "True Semantic", IF($O967="DynaMoth", "True Semantic", IF($O967="FixMiner", "True Pattern", IF($O967="GenProg-A", "Evolutionary Search", IF($O967="Hercules", "Learning Pattern", IF($O967="Jaid", "True Semantic",
IF($O967="Kali-A", "True Search", IF($O967="kPAR", "True Pattern", IF($O967="Nopol", "True Semantic", IF($O967="RSRepair-A", "Evolutionary Search", IF($O967="SequenceR", "Deep Learning", IF($O967="SimFix", "Search Like Pattern", IF($O967="SketchFix", "True Pattern", IF($O967="SOFix", "True Pattern", IF($O967="ssFix", "Search Like Pattern", IF($O967="TBar", "True Pattern", ""))))))))))))))))))))</f>
        <v>Search Like Pattern</v>
      </c>
      <c r="Q967" s="13" t="str">
        <f>IF(NOT(ISERR(SEARCH("*_Buggy",$A967))), "Buggy", IF(NOT(ISERR(SEARCH("*_Fixed",$A967))), "Fixed", IF(NOT(ISERR(SEARCH("*_Repaired",$A967))), "Repaired", "")))</f>
        <v>Fixed</v>
      </c>
      <c r="R967" s="13" t="s">
        <v>1668</v>
      </c>
      <c r="S967" s="25">
        <v>2</v>
      </c>
      <c r="T967" s="25">
        <v>2</v>
      </c>
      <c r="U967" s="25">
        <v>2</v>
      </c>
      <c r="V967" s="13">
        <v>2</v>
      </c>
      <c r="W967" s="13" t="str">
        <f>MID(A967, SEARCH("_", A967) +1, SEARCH("_", A967, SEARCH("_", A967) +1) - SEARCH("_", A967) -1)</f>
        <v>Math-35</v>
      </c>
      <c r="Y967" s="1" t="str">
        <f t="shared" si="36"/>
        <v>YES</v>
      </c>
      <c r="Z967" s="1" t="str">
        <f t="shared" si="37"/>
        <v>NO</v>
      </c>
      <c r="AA967" t="str">
        <f>IF(AND(S967&gt;1,S1492&gt;1,S967=V967,S1492=V1492), "YES", "NO")</f>
        <v>NO</v>
      </c>
      <c r="AB967" t="str">
        <f>IF(AND(S967&gt;1,S1492&gt;1,S967&lt;V967,S1492&lt;V1492), "YES", "NO")</f>
        <v>NO</v>
      </c>
      <c r="AC967" t="str">
        <f t="shared" si="38"/>
        <v>NO</v>
      </c>
      <c r="AD967" t="str">
        <f t="shared" si="39"/>
        <v>NO</v>
      </c>
      <c r="AE967" t="str">
        <f t="shared" si="40"/>
        <v>NO</v>
      </c>
      <c r="AF967" t="str">
        <f t="shared" si="41"/>
        <v>YES</v>
      </c>
    </row>
    <row r="968" spans="1:32" ht="15" x14ac:dyDescent="0.35">
      <c r="A968" s="5" t="s">
        <v>1032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>LEFT($A968,FIND("_",$A968)-1)</f>
        <v>SimFix</v>
      </c>
      <c r="P968" s="13" t="str">
        <f>IF($O968="ACS", "True Search", IF($O968="Arja", "Evolutionary Search", IF($O968="AVATAR", "True Pattern", IF($O968="CapGen", "Search Like Pattern", IF($O968="Cardumen", "True Semantic", IF($O968="DynaMoth", "True Semantic", IF($O968="FixMiner", "True Pattern", IF($O968="GenProg-A", "Evolutionary Search", IF($O968="Hercules", "Learning Pattern", IF($O968="Jaid", "True Semantic",
IF($O968="Kali-A", "True Search", IF($O968="kPAR", "True Pattern", IF($O968="Nopol", "True Semantic", IF($O968="RSRepair-A", "Evolutionary Search", IF($O968="SequenceR", "Deep Learning", IF($O968="SimFix", "Search Like Pattern", IF($O968="SketchFix", "True Pattern", IF($O968="SOFix", "True Pattern", IF($O968="ssFix", "Search Like Pattern", IF($O968="TBar", "True Pattern", ""))))))))))))))))))))</f>
        <v>Search Like Pattern</v>
      </c>
      <c r="Q968" s="13" t="str">
        <f>IF(NOT(ISERR(SEARCH("*_Buggy",$A968))), "Buggy", IF(NOT(ISERR(SEARCH("*_Fixed",$A968))), "Fixed", IF(NOT(ISERR(SEARCH("*_Repaired",$A968))), "Repaired", "")))</f>
        <v>Fixed</v>
      </c>
      <c r="R968" s="13" t="s">
        <v>1668</v>
      </c>
      <c r="S968" s="25">
        <v>1</v>
      </c>
      <c r="T968" s="25">
        <v>1</v>
      </c>
      <c r="U968" s="25">
        <v>1</v>
      </c>
      <c r="V968" s="13">
        <v>1</v>
      </c>
      <c r="W968" s="13" t="str">
        <f>MID(A968, SEARCH("_", A968) +1, SEARCH("_", A968, SEARCH("_", A968) +1) - SEARCH("_", A968) -1)</f>
        <v>Math-41</v>
      </c>
      <c r="Y968" s="1" t="str">
        <f t="shared" si="36"/>
        <v>NO</v>
      </c>
      <c r="Z968" s="1" t="str">
        <f t="shared" si="37"/>
        <v>NO</v>
      </c>
      <c r="AA968" t="str">
        <f>IF(AND(S968&gt;1,S1493&gt;1,S968=V968,S1493=V1493), "YES", "NO")</f>
        <v>NO</v>
      </c>
      <c r="AB968" t="str">
        <f>IF(AND(S968&gt;1,S1493&gt;1,S968&lt;V968,S1493&lt;V1493), "YES", "NO")</f>
        <v>NO</v>
      </c>
      <c r="AC968" t="str">
        <f t="shared" si="38"/>
        <v>NO</v>
      </c>
      <c r="AD968" t="str">
        <f t="shared" si="39"/>
        <v>NO</v>
      </c>
      <c r="AE968" t="str">
        <f t="shared" si="40"/>
        <v>NO</v>
      </c>
      <c r="AF968" t="str">
        <f t="shared" si="41"/>
        <v>NO</v>
      </c>
    </row>
    <row r="969" spans="1:32" ht="15" x14ac:dyDescent="0.35">
      <c r="A969" s="7" t="s">
        <v>798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>LEFT($A969,FIND("_",$A969)-1)</f>
        <v>SimFix</v>
      </c>
      <c r="P969" s="13" t="str">
        <f>IF($O969="ACS", "True Search", IF($O969="Arja", "Evolutionary Search", IF($O969="AVATAR", "True Pattern", IF($O969="CapGen", "Search Like Pattern", IF($O969="Cardumen", "True Semantic", IF($O969="DynaMoth", "True Semantic", IF($O969="FixMiner", "True Pattern", IF($O969="GenProg-A", "Evolutionary Search", IF($O969="Hercules", "Learning Pattern", IF($O969="Jaid", "True Semantic",
IF($O969="Kali-A", "True Search", IF($O969="kPAR", "True Pattern", IF($O969="Nopol", "True Semantic", IF($O969="RSRepair-A", "Evolutionary Search", IF($O969="SequenceR", "Deep Learning", IF($O969="SimFix", "Search Like Pattern", IF($O969="SketchFix", "True Pattern", IF($O969="SOFix", "True Pattern", IF($O969="ssFix", "Search Like Pattern", IF($O969="TBar", "True Pattern", ""))))))))))))))))))))</f>
        <v>Search Like Pattern</v>
      </c>
      <c r="Q969" s="13" t="str">
        <f>IF(NOT(ISERR(SEARCH("*_Buggy",$A969))), "Buggy", IF(NOT(ISERR(SEARCH("*_Fixed",$A969))), "Fixed", IF(NOT(ISERR(SEARCH("*_Repaired",$A969))), "Repaired", "")))</f>
        <v>Fixed</v>
      </c>
      <c r="R969" s="13" t="s">
        <v>1669</v>
      </c>
      <c r="S969" s="25">
        <v>3</v>
      </c>
      <c r="T969" s="25">
        <v>3</v>
      </c>
      <c r="U969" s="25">
        <v>3</v>
      </c>
      <c r="V969" s="13">
        <v>3</v>
      </c>
      <c r="W969" s="13" t="str">
        <f>MID(A969, SEARCH("_", A969) +1, SEARCH("_", A969, SEARCH("_", A969) +1) - SEARCH("_", A969) -1)</f>
        <v>Math-43</v>
      </c>
      <c r="Y969" s="1" t="str">
        <f t="shared" si="36"/>
        <v>YES</v>
      </c>
      <c r="Z969" s="1" t="str">
        <f t="shared" si="37"/>
        <v>NO</v>
      </c>
      <c r="AA969" t="str">
        <f>IF(AND(S969&gt;1,S1494&gt;1,S969=V969,S1494=V1494), "YES", "NO")</f>
        <v>NO</v>
      </c>
      <c r="AB969" t="str">
        <f>IF(AND(S969&gt;1,S1494&gt;1,S969&lt;V969,S1494&lt;V1494), "YES", "NO")</f>
        <v>NO</v>
      </c>
      <c r="AC969" t="str">
        <f t="shared" si="38"/>
        <v>NO</v>
      </c>
      <c r="AD969" t="str">
        <f t="shared" si="39"/>
        <v>NO</v>
      </c>
      <c r="AE969" t="str">
        <f t="shared" si="40"/>
        <v>NO</v>
      </c>
      <c r="AF969" t="str">
        <f t="shared" si="41"/>
        <v>YES</v>
      </c>
    </row>
    <row r="970" spans="1:32" ht="15" x14ac:dyDescent="0.35">
      <c r="A970" s="7" t="s">
        <v>882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>LEFT($A970,FIND("_",$A970)-1)</f>
        <v>SimFix</v>
      </c>
      <c r="P970" s="13" t="str">
        <f>IF($O970="ACS", "True Search", IF($O970="Arja", "Evolutionary Search", IF($O970="AVATAR", "True Pattern", IF($O970="CapGen", "Search Like Pattern", IF($O970="Cardumen", "True Semantic", IF($O970="DynaMoth", "True Semantic", IF($O970="FixMiner", "True Pattern", IF($O970="GenProg-A", "Evolutionary Search", IF($O970="Hercules", "Learning Pattern", IF($O970="Jaid", "True Semantic",
IF($O970="Kali-A", "True Search", IF($O970="kPAR", "True Pattern", IF($O970="Nopol", "True Semantic", IF($O970="RSRepair-A", "Evolutionary Search", IF($O970="SequenceR", "Deep Learning", IF($O970="SimFix", "Search Like Pattern", IF($O970="SketchFix", "True Pattern", IF($O970="SOFix", "True Pattern", IF($O970="ssFix", "Search Like Pattern", IF($O970="TBar", "True Pattern", ""))))))))))))))))))))</f>
        <v>Search Like Pattern</v>
      </c>
      <c r="Q970" s="13" t="str">
        <f>IF(NOT(ISERR(SEARCH("*_Buggy",$A970))), "Buggy", IF(NOT(ISERR(SEARCH("*_Fixed",$A970))), "Fixed", IF(NOT(ISERR(SEARCH("*_Repaired",$A970))), "Repaired", "")))</f>
        <v>Fixed</v>
      </c>
      <c r="R970" s="13" t="s">
        <v>1668</v>
      </c>
      <c r="S970" s="25">
        <v>1</v>
      </c>
      <c r="T970" s="25">
        <v>1</v>
      </c>
      <c r="U970" s="25">
        <v>1</v>
      </c>
      <c r="V970" s="13">
        <v>1</v>
      </c>
      <c r="W970" s="13" t="str">
        <f>MID(A970, SEARCH("_", A970) +1, SEARCH("_", A970, SEARCH("_", A970) +1) - SEARCH("_", A970) -1)</f>
        <v>Math-5</v>
      </c>
      <c r="Y970" s="1" t="str">
        <f t="shared" si="36"/>
        <v>NO</v>
      </c>
      <c r="Z970" s="1" t="str">
        <f t="shared" si="37"/>
        <v>NO</v>
      </c>
      <c r="AA970" t="str">
        <f>IF(AND(S970&gt;1,S1495&gt;1,S970=V970,S1495=V1495), "YES", "NO")</f>
        <v>NO</v>
      </c>
      <c r="AB970" t="str">
        <f>IF(AND(S970&gt;1,S1495&gt;1,S970&lt;V970,S1495&lt;V1495), "YES", "NO")</f>
        <v>NO</v>
      </c>
      <c r="AC970" t="str">
        <f t="shared" si="38"/>
        <v>NO</v>
      </c>
      <c r="AD970" t="str">
        <f t="shared" si="39"/>
        <v>NO</v>
      </c>
      <c r="AE970" t="str">
        <f t="shared" si="40"/>
        <v>NO</v>
      </c>
      <c r="AF970" t="str">
        <f t="shared" si="41"/>
        <v>NO</v>
      </c>
    </row>
    <row r="971" spans="1:32" ht="15" x14ac:dyDescent="0.35">
      <c r="A971" s="7" t="s">
        <v>636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>LEFT($A971,FIND("_",$A971)-1)</f>
        <v>SimFix</v>
      </c>
      <c r="P971" s="13" t="str">
        <f>IF($O971="ACS", "True Search", IF($O971="Arja", "Evolutionary Search", IF($O971="AVATAR", "True Pattern", IF($O971="CapGen", "Search Like Pattern", IF($O971="Cardumen", "True Semantic", IF($O971="DynaMoth", "True Semantic", IF($O971="FixMiner", "True Pattern", IF($O971="GenProg-A", "Evolutionary Search", IF($O971="Hercules", "Learning Pattern", IF($O971="Jaid", "True Semantic",
IF($O971="Kali-A", "True Search", IF($O971="kPAR", "True Pattern", IF($O971="Nopol", "True Semantic", IF($O971="RSRepair-A", "Evolutionary Search", IF($O971="SequenceR", "Deep Learning", IF($O971="SimFix", "Search Like Pattern", IF($O971="SketchFix", "True Pattern", IF($O971="SOFix", "True Pattern", IF($O971="ssFix", "Search Like Pattern", IF($O971="TBar", "True Pattern", ""))))))))))))))))))))</f>
        <v>Search Like Pattern</v>
      </c>
      <c r="Q971" s="13" t="str">
        <f>IF(NOT(ISERR(SEARCH("*_Buggy",$A971))), "Buggy", IF(NOT(ISERR(SEARCH("*_Fixed",$A971))), "Fixed", IF(NOT(ISERR(SEARCH("*_Repaired",$A971))), "Repaired", "")))</f>
        <v>Fixed</v>
      </c>
      <c r="R971" s="13" t="s">
        <v>1669</v>
      </c>
      <c r="S971" s="25">
        <v>1</v>
      </c>
      <c r="T971" s="25">
        <v>0</v>
      </c>
      <c r="U971" s="13">
        <v>4</v>
      </c>
      <c r="V971" s="13">
        <v>4</v>
      </c>
      <c r="W971" s="13" t="str">
        <f>MID(A971, SEARCH("_", A971) +1, SEARCH("_", A971, SEARCH("_", A971) +1) - SEARCH("_", A971) -1)</f>
        <v>Math-50</v>
      </c>
      <c r="Y971" s="1" t="str">
        <f t="shared" si="36"/>
        <v>NO</v>
      </c>
      <c r="Z971" s="1" t="str">
        <f t="shared" si="37"/>
        <v>NO</v>
      </c>
      <c r="AA971" t="str">
        <f>IF(AND(S971&gt;1,S1496&gt;1,S971=V971,S1496=V1496), "YES", "NO")</f>
        <v>NO</v>
      </c>
      <c r="AB971" t="str">
        <f>IF(AND(S971&gt;1,S1496&gt;1,S971&lt;V971,S1496&lt;V1496), "YES", "NO")</f>
        <v>NO</v>
      </c>
      <c r="AC971" t="str">
        <f t="shared" si="38"/>
        <v>NO</v>
      </c>
      <c r="AD971" t="str">
        <f t="shared" si="39"/>
        <v>NO</v>
      </c>
      <c r="AE971" t="str">
        <f t="shared" si="40"/>
        <v>NO</v>
      </c>
      <c r="AF971" t="str">
        <f t="shared" si="41"/>
        <v>YES</v>
      </c>
    </row>
    <row r="972" spans="1:32" ht="15" x14ac:dyDescent="0.35">
      <c r="A972" s="7" t="s">
        <v>536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>LEFT($A972,FIND("_",$A972)-1)</f>
        <v>SimFix</v>
      </c>
      <c r="P972" s="13" t="str">
        <f>IF($O972="ACS", "True Search", IF($O972="Arja", "Evolutionary Search", IF($O972="AVATAR", "True Pattern", IF($O972="CapGen", "Search Like Pattern", IF($O972="Cardumen", "True Semantic", IF($O972="DynaMoth", "True Semantic", IF($O972="FixMiner", "True Pattern", IF($O972="GenProg-A", "Evolutionary Search", IF($O972="Hercules", "Learning Pattern", IF($O972="Jaid", "True Semantic",
IF($O972="Kali-A", "True Search", IF($O972="kPAR", "True Pattern", IF($O972="Nopol", "True Semantic", IF($O972="RSRepair-A", "Evolutionary Search", IF($O972="SequenceR", "Deep Learning", IF($O972="SimFix", "Search Like Pattern", IF($O972="SketchFix", "True Pattern", IF($O972="SOFix", "True Pattern", IF($O972="ssFix", "Search Like Pattern", IF($O972="TBar", "True Pattern", ""))))))))))))))))))))</f>
        <v>Search Like Pattern</v>
      </c>
      <c r="Q972" s="13" t="str">
        <f>IF(NOT(ISERR(SEARCH("*_Buggy",$A972))), "Buggy", IF(NOT(ISERR(SEARCH("*_Fixed",$A972))), "Fixed", IF(NOT(ISERR(SEARCH("*_Repaired",$A972))), "Repaired", "")))</f>
        <v>Fixed</v>
      </c>
      <c r="R972" s="13" t="s">
        <v>1668</v>
      </c>
      <c r="S972" s="25">
        <v>1</v>
      </c>
      <c r="T972" s="13">
        <v>3</v>
      </c>
      <c r="U972" s="25">
        <v>0</v>
      </c>
      <c r="V972" s="13">
        <v>3</v>
      </c>
      <c r="W972" s="13" t="str">
        <f>MID(A972, SEARCH("_", A972) +1, SEARCH("_", A972, SEARCH("_", A972) +1) - SEARCH("_", A972) -1)</f>
        <v>Math-53</v>
      </c>
      <c r="Y972" s="1" t="str">
        <f t="shared" si="36"/>
        <v>NO</v>
      </c>
      <c r="Z972" s="1" t="str">
        <f t="shared" si="37"/>
        <v>NO</v>
      </c>
      <c r="AA972" t="str">
        <f>IF(AND(S972&gt;1,S1497&gt;1,S972=V972,S1497=V1497), "YES", "NO")</f>
        <v>NO</v>
      </c>
      <c r="AB972" t="str">
        <f>IF(AND(S972&gt;1,S1497&gt;1,S972&lt;V972,S1497&lt;V1497), "YES", "NO")</f>
        <v>NO</v>
      </c>
      <c r="AC972" t="str">
        <f t="shared" si="38"/>
        <v>NO</v>
      </c>
      <c r="AD972" t="str">
        <f t="shared" si="39"/>
        <v>NO</v>
      </c>
      <c r="AE972" t="str">
        <f t="shared" si="40"/>
        <v>NO</v>
      </c>
      <c r="AF972" t="str">
        <f t="shared" si="41"/>
        <v>YES</v>
      </c>
    </row>
    <row r="973" spans="1:32" ht="15" x14ac:dyDescent="0.35">
      <c r="A973" s="7" t="s">
        <v>115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>LEFT($A973,FIND("_",$A973)-1)</f>
        <v>SimFix</v>
      </c>
      <c r="P973" s="13" t="str">
        <f>IF($O973="ACS", "True Search", IF($O973="Arja", "Evolutionary Search", IF($O973="AVATAR", "True Pattern", IF($O973="CapGen", "Search Like Pattern", IF($O973="Cardumen", "True Semantic", IF($O973="DynaMoth", "True Semantic", IF($O973="FixMiner", "True Pattern", IF($O973="GenProg-A", "Evolutionary Search", IF($O973="Hercules", "Learning Pattern", IF($O973="Jaid", "True Semantic",
IF($O973="Kali-A", "True Search", IF($O973="kPAR", "True Pattern", IF($O973="Nopol", "True Semantic", IF($O973="RSRepair-A", "Evolutionary Search", IF($O973="SequenceR", "Deep Learning", IF($O973="SimFix", "Search Like Pattern", IF($O973="SketchFix", "True Pattern", IF($O973="SOFix", "True Pattern", IF($O973="ssFix", "Search Like Pattern", IF($O973="TBar", "True Pattern", ""))))))))))))))))))))</f>
        <v>Search Like Pattern</v>
      </c>
      <c r="Q973" s="13" t="str">
        <f>IF(NOT(ISERR(SEARCH("*_Buggy",$A973))), "Buggy", IF(NOT(ISERR(SEARCH("*_Fixed",$A973))), "Fixed", IF(NOT(ISERR(SEARCH("*_Repaired",$A973))), "Repaired", "")))</f>
        <v>Fixed</v>
      </c>
      <c r="R973" s="13" t="s">
        <v>1668</v>
      </c>
      <c r="S973" s="25">
        <v>1</v>
      </c>
      <c r="T973" s="25">
        <v>1</v>
      </c>
      <c r="U973" s="25">
        <v>1</v>
      </c>
      <c r="V973" s="13">
        <v>1</v>
      </c>
      <c r="W973" s="13" t="str">
        <f>MID(A973, SEARCH("_", A973) +1, SEARCH("_", A973, SEARCH("_", A973) +1) - SEARCH("_", A973) -1)</f>
        <v>Math-57</v>
      </c>
      <c r="Y973" s="1" t="str">
        <f t="shared" si="36"/>
        <v>NO</v>
      </c>
      <c r="Z973" s="1" t="str">
        <f t="shared" si="37"/>
        <v>NO</v>
      </c>
      <c r="AA973" t="str">
        <f>IF(AND(S973&gt;1,S1498&gt;1,S973=V973,S1498=V1498), "YES", "NO")</f>
        <v>NO</v>
      </c>
      <c r="AB973" t="str">
        <f>IF(AND(S973&gt;1,S1498&gt;1,S973&lt;V973,S1498&lt;V1498), "YES", "NO")</f>
        <v>NO</v>
      </c>
      <c r="AC973" t="str">
        <f t="shared" si="38"/>
        <v>NO</v>
      </c>
      <c r="AD973" t="str">
        <f t="shared" si="39"/>
        <v>NO</v>
      </c>
      <c r="AE973" t="str">
        <f t="shared" si="40"/>
        <v>NO</v>
      </c>
      <c r="AF973" t="str">
        <f t="shared" si="41"/>
        <v>NO</v>
      </c>
    </row>
    <row r="974" spans="1:32" ht="15" x14ac:dyDescent="0.35">
      <c r="A974" s="7" t="s">
        <v>1084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>LEFT($A974,FIND("_",$A974)-1)</f>
        <v>SimFix</v>
      </c>
      <c r="P974" s="13" t="str">
        <f>IF($O974="ACS", "True Search", IF($O974="Arja", "Evolutionary Search", IF($O974="AVATAR", "True Pattern", IF($O974="CapGen", "Search Like Pattern", IF($O974="Cardumen", "True Semantic", IF($O974="DynaMoth", "True Semantic", IF($O974="FixMiner", "True Pattern", IF($O974="GenProg-A", "Evolutionary Search", IF($O974="Hercules", "Learning Pattern", IF($O974="Jaid", "True Semantic",
IF($O974="Kali-A", "True Search", IF($O974="kPAR", "True Pattern", IF($O974="Nopol", "True Semantic", IF($O974="RSRepair-A", "Evolutionary Search", IF($O974="SequenceR", "Deep Learning", IF($O974="SimFix", "Search Like Pattern", IF($O974="SketchFix", "True Pattern", IF($O974="SOFix", "True Pattern", IF($O974="ssFix", "Search Like Pattern", IF($O974="TBar", "True Pattern", ""))))))))))))))))))))</f>
        <v>Search Like Pattern</v>
      </c>
      <c r="Q974" s="13" t="str">
        <f>IF(NOT(ISERR(SEARCH("*_Buggy",$A974))), "Buggy", IF(NOT(ISERR(SEARCH("*_Fixed",$A974))), "Fixed", IF(NOT(ISERR(SEARCH("*_Repaired",$A974))), "Repaired", "")))</f>
        <v>Fixed</v>
      </c>
      <c r="R974" s="13" t="s">
        <v>1668</v>
      </c>
      <c r="S974" s="25">
        <v>1</v>
      </c>
      <c r="T974" s="25">
        <v>1</v>
      </c>
      <c r="U974" s="25">
        <v>1</v>
      </c>
      <c r="V974" s="13">
        <v>1</v>
      </c>
      <c r="W974" s="13" t="str">
        <f>MID(A974, SEARCH("_", A974) +1, SEARCH("_", A974, SEARCH("_", A974) +1) - SEARCH("_", A974) -1)</f>
        <v>Math-59</v>
      </c>
      <c r="Y974" s="1" t="str">
        <f t="shared" si="36"/>
        <v>NO</v>
      </c>
      <c r="Z974" s="1" t="str">
        <f t="shared" si="37"/>
        <v>NO</v>
      </c>
      <c r="AA974" t="str">
        <f>IF(AND(S974&gt;1,S1499&gt;1,S974=V974,S1499=V1499), "YES", "NO")</f>
        <v>NO</v>
      </c>
      <c r="AB974" t="str">
        <f>IF(AND(S974&gt;1,S1499&gt;1,S974&lt;V974,S1499&lt;V1499), "YES", "NO")</f>
        <v>NO</v>
      </c>
      <c r="AC974" t="str">
        <f t="shared" si="38"/>
        <v>NO</v>
      </c>
      <c r="AD974" t="str">
        <f t="shared" si="39"/>
        <v>NO</v>
      </c>
      <c r="AE974" t="str">
        <f t="shared" si="40"/>
        <v>NO</v>
      </c>
      <c r="AF974" t="str">
        <f t="shared" si="41"/>
        <v>NO</v>
      </c>
    </row>
    <row r="975" spans="1:32" ht="15" x14ac:dyDescent="0.35">
      <c r="A975" s="5" t="s">
        <v>341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>LEFT($A975,FIND("_",$A975)-1)</f>
        <v>SimFix</v>
      </c>
      <c r="P975" s="13" t="str">
        <f>IF($O975="ACS", "True Search", IF($O975="Arja", "Evolutionary Search", IF($O975="AVATAR", "True Pattern", IF($O975="CapGen", "Search Like Pattern", IF($O975="Cardumen", "True Semantic", IF($O975="DynaMoth", "True Semantic", IF($O975="FixMiner", "True Pattern", IF($O975="GenProg-A", "Evolutionary Search", IF($O975="Hercules", "Learning Pattern", IF($O975="Jaid", "True Semantic",
IF($O975="Kali-A", "True Search", IF($O975="kPAR", "True Pattern", IF($O975="Nopol", "True Semantic", IF($O975="RSRepair-A", "Evolutionary Search", IF($O975="SequenceR", "Deep Learning", IF($O975="SimFix", "Search Like Pattern", IF($O975="SketchFix", "True Pattern", IF($O975="SOFix", "True Pattern", IF($O975="ssFix", "Search Like Pattern", IF($O975="TBar", "True Pattern", ""))))))))))))))))))))</f>
        <v>Search Like Pattern</v>
      </c>
      <c r="Q975" s="13" t="str">
        <f>IF(NOT(ISERR(SEARCH("*_Buggy",$A975))), "Buggy", IF(NOT(ISERR(SEARCH("*_Fixed",$A975))), "Fixed", IF(NOT(ISERR(SEARCH("*_Repaired",$A975))), "Repaired", "")))</f>
        <v>Fixed</v>
      </c>
      <c r="R975" s="13" t="s">
        <v>1669</v>
      </c>
      <c r="S975" s="25">
        <v>1</v>
      </c>
      <c r="T975" s="25">
        <v>1</v>
      </c>
      <c r="U975" s="25">
        <v>1</v>
      </c>
      <c r="V975" s="13">
        <v>1</v>
      </c>
      <c r="W975" s="13" t="str">
        <f>MID(A975, SEARCH("_", A975) +1, SEARCH("_", A975, SEARCH("_", A975) +1) - SEARCH("_", A975) -1)</f>
        <v>Math-63</v>
      </c>
      <c r="Y975" s="1" t="str">
        <f t="shared" si="36"/>
        <v>NO</v>
      </c>
      <c r="Z975" s="1" t="str">
        <f t="shared" si="37"/>
        <v>NO</v>
      </c>
      <c r="AA975" t="str">
        <f>IF(AND(S975&gt;1,S1500&gt;1,S975=V975,S1500=V1500), "YES", "NO")</f>
        <v>NO</v>
      </c>
      <c r="AB975" t="str">
        <f>IF(AND(S975&gt;1,S1500&gt;1,S975&lt;V975,S1500&lt;V1500), "YES", "NO")</f>
        <v>NO</v>
      </c>
      <c r="AC975" t="str">
        <f t="shared" si="38"/>
        <v>NO</v>
      </c>
      <c r="AD975" t="str">
        <f t="shared" si="39"/>
        <v>NO</v>
      </c>
      <c r="AE975" t="str">
        <f t="shared" si="40"/>
        <v>NO</v>
      </c>
      <c r="AF975" t="str">
        <f t="shared" si="41"/>
        <v>NO</v>
      </c>
    </row>
    <row r="976" spans="1:32" ht="15" x14ac:dyDescent="0.35">
      <c r="A976" s="5" t="s">
        <v>473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>LEFT($A976,FIND("_",$A976)-1)</f>
        <v>SimFix</v>
      </c>
      <c r="P976" s="13" t="str">
        <f>IF($O976="ACS", "True Search", IF($O976="Arja", "Evolutionary Search", IF($O976="AVATAR", "True Pattern", IF($O976="CapGen", "Search Like Pattern", IF($O976="Cardumen", "True Semantic", IF($O976="DynaMoth", "True Semantic", IF($O976="FixMiner", "True Pattern", IF($O976="GenProg-A", "Evolutionary Search", IF($O976="Hercules", "Learning Pattern", IF($O976="Jaid", "True Semantic",
IF($O976="Kali-A", "True Search", IF($O976="kPAR", "True Pattern", IF($O976="Nopol", "True Semantic", IF($O976="RSRepair-A", "Evolutionary Search", IF($O976="SequenceR", "Deep Learning", IF($O976="SimFix", "Search Like Pattern", IF($O976="SketchFix", "True Pattern", IF($O976="SOFix", "True Pattern", IF($O976="ssFix", "Search Like Pattern", IF($O976="TBar", "True Pattern", ""))))))))))))))))))))</f>
        <v>Search Like Pattern</v>
      </c>
      <c r="Q976" s="13" t="str">
        <f>IF(NOT(ISERR(SEARCH("*_Buggy",$A976))), "Buggy", IF(NOT(ISERR(SEARCH("*_Fixed",$A976))), "Fixed", IF(NOT(ISERR(SEARCH("*_Repaired",$A976))), "Repaired", "")))</f>
        <v>Fixed</v>
      </c>
      <c r="R976" s="13" t="s">
        <v>1669</v>
      </c>
      <c r="S976" s="25">
        <v>1</v>
      </c>
      <c r="T976" s="25">
        <v>1</v>
      </c>
      <c r="U976" s="25">
        <v>1</v>
      </c>
      <c r="V976" s="13">
        <v>1</v>
      </c>
      <c r="W976" s="13" t="str">
        <f>MID(A976, SEARCH("_", A976) +1, SEARCH("_", A976, SEARCH("_", A976) +1) - SEARCH("_", A976) -1)</f>
        <v>Math-69</v>
      </c>
      <c r="Y976" s="1" t="str">
        <f t="shared" si="36"/>
        <v>NO</v>
      </c>
      <c r="Z976" s="1" t="str">
        <f t="shared" si="37"/>
        <v>NO</v>
      </c>
      <c r="AA976" t="str">
        <f>IF(AND(S976&gt;1,S1501&gt;1,S976=V976,S1501=V1501), "YES", "NO")</f>
        <v>NO</v>
      </c>
      <c r="AB976" t="str">
        <f>IF(AND(S976&gt;1,S1501&gt;1,S976&lt;V976,S1501&lt;V1501), "YES", "NO")</f>
        <v>NO</v>
      </c>
      <c r="AC976" t="str">
        <f t="shared" si="38"/>
        <v>NO</v>
      </c>
      <c r="AD976" t="str">
        <f t="shared" si="39"/>
        <v>NO</v>
      </c>
      <c r="AE976" t="str">
        <f t="shared" si="40"/>
        <v>NO</v>
      </c>
      <c r="AF976" t="str">
        <f t="shared" si="41"/>
        <v>NO</v>
      </c>
    </row>
    <row r="977" spans="1:32" ht="15" x14ac:dyDescent="0.35">
      <c r="A977" s="7" t="s">
        <v>861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>LEFT($A977,FIND("_",$A977)-1)</f>
        <v>SimFix</v>
      </c>
      <c r="P977" s="13" t="str">
        <f>IF($O977="ACS", "True Search", IF($O977="Arja", "Evolutionary Search", IF($O977="AVATAR", "True Pattern", IF($O977="CapGen", "Search Like Pattern", IF($O977="Cardumen", "True Semantic", IF($O977="DynaMoth", "True Semantic", IF($O977="FixMiner", "True Pattern", IF($O977="GenProg-A", "Evolutionary Search", IF($O977="Hercules", "Learning Pattern", IF($O977="Jaid", "True Semantic",
IF($O977="Kali-A", "True Search", IF($O977="kPAR", "True Pattern", IF($O977="Nopol", "True Semantic", IF($O977="RSRepair-A", "Evolutionary Search", IF($O977="SequenceR", "Deep Learning", IF($O977="SimFix", "Search Like Pattern", IF($O977="SketchFix", "True Pattern", IF($O977="SOFix", "True Pattern", IF($O977="ssFix", "Search Like Pattern", IF($O977="TBar", "True Pattern", ""))))))))))))))))))))</f>
        <v>Search Like Pattern</v>
      </c>
      <c r="Q977" s="13" t="str">
        <f>IF(NOT(ISERR(SEARCH("*_Buggy",$A977))), "Buggy", IF(NOT(ISERR(SEARCH("*_Fixed",$A977))), "Fixed", IF(NOT(ISERR(SEARCH("*_Repaired",$A977))), "Repaired", "")))</f>
        <v>Fixed</v>
      </c>
      <c r="R977" s="13" t="s">
        <v>1668</v>
      </c>
      <c r="S977" s="25">
        <v>1</v>
      </c>
      <c r="T977" s="25">
        <v>1</v>
      </c>
      <c r="U977" s="25">
        <v>1</v>
      </c>
      <c r="V977" s="13">
        <v>1</v>
      </c>
      <c r="W977" s="13" t="str">
        <f>MID(A977, SEARCH("_", A977) +1, SEARCH("_", A977, SEARCH("_", A977) +1) - SEARCH("_", A977) -1)</f>
        <v>Math-70</v>
      </c>
      <c r="Y977" s="1" t="str">
        <f t="shared" si="36"/>
        <v>NO</v>
      </c>
      <c r="Z977" s="1" t="str">
        <f t="shared" si="37"/>
        <v>NO</v>
      </c>
      <c r="AA977" t="str">
        <f>IF(AND(S977&gt;1,S1502&gt;1,S977=V977,S1502=V1502), "YES", "NO")</f>
        <v>NO</v>
      </c>
      <c r="AB977" t="str">
        <f>IF(AND(S977&gt;1,S1502&gt;1,S977&lt;V977,S1502&lt;V1502), "YES", "NO")</f>
        <v>NO</v>
      </c>
      <c r="AC977" t="str">
        <f t="shared" si="38"/>
        <v>NO</v>
      </c>
      <c r="AD977" t="str">
        <f t="shared" si="39"/>
        <v>NO</v>
      </c>
      <c r="AE977" t="str">
        <f t="shared" si="40"/>
        <v>NO</v>
      </c>
      <c r="AF977" t="str">
        <f t="shared" si="41"/>
        <v>NO</v>
      </c>
    </row>
    <row r="978" spans="1:32" ht="15" x14ac:dyDescent="0.35">
      <c r="A978" s="7" t="s">
        <v>373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>LEFT($A978,FIND("_",$A978)-1)</f>
        <v>SimFix</v>
      </c>
      <c r="P978" s="13" t="str">
        <f>IF($O978="ACS", "True Search", IF($O978="Arja", "Evolutionary Search", IF($O978="AVATAR", "True Pattern", IF($O978="CapGen", "Search Like Pattern", IF($O978="Cardumen", "True Semantic", IF($O978="DynaMoth", "True Semantic", IF($O978="FixMiner", "True Pattern", IF($O978="GenProg-A", "Evolutionary Search", IF($O978="Hercules", "Learning Pattern", IF($O978="Jaid", "True Semantic",
IF($O978="Kali-A", "True Search", IF($O978="kPAR", "True Pattern", IF($O978="Nopol", "True Semantic", IF($O978="RSRepair-A", "Evolutionary Search", IF($O978="SequenceR", "Deep Learning", IF($O978="SimFix", "Search Like Pattern", IF($O978="SketchFix", "True Pattern", IF($O978="SOFix", "True Pattern", IF($O978="ssFix", "Search Like Pattern", IF($O978="TBar", "True Pattern", ""))))))))))))))))))))</f>
        <v>Search Like Pattern</v>
      </c>
      <c r="Q978" s="13" t="str">
        <f>IF(NOT(ISERR(SEARCH("*_Buggy",$A978))), "Buggy", IF(NOT(ISERR(SEARCH("*_Fixed",$A978))), "Fixed", IF(NOT(ISERR(SEARCH("*_Repaired",$A978))), "Repaired", "")))</f>
        <v>Fixed</v>
      </c>
      <c r="R978" s="13" t="s">
        <v>1668</v>
      </c>
      <c r="S978" s="25">
        <v>1</v>
      </c>
      <c r="T978" s="13">
        <v>3</v>
      </c>
      <c r="U978" s="25">
        <v>0</v>
      </c>
      <c r="V978" s="13">
        <v>3</v>
      </c>
      <c r="W978" s="13" t="str">
        <f>MID(A978, SEARCH("_", A978) +1, SEARCH("_", A978, SEARCH("_", A978) +1) - SEARCH("_", A978) -1)</f>
        <v>Math-71</v>
      </c>
      <c r="Y978" s="1" t="str">
        <f t="shared" si="36"/>
        <v>NO</v>
      </c>
      <c r="Z978" s="1" t="str">
        <f t="shared" si="37"/>
        <v>NO</v>
      </c>
      <c r="AA978" t="str">
        <f>IF(AND(S978&gt;1,S1503&gt;1,S978=V978,S1503=V1503), "YES", "NO")</f>
        <v>NO</v>
      </c>
      <c r="AB978" t="str">
        <f>IF(AND(S978&gt;1,S1503&gt;1,S978&lt;V978,S1503&lt;V1503), "YES", "NO")</f>
        <v>NO</v>
      </c>
      <c r="AC978" t="str">
        <f t="shared" si="38"/>
        <v>NO</v>
      </c>
      <c r="AD978" t="str">
        <f t="shared" si="39"/>
        <v>NO</v>
      </c>
      <c r="AE978" t="str">
        <f t="shared" si="40"/>
        <v>NO</v>
      </c>
      <c r="AF978" t="str">
        <f t="shared" si="41"/>
        <v>YES</v>
      </c>
    </row>
    <row r="979" spans="1:32" ht="15" x14ac:dyDescent="0.35">
      <c r="A979" s="5" t="s">
        <v>683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>LEFT($A979,FIND("_",$A979)-1)</f>
        <v>SimFix</v>
      </c>
      <c r="P979" s="13" t="str">
        <f>IF($O979="ACS", "True Search", IF($O979="Arja", "Evolutionary Search", IF($O979="AVATAR", "True Pattern", IF($O979="CapGen", "Search Like Pattern", IF($O979="Cardumen", "True Semantic", IF($O979="DynaMoth", "True Semantic", IF($O979="FixMiner", "True Pattern", IF($O979="GenProg-A", "Evolutionary Search", IF($O979="Hercules", "Learning Pattern", IF($O979="Jaid", "True Semantic",
IF($O979="Kali-A", "True Search", IF($O979="kPAR", "True Pattern", IF($O979="Nopol", "True Semantic", IF($O979="RSRepair-A", "Evolutionary Search", IF($O979="SequenceR", "Deep Learning", IF($O979="SimFix", "Search Like Pattern", IF($O979="SketchFix", "True Pattern", IF($O979="SOFix", "True Pattern", IF($O979="ssFix", "Search Like Pattern", IF($O979="TBar", "True Pattern", ""))))))))))))))))))))</f>
        <v>Search Like Pattern</v>
      </c>
      <c r="Q979" s="13" t="str">
        <f>IF(NOT(ISERR(SEARCH("*_Buggy",$A979))), "Buggy", IF(NOT(ISERR(SEARCH("*_Fixed",$A979))), "Fixed", IF(NOT(ISERR(SEARCH("*_Repaired",$A979))), "Repaired", "")))</f>
        <v>Fixed</v>
      </c>
      <c r="R979" s="13" t="s">
        <v>1668</v>
      </c>
      <c r="S979" s="25">
        <v>2</v>
      </c>
      <c r="T979" s="25">
        <v>2</v>
      </c>
      <c r="U979" s="25">
        <v>2</v>
      </c>
      <c r="V979" s="13">
        <v>2</v>
      </c>
      <c r="W979" s="13" t="str">
        <f>MID(A979, SEARCH("_", A979) +1, SEARCH("_", A979, SEARCH("_", A979) +1) - SEARCH("_", A979) -1)</f>
        <v>Math-72</v>
      </c>
      <c r="Y979" s="1" t="str">
        <f t="shared" si="36"/>
        <v>YES</v>
      </c>
      <c r="Z979" s="1" t="str">
        <f t="shared" si="37"/>
        <v>NO</v>
      </c>
      <c r="AA979" t="str">
        <f>IF(AND(S979&gt;1,S1504&gt;1,S979=V979,S1504=V1504), "YES", "NO")</f>
        <v>NO</v>
      </c>
      <c r="AB979" t="str">
        <f>IF(AND(S979&gt;1,S1504&gt;1,S979&lt;V979,S1504&lt;V1504), "YES", "NO")</f>
        <v>NO</v>
      </c>
      <c r="AC979" t="str">
        <f t="shared" si="38"/>
        <v>NO</v>
      </c>
      <c r="AD979" t="str">
        <f t="shared" si="39"/>
        <v>NO</v>
      </c>
      <c r="AE979" t="str">
        <f t="shared" si="40"/>
        <v>NO</v>
      </c>
      <c r="AF979" t="str">
        <f t="shared" si="41"/>
        <v>YES</v>
      </c>
    </row>
    <row r="980" spans="1:32" ht="15" x14ac:dyDescent="0.35">
      <c r="A980" s="7" t="s">
        <v>1188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>LEFT($A980,FIND("_",$A980)-1)</f>
        <v>SimFix</v>
      </c>
      <c r="P980" s="13" t="str">
        <f>IF($O980="ACS", "True Search", IF($O980="Arja", "Evolutionary Search", IF($O980="AVATAR", "True Pattern", IF($O980="CapGen", "Search Like Pattern", IF($O980="Cardumen", "True Semantic", IF($O980="DynaMoth", "True Semantic", IF($O980="FixMiner", "True Pattern", IF($O980="GenProg-A", "Evolutionary Search", IF($O980="Hercules", "Learning Pattern", IF($O980="Jaid", "True Semantic",
IF($O980="Kali-A", "True Search", IF($O980="kPAR", "True Pattern", IF($O980="Nopol", "True Semantic", IF($O980="RSRepair-A", "Evolutionary Search", IF($O980="SequenceR", "Deep Learning", IF($O980="SimFix", "Search Like Pattern", IF($O980="SketchFix", "True Pattern", IF($O980="SOFix", "True Pattern", IF($O980="ssFix", "Search Like Pattern", IF($O980="TBar", "True Pattern", ""))))))))))))))))))))</f>
        <v>Search Like Pattern</v>
      </c>
      <c r="Q980" s="13" t="str">
        <f>IF(NOT(ISERR(SEARCH("*_Buggy",$A980))), "Buggy", IF(NOT(ISERR(SEARCH("*_Fixed",$A980))), "Fixed", IF(NOT(ISERR(SEARCH("*_Repaired",$A980))), "Repaired", "")))</f>
        <v>Fixed</v>
      </c>
      <c r="R980" s="13" t="s">
        <v>1669</v>
      </c>
      <c r="S980" s="25">
        <v>1</v>
      </c>
      <c r="T980" s="13">
        <v>4</v>
      </c>
      <c r="U980" s="25">
        <v>0</v>
      </c>
      <c r="V980" s="13">
        <v>4</v>
      </c>
      <c r="W980" s="13" t="str">
        <f>MID(A980, SEARCH("_", A980) +1, SEARCH("_", A980, SEARCH("_", A980) +1) - SEARCH("_", A980) -1)</f>
        <v>Math-73</v>
      </c>
      <c r="Y980" s="1" t="str">
        <f t="shared" si="36"/>
        <v>NO</v>
      </c>
      <c r="Z980" s="1" t="str">
        <f t="shared" si="37"/>
        <v>NO</v>
      </c>
      <c r="AA980" t="str">
        <f>IF(AND(S980&gt;1,S1505&gt;1,S980=V980,S1505=V1505), "YES", "NO")</f>
        <v>NO</v>
      </c>
      <c r="AB980" t="str">
        <f>IF(AND(S980&gt;1,S1505&gt;1,S980&lt;V980,S1505&lt;V1505), "YES", "NO")</f>
        <v>NO</v>
      </c>
      <c r="AC980" t="str">
        <f t="shared" si="38"/>
        <v>NO</v>
      </c>
      <c r="AD980" t="str">
        <f t="shared" si="39"/>
        <v>NO</v>
      </c>
      <c r="AE980" t="str">
        <f t="shared" si="40"/>
        <v>NO</v>
      </c>
      <c r="AF980" t="str">
        <f t="shared" si="41"/>
        <v>YES</v>
      </c>
    </row>
    <row r="981" spans="1:32" ht="15" x14ac:dyDescent="0.35">
      <c r="A981" s="5" t="s">
        <v>431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>LEFT($A981,FIND("_",$A981)-1)</f>
        <v>SimFix</v>
      </c>
      <c r="P981" s="13" t="str">
        <f>IF($O981="ACS", "True Search", IF($O981="Arja", "Evolutionary Search", IF($O981="AVATAR", "True Pattern", IF($O981="CapGen", "Search Like Pattern", IF($O981="Cardumen", "True Semantic", IF($O981="DynaMoth", "True Semantic", IF($O981="FixMiner", "True Pattern", IF($O981="GenProg-A", "Evolutionary Search", IF($O981="Hercules", "Learning Pattern", IF($O981="Jaid", "True Semantic",
IF($O981="Kali-A", "True Search", IF($O981="kPAR", "True Pattern", IF($O981="Nopol", "True Semantic", IF($O981="RSRepair-A", "Evolutionary Search", IF($O981="SequenceR", "Deep Learning", IF($O981="SimFix", "Search Like Pattern", IF($O981="SketchFix", "True Pattern", IF($O981="SOFix", "True Pattern", IF($O981="ssFix", "Search Like Pattern", IF($O981="TBar", "True Pattern", ""))))))))))))))))))))</f>
        <v>Search Like Pattern</v>
      </c>
      <c r="Q981" s="13" t="str">
        <f>IF(NOT(ISERR(SEARCH("*_Buggy",$A981))), "Buggy", IF(NOT(ISERR(SEARCH("*_Fixed",$A981))), "Fixed", IF(NOT(ISERR(SEARCH("*_Repaired",$A981))), "Repaired", "")))</f>
        <v>Fixed</v>
      </c>
      <c r="R981" s="13" t="s">
        <v>1668</v>
      </c>
      <c r="S981" s="25">
        <v>1</v>
      </c>
      <c r="T981" s="25">
        <v>1</v>
      </c>
      <c r="U981" s="25">
        <v>1</v>
      </c>
      <c r="V981" s="13">
        <v>1</v>
      </c>
      <c r="W981" s="13" t="str">
        <f>MID(A981, SEARCH("_", A981) +1, SEARCH("_", A981, SEARCH("_", A981) +1) - SEARCH("_", A981) -1)</f>
        <v>Math-75</v>
      </c>
      <c r="Y981" s="1" t="str">
        <f t="shared" si="36"/>
        <v>NO</v>
      </c>
      <c r="Z981" s="1" t="str">
        <f t="shared" si="37"/>
        <v>NO</v>
      </c>
      <c r="AA981" t="str">
        <f>IF(AND(S981&gt;1,S1506&gt;1,S981=V981,S1506=V1506), "YES", "NO")</f>
        <v>NO</v>
      </c>
      <c r="AB981" t="str">
        <f>IF(AND(S981&gt;1,S1506&gt;1,S981&lt;V981,S1506&lt;V1506), "YES", "NO")</f>
        <v>NO</v>
      </c>
      <c r="AC981" t="str">
        <f t="shared" si="38"/>
        <v>NO</v>
      </c>
      <c r="AD981" t="str">
        <f t="shared" si="39"/>
        <v>NO</v>
      </c>
      <c r="AE981" t="str">
        <f t="shared" si="40"/>
        <v>NO</v>
      </c>
      <c r="AF981" t="str">
        <f t="shared" si="41"/>
        <v>NO</v>
      </c>
    </row>
    <row r="982" spans="1:32" ht="15" x14ac:dyDescent="0.35">
      <c r="A982" s="7" t="s">
        <v>665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>LEFT($A982,FIND("_",$A982)-1)</f>
        <v>SimFix</v>
      </c>
      <c r="P982" s="13" t="str">
        <f>IF($O982="ACS", "True Search", IF($O982="Arja", "Evolutionary Search", IF($O982="AVATAR", "True Pattern", IF($O982="CapGen", "Search Like Pattern", IF($O982="Cardumen", "True Semantic", IF($O982="DynaMoth", "True Semantic", IF($O982="FixMiner", "True Pattern", IF($O982="GenProg-A", "Evolutionary Search", IF($O982="Hercules", "Learning Pattern", IF($O982="Jaid", "True Semantic",
IF($O982="Kali-A", "True Search", IF($O982="kPAR", "True Pattern", IF($O982="Nopol", "True Semantic", IF($O982="RSRepair-A", "Evolutionary Search", IF($O982="SequenceR", "Deep Learning", IF($O982="SimFix", "Search Like Pattern", IF($O982="SketchFix", "True Pattern", IF($O982="SOFix", "True Pattern", IF($O982="ssFix", "Search Like Pattern", IF($O982="TBar", "True Pattern", ""))))))))))))))))))))</f>
        <v>Search Like Pattern</v>
      </c>
      <c r="Q982" s="13" t="str">
        <f>IF(NOT(ISERR(SEARCH("*_Buggy",$A982))), "Buggy", IF(NOT(ISERR(SEARCH("*_Fixed",$A982))), "Fixed", IF(NOT(ISERR(SEARCH("*_Repaired",$A982))), "Repaired", "")))</f>
        <v>Fixed</v>
      </c>
      <c r="R982" s="13" t="s">
        <v>1668</v>
      </c>
      <c r="S982" s="25">
        <v>2</v>
      </c>
      <c r="T982" s="25">
        <v>2</v>
      </c>
      <c r="U982" s="25">
        <v>2</v>
      </c>
      <c r="V982" s="13">
        <v>2</v>
      </c>
      <c r="W982" s="13" t="str">
        <f>MID(A982, SEARCH("_", A982) +1, SEARCH("_", A982, SEARCH("_", A982) +1) - SEARCH("_", A982) -1)</f>
        <v>Math-79</v>
      </c>
      <c r="Y982" s="1" t="str">
        <f t="shared" si="36"/>
        <v>YES</v>
      </c>
      <c r="Z982" s="1" t="str">
        <f t="shared" si="37"/>
        <v>NO</v>
      </c>
      <c r="AA982" t="str">
        <f>IF(AND(S982&gt;1,S1507&gt;1,S982=V982,S1507=V1507), "YES", "NO")</f>
        <v>NO</v>
      </c>
      <c r="AB982" t="str">
        <f>IF(AND(S982&gt;1,S1507&gt;1,S982&lt;V982,S1507&lt;V1507), "YES", "NO")</f>
        <v>NO</v>
      </c>
      <c r="AC982" t="str">
        <f t="shared" si="38"/>
        <v>NO</v>
      </c>
      <c r="AD982" t="str">
        <f t="shared" si="39"/>
        <v>NO</v>
      </c>
      <c r="AE982" t="str">
        <f t="shared" si="40"/>
        <v>NO</v>
      </c>
      <c r="AF982" t="str">
        <f t="shared" si="41"/>
        <v>YES</v>
      </c>
    </row>
    <row r="983" spans="1:32" ht="15" x14ac:dyDescent="0.35">
      <c r="A983" s="7" t="s">
        <v>67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>LEFT($A983,FIND("_",$A983)-1)</f>
        <v>SimFix</v>
      </c>
      <c r="P983" s="13" t="str">
        <f>IF($O983="ACS", "True Search", IF($O983="Arja", "Evolutionary Search", IF($O983="AVATAR", "True Pattern", IF($O983="CapGen", "Search Like Pattern", IF($O983="Cardumen", "True Semantic", IF($O983="DynaMoth", "True Semantic", IF($O983="FixMiner", "True Pattern", IF($O983="GenProg-A", "Evolutionary Search", IF($O983="Hercules", "Learning Pattern", IF($O983="Jaid", "True Semantic",
IF($O983="Kali-A", "True Search", IF($O983="kPAR", "True Pattern", IF($O983="Nopol", "True Semantic", IF($O983="RSRepair-A", "Evolutionary Search", IF($O983="SequenceR", "Deep Learning", IF($O983="SimFix", "Search Like Pattern", IF($O983="SketchFix", "True Pattern", IF($O983="SOFix", "True Pattern", IF($O983="ssFix", "Search Like Pattern", IF($O983="TBar", "True Pattern", ""))))))))))))))))))))</f>
        <v>Search Like Pattern</v>
      </c>
      <c r="Q983" s="13" t="str">
        <f>IF(NOT(ISERR(SEARCH("*_Buggy",$A983))), "Buggy", IF(NOT(ISERR(SEARCH("*_Fixed",$A983))), "Fixed", IF(NOT(ISERR(SEARCH("*_Repaired",$A983))), "Repaired", "")))</f>
        <v>Fixed</v>
      </c>
      <c r="R983" s="13" t="s">
        <v>1669</v>
      </c>
      <c r="S983" s="25">
        <v>2</v>
      </c>
      <c r="T983" s="25">
        <v>2</v>
      </c>
      <c r="U983" s="25">
        <v>2</v>
      </c>
      <c r="V983" s="13">
        <v>2</v>
      </c>
      <c r="W983" s="13" t="str">
        <f>MID(A983, SEARCH("_", A983) +1, SEARCH("_", A983, SEARCH("_", A983) +1) - SEARCH("_", A983) -1)</f>
        <v>Math-8</v>
      </c>
      <c r="Y983" s="1" t="str">
        <f t="shared" si="36"/>
        <v>YES</v>
      </c>
      <c r="Z983" s="1" t="str">
        <f t="shared" si="37"/>
        <v>NO</v>
      </c>
      <c r="AA983" t="str">
        <f>IF(AND(S983&gt;1,S1508&gt;1,S983=V983,S1508=V1508), "YES", "NO")</f>
        <v>NO</v>
      </c>
      <c r="AB983" t="str">
        <f>IF(AND(S983&gt;1,S1508&gt;1,S983&lt;V983,S1508&lt;V1508), "YES", "NO")</f>
        <v>NO</v>
      </c>
      <c r="AC983" t="str">
        <f t="shared" si="38"/>
        <v>NO</v>
      </c>
      <c r="AD983" t="str">
        <f t="shared" si="39"/>
        <v>NO</v>
      </c>
      <c r="AE983" t="str">
        <f t="shared" si="40"/>
        <v>NO</v>
      </c>
      <c r="AF983" t="str">
        <f t="shared" si="41"/>
        <v>YES</v>
      </c>
    </row>
    <row r="984" spans="1:32" ht="15" x14ac:dyDescent="0.35">
      <c r="A984" s="7" t="s">
        <v>728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>LEFT($A984,FIND("_",$A984)-1)</f>
        <v>SimFix</v>
      </c>
      <c r="P984" s="13" t="str">
        <f>IF($O984="ACS", "True Search", IF($O984="Arja", "Evolutionary Search", IF($O984="AVATAR", "True Pattern", IF($O984="CapGen", "Search Like Pattern", IF($O984="Cardumen", "True Semantic", IF($O984="DynaMoth", "True Semantic", IF($O984="FixMiner", "True Pattern", IF($O984="GenProg-A", "Evolutionary Search", IF($O984="Hercules", "Learning Pattern", IF($O984="Jaid", "True Semantic",
IF($O984="Kali-A", "True Search", IF($O984="kPAR", "True Pattern", IF($O984="Nopol", "True Semantic", IF($O984="RSRepair-A", "Evolutionary Search", IF($O984="SequenceR", "Deep Learning", IF($O984="SimFix", "Search Like Pattern", IF($O984="SketchFix", "True Pattern", IF($O984="SOFix", "True Pattern", IF($O984="ssFix", "Search Like Pattern", IF($O984="TBar", "True Pattern", ""))))))))))))))))))))</f>
        <v>Search Like Pattern</v>
      </c>
      <c r="Q984" s="13" t="str">
        <f>IF(NOT(ISERR(SEARCH("*_Buggy",$A984))), "Buggy", IF(NOT(ISERR(SEARCH("*_Fixed",$A984))), "Fixed", IF(NOT(ISERR(SEARCH("*_Repaired",$A984))), "Repaired", "")))</f>
        <v>Fixed</v>
      </c>
      <c r="R984" s="13" t="s">
        <v>1669</v>
      </c>
      <c r="S984" s="25">
        <v>1</v>
      </c>
      <c r="T984" s="25">
        <v>1</v>
      </c>
      <c r="U984" s="25">
        <v>1</v>
      </c>
      <c r="V984" s="13">
        <v>1</v>
      </c>
      <c r="W984" s="13" t="str">
        <f>MID(A984, SEARCH("_", A984) +1, SEARCH("_", A984, SEARCH("_", A984) +1) - SEARCH("_", A984) -1)</f>
        <v>Math-80</v>
      </c>
      <c r="Y984" s="1" t="str">
        <f t="shared" si="36"/>
        <v>NO</v>
      </c>
      <c r="Z984" s="1" t="str">
        <f t="shared" si="37"/>
        <v>NO</v>
      </c>
      <c r="AA984" t="str">
        <f>IF(AND(S984&gt;1,S1509&gt;1,S984=V984,S1509=V1509), "YES", "NO")</f>
        <v>NO</v>
      </c>
      <c r="AB984" t="str">
        <f>IF(AND(S984&gt;1,S1509&gt;1,S984&lt;V984,S1509&lt;V1509), "YES", "NO")</f>
        <v>NO</v>
      </c>
      <c r="AC984" t="str">
        <f t="shared" si="38"/>
        <v>NO</v>
      </c>
      <c r="AD984" t="str">
        <f t="shared" si="39"/>
        <v>NO</v>
      </c>
      <c r="AE984" t="str">
        <f t="shared" si="40"/>
        <v>NO</v>
      </c>
      <c r="AF984" t="str">
        <f t="shared" si="41"/>
        <v>NO</v>
      </c>
    </row>
    <row r="985" spans="1:32" ht="15" x14ac:dyDescent="0.35">
      <c r="A985" s="7" t="s">
        <v>617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>LEFT($A985,FIND("_",$A985)-1)</f>
        <v>SimFix</v>
      </c>
      <c r="P985" s="13" t="str">
        <f>IF($O985="ACS", "True Search", IF($O985="Arja", "Evolutionary Search", IF($O985="AVATAR", "True Pattern", IF($O985="CapGen", "Search Like Pattern", IF($O985="Cardumen", "True Semantic", IF($O985="DynaMoth", "True Semantic", IF($O985="FixMiner", "True Pattern", IF($O985="GenProg-A", "Evolutionary Search", IF($O985="Hercules", "Learning Pattern", IF($O985="Jaid", "True Semantic",
IF($O985="Kali-A", "True Search", IF($O985="kPAR", "True Pattern", IF($O985="Nopol", "True Semantic", IF($O985="RSRepair-A", "Evolutionary Search", IF($O985="SequenceR", "Deep Learning", IF($O985="SimFix", "Search Like Pattern", IF($O985="SketchFix", "True Pattern", IF($O985="SOFix", "True Pattern", IF($O985="ssFix", "Search Like Pattern", IF($O985="TBar", "True Pattern", ""))))))))))))))))))))</f>
        <v>Search Like Pattern</v>
      </c>
      <c r="Q985" s="13" t="str">
        <f>IF(NOT(ISERR(SEARCH("*_Buggy",$A985))), "Buggy", IF(NOT(ISERR(SEARCH("*_Fixed",$A985))), "Fixed", IF(NOT(ISERR(SEARCH("*_Repaired",$A985))), "Repaired", "")))</f>
        <v>Fixed</v>
      </c>
      <c r="R985" s="13" t="s">
        <v>1669</v>
      </c>
      <c r="S985" s="25">
        <v>3</v>
      </c>
      <c r="T985" s="25">
        <v>4</v>
      </c>
      <c r="U985" s="25">
        <v>3</v>
      </c>
      <c r="V985" s="13">
        <v>4</v>
      </c>
      <c r="W985" s="13" t="str">
        <f>MID(A985, SEARCH("_", A985) +1, SEARCH("_", A985, SEARCH("_", A985) +1) - SEARCH("_", A985) -1)</f>
        <v>Math-81</v>
      </c>
      <c r="Y985" s="1" t="str">
        <f t="shared" si="36"/>
        <v>NO</v>
      </c>
      <c r="Z985" s="1" t="str">
        <f t="shared" si="37"/>
        <v>YES</v>
      </c>
      <c r="AA985" t="str">
        <f>IF(AND(S985&gt;1,S1510&gt;1,S985=V985,S1510=V1510), "YES", "NO")</f>
        <v>NO</v>
      </c>
      <c r="AB985" t="str">
        <f>IF(AND(S985&gt;1,S1510&gt;1,S985&lt;V985,S1510&lt;V1510), "YES", "NO")</f>
        <v>YES</v>
      </c>
      <c r="AC985" t="str">
        <f t="shared" si="38"/>
        <v>NO</v>
      </c>
      <c r="AD985" t="str">
        <f t="shared" si="39"/>
        <v>NO</v>
      </c>
      <c r="AE985" t="str">
        <f t="shared" si="40"/>
        <v>NO</v>
      </c>
      <c r="AF985" t="str">
        <f t="shared" si="41"/>
        <v>YES</v>
      </c>
    </row>
    <row r="986" spans="1:32" ht="15" x14ac:dyDescent="0.35">
      <c r="A986" s="7" t="s">
        <v>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>LEFT($A986,FIND("_",$A986)-1)</f>
        <v>SimFix</v>
      </c>
      <c r="P986" s="13" t="str">
        <f>IF($O986="ACS", "True Search", IF($O986="Arja", "Evolutionary Search", IF($O986="AVATAR", "True Pattern", IF($O986="CapGen", "Search Like Pattern", IF($O986="Cardumen", "True Semantic", IF($O986="DynaMoth", "True Semantic", IF($O986="FixMiner", "True Pattern", IF($O986="GenProg-A", "Evolutionary Search", IF($O986="Hercules", "Learning Pattern", IF($O986="Jaid", "True Semantic",
IF($O986="Kali-A", "True Search", IF($O986="kPAR", "True Pattern", IF($O986="Nopol", "True Semantic", IF($O986="RSRepair-A", "Evolutionary Search", IF($O986="SequenceR", "Deep Learning", IF($O986="SimFix", "Search Like Pattern", IF($O986="SketchFix", "True Pattern", IF($O986="SOFix", "True Pattern", IF($O986="ssFix", "Search Like Pattern", IF($O986="TBar", "True Pattern", ""))))))))))))))))))))</f>
        <v>Search Like Pattern</v>
      </c>
      <c r="Q986" s="13" t="str">
        <f>IF(NOT(ISERR(SEARCH("*_Buggy",$A986))), "Buggy", IF(NOT(ISERR(SEARCH("*_Fixed",$A986))), "Fixed", IF(NOT(ISERR(SEARCH("*_Repaired",$A986))), "Repaired", "")))</f>
        <v>Fixed</v>
      </c>
      <c r="R986" s="13" t="s">
        <v>1669</v>
      </c>
      <c r="S986" s="25">
        <v>1</v>
      </c>
      <c r="T986" s="25">
        <v>1</v>
      </c>
      <c r="U986" s="25">
        <v>1</v>
      </c>
      <c r="V986" s="13">
        <v>1</v>
      </c>
      <c r="W986" s="13" t="str">
        <f>MID(A986, SEARCH("_", A986) +1, SEARCH("_", A986, SEARCH("_", A986) +1) - SEARCH("_", A986) -1)</f>
        <v>Math-82</v>
      </c>
      <c r="Y986" s="1" t="str">
        <f t="shared" si="36"/>
        <v>NO</v>
      </c>
      <c r="Z986" s="1" t="str">
        <f t="shared" si="37"/>
        <v>NO</v>
      </c>
      <c r="AA986" t="str">
        <f>IF(AND(S986&gt;1,S1511&gt;1,S986=V986,S1511=V1511), "YES", "NO")</f>
        <v>NO</v>
      </c>
      <c r="AB986" t="str">
        <f>IF(AND(S986&gt;1,S1511&gt;1,S986&lt;V986,S1511&lt;V1511), "YES", "NO")</f>
        <v>NO</v>
      </c>
      <c r="AC986" t="str">
        <f t="shared" si="38"/>
        <v>NO</v>
      </c>
      <c r="AD986" t="str">
        <f t="shared" si="39"/>
        <v>NO</v>
      </c>
      <c r="AE986" t="str">
        <f t="shared" si="40"/>
        <v>NO</v>
      </c>
      <c r="AF986" t="str">
        <f t="shared" si="41"/>
        <v>NO</v>
      </c>
    </row>
    <row r="987" spans="1:32" ht="15" x14ac:dyDescent="0.35">
      <c r="A987" s="5" t="s">
        <v>1155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>LEFT($A987,FIND("_",$A987)-1)</f>
        <v>SimFix</v>
      </c>
      <c r="P987" s="13" t="str">
        <f>IF($O987="ACS", "True Search", IF($O987="Arja", "Evolutionary Search", IF($O987="AVATAR", "True Pattern", IF($O987="CapGen", "Search Like Pattern", IF($O987="Cardumen", "True Semantic", IF($O987="DynaMoth", "True Semantic", IF($O987="FixMiner", "True Pattern", IF($O987="GenProg-A", "Evolutionary Search", IF($O987="Hercules", "Learning Pattern", IF($O987="Jaid", "True Semantic",
IF($O987="Kali-A", "True Search", IF($O987="kPAR", "True Pattern", IF($O987="Nopol", "True Semantic", IF($O987="RSRepair-A", "Evolutionary Search", IF($O987="SequenceR", "Deep Learning", IF($O987="SimFix", "Search Like Pattern", IF($O987="SketchFix", "True Pattern", IF($O987="SOFix", "True Pattern", IF($O987="ssFix", "Search Like Pattern", IF($O987="TBar", "True Pattern", ""))))))))))))))))))))</f>
        <v>Search Like Pattern</v>
      </c>
      <c r="Q987" s="13" t="str">
        <f>IF(NOT(ISERR(SEARCH("*_Buggy",$A987))), "Buggy", IF(NOT(ISERR(SEARCH("*_Fixed",$A987))), "Fixed", IF(NOT(ISERR(SEARCH("*_Repaired",$A987))), "Repaired", "")))</f>
        <v>Fixed</v>
      </c>
      <c r="R987" s="13" t="s">
        <v>1669</v>
      </c>
      <c r="S987" s="25">
        <v>3</v>
      </c>
      <c r="T987" s="13">
        <v>9</v>
      </c>
      <c r="U987" s="25">
        <v>0</v>
      </c>
      <c r="V987" s="13">
        <v>9</v>
      </c>
      <c r="W987" s="13" t="str">
        <f>MID(A987, SEARCH("_", A987) +1, SEARCH("_", A987, SEARCH("_", A987) +1) - SEARCH("_", A987) -1)</f>
        <v>Math-84</v>
      </c>
      <c r="Y987" s="1" t="str">
        <f t="shared" si="36"/>
        <v>NO</v>
      </c>
      <c r="Z987" s="1" t="str">
        <f t="shared" si="37"/>
        <v>YES</v>
      </c>
      <c r="AA987" t="str">
        <f>IF(AND(S987&gt;1,S1512&gt;1,S987=V987,S1512=V1512), "YES", "NO")</f>
        <v>NO</v>
      </c>
      <c r="AB987" t="str">
        <f>IF(AND(S987&gt;1,S1512&gt;1,S987&lt;V987,S1512&lt;V1512), "YES", "NO")</f>
        <v>YES</v>
      </c>
      <c r="AC987" t="str">
        <f t="shared" si="38"/>
        <v>NO</v>
      </c>
      <c r="AD987" t="str">
        <f t="shared" si="39"/>
        <v>NO</v>
      </c>
      <c r="AE987" t="str">
        <f t="shared" si="40"/>
        <v>NO</v>
      </c>
      <c r="AF987" t="str">
        <f t="shared" si="41"/>
        <v>YES</v>
      </c>
    </row>
    <row r="988" spans="1:32" ht="15" x14ac:dyDescent="0.35">
      <c r="A988" s="5" t="s">
        <v>317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>LEFT($A988,FIND("_",$A988)-1)</f>
        <v>SimFix</v>
      </c>
      <c r="P988" s="13" t="str">
        <f>IF($O988="ACS", "True Search", IF($O988="Arja", "Evolutionary Search", IF($O988="AVATAR", "True Pattern", IF($O988="CapGen", "Search Like Pattern", IF($O988="Cardumen", "True Semantic", IF($O988="DynaMoth", "True Semantic", IF($O988="FixMiner", "True Pattern", IF($O988="GenProg-A", "Evolutionary Search", IF($O988="Hercules", "Learning Pattern", IF($O988="Jaid", "True Semantic",
IF($O988="Kali-A", "True Search", IF($O988="kPAR", "True Pattern", IF($O988="Nopol", "True Semantic", IF($O988="RSRepair-A", "Evolutionary Search", IF($O988="SequenceR", "Deep Learning", IF($O988="SimFix", "Search Like Pattern", IF($O988="SketchFix", "True Pattern", IF($O988="SOFix", "True Pattern", IF($O988="ssFix", "Search Like Pattern", IF($O988="TBar", "True Pattern", ""))))))))))))))))))))</f>
        <v>Search Like Pattern</v>
      </c>
      <c r="Q988" s="13" t="str">
        <f>IF(NOT(ISERR(SEARCH("*_Buggy",$A988))), "Buggy", IF(NOT(ISERR(SEARCH("*_Fixed",$A988))), "Fixed", IF(NOT(ISERR(SEARCH("*_Repaired",$A988))), "Repaired", "")))</f>
        <v>Fixed</v>
      </c>
      <c r="R988" s="13" t="s">
        <v>1669</v>
      </c>
      <c r="S988" s="25">
        <v>1</v>
      </c>
      <c r="T988" s="25">
        <v>1</v>
      </c>
      <c r="U988" s="25">
        <v>1</v>
      </c>
      <c r="V988" s="13">
        <v>1</v>
      </c>
      <c r="W988" s="13" t="str">
        <f>MID(A988, SEARCH("_", A988) +1, SEARCH("_", A988, SEARCH("_", A988) +1) - SEARCH("_", A988) -1)</f>
        <v>Math-85</v>
      </c>
      <c r="Y988" s="1" t="str">
        <f t="shared" si="36"/>
        <v>NO</v>
      </c>
      <c r="Z988" s="1" t="str">
        <f t="shared" si="37"/>
        <v>NO</v>
      </c>
      <c r="AA988" t="str">
        <f>IF(AND(S988&gt;1,S1513&gt;1,S988=V988,S1513=V1513), "YES", "NO")</f>
        <v>NO</v>
      </c>
      <c r="AB988" t="str">
        <f>IF(AND(S988&gt;1,S1513&gt;1,S988&lt;V988,S1513&lt;V1513), "YES", "NO")</f>
        <v>NO</v>
      </c>
      <c r="AC988" t="str">
        <f t="shared" si="38"/>
        <v>NO</v>
      </c>
      <c r="AD988" t="str">
        <f t="shared" si="39"/>
        <v>NO</v>
      </c>
      <c r="AE988" t="str">
        <f t="shared" si="40"/>
        <v>NO</v>
      </c>
      <c r="AF988" t="str">
        <f t="shared" si="41"/>
        <v>NO</v>
      </c>
    </row>
    <row r="989" spans="1:32" ht="15" x14ac:dyDescent="0.35">
      <c r="A989" s="5" t="s">
        <v>159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>LEFT($A989,FIND("_",$A989)-1)</f>
        <v>TBar</v>
      </c>
      <c r="P989" s="13" t="str">
        <f>IF($O989="ACS", "True Search", IF($O989="Arja", "Evolutionary Search", IF($O989="AVATAR", "True Pattern", IF($O989="CapGen", "Search Like Pattern", IF($O989="Cardumen", "True Semantic", IF($O989="DynaMoth", "True Semantic", IF($O989="FixMiner", "True Pattern", IF($O989="GenProg-A", "Evolutionary Search", IF($O989="Hercules", "Learning Pattern", IF($O989="Jaid", "True Semantic",
IF($O989="Kali-A", "True Search", IF($O989="kPAR", "True Pattern", IF($O989="Nopol", "True Semantic", IF($O989="RSRepair-A", "Evolutionary Search", IF($O989="SequenceR", "Deep Learning", IF($O989="SimFix", "Search Like Pattern", IF($O989="SketchFix", "True Pattern", IF($O989="SOFix", "True Pattern", IF($O989="ssFix", "Search Like Pattern", IF($O989="TBar", "True Pattern", ""))))))))))))))))))))</f>
        <v>True Pattern</v>
      </c>
      <c r="Q989" s="13" t="str">
        <f>IF(NOT(ISERR(SEARCH("*_Buggy",$A989))), "Buggy", IF(NOT(ISERR(SEARCH("*_Fixed",$A989))), "Fixed", IF(NOT(ISERR(SEARCH("*_Repaired",$A989))), "Repaired", "")))</f>
        <v>Fixed</v>
      </c>
      <c r="R989" s="13" t="s">
        <v>1668</v>
      </c>
      <c r="S989" s="25">
        <v>1</v>
      </c>
      <c r="T989" s="25">
        <v>1</v>
      </c>
      <c r="U989" s="25">
        <v>1</v>
      </c>
      <c r="V989" s="13">
        <v>1</v>
      </c>
      <c r="W989" s="13" t="str">
        <f>MID(A989, SEARCH("_", A989) +1, SEARCH("_", A989, SEARCH("_", A989) +1) - SEARCH("_", A989) -1)</f>
        <v>Chart-1</v>
      </c>
      <c r="Y989" s="1" t="str">
        <f t="shared" si="36"/>
        <v>NO</v>
      </c>
      <c r="Z989" s="1" t="str">
        <f t="shared" si="37"/>
        <v>NO</v>
      </c>
      <c r="AA989" t="str">
        <f>IF(AND(S989&gt;1,S1514&gt;1,S989=V989,S1514=V1514), "YES", "NO")</f>
        <v>NO</v>
      </c>
      <c r="AB989" t="str">
        <f>IF(AND(S989&gt;1,S1514&gt;1,S989&lt;V989,S1514&lt;V1514), "YES", "NO")</f>
        <v>NO</v>
      </c>
      <c r="AC989" t="str">
        <f t="shared" si="38"/>
        <v>YES</v>
      </c>
      <c r="AD989" t="str">
        <f t="shared" si="39"/>
        <v>NO</v>
      </c>
      <c r="AE989" t="str">
        <f t="shared" si="40"/>
        <v>YES</v>
      </c>
      <c r="AF989" t="str">
        <f t="shared" si="41"/>
        <v>NO</v>
      </c>
    </row>
    <row r="990" spans="1:32" ht="15" x14ac:dyDescent="0.35">
      <c r="A990" s="5" t="s">
        <v>1042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>LEFT($A990,FIND("_",$A990)-1)</f>
        <v>TBar</v>
      </c>
      <c r="P990" s="13" t="str">
        <f>IF($O990="ACS", "True Search", IF($O990="Arja", "Evolutionary Search", IF($O990="AVATAR", "True Pattern", IF($O990="CapGen", "Search Like Pattern", IF($O990="Cardumen", "True Semantic", IF($O990="DynaMoth", "True Semantic", IF($O990="FixMiner", "True Pattern", IF($O990="GenProg-A", "Evolutionary Search", IF($O990="Hercules", "Learning Pattern", IF($O990="Jaid", "True Semantic",
IF($O990="Kali-A", "True Search", IF($O990="kPAR", "True Pattern", IF($O990="Nopol", "True Semantic", IF($O990="RSRepair-A", "Evolutionary Search", IF($O990="SequenceR", "Deep Learning", IF($O990="SimFix", "Search Like Pattern", IF($O990="SketchFix", "True Pattern", IF($O990="SOFix", "True Pattern", IF($O990="ssFix", "Search Like Pattern", IF($O990="TBar", "True Pattern", ""))))))))))))))))))))</f>
        <v>True Pattern</v>
      </c>
      <c r="Q990" s="13" t="str">
        <f>IF(NOT(ISERR(SEARCH("*_Buggy",$A990))), "Buggy", IF(NOT(ISERR(SEARCH("*_Fixed",$A990))), "Fixed", IF(NOT(ISERR(SEARCH("*_Repaired",$A990))), "Repaired", "")))</f>
        <v>Fixed</v>
      </c>
      <c r="R990" s="13" t="s">
        <v>1668</v>
      </c>
      <c r="S990" s="25">
        <v>1</v>
      </c>
      <c r="T990" s="25">
        <v>1</v>
      </c>
      <c r="U990" s="25">
        <v>1</v>
      </c>
      <c r="V990" s="13">
        <v>1</v>
      </c>
      <c r="W990" s="13" t="str">
        <f>MID(A990, SEARCH("_", A990) +1, SEARCH("_", A990, SEARCH("_", A990) +1) - SEARCH("_", A990) -1)</f>
        <v>Chart-11</v>
      </c>
      <c r="Y990" s="1" t="str">
        <f t="shared" si="36"/>
        <v>NO</v>
      </c>
      <c r="Z990" s="1" t="str">
        <f t="shared" si="37"/>
        <v>NO</v>
      </c>
      <c r="AA990" t="str">
        <f>IF(AND(S990&gt;1,S1515&gt;1,S990=V990,S1515=V1515), "YES", "NO")</f>
        <v>NO</v>
      </c>
      <c r="AB990" t="str">
        <f>IF(AND(S990&gt;1,S1515&gt;1,S990&lt;V990,S1515&lt;V1515), "YES", "NO")</f>
        <v>NO</v>
      </c>
      <c r="AC990" t="str">
        <f t="shared" si="38"/>
        <v>YES</v>
      </c>
      <c r="AD990" t="str">
        <f t="shared" si="39"/>
        <v>NO</v>
      </c>
      <c r="AE990" t="str">
        <f t="shared" si="40"/>
        <v>YES</v>
      </c>
      <c r="AF990" t="str">
        <f t="shared" si="41"/>
        <v>NO</v>
      </c>
    </row>
    <row r="991" spans="1:32" ht="15" x14ac:dyDescent="0.35">
      <c r="A991" s="7" t="s">
        <v>553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>LEFT($A991,FIND("_",$A991)-1)</f>
        <v>TBar</v>
      </c>
      <c r="P991" s="13" t="str">
        <f>IF($O991="ACS", "True Search", IF($O991="Arja", "Evolutionary Search", IF($O991="AVATAR", "True Pattern", IF($O991="CapGen", "Search Like Pattern", IF($O991="Cardumen", "True Semantic", IF($O991="DynaMoth", "True Semantic", IF($O991="FixMiner", "True Pattern", IF($O991="GenProg-A", "Evolutionary Search", IF($O991="Hercules", "Learning Pattern", IF($O991="Jaid", "True Semantic",
IF($O991="Kali-A", "True Search", IF($O991="kPAR", "True Pattern", IF($O991="Nopol", "True Semantic", IF($O991="RSRepair-A", "Evolutionary Search", IF($O991="SequenceR", "Deep Learning", IF($O991="SimFix", "Search Like Pattern", IF($O991="SketchFix", "True Pattern", IF($O991="SOFix", "True Pattern", IF($O991="ssFix", "Search Like Pattern", IF($O991="TBar", "True Pattern", ""))))))))))))))))))))</f>
        <v>True Pattern</v>
      </c>
      <c r="Q991" s="13" t="str">
        <f>IF(NOT(ISERR(SEARCH("*_Buggy",$A991))), "Buggy", IF(NOT(ISERR(SEARCH("*_Fixed",$A991))), "Fixed", IF(NOT(ISERR(SEARCH("*_Repaired",$A991))), "Repaired", "")))</f>
        <v>Fixed</v>
      </c>
      <c r="R991" s="13" t="s">
        <v>1668</v>
      </c>
      <c r="S991" s="25">
        <v>1</v>
      </c>
      <c r="T991" s="25">
        <v>1</v>
      </c>
      <c r="U991" s="25">
        <v>1</v>
      </c>
      <c r="V991" s="13">
        <v>1</v>
      </c>
      <c r="W991" s="13" t="str">
        <f>MID(A991, SEARCH("_", A991) +1, SEARCH("_", A991, SEARCH("_", A991) +1) - SEARCH("_", A991) -1)</f>
        <v>Chart-12</v>
      </c>
      <c r="Y991" s="1" t="str">
        <f t="shared" si="36"/>
        <v>NO</v>
      </c>
      <c r="Z991" s="1" t="str">
        <f t="shared" si="37"/>
        <v>NO</v>
      </c>
      <c r="AA991" t="str">
        <f>IF(AND(S991&gt;1,S1516&gt;1,S991=V991,S1516=V1516), "YES", "NO")</f>
        <v>NO</v>
      </c>
      <c r="AB991" t="str">
        <f>IF(AND(S991&gt;1,S1516&gt;1,S991&lt;V991,S1516&lt;V1516), "YES", "NO")</f>
        <v>NO</v>
      </c>
      <c r="AC991" t="str">
        <f t="shared" si="38"/>
        <v>YES</v>
      </c>
      <c r="AD991" t="str">
        <f t="shared" si="39"/>
        <v>NO</v>
      </c>
      <c r="AE991" t="str">
        <f t="shared" si="40"/>
        <v>YES</v>
      </c>
      <c r="AF991" t="str">
        <f t="shared" si="41"/>
        <v>NO</v>
      </c>
    </row>
    <row r="992" spans="1:32" ht="15" x14ac:dyDescent="0.35">
      <c r="A992" s="5" t="s">
        <v>54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>LEFT($A992,FIND("_",$A992)-1)</f>
        <v>TBar</v>
      </c>
      <c r="P992" s="13" t="str">
        <f>IF($O992="ACS", "True Search", IF($O992="Arja", "Evolutionary Search", IF($O992="AVATAR", "True Pattern", IF($O992="CapGen", "Search Like Pattern", IF($O992="Cardumen", "True Semantic", IF($O992="DynaMoth", "True Semantic", IF($O992="FixMiner", "True Pattern", IF($O992="GenProg-A", "Evolutionary Search", IF($O992="Hercules", "Learning Pattern", IF($O992="Jaid", "True Semantic",
IF($O992="Kali-A", "True Search", IF($O992="kPAR", "True Pattern", IF($O992="Nopol", "True Semantic", IF($O992="RSRepair-A", "Evolutionary Search", IF($O992="SequenceR", "Deep Learning", IF($O992="SimFix", "Search Like Pattern", IF($O992="SketchFix", "True Pattern", IF($O992="SOFix", "True Pattern", IF($O992="ssFix", "Search Like Pattern", IF($O992="TBar", "True Pattern", ""))))))))))))))))))))</f>
        <v>True Pattern</v>
      </c>
      <c r="Q992" s="13" t="str">
        <f>IF(NOT(ISERR(SEARCH("*_Buggy",$A992))), "Buggy", IF(NOT(ISERR(SEARCH("*_Fixed",$A992))), "Fixed", IF(NOT(ISERR(SEARCH("*_Repaired",$A992))), "Repaired", "")))</f>
        <v>Fixed</v>
      </c>
      <c r="R992" s="13" t="s">
        <v>1669</v>
      </c>
      <c r="S992" s="25">
        <v>1</v>
      </c>
      <c r="T992" s="25">
        <v>1</v>
      </c>
      <c r="U992" s="25">
        <v>1</v>
      </c>
      <c r="V992" s="13">
        <v>1</v>
      </c>
      <c r="W992" s="13" t="str">
        <f>MID(A992, SEARCH("_", A992) +1, SEARCH("_", A992, SEARCH("_", A992) +1) - SEARCH("_", A992) -1)</f>
        <v>Chart-13</v>
      </c>
      <c r="Y992" s="1" t="str">
        <f t="shared" si="36"/>
        <v>NO</v>
      </c>
      <c r="Z992" s="1" t="str">
        <f t="shared" si="37"/>
        <v>NO</v>
      </c>
      <c r="AA992" t="str">
        <f>IF(AND(S992&gt;1,S1517&gt;1,S992=V992,S1517=V1517), "YES", "NO")</f>
        <v>NO</v>
      </c>
      <c r="AB992" t="str">
        <f>IF(AND(S992&gt;1,S1517&gt;1,S992&lt;V992,S1517&lt;V1517), "YES", "NO")</f>
        <v>NO</v>
      </c>
      <c r="AC992" t="str">
        <f t="shared" si="38"/>
        <v>YES</v>
      </c>
      <c r="AD992" t="str">
        <f t="shared" si="39"/>
        <v>NO</v>
      </c>
      <c r="AE992" t="str">
        <f t="shared" si="40"/>
        <v>YES</v>
      </c>
      <c r="AF992" t="str">
        <f t="shared" si="41"/>
        <v>NO</v>
      </c>
    </row>
    <row r="993" spans="1:32" ht="15" x14ac:dyDescent="0.35">
      <c r="A993" s="7" t="s">
        <v>1236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>LEFT($A993,FIND("_",$A993)-1)</f>
        <v>TBar</v>
      </c>
      <c r="P993" s="13" t="str">
        <f>IF($O993="ACS", "True Search", IF($O993="Arja", "Evolutionary Search", IF($O993="AVATAR", "True Pattern", IF($O993="CapGen", "Search Like Pattern", IF($O993="Cardumen", "True Semantic", IF($O993="DynaMoth", "True Semantic", IF($O993="FixMiner", "True Pattern", IF($O993="GenProg-A", "Evolutionary Search", IF($O993="Hercules", "Learning Pattern", IF($O993="Jaid", "True Semantic",
IF($O993="Kali-A", "True Search", IF($O993="kPAR", "True Pattern", IF($O993="Nopol", "True Semantic", IF($O993="RSRepair-A", "Evolutionary Search", IF($O993="SequenceR", "Deep Learning", IF($O993="SimFix", "Search Like Pattern", IF($O993="SketchFix", "True Pattern", IF($O993="SOFix", "True Pattern", IF($O993="ssFix", "Search Like Pattern", IF($O993="TBar", "True Pattern", ""))))))))))))))))))))</f>
        <v>True Pattern</v>
      </c>
      <c r="Q993" s="13" t="str">
        <f>IF(NOT(ISERR(SEARCH("*_Buggy",$A993))), "Buggy", IF(NOT(ISERR(SEARCH("*_Fixed",$A993))), "Fixed", IF(NOT(ISERR(SEARCH("*_Repaired",$A993))), "Repaired", "")))</f>
        <v>Fixed</v>
      </c>
      <c r="R993" s="13" t="s">
        <v>1668</v>
      </c>
      <c r="S993" s="25">
        <v>2</v>
      </c>
      <c r="T993" s="13">
        <v>6</v>
      </c>
      <c r="U993" s="25">
        <v>0</v>
      </c>
      <c r="V993" s="13">
        <v>6</v>
      </c>
      <c r="W993" s="13" t="str">
        <f>MID(A993, SEARCH("_", A993) +1, SEARCH("_", A993, SEARCH("_", A993) +1) - SEARCH("_", A993) -1)</f>
        <v>Chart-19</v>
      </c>
      <c r="Y993" s="1" t="str">
        <f t="shared" si="36"/>
        <v>NO</v>
      </c>
      <c r="Z993" s="1" t="str">
        <f t="shared" si="37"/>
        <v>YES</v>
      </c>
      <c r="AA993" t="str">
        <f>IF(AND(S993&gt;1,S1518&gt;1,S993=V993,S1518=V1518), "YES", "NO")</f>
        <v>NO</v>
      </c>
      <c r="AB993" t="str">
        <f>IF(AND(S993&gt;1,S1518&gt;1,S993&lt;V993,S1518&lt;V1518), "YES", "NO")</f>
        <v>NO</v>
      </c>
      <c r="AC993" t="str">
        <f t="shared" si="38"/>
        <v>NO</v>
      </c>
      <c r="AD993" t="str">
        <f t="shared" si="39"/>
        <v>NO</v>
      </c>
      <c r="AE993" t="str">
        <f t="shared" si="40"/>
        <v>NO</v>
      </c>
      <c r="AF993" t="str">
        <f t="shared" si="41"/>
        <v>YES</v>
      </c>
    </row>
    <row r="994" spans="1:32" ht="15" x14ac:dyDescent="0.35">
      <c r="A994" s="5" t="s">
        <v>354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>LEFT($A994,FIND("_",$A994)-1)</f>
        <v>TBar</v>
      </c>
      <c r="P994" s="13" t="str">
        <f>IF($O994="ACS", "True Search", IF($O994="Arja", "Evolutionary Search", IF($O994="AVATAR", "True Pattern", IF($O994="CapGen", "Search Like Pattern", IF($O994="Cardumen", "True Semantic", IF($O994="DynaMoth", "True Semantic", IF($O994="FixMiner", "True Pattern", IF($O994="GenProg-A", "Evolutionary Search", IF($O994="Hercules", "Learning Pattern", IF($O994="Jaid", "True Semantic",
IF($O994="Kali-A", "True Search", IF($O994="kPAR", "True Pattern", IF($O994="Nopol", "True Semantic", IF($O994="RSRepair-A", "Evolutionary Search", IF($O994="SequenceR", "Deep Learning", IF($O994="SimFix", "Search Like Pattern", IF($O994="SketchFix", "True Pattern", IF($O994="SOFix", "True Pattern", IF($O994="ssFix", "Search Like Pattern", IF($O994="TBar", "True Pattern", ""))))))))))))))))))))</f>
        <v>True Pattern</v>
      </c>
      <c r="Q994" s="13" t="str">
        <f>IF(NOT(ISERR(SEARCH("*_Buggy",$A994))), "Buggy", IF(NOT(ISERR(SEARCH("*_Fixed",$A994))), "Fixed", IF(NOT(ISERR(SEARCH("*_Repaired",$A994))), "Repaired", "")))</f>
        <v>Fixed</v>
      </c>
      <c r="R994" s="13" t="s">
        <v>1668</v>
      </c>
      <c r="S994" s="25">
        <v>1</v>
      </c>
      <c r="T994" s="25">
        <v>1</v>
      </c>
      <c r="U994" s="25">
        <v>1</v>
      </c>
      <c r="V994" s="13">
        <v>1</v>
      </c>
      <c r="W994" s="13" t="str">
        <f>MID(A994, SEARCH("_", A994) +1, SEARCH("_", A994, SEARCH("_", A994) +1) - SEARCH("_", A994) -1)</f>
        <v>Chart-20</v>
      </c>
      <c r="Y994" s="1" t="str">
        <f t="shared" si="36"/>
        <v>NO</v>
      </c>
      <c r="Z994" s="1" t="str">
        <f t="shared" si="37"/>
        <v>NO</v>
      </c>
      <c r="AA994" t="str">
        <f>IF(AND(S994&gt;1,S1519&gt;1,S994=V994,S1519=V1519), "YES", "NO")</f>
        <v>NO</v>
      </c>
      <c r="AB994" t="str">
        <f>IF(AND(S994&gt;1,S1519&gt;1,S994&lt;V994,S1519&lt;V1519), "YES", "NO")</f>
        <v>NO</v>
      </c>
      <c r="AC994" t="str">
        <f t="shared" si="38"/>
        <v>YES</v>
      </c>
      <c r="AD994" t="str">
        <f t="shared" si="39"/>
        <v>NO</v>
      </c>
      <c r="AE994" t="str">
        <f t="shared" si="40"/>
        <v>YES</v>
      </c>
      <c r="AF994" t="str">
        <f t="shared" si="41"/>
        <v>NO</v>
      </c>
    </row>
    <row r="995" spans="1:32" ht="15" x14ac:dyDescent="0.35">
      <c r="A995" s="7" t="s">
        <v>51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>LEFT($A995,FIND("_",$A995)-1)</f>
        <v>TBar</v>
      </c>
      <c r="P995" s="13" t="str">
        <f>IF($O995="ACS", "True Search", IF($O995="Arja", "Evolutionary Search", IF($O995="AVATAR", "True Pattern", IF($O995="CapGen", "Search Like Pattern", IF($O995="Cardumen", "True Semantic", IF($O995="DynaMoth", "True Semantic", IF($O995="FixMiner", "True Pattern", IF($O995="GenProg-A", "Evolutionary Search", IF($O995="Hercules", "Learning Pattern", IF($O995="Jaid", "True Semantic",
IF($O995="Kali-A", "True Search", IF($O995="kPAR", "True Pattern", IF($O995="Nopol", "True Semantic", IF($O995="RSRepair-A", "Evolutionary Search", IF($O995="SequenceR", "Deep Learning", IF($O995="SimFix", "Search Like Pattern", IF($O995="SketchFix", "True Pattern", IF($O995="SOFix", "True Pattern", IF($O995="ssFix", "Search Like Pattern", IF($O995="TBar", "True Pattern", ""))))))))))))))))))))</f>
        <v>True Pattern</v>
      </c>
      <c r="Q995" s="13" t="str">
        <f>IF(NOT(ISERR(SEARCH("*_Buggy",$A995))), "Buggy", IF(NOT(ISERR(SEARCH("*_Fixed",$A995))), "Fixed", IF(NOT(ISERR(SEARCH("*_Repaired",$A995))), "Repaired", "")))</f>
        <v>Fixed</v>
      </c>
      <c r="R995" s="13" t="s">
        <v>1668</v>
      </c>
      <c r="S995" s="25">
        <v>1</v>
      </c>
      <c r="T995" s="25">
        <v>1</v>
      </c>
      <c r="U995" s="25">
        <v>1</v>
      </c>
      <c r="V995" s="13">
        <v>1</v>
      </c>
      <c r="W995" s="13" t="str">
        <f>MID(A995, SEARCH("_", A995) +1, SEARCH("_", A995, SEARCH("_", A995) +1) - SEARCH("_", A995) -1)</f>
        <v>Chart-24</v>
      </c>
      <c r="Y995" s="1" t="str">
        <f t="shared" si="36"/>
        <v>NO</v>
      </c>
      <c r="Z995" s="1" t="str">
        <f t="shared" si="37"/>
        <v>NO</v>
      </c>
      <c r="AA995" t="str">
        <f>IF(AND(S995&gt;1,S1520&gt;1,S995=V995,S1520=V1520), "YES", "NO")</f>
        <v>NO</v>
      </c>
      <c r="AB995" t="str">
        <f>IF(AND(S995&gt;1,S1520&gt;1,S995&lt;V995,S1520&lt;V1520), "YES", "NO")</f>
        <v>NO</v>
      </c>
      <c r="AC995" t="str">
        <f t="shared" si="38"/>
        <v>YES</v>
      </c>
      <c r="AD995" t="str">
        <f t="shared" si="39"/>
        <v>NO</v>
      </c>
      <c r="AE995" t="str">
        <f t="shared" si="40"/>
        <v>YES</v>
      </c>
      <c r="AF995" t="str">
        <f t="shared" si="41"/>
        <v>NO</v>
      </c>
    </row>
    <row r="996" spans="1:32" ht="15" x14ac:dyDescent="0.35">
      <c r="A996" s="5" t="s">
        <v>521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>LEFT($A996,FIND("_",$A996)-1)</f>
        <v>TBar</v>
      </c>
      <c r="P996" s="13" t="str">
        <f>IF($O996="ACS", "True Search", IF($O996="Arja", "Evolutionary Search", IF($O996="AVATAR", "True Pattern", IF($O996="CapGen", "Search Like Pattern", IF($O996="Cardumen", "True Semantic", IF($O996="DynaMoth", "True Semantic", IF($O996="FixMiner", "True Pattern", IF($O996="GenProg-A", "Evolutionary Search", IF($O996="Hercules", "Learning Pattern", IF($O996="Jaid", "True Semantic",
IF($O996="Kali-A", "True Search", IF($O996="kPAR", "True Pattern", IF($O996="Nopol", "True Semantic", IF($O996="RSRepair-A", "Evolutionary Search", IF($O996="SequenceR", "Deep Learning", IF($O996="SimFix", "Search Like Pattern", IF($O996="SketchFix", "True Pattern", IF($O996="SOFix", "True Pattern", IF($O996="ssFix", "Search Like Pattern", IF($O996="TBar", "True Pattern", ""))))))))))))))))))))</f>
        <v>True Pattern</v>
      </c>
      <c r="Q996" s="13" t="str">
        <f>IF(NOT(ISERR(SEARCH("*_Buggy",$A996))), "Buggy", IF(NOT(ISERR(SEARCH("*_Fixed",$A996))), "Fixed", IF(NOT(ISERR(SEARCH("*_Repaired",$A996))), "Repaired", "")))</f>
        <v>Fixed</v>
      </c>
      <c r="R996" s="13" t="s">
        <v>1669</v>
      </c>
      <c r="S996" s="25">
        <v>6</v>
      </c>
      <c r="T996" s="25">
        <v>14</v>
      </c>
      <c r="U996" s="25">
        <v>2</v>
      </c>
      <c r="V996" s="13">
        <v>14</v>
      </c>
      <c r="W996" s="13" t="str">
        <f>MID(A996, SEARCH("_", A996) +1, SEARCH("_", A996, SEARCH("_", A996) +1) - SEARCH("_", A996) -1)</f>
        <v>Chart-25</v>
      </c>
      <c r="Y996" s="1" t="str">
        <f t="shared" si="36"/>
        <v>NO</v>
      </c>
      <c r="Z996" s="1" t="str">
        <f t="shared" si="37"/>
        <v>YES</v>
      </c>
      <c r="AA996" t="str">
        <f>IF(AND(S996&gt;1,S1521&gt;1,S996=V996,S1521=V1521), "YES", "NO")</f>
        <v>NO</v>
      </c>
      <c r="AB996" t="str">
        <f>IF(AND(S996&gt;1,S1521&gt;1,S996&lt;V996,S1521&lt;V1521), "YES", "NO")</f>
        <v>NO</v>
      </c>
      <c r="AC996" t="str">
        <f t="shared" si="38"/>
        <v>NO</v>
      </c>
      <c r="AD996" t="str">
        <f t="shared" si="39"/>
        <v>NO</v>
      </c>
      <c r="AE996" t="str">
        <f t="shared" si="40"/>
        <v>NO</v>
      </c>
      <c r="AF996" t="str">
        <f t="shared" si="41"/>
        <v>YES</v>
      </c>
    </row>
    <row r="997" spans="1:32" ht="15" x14ac:dyDescent="0.35">
      <c r="A997" s="5" t="s">
        <v>326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>LEFT($A997,FIND("_",$A997)-1)</f>
        <v>TBar</v>
      </c>
      <c r="P997" s="13" t="str">
        <f>IF($O997="ACS", "True Search", IF($O997="Arja", "Evolutionary Search", IF($O997="AVATAR", "True Pattern", IF($O997="CapGen", "Search Like Pattern", IF($O997="Cardumen", "True Semantic", IF($O997="DynaMoth", "True Semantic", IF($O997="FixMiner", "True Pattern", IF($O997="GenProg-A", "Evolutionary Search", IF($O997="Hercules", "Learning Pattern", IF($O997="Jaid", "True Semantic",
IF($O997="Kali-A", "True Search", IF($O997="kPAR", "True Pattern", IF($O997="Nopol", "True Semantic", IF($O997="RSRepair-A", "Evolutionary Search", IF($O997="SequenceR", "Deep Learning", IF($O997="SimFix", "Search Like Pattern", IF($O997="SketchFix", "True Pattern", IF($O997="SOFix", "True Pattern", IF($O997="ssFix", "Search Like Pattern", IF($O997="TBar", "True Pattern", ""))))))))))))))))))))</f>
        <v>True Pattern</v>
      </c>
      <c r="Q997" s="13" t="str">
        <f>IF(NOT(ISERR(SEARCH("*_Buggy",$A997))), "Buggy", IF(NOT(ISERR(SEARCH("*_Fixed",$A997))), "Fixed", IF(NOT(ISERR(SEARCH("*_Repaired",$A997))), "Repaired", "")))</f>
        <v>Fixed</v>
      </c>
      <c r="R997" s="13" t="s">
        <v>1668</v>
      </c>
      <c r="S997" s="25">
        <v>2</v>
      </c>
      <c r="T997" s="13">
        <v>2</v>
      </c>
      <c r="U997" s="25">
        <v>0</v>
      </c>
      <c r="V997" s="13">
        <v>2</v>
      </c>
      <c r="W997" s="13" t="str">
        <f>MID(A997, SEARCH("_", A997) +1, SEARCH("_", A997, SEARCH("_", A997) +1) - SEARCH("_", A997) -1)</f>
        <v>Chart-26</v>
      </c>
      <c r="Y997" s="1" t="str">
        <f t="shared" si="36"/>
        <v>YES</v>
      </c>
      <c r="Z997" s="1" t="str">
        <f t="shared" si="37"/>
        <v>NO</v>
      </c>
      <c r="AA997" t="str">
        <f>IF(AND(S997&gt;1,S1522&gt;1,S997=V997,S1522=V1522), "YES", "NO")</f>
        <v>NO</v>
      </c>
      <c r="AB997" t="str">
        <f>IF(AND(S997&gt;1,S1522&gt;1,S997&lt;V997,S1522&lt;V1522), "YES", "NO")</f>
        <v>NO</v>
      </c>
      <c r="AC997" t="str">
        <f t="shared" si="38"/>
        <v>NO</v>
      </c>
      <c r="AD997" t="str">
        <f t="shared" si="39"/>
        <v>NO</v>
      </c>
      <c r="AE997" t="str">
        <f t="shared" si="40"/>
        <v>NO</v>
      </c>
      <c r="AF997" t="str">
        <f t="shared" si="41"/>
        <v>YES</v>
      </c>
    </row>
    <row r="998" spans="1:32" ht="15" x14ac:dyDescent="0.35">
      <c r="A998" s="5" t="s">
        <v>467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>LEFT($A998,FIND("_",$A998)-1)</f>
        <v>TBar</v>
      </c>
      <c r="P998" s="13" t="str">
        <f>IF($O998="ACS", "True Search", IF($O998="Arja", "Evolutionary Search", IF($O998="AVATAR", "True Pattern", IF($O998="CapGen", "Search Like Pattern", IF($O998="Cardumen", "True Semantic", IF($O998="DynaMoth", "True Semantic", IF($O998="FixMiner", "True Pattern", IF($O998="GenProg-A", "Evolutionary Search", IF($O998="Hercules", "Learning Pattern", IF($O998="Jaid", "True Semantic",
IF($O998="Kali-A", "True Search", IF($O998="kPAR", "True Pattern", IF($O998="Nopol", "True Semantic", IF($O998="RSRepair-A", "Evolutionary Search", IF($O998="SequenceR", "Deep Learning", IF($O998="SimFix", "Search Like Pattern", IF($O998="SketchFix", "True Pattern", IF($O998="SOFix", "True Pattern", IF($O998="ssFix", "Search Like Pattern", IF($O998="TBar", "True Pattern", ""))))))))))))))))))))</f>
        <v>True Pattern</v>
      </c>
      <c r="Q998" s="13" t="str">
        <f>IF(NOT(ISERR(SEARCH("*_Buggy",$A998))), "Buggy", IF(NOT(ISERR(SEARCH("*_Fixed",$A998))), "Fixed", IF(NOT(ISERR(SEARCH("*_Repaired",$A998))), "Repaired", "")))</f>
        <v>Fixed</v>
      </c>
      <c r="R998" s="13" t="s">
        <v>1669</v>
      </c>
      <c r="S998" s="25">
        <v>1</v>
      </c>
      <c r="T998" s="13">
        <v>2</v>
      </c>
      <c r="U998" s="25">
        <v>0</v>
      </c>
      <c r="V998" s="13">
        <v>2</v>
      </c>
      <c r="W998" s="13" t="str">
        <f>MID(A998, SEARCH("_", A998) +1, SEARCH("_", A998, SEARCH("_", A998) +1) - SEARCH("_", A998) -1)</f>
        <v>Chart-3</v>
      </c>
      <c r="Y998" s="1" t="str">
        <f t="shared" ref="Y998:Y1061" si="42">IF(AND(S998&gt;1,S998=V998), "YES", "NO")</f>
        <v>NO</v>
      </c>
      <c r="Z998" s="1" t="str">
        <f t="shared" ref="Z998:Z1061" si="43">IF(AND(S998&gt;1,S998&lt;V998), "YES", "NO")</f>
        <v>NO</v>
      </c>
      <c r="AA998" t="str">
        <f>IF(AND(S998&gt;1,S1523&gt;1,S998=V998,S1523=V1523), "YES", "NO")</f>
        <v>NO</v>
      </c>
      <c r="AB998" t="str">
        <f>IF(AND(S998&gt;1,S1523&gt;1,S998&lt;V998,S1523&lt;V1523), "YES", "NO")</f>
        <v>NO</v>
      </c>
      <c r="AC998" t="str">
        <f t="shared" ref="AC998:AC1061" si="44">IF(AND($S998=1,$S1523=1,$S998=$V998,$S1523=$V1523), "YES", "NO")</f>
        <v>NO</v>
      </c>
      <c r="AD998" t="str">
        <f t="shared" ref="AD998:AD1061" si="45">IF(AND($S998=1,$S1523=1,$S998&lt;$V998,$S1523&lt;$V1523), "YES", "NO")</f>
        <v>YES</v>
      </c>
      <c r="AE998" t="str">
        <f t="shared" ref="AE998:AE1061" si="46">IF(AND($V998=1,$V1523=1), "YES", "NO")</f>
        <v>NO</v>
      </c>
      <c r="AF998" t="str">
        <f t="shared" ref="AF998:AF1061" si="47">IF(AND($V998&gt;1,$V1523&gt;1), "YES", "NO")</f>
        <v>YES</v>
      </c>
    </row>
    <row r="999" spans="1:32" ht="15" x14ac:dyDescent="0.35">
      <c r="A999" s="7" t="s">
        <v>201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>LEFT($A999,FIND("_",$A999)-1)</f>
        <v>TBar</v>
      </c>
      <c r="P999" s="13" t="str">
        <f>IF($O999="ACS", "True Search", IF($O999="Arja", "Evolutionary Search", IF($O999="AVATAR", "True Pattern", IF($O999="CapGen", "Search Like Pattern", IF($O999="Cardumen", "True Semantic", IF($O999="DynaMoth", "True Semantic", IF($O999="FixMiner", "True Pattern", IF($O999="GenProg-A", "Evolutionary Search", IF($O999="Hercules", "Learning Pattern", IF($O999="Jaid", "True Semantic",
IF($O999="Kali-A", "True Search", IF($O999="kPAR", "True Pattern", IF($O999="Nopol", "True Semantic", IF($O999="RSRepair-A", "Evolutionary Search", IF($O999="SequenceR", "Deep Learning", IF($O999="SimFix", "Search Like Pattern", IF($O999="SketchFix", "True Pattern", IF($O999="SOFix", "True Pattern", IF($O999="ssFix", "Search Like Pattern", IF($O999="TBar", "True Pattern", ""))))))))))))))))))))</f>
        <v>True Pattern</v>
      </c>
      <c r="Q999" s="13" t="str">
        <f>IF(NOT(ISERR(SEARCH("*_Buggy",$A999))), "Buggy", IF(NOT(ISERR(SEARCH("*_Fixed",$A999))), "Fixed", IF(NOT(ISERR(SEARCH("*_Repaired",$A999))), "Repaired", "")))</f>
        <v>Fixed</v>
      </c>
      <c r="R999" s="13" t="s">
        <v>1668</v>
      </c>
      <c r="S999" s="25">
        <v>2</v>
      </c>
      <c r="T999" s="13">
        <v>2</v>
      </c>
      <c r="U999" s="25">
        <v>0</v>
      </c>
      <c r="V999" s="13">
        <v>2</v>
      </c>
      <c r="W999" s="13" t="str">
        <f>MID(A999, SEARCH("_", A999) +1, SEARCH("_", A999, SEARCH("_", A999) +1) - SEARCH("_", A999) -1)</f>
        <v>Chart-4</v>
      </c>
      <c r="Y999" s="1" t="str">
        <f t="shared" si="42"/>
        <v>YES</v>
      </c>
      <c r="Z999" s="1" t="str">
        <f t="shared" si="43"/>
        <v>NO</v>
      </c>
      <c r="AA999" t="str">
        <f>IF(AND(S999&gt;1,S1524&gt;1,S999=V999,S1524=V1524), "YES", "NO")</f>
        <v>NO</v>
      </c>
      <c r="AB999" t="str">
        <f>IF(AND(S999&gt;1,S1524&gt;1,S999&lt;V999,S1524&lt;V1524), "YES", "NO")</f>
        <v>NO</v>
      </c>
      <c r="AC999" t="str">
        <f t="shared" si="44"/>
        <v>NO</v>
      </c>
      <c r="AD999" t="str">
        <f t="shared" si="45"/>
        <v>NO</v>
      </c>
      <c r="AE999" t="str">
        <f t="shared" si="46"/>
        <v>NO</v>
      </c>
      <c r="AF999" t="str">
        <f t="shared" si="47"/>
        <v>YES</v>
      </c>
    </row>
    <row r="1000" spans="1:32" ht="15" x14ac:dyDescent="0.35">
      <c r="A1000" s="7" t="s">
        <v>105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>LEFT($A1000,FIND("_",$A1000)-1)</f>
        <v>TBar</v>
      </c>
      <c r="P1000" s="13" t="str">
        <f>IF($O1000="ACS", "True Search", IF($O1000="Arja", "Evolutionary Search", IF($O1000="AVATAR", "True Pattern", IF($O1000="CapGen", "Search Like Pattern", IF($O1000="Cardumen", "True Semantic", IF($O1000="DynaMoth", "True Semantic", IF($O1000="FixMiner", "True Pattern", IF($O1000="GenProg-A", "Evolutionary Search", IF($O1000="Hercules", "Learning Pattern", IF($O1000="Jaid", "True Semantic",
IF($O1000="Kali-A", "True Search", IF($O1000="kPAR", "True Pattern", IF($O1000="Nopol", "True Semantic", IF($O1000="RSRepair-A", "Evolutionary Search", IF($O1000="SequenceR", "Deep Learning", IF($O1000="SimFix", "Search Like Pattern", IF($O1000="SketchFix", "True Pattern", IF($O1000="SOFix", "True Pattern", IF($O1000="ssFix", "Search Like Pattern", IF($O1000="TBar", "True Pattern", ""))))))))))))))))))))</f>
        <v>True Pattern</v>
      </c>
      <c r="Q1000" s="13" t="str">
        <f>IF(NOT(ISERR(SEARCH("*_Buggy",$A1000))), "Buggy", IF(NOT(ISERR(SEARCH("*_Fixed",$A1000))), "Fixed", IF(NOT(ISERR(SEARCH("*_Repaired",$A1000))), "Repaired", "")))</f>
        <v>Fixed</v>
      </c>
      <c r="R1000" s="13" t="s">
        <v>1669</v>
      </c>
      <c r="S1000" s="25">
        <v>2</v>
      </c>
      <c r="T1000" s="25">
        <v>5</v>
      </c>
      <c r="U1000" s="25">
        <v>1</v>
      </c>
      <c r="V1000" s="13">
        <v>5</v>
      </c>
      <c r="W1000" s="13" t="str">
        <f>MID(A1000, SEARCH("_", A1000) +1, SEARCH("_", A1000, SEARCH("_", A1000) +1) - SEARCH("_", A1000) -1)</f>
        <v>Chart-5</v>
      </c>
      <c r="Y1000" s="1" t="str">
        <f t="shared" si="42"/>
        <v>NO</v>
      </c>
      <c r="Z1000" s="1" t="str">
        <f t="shared" si="43"/>
        <v>YES</v>
      </c>
      <c r="AA1000" t="str">
        <f>IF(AND(S1000&gt;1,S1525&gt;1,S1000=V1000,S1525=V1525), "YES", "NO")</f>
        <v>NO</v>
      </c>
      <c r="AB1000" t="str">
        <f>IF(AND(S1000&gt;1,S1525&gt;1,S1000&lt;V1000,S1525&lt;V1525), "YES", "NO")</f>
        <v>NO</v>
      </c>
      <c r="AC1000" t="str">
        <f t="shared" si="44"/>
        <v>NO</v>
      </c>
      <c r="AD1000" t="str">
        <f t="shared" si="45"/>
        <v>NO</v>
      </c>
      <c r="AE1000" t="str">
        <f t="shared" si="46"/>
        <v>NO</v>
      </c>
      <c r="AF1000" t="str">
        <f t="shared" si="47"/>
        <v>NO</v>
      </c>
    </row>
    <row r="1001" spans="1:32" ht="15" x14ac:dyDescent="0.35">
      <c r="A1001" s="5" t="s">
        <v>407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>LEFT($A1001,FIND("_",$A1001)-1)</f>
        <v>TBar</v>
      </c>
      <c r="P1001" s="13" t="str">
        <f>IF($O1001="ACS", "True Search", IF($O1001="Arja", "Evolutionary Search", IF($O1001="AVATAR", "True Pattern", IF($O1001="CapGen", "Search Like Pattern", IF($O1001="Cardumen", "True Semantic", IF($O1001="DynaMoth", "True Semantic", IF($O1001="FixMiner", "True Pattern", IF($O1001="GenProg-A", "Evolutionary Search", IF($O1001="Hercules", "Learning Pattern", IF($O1001="Jaid", "True Semantic",
IF($O1001="Kali-A", "True Search", IF($O1001="kPAR", "True Pattern", IF($O1001="Nopol", "True Semantic", IF($O1001="RSRepair-A", "Evolutionary Search", IF($O1001="SequenceR", "Deep Learning", IF($O1001="SimFix", "Search Like Pattern", IF($O1001="SketchFix", "True Pattern", IF($O1001="SOFix", "True Pattern", IF($O1001="ssFix", "Search Like Pattern", IF($O1001="TBar", "True Pattern", ""))))))))))))))))))))</f>
        <v>True Pattern</v>
      </c>
      <c r="Q1001" s="13" t="str">
        <f>IF(NOT(ISERR(SEARCH("*_Buggy",$A1001))), "Buggy", IF(NOT(ISERR(SEARCH("*_Fixed",$A1001))), "Fixed", IF(NOT(ISERR(SEARCH("*_Repaired",$A1001))), "Repaired", "")))</f>
        <v>Fixed</v>
      </c>
      <c r="R1001" s="13" t="s">
        <v>1669</v>
      </c>
      <c r="S1001" s="25">
        <v>2</v>
      </c>
      <c r="T1001" s="25">
        <v>2</v>
      </c>
      <c r="U1001" s="25">
        <v>2</v>
      </c>
      <c r="V1001" s="13">
        <v>2</v>
      </c>
      <c r="W1001" s="13" t="str">
        <f>MID(A1001, SEARCH("_", A1001) +1, SEARCH("_", A1001, SEARCH("_", A1001) +1) - SEARCH("_", A1001) -1)</f>
        <v>Chart-7</v>
      </c>
      <c r="Y1001" s="1" t="str">
        <f t="shared" si="42"/>
        <v>YES</v>
      </c>
      <c r="Z1001" s="1" t="str">
        <f t="shared" si="43"/>
        <v>NO</v>
      </c>
      <c r="AA1001" t="str">
        <f>IF(AND(S1001&gt;1,S1526&gt;1,S1001=V1001,S1526=V1526), "YES", "NO")</f>
        <v>NO</v>
      </c>
      <c r="AB1001" t="str">
        <f>IF(AND(S1001&gt;1,S1526&gt;1,S1001&lt;V1001,S1526&lt;V1526), "YES", "NO")</f>
        <v>NO</v>
      </c>
      <c r="AC1001" t="str">
        <f t="shared" si="44"/>
        <v>NO</v>
      </c>
      <c r="AD1001" t="str">
        <f t="shared" si="45"/>
        <v>NO</v>
      </c>
      <c r="AE1001" t="str">
        <f t="shared" si="46"/>
        <v>NO</v>
      </c>
      <c r="AF1001" t="str">
        <f t="shared" si="47"/>
        <v>NO</v>
      </c>
    </row>
    <row r="1002" spans="1:32" ht="15" x14ac:dyDescent="0.35">
      <c r="A1002" s="7" t="s">
        <v>1192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>LEFT($A1002,FIND("_",$A1002)-1)</f>
        <v>TBar</v>
      </c>
      <c r="P1002" s="13" t="str">
        <f>IF($O1002="ACS", "True Search", IF($O1002="Arja", "Evolutionary Search", IF($O1002="AVATAR", "True Pattern", IF($O1002="CapGen", "Search Like Pattern", IF($O1002="Cardumen", "True Semantic", IF($O1002="DynaMoth", "True Semantic", IF($O1002="FixMiner", "True Pattern", IF($O1002="GenProg-A", "Evolutionary Search", IF($O1002="Hercules", "Learning Pattern", IF($O1002="Jaid", "True Semantic",
IF($O1002="Kali-A", "True Search", IF($O1002="kPAR", "True Pattern", IF($O1002="Nopol", "True Semantic", IF($O1002="RSRepair-A", "Evolutionary Search", IF($O1002="SequenceR", "Deep Learning", IF($O1002="SimFix", "Search Like Pattern", IF($O1002="SketchFix", "True Pattern", IF($O1002="SOFix", "True Pattern", IF($O1002="ssFix", "Search Like Pattern", IF($O1002="TBar", "True Pattern", ""))))))))))))))))))))</f>
        <v>True Pattern</v>
      </c>
      <c r="Q1002" s="13" t="str">
        <f>IF(NOT(ISERR(SEARCH("*_Buggy",$A1002))), "Buggy", IF(NOT(ISERR(SEARCH("*_Fixed",$A1002))), "Fixed", IF(NOT(ISERR(SEARCH("*_Repaired",$A1002))), "Repaired", "")))</f>
        <v>Fixed</v>
      </c>
      <c r="R1002" s="13" t="s">
        <v>1668</v>
      </c>
      <c r="S1002" s="25">
        <v>1</v>
      </c>
      <c r="T1002" s="25">
        <v>1</v>
      </c>
      <c r="U1002" s="25">
        <v>1</v>
      </c>
      <c r="V1002" s="13">
        <v>1</v>
      </c>
      <c r="W1002" s="13" t="str">
        <f>MID(A1002, SEARCH("_", A1002) +1, SEARCH("_", A1002, SEARCH("_", A1002) +1) - SEARCH("_", A1002) -1)</f>
        <v>Chart-8</v>
      </c>
      <c r="Y1002" s="1" t="str">
        <f t="shared" si="42"/>
        <v>NO</v>
      </c>
      <c r="Z1002" s="1" t="str">
        <f t="shared" si="43"/>
        <v>NO</v>
      </c>
      <c r="AA1002" t="str">
        <f>IF(AND(S1002&gt;1,S1527&gt;1,S1002=V1002,S1527=V1527), "YES", "NO")</f>
        <v>NO</v>
      </c>
      <c r="AB1002" t="str">
        <f>IF(AND(S1002&gt;1,S1527&gt;1,S1002&lt;V1002,S1527&lt;V1527), "YES", "NO")</f>
        <v>NO</v>
      </c>
      <c r="AC1002" t="str">
        <f t="shared" si="44"/>
        <v>YES</v>
      </c>
      <c r="AD1002" t="str">
        <f t="shared" si="45"/>
        <v>NO</v>
      </c>
      <c r="AE1002" t="str">
        <f t="shared" si="46"/>
        <v>YES</v>
      </c>
      <c r="AF1002" t="str">
        <f t="shared" si="47"/>
        <v>NO</v>
      </c>
    </row>
    <row r="1003" spans="1:32" ht="15" x14ac:dyDescent="0.35">
      <c r="A1003" s="7" t="s">
        <v>1172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>LEFT($A1003,FIND("_",$A1003)-1)</f>
        <v>TBar</v>
      </c>
      <c r="P1003" s="13" t="str">
        <f>IF($O1003="ACS", "True Search", IF($O1003="Arja", "Evolutionary Search", IF($O1003="AVATAR", "True Pattern", IF($O1003="CapGen", "Search Like Pattern", IF($O1003="Cardumen", "True Semantic", IF($O1003="DynaMoth", "True Semantic", IF($O1003="FixMiner", "True Pattern", IF($O1003="GenProg-A", "Evolutionary Search", IF($O1003="Hercules", "Learning Pattern", IF($O1003="Jaid", "True Semantic",
IF($O1003="Kali-A", "True Search", IF($O1003="kPAR", "True Pattern", IF($O1003="Nopol", "True Semantic", IF($O1003="RSRepair-A", "Evolutionary Search", IF($O1003="SequenceR", "Deep Learning", IF($O1003="SimFix", "Search Like Pattern", IF($O1003="SketchFix", "True Pattern", IF($O1003="SOFix", "True Pattern", IF($O1003="ssFix", "Search Like Pattern", IF($O1003="TBar", "True Pattern", ""))))))))))))))))))))</f>
        <v>True Pattern</v>
      </c>
      <c r="Q1003" s="13" t="str">
        <f>IF(NOT(ISERR(SEARCH("*_Buggy",$A1003))), "Buggy", IF(NOT(ISERR(SEARCH("*_Fixed",$A1003))), "Fixed", IF(NOT(ISERR(SEARCH("*_Repaired",$A1003))), "Repaired", "")))</f>
        <v>Fixed</v>
      </c>
      <c r="R1003" s="13" t="s">
        <v>1668</v>
      </c>
      <c r="S1003" s="25">
        <v>1</v>
      </c>
      <c r="T1003" s="25">
        <v>1</v>
      </c>
      <c r="U1003" s="25">
        <v>1</v>
      </c>
      <c r="V1003" s="13">
        <v>1</v>
      </c>
      <c r="W1003" s="13" t="str">
        <f>MID(A1003, SEARCH("_", A1003) +1, SEARCH("_", A1003, SEARCH("_", A1003) +1) - SEARCH("_", A1003) -1)</f>
        <v>Chart-9</v>
      </c>
      <c r="Y1003" s="1" t="str">
        <f t="shared" si="42"/>
        <v>NO</v>
      </c>
      <c r="Z1003" s="1" t="str">
        <f t="shared" si="43"/>
        <v>NO</v>
      </c>
      <c r="AA1003" t="str">
        <f>IF(AND(S1003&gt;1,S1528&gt;1,S1003=V1003,S1528=V1528), "YES", "NO")</f>
        <v>NO</v>
      </c>
      <c r="AB1003" t="str">
        <f>IF(AND(S1003&gt;1,S1528&gt;1,S1003&lt;V1003,S1528&lt;V1528), "YES", "NO")</f>
        <v>NO</v>
      </c>
      <c r="AC1003" t="str">
        <f t="shared" si="44"/>
        <v>YES</v>
      </c>
      <c r="AD1003" t="str">
        <f t="shared" si="45"/>
        <v>NO</v>
      </c>
      <c r="AE1003" t="str">
        <f t="shared" si="46"/>
        <v>YES</v>
      </c>
      <c r="AF1003" t="str">
        <f t="shared" si="47"/>
        <v>NO</v>
      </c>
    </row>
    <row r="1004" spans="1:32" ht="15" x14ac:dyDescent="0.35">
      <c r="A1004" s="7" t="s">
        <v>1062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>LEFT($A1004,FIND("_",$A1004)-1)</f>
        <v>TBar</v>
      </c>
      <c r="P1004" s="13" t="str">
        <f>IF($O1004="ACS", "True Search", IF($O1004="Arja", "Evolutionary Search", IF($O1004="AVATAR", "True Pattern", IF($O1004="CapGen", "Search Like Pattern", IF($O1004="Cardumen", "True Semantic", IF($O1004="DynaMoth", "True Semantic", IF($O1004="FixMiner", "True Pattern", IF($O1004="GenProg-A", "Evolutionary Search", IF($O1004="Hercules", "Learning Pattern", IF($O1004="Jaid", "True Semantic",
IF($O1004="Kali-A", "True Search", IF($O1004="kPAR", "True Pattern", IF($O1004="Nopol", "True Semantic", IF($O1004="RSRepair-A", "Evolutionary Search", IF($O1004="SequenceR", "Deep Learning", IF($O1004="SimFix", "Search Like Pattern", IF($O1004="SketchFix", "True Pattern", IF($O1004="SOFix", "True Pattern", IF($O1004="ssFix", "Search Like Pattern", IF($O1004="TBar", "True Pattern", ""))))))))))))))))))))</f>
        <v>True Pattern</v>
      </c>
      <c r="Q1004" s="13" t="str">
        <f>IF(NOT(ISERR(SEARCH("*_Buggy",$A1004))), "Buggy", IF(NOT(ISERR(SEARCH("*_Fixed",$A1004))), "Fixed", IF(NOT(ISERR(SEARCH("*_Repaired",$A1004))), "Repaired", "")))</f>
        <v>Fixed</v>
      </c>
      <c r="R1004" s="13" t="s">
        <v>1668</v>
      </c>
      <c r="S1004" s="25">
        <v>1</v>
      </c>
      <c r="T1004" s="25">
        <v>1</v>
      </c>
      <c r="U1004" s="25">
        <v>1</v>
      </c>
      <c r="V1004" s="13">
        <v>1</v>
      </c>
      <c r="W1004" s="13" t="str">
        <f>MID(A1004, SEARCH("_", A1004) +1, SEARCH("_", A1004, SEARCH("_", A1004) +1) - SEARCH("_", A1004) -1)</f>
        <v>Closure-10</v>
      </c>
      <c r="Y1004" s="1" t="str">
        <f t="shared" si="42"/>
        <v>NO</v>
      </c>
      <c r="Z1004" s="1" t="str">
        <f t="shared" si="43"/>
        <v>NO</v>
      </c>
      <c r="AA1004" t="str">
        <f>IF(AND(S1004&gt;1,S1529&gt;1,S1004=V1004,S1529=V1529), "YES", "NO")</f>
        <v>NO</v>
      </c>
      <c r="AB1004" t="str">
        <f>IF(AND(S1004&gt;1,S1529&gt;1,S1004&lt;V1004,S1529&lt;V1529), "YES", "NO")</f>
        <v>NO</v>
      </c>
      <c r="AC1004" t="str">
        <f t="shared" si="44"/>
        <v>YES</v>
      </c>
      <c r="AD1004" t="str">
        <f t="shared" si="45"/>
        <v>NO</v>
      </c>
      <c r="AE1004" t="str">
        <f t="shared" si="46"/>
        <v>YES</v>
      </c>
      <c r="AF1004" t="str">
        <f t="shared" si="47"/>
        <v>NO</v>
      </c>
    </row>
    <row r="1005" spans="1:32" ht="15" x14ac:dyDescent="0.35">
      <c r="A1005" s="7" t="s">
        <v>1113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>LEFT($A1005,FIND("_",$A1005)-1)</f>
        <v>TBar</v>
      </c>
      <c r="P1005" s="13" t="str">
        <f>IF($O1005="ACS", "True Search", IF($O1005="Arja", "Evolutionary Search", IF($O1005="AVATAR", "True Pattern", IF($O1005="CapGen", "Search Like Pattern", IF($O1005="Cardumen", "True Semantic", IF($O1005="DynaMoth", "True Semantic", IF($O1005="FixMiner", "True Pattern", IF($O1005="GenProg-A", "Evolutionary Search", IF($O1005="Hercules", "Learning Pattern", IF($O1005="Jaid", "True Semantic",
IF($O1005="Kali-A", "True Search", IF($O1005="kPAR", "True Pattern", IF($O1005="Nopol", "True Semantic", IF($O1005="RSRepair-A", "Evolutionary Search", IF($O1005="SequenceR", "Deep Learning", IF($O1005="SimFix", "Search Like Pattern", IF($O1005="SketchFix", "True Pattern", IF($O1005="SOFix", "True Pattern", IF($O1005="ssFix", "Search Like Pattern", IF($O1005="TBar", "True Pattern", ""))))))))))))))))))))</f>
        <v>True Pattern</v>
      </c>
      <c r="Q1005" s="13" t="str">
        <f>IF(NOT(ISERR(SEARCH("*_Buggy",$A1005))), "Buggy", IF(NOT(ISERR(SEARCH("*_Fixed",$A1005))), "Fixed", IF(NOT(ISERR(SEARCH("*_Repaired",$A1005))), "Repaired", "")))</f>
        <v>Fixed</v>
      </c>
      <c r="R1005" s="13" t="s">
        <v>1668</v>
      </c>
      <c r="S1005" s="25">
        <v>2</v>
      </c>
      <c r="T1005" s="25">
        <v>1</v>
      </c>
      <c r="U1005" s="25">
        <v>1</v>
      </c>
      <c r="V1005" s="13">
        <v>2</v>
      </c>
      <c r="W1005" s="13" t="str">
        <f>MID(A1005, SEARCH("_", A1005) +1, SEARCH("_", A1005, SEARCH("_", A1005) +1) - SEARCH("_", A1005) -1)</f>
        <v>Closure-102</v>
      </c>
      <c r="Y1005" s="1" t="str">
        <f t="shared" si="42"/>
        <v>YES</v>
      </c>
      <c r="Z1005" s="1" t="str">
        <f t="shared" si="43"/>
        <v>NO</v>
      </c>
      <c r="AA1005" t="str">
        <f>IF(AND(S1005&gt;1,S1530&gt;1,S1005=V1005,S1530=V1530), "YES", "NO")</f>
        <v>NO</v>
      </c>
      <c r="AB1005" t="str">
        <f>IF(AND(S1005&gt;1,S1530&gt;1,S1005&lt;V1005,S1530&lt;V1530), "YES", "NO")</f>
        <v>NO</v>
      </c>
      <c r="AC1005" t="str">
        <f t="shared" si="44"/>
        <v>NO</v>
      </c>
      <c r="AD1005" t="str">
        <f t="shared" si="45"/>
        <v>NO</v>
      </c>
      <c r="AE1005" t="str">
        <f t="shared" si="46"/>
        <v>NO</v>
      </c>
      <c r="AF1005" t="str">
        <f t="shared" si="47"/>
        <v>YES</v>
      </c>
    </row>
    <row r="1006" spans="1:32" ht="15" x14ac:dyDescent="0.35">
      <c r="A1006" s="5" t="s">
        <v>1093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>LEFT($A1006,FIND("_",$A1006)-1)</f>
        <v>TBar</v>
      </c>
      <c r="P1006" s="13" t="str">
        <f>IF($O1006="ACS", "True Search", IF($O1006="Arja", "Evolutionary Search", IF($O1006="AVATAR", "True Pattern", IF($O1006="CapGen", "Search Like Pattern", IF($O1006="Cardumen", "True Semantic", IF($O1006="DynaMoth", "True Semantic", IF($O1006="FixMiner", "True Pattern", IF($O1006="GenProg-A", "Evolutionary Search", IF($O1006="Hercules", "Learning Pattern", IF($O1006="Jaid", "True Semantic",
IF($O1006="Kali-A", "True Search", IF($O1006="kPAR", "True Pattern", IF($O1006="Nopol", "True Semantic", IF($O1006="RSRepair-A", "Evolutionary Search", IF($O1006="SequenceR", "Deep Learning", IF($O1006="SimFix", "Search Like Pattern", IF($O1006="SketchFix", "True Pattern", IF($O1006="SOFix", "True Pattern", IF($O1006="ssFix", "Search Like Pattern", IF($O1006="TBar", "True Pattern", ""))))))))))))))))))))</f>
        <v>True Pattern</v>
      </c>
      <c r="Q1006" s="13" t="str">
        <f>IF(NOT(ISERR(SEARCH("*_Buggy",$A1006))), "Buggy", IF(NOT(ISERR(SEARCH("*_Fixed",$A1006))), "Fixed", IF(NOT(ISERR(SEARCH("*_Repaired",$A1006))), "Repaired", "")))</f>
        <v>Fixed</v>
      </c>
      <c r="R1006" s="13" t="s">
        <v>1668</v>
      </c>
      <c r="S1006" s="25">
        <v>1</v>
      </c>
      <c r="T1006" s="25">
        <v>0</v>
      </c>
      <c r="U1006" s="13">
        <v>2</v>
      </c>
      <c r="V1006" s="13">
        <v>2</v>
      </c>
      <c r="W1006" s="13" t="str">
        <f>MID(A1006, SEARCH("_", A1006) +1, SEARCH("_", A1006, SEARCH("_", A1006) +1) - SEARCH("_", A1006) -1)</f>
        <v>Closure-11</v>
      </c>
      <c r="Y1006" s="1" t="str">
        <f t="shared" si="42"/>
        <v>NO</v>
      </c>
      <c r="Z1006" s="1" t="str">
        <f t="shared" si="43"/>
        <v>NO</v>
      </c>
      <c r="AA1006" t="str">
        <f>IF(AND(S1006&gt;1,S1531&gt;1,S1006=V1006,S1531=V1531), "YES", "NO")</f>
        <v>NO</v>
      </c>
      <c r="AB1006" t="str">
        <f>IF(AND(S1006&gt;1,S1531&gt;1,S1006&lt;V1006,S1531&lt;V1531), "YES", "NO")</f>
        <v>NO</v>
      </c>
      <c r="AC1006" t="str">
        <f t="shared" si="44"/>
        <v>NO</v>
      </c>
      <c r="AD1006" t="str">
        <f t="shared" si="45"/>
        <v>NO</v>
      </c>
      <c r="AE1006" t="str">
        <f t="shared" si="46"/>
        <v>NO</v>
      </c>
      <c r="AF1006" t="str">
        <f t="shared" si="47"/>
        <v>NO</v>
      </c>
    </row>
    <row r="1007" spans="1:32" ht="15" x14ac:dyDescent="0.35">
      <c r="A1007" s="5" t="s">
        <v>488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>LEFT($A1007,FIND("_",$A1007)-1)</f>
        <v>TBar</v>
      </c>
      <c r="P1007" s="13" t="str">
        <f>IF($O1007="ACS", "True Search", IF($O1007="Arja", "Evolutionary Search", IF($O1007="AVATAR", "True Pattern", IF($O1007="CapGen", "Search Like Pattern", IF($O1007="Cardumen", "True Semantic", IF($O1007="DynaMoth", "True Semantic", IF($O1007="FixMiner", "True Pattern", IF($O1007="GenProg-A", "Evolutionary Search", IF($O1007="Hercules", "Learning Pattern", IF($O1007="Jaid", "True Semantic",
IF($O1007="Kali-A", "True Search", IF($O1007="kPAR", "True Pattern", IF($O1007="Nopol", "True Semantic", IF($O1007="RSRepair-A", "Evolutionary Search", IF($O1007="SequenceR", "Deep Learning", IF($O1007="SimFix", "Search Like Pattern", IF($O1007="SketchFix", "True Pattern", IF($O1007="SOFix", "True Pattern", IF($O1007="ssFix", "Search Like Pattern", IF($O1007="TBar", "True Pattern", ""))))))))))))))))))))</f>
        <v>True Pattern</v>
      </c>
      <c r="Q1007" s="13" t="str">
        <f>IF(NOT(ISERR(SEARCH("*_Buggy",$A1007))), "Buggy", IF(NOT(ISERR(SEARCH("*_Fixed",$A1007))), "Fixed", IF(NOT(ISERR(SEARCH("*_Repaired",$A1007))), "Repaired", "")))</f>
        <v>Fixed</v>
      </c>
      <c r="R1007" s="13" t="s">
        <v>1668</v>
      </c>
      <c r="S1007" s="25">
        <v>2</v>
      </c>
      <c r="T1007" s="25">
        <v>0</v>
      </c>
      <c r="U1007" s="13">
        <v>11</v>
      </c>
      <c r="V1007" s="13">
        <v>11</v>
      </c>
      <c r="W1007" s="13" t="str">
        <f>MID(A1007, SEARCH("_", A1007) +1, SEARCH("_", A1007, SEARCH("_", A1007) +1) - SEARCH("_", A1007) -1)</f>
        <v>Closure-115</v>
      </c>
      <c r="Y1007" s="1" t="str">
        <f t="shared" si="42"/>
        <v>NO</v>
      </c>
      <c r="Z1007" s="1" t="str">
        <f t="shared" si="43"/>
        <v>YES</v>
      </c>
      <c r="AA1007" t="str">
        <f>IF(AND(S1007&gt;1,S1532&gt;1,S1007=V1007,S1532=V1532), "YES", "NO")</f>
        <v>NO</v>
      </c>
      <c r="AB1007" t="str">
        <f>IF(AND(S1007&gt;1,S1532&gt;1,S1007&lt;V1007,S1532&lt;V1532), "YES", "NO")</f>
        <v>NO</v>
      </c>
      <c r="AC1007" t="str">
        <f t="shared" si="44"/>
        <v>NO</v>
      </c>
      <c r="AD1007" t="str">
        <f t="shared" si="45"/>
        <v>NO</v>
      </c>
      <c r="AE1007" t="str">
        <f t="shared" si="46"/>
        <v>NO</v>
      </c>
      <c r="AF1007" t="str">
        <f t="shared" si="47"/>
        <v>NO</v>
      </c>
    </row>
    <row r="1008" spans="1:32" ht="15" x14ac:dyDescent="0.35">
      <c r="A1008" s="5" t="s">
        <v>530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>LEFT($A1008,FIND("_",$A1008)-1)</f>
        <v>TBar</v>
      </c>
      <c r="P1008" s="13" t="str">
        <f>IF($O1008="ACS", "True Search", IF($O1008="Arja", "Evolutionary Search", IF($O1008="AVATAR", "True Pattern", IF($O1008="CapGen", "Search Like Pattern", IF($O1008="Cardumen", "True Semantic", IF($O1008="DynaMoth", "True Semantic", IF($O1008="FixMiner", "True Pattern", IF($O1008="GenProg-A", "Evolutionary Search", IF($O1008="Hercules", "Learning Pattern", IF($O1008="Jaid", "True Semantic",
IF($O1008="Kali-A", "True Search", IF($O1008="kPAR", "True Pattern", IF($O1008="Nopol", "True Semantic", IF($O1008="RSRepair-A", "Evolutionary Search", IF($O1008="SequenceR", "Deep Learning", IF($O1008="SimFix", "Search Like Pattern", IF($O1008="SketchFix", "True Pattern", IF($O1008="SOFix", "True Pattern", IF($O1008="ssFix", "Search Like Pattern", IF($O1008="TBar", "True Pattern", ""))))))))))))))))))))</f>
        <v>True Pattern</v>
      </c>
      <c r="Q1008" s="13" t="str">
        <f>IF(NOT(ISERR(SEARCH("*_Buggy",$A1008))), "Buggy", IF(NOT(ISERR(SEARCH("*_Fixed",$A1008))), "Fixed", IF(NOT(ISERR(SEARCH("*_Repaired",$A1008))), "Repaired", "")))</f>
        <v>Fixed</v>
      </c>
      <c r="R1008" s="13" t="s">
        <v>1668</v>
      </c>
      <c r="S1008" s="25">
        <v>3</v>
      </c>
      <c r="T1008" s="25">
        <v>12</v>
      </c>
      <c r="U1008" s="25">
        <v>12</v>
      </c>
      <c r="V1008" s="13">
        <v>24</v>
      </c>
      <c r="W1008" s="13" t="str">
        <f>MID(A1008, SEARCH("_", A1008) +1, SEARCH("_", A1008, SEARCH("_", A1008) +1) - SEARCH("_", A1008) -1)</f>
        <v>Closure-117</v>
      </c>
      <c r="Y1008" s="1" t="str">
        <f t="shared" si="42"/>
        <v>NO</v>
      </c>
      <c r="Z1008" s="1" t="str">
        <f t="shared" si="43"/>
        <v>YES</v>
      </c>
      <c r="AA1008" t="str">
        <f>IF(AND(S1008&gt;1,S1533&gt;1,S1008=V1008,S1533=V1533), "YES", "NO")</f>
        <v>NO</v>
      </c>
      <c r="AB1008" t="str">
        <f>IF(AND(S1008&gt;1,S1533&gt;1,S1008&lt;V1008,S1533&lt;V1533), "YES", "NO")</f>
        <v>YES</v>
      </c>
      <c r="AC1008" t="str">
        <f t="shared" si="44"/>
        <v>NO</v>
      </c>
      <c r="AD1008" t="str">
        <f t="shared" si="45"/>
        <v>NO</v>
      </c>
      <c r="AE1008" t="str">
        <f t="shared" si="46"/>
        <v>NO</v>
      </c>
      <c r="AF1008" t="str">
        <f t="shared" si="47"/>
        <v>YES</v>
      </c>
    </row>
    <row r="1009" spans="1:32" ht="15" x14ac:dyDescent="0.35">
      <c r="A1009" s="5" t="s">
        <v>918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>LEFT($A1009,FIND("_",$A1009)-1)</f>
        <v>TBar</v>
      </c>
      <c r="P1009" s="13" t="str">
        <f>IF($O1009="ACS", "True Search", IF($O1009="Arja", "Evolutionary Search", IF($O1009="AVATAR", "True Pattern", IF($O1009="CapGen", "Search Like Pattern", IF($O1009="Cardumen", "True Semantic", IF($O1009="DynaMoth", "True Semantic", IF($O1009="FixMiner", "True Pattern", IF($O1009="GenProg-A", "Evolutionary Search", IF($O1009="Hercules", "Learning Pattern", IF($O1009="Jaid", "True Semantic",
IF($O1009="Kali-A", "True Search", IF($O1009="kPAR", "True Pattern", IF($O1009="Nopol", "True Semantic", IF($O1009="RSRepair-A", "Evolutionary Search", IF($O1009="SequenceR", "Deep Learning", IF($O1009="SimFix", "Search Like Pattern", IF($O1009="SketchFix", "True Pattern", IF($O1009="SOFix", "True Pattern", IF($O1009="ssFix", "Search Like Pattern", IF($O1009="TBar", "True Pattern", ""))))))))))))))))))))</f>
        <v>True Pattern</v>
      </c>
      <c r="Q1009" s="13" t="str">
        <f>IF(NOT(ISERR(SEARCH("*_Buggy",$A1009))), "Buggy", IF(NOT(ISERR(SEARCH("*_Fixed",$A1009))), "Fixed", IF(NOT(ISERR(SEARCH("*_Repaired",$A1009))), "Repaired", "")))</f>
        <v>Fixed</v>
      </c>
      <c r="R1009" s="13" t="s">
        <v>1668</v>
      </c>
      <c r="S1009" s="25">
        <v>2</v>
      </c>
      <c r="T1009" s="25">
        <v>1</v>
      </c>
      <c r="U1009" s="25">
        <v>1</v>
      </c>
      <c r="V1009" s="13">
        <v>2</v>
      </c>
      <c r="W1009" s="13" t="str">
        <f>MID(A1009, SEARCH("_", A1009) +1, SEARCH("_", A1009, SEARCH("_", A1009) +1) - SEARCH("_", A1009) -1)</f>
        <v>Closure-13</v>
      </c>
      <c r="Y1009" s="1" t="str">
        <f t="shared" si="42"/>
        <v>YES</v>
      </c>
      <c r="Z1009" s="1" t="str">
        <f t="shared" si="43"/>
        <v>NO</v>
      </c>
      <c r="AA1009" t="str">
        <f>IF(AND(S1009&gt;1,S1534&gt;1,S1009=V1009,S1534=V1534), "YES", "NO")</f>
        <v>NO</v>
      </c>
      <c r="AB1009" t="str">
        <f>IF(AND(S1009&gt;1,S1534&gt;1,S1009&lt;V1009,S1534&lt;V1534), "YES", "NO")</f>
        <v>NO</v>
      </c>
      <c r="AC1009" t="str">
        <f t="shared" si="44"/>
        <v>NO</v>
      </c>
      <c r="AD1009" t="str">
        <f t="shared" si="45"/>
        <v>NO</v>
      </c>
      <c r="AE1009" t="str">
        <f t="shared" si="46"/>
        <v>NO</v>
      </c>
      <c r="AF1009" t="str">
        <f t="shared" si="47"/>
        <v>YES</v>
      </c>
    </row>
    <row r="1010" spans="1:32" ht="15" x14ac:dyDescent="0.35">
      <c r="A1010" s="7" t="s">
        <v>491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>LEFT($A1010,FIND("_",$A1010)-1)</f>
        <v>TBar</v>
      </c>
      <c r="P1010" s="13" t="str">
        <f>IF($O1010="ACS", "True Search", IF($O1010="Arja", "Evolutionary Search", IF($O1010="AVATAR", "True Pattern", IF($O1010="CapGen", "Search Like Pattern", IF($O1010="Cardumen", "True Semantic", IF($O1010="DynaMoth", "True Semantic", IF($O1010="FixMiner", "True Pattern", IF($O1010="GenProg-A", "Evolutionary Search", IF($O1010="Hercules", "Learning Pattern", IF($O1010="Jaid", "True Semantic",
IF($O1010="Kali-A", "True Search", IF($O1010="kPAR", "True Pattern", IF($O1010="Nopol", "True Semantic", IF($O1010="RSRepair-A", "Evolutionary Search", IF($O1010="SequenceR", "Deep Learning", IF($O1010="SimFix", "Search Like Pattern", IF($O1010="SketchFix", "True Pattern", IF($O1010="SOFix", "True Pattern", IF($O1010="ssFix", "Search Like Pattern", IF($O1010="TBar", "True Pattern", ""))))))))))))))))))))</f>
        <v>True Pattern</v>
      </c>
      <c r="Q1010" s="13" t="str">
        <f>IF(NOT(ISERR(SEARCH("*_Buggy",$A1010))), "Buggy", IF(NOT(ISERR(SEARCH("*_Fixed",$A1010))), "Fixed", IF(NOT(ISERR(SEARCH("*_Repaired",$A1010))), "Repaired", "")))</f>
        <v>Fixed</v>
      </c>
      <c r="R1010" s="13" t="s">
        <v>1669</v>
      </c>
      <c r="S1010" s="25">
        <v>2</v>
      </c>
      <c r="T1010" s="13">
        <v>2</v>
      </c>
      <c r="U1010" s="25">
        <v>0</v>
      </c>
      <c r="V1010" s="13">
        <v>2</v>
      </c>
      <c r="W1010" s="13" t="str">
        <f>MID(A1010, SEARCH("_", A1010) +1, SEARCH("_", A1010, SEARCH("_", A1010) +1) - SEARCH("_", A1010) -1)</f>
        <v>Closure-19</v>
      </c>
      <c r="Y1010" s="1" t="str">
        <f t="shared" si="42"/>
        <v>YES</v>
      </c>
      <c r="Z1010" s="1" t="str">
        <f t="shared" si="43"/>
        <v>NO</v>
      </c>
      <c r="AA1010" t="str">
        <f>IF(AND(S1010&gt;1,S1535&gt;1,S1010=V1010,S1535=V1535), "YES", "NO")</f>
        <v>NO</v>
      </c>
      <c r="AB1010" t="str">
        <f>IF(AND(S1010&gt;1,S1535&gt;1,S1010&lt;V1010,S1535&lt;V1535), "YES", "NO")</f>
        <v>NO</v>
      </c>
      <c r="AC1010" t="str">
        <f t="shared" si="44"/>
        <v>NO</v>
      </c>
      <c r="AD1010" t="str">
        <f t="shared" si="45"/>
        <v>NO</v>
      </c>
      <c r="AE1010" t="str">
        <f t="shared" si="46"/>
        <v>NO</v>
      </c>
      <c r="AF1010" t="str">
        <f t="shared" si="47"/>
        <v>YES</v>
      </c>
    </row>
    <row r="1011" spans="1:32" ht="15" x14ac:dyDescent="0.35">
      <c r="A1011" s="7" t="s">
        <v>1170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>LEFT($A1011,FIND("_",$A1011)-1)</f>
        <v>TBar</v>
      </c>
      <c r="P1011" s="13" t="str">
        <f>IF($O1011="ACS", "True Search", IF($O1011="Arja", "Evolutionary Search", IF($O1011="AVATAR", "True Pattern", IF($O1011="CapGen", "Search Like Pattern", IF($O1011="Cardumen", "True Semantic", IF($O1011="DynaMoth", "True Semantic", IF($O1011="FixMiner", "True Pattern", IF($O1011="GenProg-A", "Evolutionary Search", IF($O1011="Hercules", "Learning Pattern", IF($O1011="Jaid", "True Semantic",
IF($O1011="Kali-A", "True Search", IF($O1011="kPAR", "True Pattern", IF($O1011="Nopol", "True Semantic", IF($O1011="RSRepair-A", "Evolutionary Search", IF($O1011="SequenceR", "Deep Learning", IF($O1011="SimFix", "Search Like Pattern", IF($O1011="SketchFix", "True Pattern", IF($O1011="SOFix", "True Pattern", IF($O1011="ssFix", "Search Like Pattern", IF($O1011="TBar", "True Pattern", ""))))))))))))))))))))</f>
        <v>True Pattern</v>
      </c>
      <c r="Q1011" s="13" t="str">
        <f>IF(NOT(ISERR(SEARCH("*_Buggy",$A1011))), "Buggy", IF(NOT(ISERR(SEARCH("*_Fixed",$A1011))), "Fixed", IF(NOT(ISERR(SEARCH("*_Repaired",$A1011))), "Repaired", "")))</f>
        <v>Fixed</v>
      </c>
      <c r="R1011" s="13" t="s">
        <v>1668</v>
      </c>
      <c r="S1011" s="25">
        <v>3</v>
      </c>
      <c r="T1011" s="13">
        <v>4</v>
      </c>
      <c r="U1011" s="25">
        <v>0</v>
      </c>
      <c r="V1011" s="13">
        <v>4</v>
      </c>
      <c r="W1011" s="13" t="str">
        <f>MID(A1011, SEARCH("_", A1011) +1, SEARCH("_", A1011, SEARCH("_", A1011) +1) - SEARCH("_", A1011) -1)</f>
        <v>Closure-2</v>
      </c>
      <c r="Y1011" s="1" t="str">
        <f t="shared" si="42"/>
        <v>NO</v>
      </c>
      <c r="Z1011" s="1" t="str">
        <f t="shared" si="43"/>
        <v>YES</v>
      </c>
      <c r="AA1011" t="str">
        <f>IF(AND(S1011&gt;1,S1536&gt;1,S1011=V1011,S1536=V1536), "YES", "NO")</f>
        <v>NO</v>
      </c>
      <c r="AB1011" t="str">
        <f>IF(AND(S1011&gt;1,S1536&gt;1,S1011&lt;V1011,S1536&lt;V1536), "YES", "NO")</f>
        <v>YES</v>
      </c>
      <c r="AC1011" t="str">
        <f t="shared" si="44"/>
        <v>NO</v>
      </c>
      <c r="AD1011" t="str">
        <f t="shared" si="45"/>
        <v>NO</v>
      </c>
      <c r="AE1011" t="str">
        <f t="shared" si="46"/>
        <v>NO</v>
      </c>
      <c r="AF1011" t="str">
        <f t="shared" si="47"/>
        <v>YES</v>
      </c>
    </row>
    <row r="1012" spans="1:32" ht="15" x14ac:dyDescent="0.35">
      <c r="A1012" s="7" t="s">
        <v>250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>LEFT($A1012,FIND("_",$A1012)-1)</f>
        <v>TBar</v>
      </c>
      <c r="P1012" s="13" t="str">
        <f>IF($O1012="ACS", "True Search", IF($O1012="Arja", "Evolutionary Search", IF($O1012="AVATAR", "True Pattern", IF($O1012="CapGen", "Search Like Pattern", IF($O1012="Cardumen", "True Semantic", IF($O1012="DynaMoth", "True Semantic", IF($O1012="FixMiner", "True Pattern", IF($O1012="GenProg-A", "Evolutionary Search", IF($O1012="Hercules", "Learning Pattern", IF($O1012="Jaid", "True Semantic",
IF($O1012="Kali-A", "True Search", IF($O1012="kPAR", "True Pattern", IF($O1012="Nopol", "True Semantic", IF($O1012="RSRepair-A", "Evolutionary Search", IF($O1012="SequenceR", "Deep Learning", IF($O1012="SimFix", "Search Like Pattern", IF($O1012="SketchFix", "True Pattern", IF($O1012="SOFix", "True Pattern", IF($O1012="ssFix", "Search Like Pattern", IF($O1012="TBar", "True Pattern", ""))))))))))))))))))))</f>
        <v>True Pattern</v>
      </c>
      <c r="Q1012" s="13" t="str">
        <f>IF(NOT(ISERR(SEARCH("*_Buggy",$A1012))), "Buggy", IF(NOT(ISERR(SEARCH("*_Fixed",$A1012))), "Fixed", IF(NOT(ISERR(SEARCH("*_Repaired",$A1012))), "Repaired", "")))</f>
        <v>Fixed</v>
      </c>
      <c r="R1012" s="13" t="s">
        <v>1669</v>
      </c>
      <c r="S1012" s="25">
        <v>2</v>
      </c>
      <c r="T1012" s="25">
        <v>2</v>
      </c>
      <c r="U1012" s="25">
        <v>19</v>
      </c>
      <c r="V1012" s="13">
        <v>19</v>
      </c>
      <c r="W1012" s="13" t="str">
        <f>MID(A1012, SEARCH("_", A1012) +1, SEARCH("_", A1012, SEARCH("_", A1012) +1) - SEARCH("_", A1012) -1)</f>
        <v>Closure-21</v>
      </c>
      <c r="Y1012" s="1" t="str">
        <f t="shared" si="42"/>
        <v>NO</v>
      </c>
      <c r="Z1012" s="1" t="str">
        <f t="shared" si="43"/>
        <v>YES</v>
      </c>
      <c r="AA1012" t="str">
        <f>IF(AND(S1012&gt;1,S1537&gt;1,S1012=V1012,S1537=V1537), "YES", "NO")</f>
        <v>NO</v>
      </c>
      <c r="AB1012" t="str">
        <f>IF(AND(S1012&gt;1,S1537&gt;1,S1012&lt;V1012,S1537&lt;V1537), "YES", "NO")</f>
        <v>NO</v>
      </c>
      <c r="AC1012" t="str">
        <f t="shared" si="44"/>
        <v>NO</v>
      </c>
      <c r="AD1012" t="str">
        <f t="shared" si="45"/>
        <v>NO</v>
      </c>
      <c r="AE1012" t="str">
        <f t="shared" si="46"/>
        <v>NO</v>
      </c>
      <c r="AF1012" t="str">
        <f t="shared" si="47"/>
        <v>NO</v>
      </c>
    </row>
    <row r="1013" spans="1:32" ht="15" x14ac:dyDescent="0.35">
      <c r="A1013" s="7" t="s">
        <v>698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>LEFT($A1013,FIND("_",$A1013)-1)</f>
        <v>TBar</v>
      </c>
      <c r="P1013" s="13" t="str">
        <f>IF($O1013="ACS", "True Search", IF($O1013="Arja", "Evolutionary Search", IF($O1013="AVATAR", "True Pattern", IF($O1013="CapGen", "Search Like Pattern", IF($O1013="Cardumen", "True Semantic", IF($O1013="DynaMoth", "True Semantic", IF($O1013="FixMiner", "True Pattern", IF($O1013="GenProg-A", "Evolutionary Search", IF($O1013="Hercules", "Learning Pattern", IF($O1013="Jaid", "True Semantic",
IF($O1013="Kali-A", "True Search", IF($O1013="kPAR", "True Pattern", IF($O1013="Nopol", "True Semantic", IF($O1013="RSRepair-A", "Evolutionary Search", IF($O1013="SequenceR", "Deep Learning", IF($O1013="SimFix", "Search Like Pattern", IF($O1013="SketchFix", "True Pattern", IF($O1013="SOFix", "True Pattern", IF($O1013="ssFix", "Search Like Pattern", IF($O1013="TBar", "True Pattern", ""))))))))))))))))))))</f>
        <v>True Pattern</v>
      </c>
      <c r="Q1013" s="13" t="str">
        <f>IF(NOT(ISERR(SEARCH("*_Buggy",$A1013))), "Buggy", IF(NOT(ISERR(SEARCH("*_Fixed",$A1013))), "Fixed", IF(NOT(ISERR(SEARCH("*_Repaired",$A1013))), "Repaired", "")))</f>
        <v>Fixed</v>
      </c>
      <c r="R1013" s="13" t="s">
        <v>1669</v>
      </c>
      <c r="S1013" s="25">
        <v>5</v>
      </c>
      <c r="T1013" s="25">
        <v>2</v>
      </c>
      <c r="U1013" s="25">
        <v>26</v>
      </c>
      <c r="V1013" s="13">
        <v>26</v>
      </c>
      <c r="W1013" s="13" t="str">
        <f>MID(A1013, SEARCH("_", A1013) +1, SEARCH("_", A1013, SEARCH("_", A1013) +1) - SEARCH("_", A1013) -1)</f>
        <v>Closure-22</v>
      </c>
      <c r="Y1013" s="1" t="str">
        <f t="shared" si="42"/>
        <v>NO</v>
      </c>
      <c r="Z1013" s="1" t="str">
        <f t="shared" si="43"/>
        <v>YES</v>
      </c>
      <c r="AA1013" t="str">
        <f>IF(AND(S1013&gt;1,S1538&gt;1,S1013=V1013,S1538=V1538), "YES", "NO")</f>
        <v>NO</v>
      </c>
      <c r="AB1013" t="str">
        <f>IF(AND(S1013&gt;1,S1538&gt;1,S1013&lt;V1013,S1538&lt;V1538), "YES", "NO")</f>
        <v>NO</v>
      </c>
      <c r="AC1013" t="str">
        <f t="shared" si="44"/>
        <v>NO</v>
      </c>
      <c r="AD1013" t="str">
        <f t="shared" si="45"/>
        <v>NO</v>
      </c>
      <c r="AE1013" t="str">
        <f t="shared" si="46"/>
        <v>NO</v>
      </c>
      <c r="AF1013" t="str">
        <f t="shared" si="47"/>
        <v>NO</v>
      </c>
    </row>
    <row r="1014" spans="1:32" ht="15" x14ac:dyDescent="0.35">
      <c r="A1014" s="5" t="s">
        <v>138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>LEFT($A1014,FIND("_",$A1014)-1)</f>
        <v>TBar</v>
      </c>
      <c r="P1014" s="13" t="str">
        <f>IF($O1014="ACS", "True Search", IF($O1014="Arja", "Evolutionary Search", IF($O1014="AVATAR", "True Pattern", IF($O1014="CapGen", "Search Like Pattern", IF($O1014="Cardumen", "True Semantic", IF($O1014="DynaMoth", "True Semantic", IF($O1014="FixMiner", "True Pattern", IF($O1014="GenProg-A", "Evolutionary Search", IF($O1014="Hercules", "Learning Pattern", IF($O1014="Jaid", "True Semantic",
IF($O1014="Kali-A", "True Search", IF($O1014="kPAR", "True Pattern", IF($O1014="Nopol", "True Semantic", IF($O1014="RSRepair-A", "Evolutionary Search", IF($O1014="SequenceR", "Deep Learning", IF($O1014="SimFix", "Search Like Pattern", IF($O1014="SketchFix", "True Pattern", IF($O1014="SOFix", "True Pattern", IF($O1014="ssFix", "Search Like Pattern", IF($O1014="TBar", "True Pattern", ""))))))))))))))))))))</f>
        <v>True Pattern</v>
      </c>
      <c r="Q1014" s="13" t="str">
        <f>IF(NOT(ISERR(SEARCH("*_Buggy",$A1014))), "Buggy", IF(NOT(ISERR(SEARCH("*_Fixed",$A1014))), "Fixed", IF(NOT(ISERR(SEARCH("*_Repaired",$A1014))), "Repaired", "")))</f>
        <v>Fixed</v>
      </c>
      <c r="R1014" s="13" t="s">
        <v>1669</v>
      </c>
      <c r="S1014" s="25">
        <v>1</v>
      </c>
      <c r="T1014" s="25">
        <v>2</v>
      </c>
      <c r="U1014" s="25">
        <v>15</v>
      </c>
      <c r="V1014" s="13">
        <v>15</v>
      </c>
      <c r="W1014" s="13" t="str">
        <f>MID(A1014, SEARCH("_", A1014) +1, SEARCH("_", A1014, SEARCH("_", A1014) +1) - SEARCH("_", A1014) -1)</f>
        <v>Closure-35</v>
      </c>
      <c r="Y1014" s="1" t="str">
        <f t="shared" si="42"/>
        <v>NO</v>
      </c>
      <c r="Z1014" s="1" t="str">
        <f t="shared" si="43"/>
        <v>NO</v>
      </c>
      <c r="AA1014" t="str">
        <f>IF(AND(S1014&gt;1,S1539&gt;1,S1014=V1014,S1539=V1539), "YES", "NO")</f>
        <v>NO</v>
      </c>
      <c r="AB1014" t="str">
        <f>IF(AND(S1014&gt;1,S1539&gt;1,S1014&lt;V1014,S1539&lt;V1539), "YES", "NO")</f>
        <v>NO</v>
      </c>
      <c r="AC1014" t="str">
        <f t="shared" si="44"/>
        <v>NO</v>
      </c>
      <c r="AD1014" t="str">
        <f t="shared" si="45"/>
        <v>NO</v>
      </c>
      <c r="AE1014" t="str">
        <f t="shared" si="46"/>
        <v>NO</v>
      </c>
      <c r="AF1014" t="str">
        <f t="shared" si="47"/>
        <v>NO</v>
      </c>
    </row>
    <row r="1015" spans="1:32" ht="15" x14ac:dyDescent="0.35">
      <c r="A1015" s="7" t="s">
        <v>364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>LEFT($A1015,FIND("_",$A1015)-1)</f>
        <v>TBar</v>
      </c>
      <c r="P1015" s="13" t="str">
        <f>IF($O1015="ACS", "True Search", IF($O1015="Arja", "Evolutionary Search", IF($O1015="AVATAR", "True Pattern", IF($O1015="CapGen", "Search Like Pattern", IF($O1015="Cardumen", "True Semantic", IF($O1015="DynaMoth", "True Semantic", IF($O1015="FixMiner", "True Pattern", IF($O1015="GenProg-A", "Evolutionary Search", IF($O1015="Hercules", "Learning Pattern", IF($O1015="Jaid", "True Semantic",
IF($O1015="Kali-A", "True Search", IF($O1015="kPAR", "True Pattern", IF($O1015="Nopol", "True Semantic", IF($O1015="RSRepair-A", "Evolutionary Search", IF($O1015="SequenceR", "Deep Learning", IF($O1015="SimFix", "Search Like Pattern", IF($O1015="SketchFix", "True Pattern", IF($O1015="SOFix", "True Pattern", IF($O1015="ssFix", "Search Like Pattern", IF($O1015="TBar", "True Pattern", ""))))))))))))))))))))</f>
        <v>True Pattern</v>
      </c>
      <c r="Q1015" s="13" t="str">
        <f>IF(NOT(ISERR(SEARCH("*_Buggy",$A1015))), "Buggy", IF(NOT(ISERR(SEARCH("*_Fixed",$A1015))), "Fixed", IF(NOT(ISERR(SEARCH("*_Repaired",$A1015))), "Repaired", "")))</f>
        <v>Fixed</v>
      </c>
      <c r="R1015" s="13" t="s">
        <v>1668</v>
      </c>
      <c r="S1015" s="25">
        <v>1</v>
      </c>
      <c r="T1015" s="25">
        <v>1</v>
      </c>
      <c r="U1015" s="25">
        <v>1</v>
      </c>
      <c r="V1015" s="13">
        <v>1</v>
      </c>
      <c r="W1015" s="13" t="str">
        <f>MID(A1015, SEARCH("_", A1015) +1, SEARCH("_", A1015, SEARCH("_", A1015) +1) - SEARCH("_", A1015) -1)</f>
        <v>Closure-38</v>
      </c>
      <c r="Y1015" s="1" t="str">
        <f t="shared" si="42"/>
        <v>NO</v>
      </c>
      <c r="Z1015" s="1" t="str">
        <f t="shared" si="43"/>
        <v>NO</v>
      </c>
      <c r="AA1015" t="str">
        <f>IF(AND(S1015&gt;1,S1540&gt;1,S1015=V1015,S1540=V1540), "YES", "NO")</f>
        <v>NO</v>
      </c>
      <c r="AB1015" t="str">
        <f>IF(AND(S1015&gt;1,S1540&gt;1,S1015&lt;V1015,S1540&lt;V1540), "YES", "NO")</f>
        <v>NO</v>
      </c>
      <c r="AC1015" t="str">
        <f t="shared" si="44"/>
        <v>YES</v>
      </c>
      <c r="AD1015" t="str">
        <f t="shared" si="45"/>
        <v>NO</v>
      </c>
      <c r="AE1015" t="str">
        <f t="shared" si="46"/>
        <v>YES</v>
      </c>
      <c r="AF1015" t="str">
        <f t="shared" si="47"/>
        <v>NO</v>
      </c>
    </row>
    <row r="1016" spans="1:32" ht="15" x14ac:dyDescent="0.35">
      <c r="A1016" s="5" t="s">
        <v>938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>LEFT($A1016,FIND("_",$A1016)-1)</f>
        <v>TBar</v>
      </c>
      <c r="P1016" s="13" t="str">
        <f>IF($O1016="ACS", "True Search", IF($O1016="Arja", "Evolutionary Search", IF($O1016="AVATAR", "True Pattern", IF($O1016="CapGen", "Search Like Pattern", IF($O1016="Cardumen", "True Semantic", IF($O1016="DynaMoth", "True Semantic", IF($O1016="FixMiner", "True Pattern", IF($O1016="GenProg-A", "Evolutionary Search", IF($O1016="Hercules", "Learning Pattern", IF($O1016="Jaid", "True Semantic",
IF($O1016="Kali-A", "True Search", IF($O1016="kPAR", "True Pattern", IF($O1016="Nopol", "True Semantic", IF($O1016="RSRepair-A", "Evolutionary Search", IF($O1016="SequenceR", "Deep Learning", IF($O1016="SimFix", "Search Like Pattern", IF($O1016="SketchFix", "True Pattern", IF($O1016="SOFix", "True Pattern", IF($O1016="ssFix", "Search Like Pattern", IF($O1016="TBar", "True Pattern", ""))))))))))))))))))))</f>
        <v>True Pattern</v>
      </c>
      <c r="Q1016" s="13" t="str">
        <f>IF(NOT(ISERR(SEARCH("*_Buggy",$A1016))), "Buggy", IF(NOT(ISERR(SEARCH("*_Fixed",$A1016))), "Fixed", IF(NOT(ISERR(SEARCH("*_Repaired",$A1016))), "Repaired", "")))</f>
        <v>Fixed</v>
      </c>
      <c r="R1016" s="13" t="s">
        <v>1668</v>
      </c>
      <c r="S1016" s="25">
        <v>2</v>
      </c>
      <c r="T1016" s="25">
        <v>2</v>
      </c>
      <c r="U1016" s="25">
        <v>2</v>
      </c>
      <c r="V1016" s="13">
        <v>2</v>
      </c>
      <c r="W1016" s="13" t="str">
        <f>MID(A1016, SEARCH("_", A1016) +1, SEARCH("_", A1016, SEARCH("_", A1016) +1) - SEARCH("_", A1016) -1)</f>
        <v>Closure-4</v>
      </c>
      <c r="Y1016" s="1" t="str">
        <f t="shared" si="42"/>
        <v>YES</v>
      </c>
      <c r="Z1016" s="1" t="str">
        <f t="shared" si="43"/>
        <v>NO</v>
      </c>
      <c r="AA1016" t="str">
        <f>IF(AND(S1016&gt;1,S1541&gt;1,S1016=V1016,S1541=V1541), "YES", "NO")</f>
        <v>NO</v>
      </c>
      <c r="AB1016" t="str">
        <f>IF(AND(S1016&gt;1,S1541&gt;1,S1016&lt;V1016,S1541&lt;V1541), "YES", "NO")</f>
        <v>NO</v>
      </c>
      <c r="AC1016" t="str">
        <f t="shared" si="44"/>
        <v>NO</v>
      </c>
      <c r="AD1016" t="str">
        <f t="shared" si="45"/>
        <v>NO</v>
      </c>
      <c r="AE1016" t="str">
        <f t="shared" si="46"/>
        <v>NO</v>
      </c>
      <c r="AF1016" t="str">
        <f t="shared" si="47"/>
        <v>NO</v>
      </c>
    </row>
    <row r="1017" spans="1:32" ht="15" x14ac:dyDescent="0.35">
      <c r="A1017" s="5" t="s">
        <v>630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>LEFT($A1017,FIND("_",$A1017)-1)</f>
        <v>TBar</v>
      </c>
      <c r="P1017" s="13" t="str">
        <f>IF($O1017="ACS", "True Search", IF($O1017="Arja", "Evolutionary Search", IF($O1017="AVATAR", "True Pattern", IF($O1017="CapGen", "Search Like Pattern", IF($O1017="Cardumen", "True Semantic", IF($O1017="DynaMoth", "True Semantic", IF($O1017="FixMiner", "True Pattern", IF($O1017="GenProg-A", "Evolutionary Search", IF($O1017="Hercules", "Learning Pattern", IF($O1017="Jaid", "True Semantic",
IF($O1017="Kali-A", "True Search", IF($O1017="kPAR", "True Pattern", IF($O1017="Nopol", "True Semantic", IF($O1017="RSRepair-A", "Evolutionary Search", IF($O1017="SequenceR", "Deep Learning", IF($O1017="SimFix", "Search Like Pattern", IF($O1017="SketchFix", "True Pattern", IF($O1017="SOFix", "True Pattern", IF($O1017="ssFix", "Search Like Pattern", IF($O1017="TBar", "True Pattern", ""))))))))))))))))))))</f>
        <v>True Pattern</v>
      </c>
      <c r="Q1017" s="13" t="str">
        <f>IF(NOT(ISERR(SEARCH("*_Buggy",$A1017))), "Buggy", IF(NOT(ISERR(SEARCH("*_Fixed",$A1017))), "Fixed", IF(NOT(ISERR(SEARCH("*_Repaired",$A1017))), "Repaired", "")))</f>
        <v>Fixed</v>
      </c>
      <c r="R1017" s="13" t="s">
        <v>1668</v>
      </c>
      <c r="S1017" s="25">
        <v>2</v>
      </c>
      <c r="T1017" s="25">
        <v>1</v>
      </c>
      <c r="U1017" s="25">
        <v>3</v>
      </c>
      <c r="V1017" s="13">
        <v>3</v>
      </c>
      <c r="W1017" s="13" t="str">
        <f>MID(A1017, SEARCH("_", A1017) +1, SEARCH("_", A1017, SEARCH("_", A1017) +1) - SEARCH("_", A1017) -1)</f>
        <v>Closure-40</v>
      </c>
      <c r="Y1017" s="1" t="str">
        <f t="shared" si="42"/>
        <v>NO</v>
      </c>
      <c r="Z1017" s="1" t="str">
        <f t="shared" si="43"/>
        <v>YES</v>
      </c>
      <c r="AA1017" t="str">
        <f>IF(AND(S1017&gt;1,S1542&gt;1,S1017=V1017,S1542=V1542), "YES", "NO")</f>
        <v>NO</v>
      </c>
      <c r="AB1017" t="str">
        <f>IF(AND(S1017&gt;1,S1542&gt;1,S1017&lt;V1017,S1542&lt;V1542), "YES", "NO")</f>
        <v>NO</v>
      </c>
      <c r="AC1017" t="str">
        <f t="shared" si="44"/>
        <v>NO</v>
      </c>
      <c r="AD1017" t="str">
        <f t="shared" si="45"/>
        <v>NO</v>
      </c>
      <c r="AE1017" t="str">
        <f t="shared" si="46"/>
        <v>NO</v>
      </c>
      <c r="AF1017" t="str">
        <f t="shared" si="47"/>
        <v>NO</v>
      </c>
    </row>
    <row r="1018" spans="1:32" ht="15" x14ac:dyDescent="0.35">
      <c r="A1018" s="5" t="s">
        <v>71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>LEFT($A1018,FIND("_",$A1018)-1)</f>
        <v>TBar</v>
      </c>
      <c r="P1018" s="13" t="str">
        <f>IF($O1018="ACS", "True Search", IF($O1018="Arja", "Evolutionary Search", IF($O1018="AVATAR", "True Pattern", IF($O1018="CapGen", "Search Like Pattern", IF($O1018="Cardumen", "True Semantic", IF($O1018="DynaMoth", "True Semantic", IF($O1018="FixMiner", "True Pattern", IF($O1018="GenProg-A", "Evolutionary Search", IF($O1018="Hercules", "Learning Pattern", IF($O1018="Jaid", "True Semantic",
IF($O1018="Kali-A", "True Search", IF($O1018="kPAR", "True Pattern", IF($O1018="Nopol", "True Semantic", IF($O1018="RSRepair-A", "Evolutionary Search", IF($O1018="SequenceR", "Deep Learning", IF($O1018="SimFix", "Search Like Pattern", IF($O1018="SketchFix", "True Pattern", IF($O1018="SOFix", "True Pattern", IF($O1018="ssFix", "Search Like Pattern", IF($O1018="TBar", "True Pattern", ""))))))))))))))))))))</f>
        <v>True Pattern</v>
      </c>
      <c r="Q1018" s="13" t="str">
        <f>IF(NOT(ISERR(SEARCH("*_Buggy",$A1018))), "Buggy", IF(NOT(ISERR(SEARCH("*_Fixed",$A1018))), "Fixed", IF(NOT(ISERR(SEARCH("*_Repaired",$A1018))), "Repaired", "")))</f>
        <v>Fixed</v>
      </c>
      <c r="R1018" s="13" t="s">
        <v>1668</v>
      </c>
      <c r="S1018" s="25">
        <v>1</v>
      </c>
      <c r="T1018" s="25">
        <v>0</v>
      </c>
      <c r="U1018" s="13">
        <v>16</v>
      </c>
      <c r="V1018" s="13">
        <v>16</v>
      </c>
      <c r="W1018" s="13" t="str">
        <f>MID(A1018, SEARCH("_", A1018) +1, SEARCH("_", A1018, SEARCH("_", A1018) +1) - SEARCH("_", A1018) -1)</f>
        <v>Closure-46</v>
      </c>
      <c r="Y1018" s="1" t="str">
        <f t="shared" si="42"/>
        <v>NO</v>
      </c>
      <c r="Z1018" s="1" t="str">
        <f t="shared" si="43"/>
        <v>NO</v>
      </c>
      <c r="AA1018" t="str">
        <f>IF(AND(S1018&gt;1,S1543&gt;1,S1018=V1018,S1543=V1543), "YES", "NO")</f>
        <v>NO</v>
      </c>
      <c r="AB1018" t="str">
        <f>IF(AND(S1018&gt;1,S1543&gt;1,S1018&lt;V1018,S1543&lt;V1543), "YES", "NO")</f>
        <v>NO</v>
      </c>
      <c r="AC1018" t="str">
        <f t="shared" si="44"/>
        <v>NO</v>
      </c>
      <c r="AD1018" t="str">
        <f t="shared" si="45"/>
        <v>YES</v>
      </c>
      <c r="AE1018" t="str">
        <f t="shared" si="46"/>
        <v>NO</v>
      </c>
      <c r="AF1018" t="str">
        <f t="shared" si="47"/>
        <v>YES</v>
      </c>
    </row>
    <row r="1019" spans="1:32" ht="15" x14ac:dyDescent="0.35">
      <c r="A1019" s="5" t="s">
        <v>420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>LEFT($A1019,FIND("_",$A1019)-1)</f>
        <v>TBar</v>
      </c>
      <c r="P1019" s="13" t="str">
        <f>IF($O1019="ACS", "True Search", IF($O1019="Arja", "Evolutionary Search", IF($O1019="AVATAR", "True Pattern", IF($O1019="CapGen", "Search Like Pattern", IF($O1019="Cardumen", "True Semantic", IF($O1019="DynaMoth", "True Semantic", IF($O1019="FixMiner", "True Pattern", IF($O1019="GenProg-A", "Evolutionary Search", IF($O1019="Hercules", "Learning Pattern", IF($O1019="Jaid", "True Semantic",
IF($O1019="Kali-A", "True Search", IF($O1019="kPAR", "True Pattern", IF($O1019="Nopol", "True Semantic", IF($O1019="RSRepair-A", "Evolutionary Search", IF($O1019="SequenceR", "Deep Learning", IF($O1019="SimFix", "Search Like Pattern", IF($O1019="SketchFix", "True Pattern", IF($O1019="SOFix", "True Pattern", IF($O1019="ssFix", "Search Like Pattern", IF($O1019="TBar", "True Pattern", ""))))))))))))))))))))</f>
        <v>True Pattern</v>
      </c>
      <c r="Q1019" s="13" t="str">
        <f>IF(NOT(ISERR(SEARCH("*_Buggy",$A1019))), "Buggy", IF(NOT(ISERR(SEARCH("*_Fixed",$A1019))), "Fixed", IF(NOT(ISERR(SEARCH("*_Repaired",$A1019))), "Repaired", "")))</f>
        <v>Fixed</v>
      </c>
      <c r="R1019" s="13" t="s">
        <v>1668</v>
      </c>
      <c r="S1019" s="25">
        <v>1</v>
      </c>
      <c r="T1019" s="25">
        <v>1</v>
      </c>
      <c r="U1019" s="25">
        <v>1</v>
      </c>
      <c r="V1019" s="13">
        <v>1</v>
      </c>
      <c r="W1019" s="13" t="str">
        <f>MID(A1019, SEARCH("_", A1019) +1, SEARCH("_", A1019, SEARCH("_", A1019) +1) - SEARCH("_", A1019) -1)</f>
        <v>Closure-62</v>
      </c>
      <c r="Y1019" s="1" t="str">
        <f t="shared" si="42"/>
        <v>NO</v>
      </c>
      <c r="Z1019" s="1" t="str">
        <f t="shared" si="43"/>
        <v>NO</v>
      </c>
      <c r="AA1019" t="str">
        <f>IF(AND(S1019&gt;1,S1544&gt;1,S1019=V1019,S1544=V1544), "YES", "NO")</f>
        <v>NO</v>
      </c>
      <c r="AB1019" t="str">
        <f>IF(AND(S1019&gt;1,S1544&gt;1,S1019&lt;V1019,S1544&lt;V1544), "YES", "NO")</f>
        <v>NO</v>
      </c>
      <c r="AC1019" t="str">
        <f t="shared" si="44"/>
        <v>YES</v>
      </c>
      <c r="AD1019" t="str">
        <f t="shared" si="45"/>
        <v>NO</v>
      </c>
      <c r="AE1019" t="str">
        <f t="shared" si="46"/>
        <v>YES</v>
      </c>
      <c r="AF1019" t="str">
        <f t="shared" si="47"/>
        <v>NO</v>
      </c>
    </row>
    <row r="1020" spans="1:32" ht="15" x14ac:dyDescent="0.35">
      <c r="A1020" s="7" t="s">
        <v>443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>LEFT($A1020,FIND("_",$A1020)-1)</f>
        <v>TBar</v>
      </c>
      <c r="P1020" s="13" t="str">
        <f>IF($O1020="ACS", "True Search", IF($O1020="Arja", "Evolutionary Search", IF($O1020="AVATAR", "True Pattern", IF($O1020="CapGen", "Search Like Pattern", IF($O1020="Cardumen", "True Semantic", IF($O1020="DynaMoth", "True Semantic", IF($O1020="FixMiner", "True Pattern", IF($O1020="GenProg-A", "Evolutionary Search", IF($O1020="Hercules", "Learning Pattern", IF($O1020="Jaid", "True Semantic",
IF($O1020="Kali-A", "True Search", IF($O1020="kPAR", "True Pattern", IF($O1020="Nopol", "True Semantic", IF($O1020="RSRepair-A", "Evolutionary Search", IF($O1020="SequenceR", "Deep Learning", IF($O1020="SimFix", "Search Like Pattern", IF($O1020="SketchFix", "True Pattern", IF($O1020="SOFix", "True Pattern", IF($O1020="ssFix", "Search Like Pattern", IF($O1020="TBar", "True Pattern", ""))))))))))))))))))))</f>
        <v>True Pattern</v>
      </c>
      <c r="Q1020" s="13" t="str">
        <f>IF(NOT(ISERR(SEARCH("*_Buggy",$A1020))), "Buggy", IF(NOT(ISERR(SEARCH("*_Fixed",$A1020))), "Fixed", IF(NOT(ISERR(SEARCH("*_Repaired",$A1020))), "Repaired", "")))</f>
        <v>Fixed</v>
      </c>
      <c r="R1020" s="13" t="s">
        <v>1669</v>
      </c>
      <c r="S1020" s="25">
        <v>2</v>
      </c>
      <c r="T1020" s="13">
        <v>2</v>
      </c>
      <c r="U1020" s="25">
        <v>0</v>
      </c>
      <c r="V1020" s="13">
        <v>2</v>
      </c>
      <c r="W1020" s="13" t="str">
        <f>MID(A1020, SEARCH("_", A1020) +1, SEARCH("_", A1020, SEARCH("_", A1020) +1) - SEARCH("_", A1020) -1)</f>
        <v>Closure-66</v>
      </c>
      <c r="Y1020" s="1" t="str">
        <f t="shared" si="42"/>
        <v>YES</v>
      </c>
      <c r="Z1020" s="1" t="str">
        <f t="shared" si="43"/>
        <v>NO</v>
      </c>
      <c r="AA1020" t="str">
        <f>IF(AND(S1020&gt;1,S1545&gt;1,S1020=V1020,S1545=V1545), "YES", "NO")</f>
        <v>NO</v>
      </c>
      <c r="AB1020" t="str">
        <f>IF(AND(S1020&gt;1,S1545&gt;1,S1020&lt;V1020,S1545&lt;V1545), "YES", "NO")</f>
        <v>NO</v>
      </c>
      <c r="AC1020" t="str">
        <f t="shared" si="44"/>
        <v>NO</v>
      </c>
      <c r="AD1020" t="str">
        <f t="shared" si="45"/>
        <v>NO</v>
      </c>
      <c r="AE1020" t="str">
        <f t="shared" si="46"/>
        <v>NO</v>
      </c>
      <c r="AF1020" t="str">
        <f t="shared" si="47"/>
        <v>NO</v>
      </c>
    </row>
    <row r="1021" spans="1:32" ht="15" x14ac:dyDescent="0.35">
      <c r="A1021" s="5" t="s">
        <v>866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>LEFT($A1021,FIND("_",$A1021)-1)</f>
        <v>TBar</v>
      </c>
      <c r="P1021" s="13" t="str">
        <f>IF($O1021="ACS", "True Search", IF($O1021="Arja", "Evolutionary Search", IF($O1021="AVATAR", "True Pattern", IF($O1021="CapGen", "Search Like Pattern", IF($O1021="Cardumen", "True Semantic", IF($O1021="DynaMoth", "True Semantic", IF($O1021="FixMiner", "True Pattern", IF($O1021="GenProg-A", "Evolutionary Search", IF($O1021="Hercules", "Learning Pattern", IF($O1021="Jaid", "True Semantic",
IF($O1021="Kali-A", "True Search", IF($O1021="kPAR", "True Pattern", IF($O1021="Nopol", "True Semantic", IF($O1021="RSRepair-A", "Evolutionary Search", IF($O1021="SequenceR", "Deep Learning", IF($O1021="SimFix", "Search Like Pattern", IF($O1021="SketchFix", "True Pattern", IF($O1021="SOFix", "True Pattern", IF($O1021="ssFix", "Search Like Pattern", IF($O1021="TBar", "True Pattern", ""))))))))))))))))))))</f>
        <v>True Pattern</v>
      </c>
      <c r="Q1021" s="13" t="str">
        <f>IF(NOT(ISERR(SEARCH("*_Buggy",$A1021))), "Buggy", IF(NOT(ISERR(SEARCH("*_Fixed",$A1021))), "Fixed", IF(NOT(ISERR(SEARCH("*_Repaired",$A1021))), "Repaired", "")))</f>
        <v>Fixed</v>
      </c>
      <c r="R1021" s="13" t="s">
        <v>1668</v>
      </c>
      <c r="S1021" s="25">
        <v>1</v>
      </c>
      <c r="T1021" s="25">
        <v>1</v>
      </c>
      <c r="U1021" s="25">
        <v>1</v>
      </c>
      <c r="V1021" s="13">
        <v>1</v>
      </c>
      <c r="W1021" s="13" t="str">
        <f>MID(A1021, SEARCH("_", A1021) +1, SEARCH("_", A1021, SEARCH("_", A1021) +1) - SEARCH("_", A1021) -1)</f>
        <v>Closure-70</v>
      </c>
      <c r="Y1021" s="1" t="str">
        <f t="shared" si="42"/>
        <v>NO</v>
      </c>
      <c r="Z1021" s="1" t="str">
        <f t="shared" si="43"/>
        <v>NO</v>
      </c>
      <c r="AA1021" t="str">
        <f>IF(AND(S1021&gt;1,S1546&gt;1,S1021=V1021,S1546=V1546), "YES", "NO")</f>
        <v>NO</v>
      </c>
      <c r="AB1021" t="str">
        <f>IF(AND(S1021&gt;1,S1546&gt;1,S1021&lt;V1021,S1546&lt;V1546), "YES", "NO")</f>
        <v>NO</v>
      </c>
      <c r="AC1021" t="str">
        <f t="shared" si="44"/>
        <v>YES</v>
      </c>
      <c r="AD1021" t="str">
        <f t="shared" si="45"/>
        <v>NO</v>
      </c>
      <c r="AE1021" t="str">
        <f t="shared" si="46"/>
        <v>YES</v>
      </c>
      <c r="AF1021" t="str">
        <f t="shared" si="47"/>
        <v>NO</v>
      </c>
    </row>
    <row r="1022" spans="1:32" ht="15" x14ac:dyDescent="0.35">
      <c r="A1022" s="5" t="s">
        <v>676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>LEFT($A1022,FIND("_",$A1022)-1)</f>
        <v>TBar</v>
      </c>
      <c r="P1022" s="13" t="str">
        <f>IF($O1022="ACS", "True Search", IF($O1022="Arja", "Evolutionary Search", IF($O1022="AVATAR", "True Pattern", IF($O1022="CapGen", "Search Like Pattern", IF($O1022="Cardumen", "True Semantic", IF($O1022="DynaMoth", "True Semantic", IF($O1022="FixMiner", "True Pattern", IF($O1022="GenProg-A", "Evolutionary Search", IF($O1022="Hercules", "Learning Pattern", IF($O1022="Jaid", "True Semantic",
IF($O1022="Kali-A", "True Search", IF($O1022="kPAR", "True Pattern", IF($O1022="Nopol", "True Semantic", IF($O1022="RSRepair-A", "Evolutionary Search", IF($O1022="SequenceR", "Deep Learning", IF($O1022="SimFix", "Search Like Pattern", IF($O1022="SketchFix", "True Pattern", IF($O1022="SOFix", "True Pattern", IF($O1022="ssFix", "Search Like Pattern", IF($O1022="TBar", "True Pattern", ""))))))))))))))))))))</f>
        <v>True Pattern</v>
      </c>
      <c r="Q1022" s="13" t="str">
        <f>IF(NOT(ISERR(SEARCH("*_Buggy",$A1022))), "Buggy", IF(NOT(ISERR(SEARCH("*_Fixed",$A1022))), "Fixed", IF(NOT(ISERR(SEARCH("*_Repaired",$A1022))), "Repaired", "")))</f>
        <v>Fixed</v>
      </c>
      <c r="R1022" s="13" t="s">
        <v>1668</v>
      </c>
      <c r="S1022" s="25">
        <v>1</v>
      </c>
      <c r="T1022" s="25">
        <v>1</v>
      </c>
      <c r="U1022" s="25">
        <v>1</v>
      </c>
      <c r="V1022" s="13">
        <v>1</v>
      </c>
      <c r="W1022" s="13" t="str">
        <f>MID(A1022, SEARCH("_", A1022) +1, SEARCH("_", A1022, SEARCH("_", A1022) +1) - SEARCH("_", A1022) -1)</f>
        <v>Closure-73</v>
      </c>
      <c r="Y1022" s="1" t="str">
        <f t="shared" si="42"/>
        <v>NO</v>
      </c>
      <c r="Z1022" s="1" t="str">
        <f t="shared" si="43"/>
        <v>NO</v>
      </c>
      <c r="AA1022" t="str">
        <f>IF(AND(S1022&gt;1,S1547&gt;1,S1022=V1022,S1547=V1547), "YES", "NO")</f>
        <v>NO</v>
      </c>
      <c r="AB1022" t="str">
        <f>IF(AND(S1022&gt;1,S1547&gt;1,S1022&lt;V1022,S1547&lt;V1547), "YES", "NO")</f>
        <v>NO</v>
      </c>
      <c r="AC1022" t="str">
        <f t="shared" si="44"/>
        <v>YES</v>
      </c>
      <c r="AD1022" t="str">
        <f t="shared" si="45"/>
        <v>NO</v>
      </c>
      <c r="AE1022" t="str">
        <f t="shared" si="46"/>
        <v>YES</v>
      </c>
      <c r="AF1022" t="str">
        <f t="shared" si="47"/>
        <v>NO</v>
      </c>
    </row>
    <row r="1023" spans="1:32" ht="15" x14ac:dyDescent="0.35">
      <c r="A1023" s="7" t="s">
        <v>947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>LEFT($A1023,FIND("_",$A1023)-1)</f>
        <v>TBar</v>
      </c>
      <c r="P1023" s="13" t="str">
        <f>IF($O1023="ACS", "True Search", IF($O1023="Arja", "Evolutionary Search", IF($O1023="AVATAR", "True Pattern", IF($O1023="CapGen", "Search Like Pattern", IF($O1023="Cardumen", "True Semantic", IF($O1023="DynaMoth", "True Semantic", IF($O1023="FixMiner", "True Pattern", IF($O1023="GenProg-A", "Evolutionary Search", IF($O1023="Hercules", "Learning Pattern", IF($O1023="Jaid", "True Semantic",
IF($O1023="Kali-A", "True Search", IF($O1023="kPAR", "True Pattern", IF($O1023="Nopol", "True Semantic", IF($O1023="RSRepair-A", "Evolutionary Search", IF($O1023="SequenceR", "Deep Learning", IF($O1023="SimFix", "Search Like Pattern", IF($O1023="SketchFix", "True Pattern", IF($O1023="SOFix", "True Pattern", IF($O1023="ssFix", "Search Like Pattern", IF($O1023="TBar", "True Pattern", ""))))))))))))))))))))</f>
        <v>True Pattern</v>
      </c>
      <c r="Q1023" s="13" t="str">
        <f>IF(NOT(ISERR(SEARCH("*_Buggy",$A1023))), "Buggy", IF(NOT(ISERR(SEARCH("*_Fixed",$A1023))), "Fixed", IF(NOT(ISERR(SEARCH("*_Repaired",$A1023))), "Repaired", "")))</f>
        <v>Fixed</v>
      </c>
      <c r="R1023" s="13" t="s">
        <v>1668</v>
      </c>
      <c r="S1023" s="25">
        <v>2</v>
      </c>
      <c r="T1023" s="25">
        <v>0</v>
      </c>
      <c r="U1023" s="13">
        <v>9</v>
      </c>
      <c r="V1023" s="13">
        <v>9</v>
      </c>
      <c r="W1023" s="13" t="str">
        <f>MID(A1023, SEARCH("_", A1023) +1, SEARCH("_", A1023, SEARCH("_", A1023) +1) - SEARCH("_", A1023) -1)</f>
        <v>Lang-10</v>
      </c>
      <c r="Y1023" s="1" t="str">
        <f t="shared" si="42"/>
        <v>NO</v>
      </c>
      <c r="Z1023" s="1" t="str">
        <f t="shared" si="43"/>
        <v>YES</v>
      </c>
      <c r="AA1023" t="str">
        <f>IF(AND(S1023&gt;1,S1548&gt;1,S1023=V1023,S1548=V1548), "YES", "NO")</f>
        <v>NO</v>
      </c>
      <c r="AB1023" t="str">
        <f>IF(AND(S1023&gt;1,S1548&gt;1,S1023&lt;V1023,S1548&lt;V1548), "YES", "NO")</f>
        <v>NO</v>
      </c>
      <c r="AC1023" t="str">
        <f t="shared" si="44"/>
        <v>NO</v>
      </c>
      <c r="AD1023" t="str">
        <f t="shared" si="45"/>
        <v>NO</v>
      </c>
      <c r="AE1023" t="str">
        <f t="shared" si="46"/>
        <v>NO</v>
      </c>
      <c r="AF1023" t="str">
        <f t="shared" si="47"/>
        <v>YES</v>
      </c>
    </row>
    <row r="1024" spans="1:32" ht="15" x14ac:dyDescent="0.35">
      <c r="A1024" s="7" t="s">
        <v>749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>LEFT($A1024,FIND("_",$A1024)-1)</f>
        <v>TBar</v>
      </c>
      <c r="P1024" s="13" t="str">
        <f>IF($O1024="ACS", "True Search", IF($O1024="Arja", "Evolutionary Search", IF($O1024="AVATAR", "True Pattern", IF($O1024="CapGen", "Search Like Pattern", IF($O1024="Cardumen", "True Semantic", IF($O1024="DynaMoth", "True Semantic", IF($O1024="FixMiner", "True Pattern", IF($O1024="GenProg-A", "Evolutionary Search", IF($O1024="Hercules", "Learning Pattern", IF($O1024="Jaid", "True Semantic",
IF($O1024="Kali-A", "True Search", IF($O1024="kPAR", "True Pattern", IF($O1024="Nopol", "True Semantic", IF($O1024="RSRepair-A", "Evolutionary Search", IF($O1024="SequenceR", "Deep Learning", IF($O1024="SimFix", "Search Like Pattern", IF($O1024="SketchFix", "True Pattern", IF($O1024="SOFix", "True Pattern", IF($O1024="ssFix", "Search Like Pattern", IF($O1024="TBar", "True Pattern", ""))))))))))))))))))))</f>
        <v>True Pattern</v>
      </c>
      <c r="Q1024" s="13" t="str">
        <f>IF(NOT(ISERR(SEARCH("*_Buggy",$A1024))), "Buggy", IF(NOT(ISERR(SEARCH("*_Fixed",$A1024))), "Fixed", IF(NOT(ISERR(SEARCH("*_Repaired",$A1024))), "Repaired", "")))</f>
        <v>Fixed</v>
      </c>
      <c r="R1024" s="13" t="s">
        <v>1669</v>
      </c>
      <c r="S1024" s="25">
        <v>4</v>
      </c>
      <c r="T1024" s="13">
        <v>19</v>
      </c>
      <c r="U1024" s="25">
        <v>0</v>
      </c>
      <c r="V1024" s="13">
        <v>19</v>
      </c>
      <c r="W1024" s="13" t="str">
        <f>MID(A1024, SEARCH("_", A1024) +1, SEARCH("_", A1024, SEARCH("_", A1024) +1) - SEARCH("_", A1024) -1)</f>
        <v>Lang-13</v>
      </c>
      <c r="Y1024" s="1" t="str">
        <f t="shared" si="42"/>
        <v>NO</v>
      </c>
      <c r="Z1024" s="1" t="str">
        <f t="shared" si="43"/>
        <v>YES</v>
      </c>
      <c r="AA1024" t="str">
        <f>IF(AND(S1024&gt;1,S1549&gt;1,S1024=V1024,S1549=V1549), "YES", "NO")</f>
        <v>NO</v>
      </c>
      <c r="AB1024" t="str">
        <f>IF(AND(S1024&gt;1,S1549&gt;1,S1024&lt;V1024,S1549&lt;V1549), "YES", "NO")</f>
        <v>NO</v>
      </c>
      <c r="AC1024" t="str">
        <f t="shared" si="44"/>
        <v>NO</v>
      </c>
      <c r="AD1024" t="str">
        <f t="shared" si="45"/>
        <v>NO</v>
      </c>
      <c r="AE1024" t="str">
        <f t="shared" si="46"/>
        <v>NO</v>
      </c>
      <c r="AF1024" t="str">
        <f t="shared" si="47"/>
        <v>YES</v>
      </c>
    </row>
    <row r="1025" spans="1:32" ht="15" x14ac:dyDescent="0.35">
      <c r="A1025" s="7" t="s">
        <v>217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>LEFT($A1025,FIND("_",$A1025)-1)</f>
        <v>TBar</v>
      </c>
      <c r="P1025" s="13" t="str">
        <f>IF($O1025="ACS", "True Search", IF($O1025="Arja", "Evolutionary Search", IF($O1025="AVATAR", "True Pattern", IF($O1025="CapGen", "Search Like Pattern", IF($O1025="Cardumen", "True Semantic", IF($O1025="DynaMoth", "True Semantic", IF($O1025="FixMiner", "True Pattern", IF($O1025="GenProg-A", "Evolutionary Search", IF($O1025="Hercules", "Learning Pattern", IF($O1025="Jaid", "True Semantic",
IF($O1025="Kali-A", "True Search", IF($O1025="kPAR", "True Pattern", IF($O1025="Nopol", "True Semantic", IF($O1025="RSRepair-A", "Evolutionary Search", IF($O1025="SequenceR", "Deep Learning", IF($O1025="SimFix", "Search Like Pattern", IF($O1025="SketchFix", "True Pattern", IF($O1025="SOFix", "True Pattern", IF($O1025="ssFix", "Search Like Pattern", IF($O1025="TBar", "True Pattern", ""))))))))))))))))))))</f>
        <v>True Pattern</v>
      </c>
      <c r="Q1025" s="13" t="str">
        <f>IF(NOT(ISERR(SEARCH("*_Buggy",$A1025))), "Buggy", IF(NOT(ISERR(SEARCH("*_Fixed",$A1025))), "Fixed", IF(NOT(ISERR(SEARCH("*_Repaired",$A1025))), "Repaired", "")))</f>
        <v>Fixed</v>
      </c>
      <c r="R1025" s="13" t="s">
        <v>1669</v>
      </c>
      <c r="S1025" s="25">
        <v>2</v>
      </c>
      <c r="T1025" s="25">
        <v>3</v>
      </c>
      <c r="U1025" s="25">
        <v>3</v>
      </c>
      <c r="V1025" s="13">
        <v>5</v>
      </c>
      <c r="W1025" s="13" t="str">
        <f>MID(A1025, SEARCH("_", A1025) +1, SEARCH("_", A1025, SEARCH("_", A1025) +1) - SEARCH("_", A1025) -1)</f>
        <v>Lang-18</v>
      </c>
      <c r="Y1025" s="1" t="str">
        <f t="shared" si="42"/>
        <v>NO</v>
      </c>
      <c r="Z1025" s="1" t="str">
        <f t="shared" si="43"/>
        <v>YES</v>
      </c>
      <c r="AA1025" t="str">
        <f>IF(AND(S1025&gt;1,S1550&gt;1,S1025=V1025,S1550=V1550), "YES", "NO")</f>
        <v>NO</v>
      </c>
      <c r="AB1025" t="str">
        <f>IF(AND(S1025&gt;1,S1550&gt;1,S1025&lt;V1025,S1550&lt;V1550), "YES", "NO")</f>
        <v>NO</v>
      </c>
      <c r="AC1025" t="str">
        <f t="shared" si="44"/>
        <v>NO</v>
      </c>
      <c r="AD1025" t="str">
        <f t="shared" si="45"/>
        <v>NO</v>
      </c>
      <c r="AE1025" t="str">
        <f t="shared" si="46"/>
        <v>NO</v>
      </c>
      <c r="AF1025" t="str">
        <f t="shared" si="47"/>
        <v>NO</v>
      </c>
    </row>
    <row r="1026" spans="1:32" ht="15" x14ac:dyDescent="0.35">
      <c r="A1026" s="5" t="s">
        <v>504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>LEFT($A1026,FIND("_",$A1026)-1)</f>
        <v>TBar</v>
      </c>
      <c r="P1026" s="13" t="str">
        <f>IF($O1026="ACS", "True Search", IF($O1026="Arja", "Evolutionary Search", IF($O1026="AVATAR", "True Pattern", IF($O1026="CapGen", "Search Like Pattern", IF($O1026="Cardumen", "True Semantic", IF($O1026="DynaMoth", "True Semantic", IF($O1026="FixMiner", "True Pattern", IF($O1026="GenProg-A", "Evolutionary Search", IF($O1026="Hercules", "Learning Pattern", IF($O1026="Jaid", "True Semantic",
IF($O1026="Kali-A", "True Search", IF($O1026="kPAR", "True Pattern", IF($O1026="Nopol", "True Semantic", IF($O1026="RSRepair-A", "Evolutionary Search", IF($O1026="SequenceR", "Deep Learning", IF($O1026="SimFix", "Search Like Pattern", IF($O1026="SketchFix", "True Pattern", IF($O1026="SOFix", "True Pattern", IF($O1026="ssFix", "Search Like Pattern", IF($O1026="TBar", "True Pattern", ""))))))))))))))))))))</f>
        <v>True Pattern</v>
      </c>
      <c r="Q1026" s="13" t="str">
        <f>IF(NOT(ISERR(SEARCH("*_Buggy",$A1026))), "Buggy", IF(NOT(ISERR(SEARCH("*_Fixed",$A1026))), "Fixed", IF(NOT(ISERR(SEARCH("*_Repaired",$A1026))), "Repaired", "")))</f>
        <v>Fixed</v>
      </c>
      <c r="R1026" s="13" t="s">
        <v>1669</v>
      </c>
      <c r="S1026" s="25">
        <v>2</v>
      </c>
      <c r="T1026" s="25">
        <v>2</v>
      </c>
      <c r="U1026" s="25">
        <v>2</v>
      </c>
      <c r="V1026" s="13">
        <v>2</v>
      </c>
      <c r="W1026" s="13" t="str">
        <f>MID(A1026, SEARCH("_", A1026) +1, SEARCH("_", A1026, SEARCH("_", A1026) +1) - SEARCH("_", A1026) -1)</f>
        <v>Lang-20</v>
      </c>
      <c r="Y1026" s="1" t="str">
        <f t="shared" si="42"/>
        <v>YES</v>
      </c>
      <c r="Z1026" s="1" t="str">
        <f t="shared" si="43"/>
        <v>NO</v>
      </c>
      <c r="AA1026" t="str">
        <f>IF(AND(S1026&gt;1,S1551&gt;1,S1026=V1026,S1551=V1551), "YES", "NO")</f>
        <v>NO</v>
      </c>
      <c r="AB1026" t="str">
        <f>IF(AND(S1026&gt;1,S1551&gt;1,S1026&lt;V1026,S1551&lt;V1551), "YES", "NO")</f>
        <v>NO</v>
      </c>
      <c r="AC1026" t="str">
        <f t="shared" si="44"/>
        <v>NO</v>
      </c>
      <c r="AD1026" t="str">
        <f t="shared" si="45"/>
        <v>NO</v>
      </c>
      <c r="AE1026" t="str">
        <f t="shared" si="46"/>
        <v>NO</v>
      </c>
      <c r="AF1026" t="str">
        <f t="shared" si="47"/>
        <v>NO</v>
      </c>
    </row>
    <row r="1027" spans="1:32" ht="15" x14ac:dyDescent="0.35">
      <c r="A1027" s="7" t="s">
        <v>747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>LEFT($A1027,FIND("_",$A1027)-1)</f>
        <v>TBar</v>
      </c>
      <c r="P1027" s="13" t="str">
        <f>IF($O1027="ACS", "True Search", IF($O1027="Arja", "Evolutionary Search", IF($O1027="AVATAR", "True Pattern", IF($O1027="CapGen", "Search Like Pattern", IF($O1027="Cardumen", "True Semantic", IF($O1027="DynaMoth", "True Semantic", IF($O1027="FixMiner", "True Pattern", IF($O1027="GenProg-A", "Evolutionary Search", IF($O1027="Hercules", "Learning Pattern", IF($O1027="Jaid", "True Semantic",
IF($O1027="Kali-A", "True Search", IF($O1027="kPAR", "True Pattern", IF($O1027="Nopol", "True Semantic", IF($O1027="RSRepair-A", "Evolutionary Search", IF($O1027="SequenceR", "Deep Learning", IF($O1027="SimFix", "Search Like Pattern", IF($O1027="SketchFix", "True Pattern", IF($O1027="SOFix", "True Pattern", IF($O1027="ssFix", "Search Like Pattern", IF($O1027="TBar", "True Pattern", ""))))))))))))))))))))</f>
        <v>True Pattern</v>
      </c>
      <c r="Q1027" s="13" t="str">
        <f>IF(NOT(ISERR(SEARCH("*_Buggy",$A1027))), "Buggy", IF(NOT(ISERR(SEARCH("*_Fixed",$A1027))), "Fixed", IF(NOT(ISERR(SEARCH("*_Repaired",$A1027))), "Repaired", "")))</f>
        <v>Fixed</v>
      </c>
      <c r="R1027" s="13" t="s">
        <v>1669</v>
      </c>
      <c r="S1027" s="25">
        <v>2</v>
      </c>
      <c r="T1027" s="25">
        <v>7</v>
      </c>
      <c r="U1027" s="25">
        <v>1</v>
      </c>
      <c r="V1027" s="13">
        <v>7</v>
      </c>
      <c r="W1027" s="13" t="str">
        <f>MID(A1027, SEARCH("_", A1027) +1, SEARCH("_", A1027, SEARCH("_", A1027) +1) - SEARCH("_", A1027) -1)</f>
        <v>Lang-22</v>
      </c>
      <c r="Y1027" s="1" t="str">
        <f t="shared" si="42"/>
        <v>NO</v>
      </c>
      <c r="Z1027" s="1" t="str">
        <f t="shared" si="43"/>
        <v>YES</v>
      </c>
      <c r="AA1027" t="str">
        <f>IF(AND(S1027&gt;1,S1552&gt;1,S1027=V1027,S1552=V1552), "YES", "NO")</f>
        <v>NO</v>
      </c>
      <c r="AB1027" t="str">
        <f>IF(AND(S1027&gt;1,S1552&gt;1,S1027&lt;V1027,S1552&lt;V1552), "YES", "NO")</f>
        <v>NO</v>
      </c>
      <c r="AC1027" t="str">
        <f t="shared" si="44"/>
        <v>NO</v>
      </c>
      <c r="AD1027" t="str">
        <f t="shared" si="45"/>
        <v>NO</v>
      </c>
      <c r="AE1027" t="str">
        <f t="shared" si="46"/>
        <v>NO</v>
      </c>
      <c r="AF1027" t="str">
        <f t="shared" si="47"/>
        <v>NO</v>
      </c>
    </row>
    <row r="1028" spans="1:32" ht="15" x14ac:dyDescent="0.35">
      <c r="A1028" s="7" t="s">
        <v>193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>LEFT($A1028,FIND("_",$A1028)-1)</f>
        <v>TBar</v>
      </c>
      <c r="P1028" s="13" t="str">
        <f>IF($O1028="ACS", "True Search", IF($O1028="Arja", "Evolutionary Search", IF($O1028="AVATAR", "True Pattern", IF($O1028="CapGen", "Search Like Pattern", IF($O1028="Cardumen", "True Semantic", IF($O1028="DynaMoth", "True Semantic", IF($O1028="FixMiner", "True Pattern", IF($O1028="GenProg-A", "Evolutionary Search", IF($O1028="Hercules", "Learning Pattern", IF($O1028="Jaid", "True Semantic",
IF($O1028="Kali-A", "True Search", IF($O1028="kPAR", "True Pattern", IF($O1028="Nopol", "True Semantic", IF($O1028="RSRepair-A", "Evolutionary Search", IF($O1028="SequenceR", "Deep Learning", IF($O1028="SimFix", "Search Like Pattern", IF($O1028="SketchFix", "True Pattern", IF($O1028="SOFix", "True Pattern", IF($O1028="ssFix", "Search Like Pattern", IF($O1028="TBar", "True Pattern", ""))))))))))))))))))))</f>
        <v>True Pattern</v>
      </c>
      <c r="Q1028" s="13" t="str">
        <f>IF(NOT(ISERR(SEARCH("*_Buggy",$A1028))), "Buggy", IF(NOT(ISERR(SEARCH("*_Fixed",$A1028))), "Fixed", IF(NOT(ISERR(SEARCH("*_Repaired",$A1028))), "Repaired", "")))</f>
        <v>Fixed</v>
      </c>
      <c r="R1028" s="13" t="s">
        <v>1668</v>
      </c>
      <c r="S1028" s="25">
        <v>1</v>
      </c>
      <c r="T1028" s="25">
        <v>1</v>
      </c>
      <c r="U1028" s="25">
        <v>1</v>
      </c>
      <c r="V1028" s="13">
        <v>1</v>
      </c>
      <c r="W1028" s="13" t="str">
        <f>MID(A1028, SEARCH("_", A1028) +1, SEARCH("_", A1028, SEARCH("_", A1028) +1) - SEARCH("_", A1028) -1)</f>
        <v>Lang-24</v>
      </c>
      <c r="Y1028" s="1" t="str">
        <f t="shared" si="42"/>
        <v>NO</v>
      </c>
      <c r="Z1028" s="1" t="str">
        <f t="shared" si="43"/>
        <v>NO</v>
      </c>
      <c r="AA1028" t="str">
        <f>IF(AND(S1028&gt;1,S1553&gt;1,S1028=V1028,S1553=V1553), "YES", "NO")</f>
        <v>NO</v>
      </c>
      <c r="AB1028" t="str">
        <f>IF(AND(S1028&gt;1,S1553&gt;1,S1028&lt;V1028,S1553&lt;V1553), "YES", "NO")</f>
        <v>NO</v>
      </c>
      <c r="AC1028" t="str">
        <f t="shared" si="44"/>
        <v>YES</v>
      </c>
      <c r="AD1028" t="str">
        <f t="shared" si="45"/>
        <v>NO</v>
      </c>
      <c r="AE1028" t="str">
        <f t="shared" si="46"/>
        <v>YES</v>
      </c>
      <c r="AF1028" t="str">
        <f t="shared" si="47"/>
        <v>NO</v>
      </c>
    </row>
    <row r="1029" spans="1:32" ht="15" x14ac:dyDescent="0.35">
      <c r="A1029" s="5" t="s">
        <v>641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>LEFT($A1029,FIND("_",$A1029)-1)</f>
        <v>TBar</v>
      </c>
      <c r="P1029" s="13" t="str">
        <f>IF($O1029="ACS", "True Search", IF($O1029="Arja", "Evolutionary Search", IF($O1029="AVATAR", "True Pattern", IF($O1029="CapGen", "Search Like Pattern", IF($O1029="Cardumen", "True Semantic", IF($O1029="DynaMoth", "True Semantic", IF($O1029="FixMiner", "True Pattern", IF($O1029="GenProg-A", "Evolutionary Search", IF($O1029="Hercules", "Learning Pattern", IF($O1029="Jaid", "True Semantic",
IF($O1029="Kali-A", "True Search", IF($O1029="kPAR", "True Pattern", IF($O1029="Nopol", "True Semantic", IF($O1029="RSRepair-A", "Evolutionary Search", IF($O1029="SequenceR", "Deep Learning", IF($O1029="SimFix", "Search Like Pattern", IF($O1029="SketchFix", "True Pattern", IF($O1029="SOFix", "True Pattern", IF($O1029="ssFix", "Search Like Pattern", IF($O1029="TBar", "True Pattern", ""))))))))))))))))))))</f>
        <v>True Pattern</v>
      </c>
      <c r="Q1029" s="13" t="str">
        <f>IF(NOT(ISERR(SEARCH("*_Buggy",$A1029))), "Buggy", IF(NOT(ISERR(SEARCH("*_Fixed",$A1029))), "Fixed", IF(NOT(ISERR(SEARCH("*_Repaired",$A1029))), "Repaired", "")))</f>
        <v>Fixed</v>
      </c>
      <c r="R1029" s="13" t="s">
        <v>1668</v>
      </c>
      <c r="S1029" s="25">
        <v>1</v>
      </c>
      <c r="T1029" s="25">
        <v>1</v>
      </c>
      <c r="U1029" s="25">
        <v>1</v>
      </c>
      <c r="V1029" s="13">
        <v>1</v>
      </c>
      <c r="W1029" s="13" t="str">
        <f>MID(A1029, SEARCH("_", A1029) +1, SEARCH("_", A1029, SEARCH("_", A1029) +1) - SEARCH("_", A1029) -1)</f>
        <v>Lang-26</v>
      </c>
      <c r="Y1029" s="1" t="str">
        <f t="shared" si="42"/>
        <v>NO</v>
      </c>
      <c r="Z1029" s="1" t="str">
        <f t="shared" si="43"/>
        <v>NO</v>
      </c>
      <c r="AA1029" t="str">
        <f>IF(AND(S1029&gt;1,S1554&gt;1,S1029=V1029,S1554=V1554), "YES", "NO")</f>
        <v>NO</v>
      </c>
      <c r="AB1029" t="str">
        <f>IF(AND(S1029&gt;1,S1554&gt;1,S1029&lt;V1029,S1554&lt;V1554), "YES", "NO")</f>
        <v>NO</v>
      </c>
      <c r="AC1029" t="str">
        <f t="shared" si="44"/>
        <v>YES</v>
      </c>
      <c r="AD1029" t="str">
        <f t="shared" si="45"/>
        <v>NO</v>
      </c>
      <c r="AE1029" t="str">
        <f t="shared" si="46"/>
        <v>YES</v>
      </c>
      <c r="AF1029" t="str">
        <f t="shared" si="47"/>
        <v>NO</v>
      </c>
    </row>
    <row r="1030" spans="1:32" ht="15" x14ac:dyDescent="0.35">
      <c r="A1030" s="5" t="s">
        <v>785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>LEFT($A1030,FIND("_",$A1030)-1)</f>
        <v>TBar</v>
      </c>
      <c r="P1030" s="13" t="str">
        <f>IF($O1030="ACS", "True Search", IF($O1030="Arja", "Evolutionary Search", IF($O1030="AVATAR", "True Pattern", IF($O1030="CapGen", "Search Like Pattern", IF($O1030="Cardumen", "True Semantic", IF($O1030="DynaMoth", "True Semantic", IF($O1030="FixMiner", "True Pattern", IF($O1030="GenProg-A", "Evolutionary Search", IF($O1030="Hercules", "Learning Pattern", IF($O1030="Jaid", "True Semantic",
IF($O1030="Kali-A", "True Search", IF($O1030="kPAR", "True Pattern", IF($O1030="Nopol", "True Semantic", IF($O1030="RSRepair-A", "Evolutionary Search", IF($O1030="SequenceR", "Deep Learning", IF($O1030="SimFix", "Search Like Pattern", IF($O1030="SketchFix", "True Pattern", IF($O1030="SOFix", "True Pattern", IF($O1030="ssFix", "Search Like Pattern", IF($O1030="TBar", "True Pattern", ""))))))))))))))))))))</f>
        <v>True Pattern</v>
      </c>
      <c r="Q1030" s="13" t="str">
        <f>IF(NOT(ISERR(SEARCH("*_Buggy",$A1030))), "Buggy", IF(NOT(ISERR(SEARCH("*_Fixed",$A1030))), "Fixed", IF(NOT(ISERR(SEARCH("*_Repaired",$A1030))), "Repaired", "")))</f>
        <v>Fixed</v>
      </c>
      <c r="R1030" s="13" t="s">
        <v>1669</v>
      </c>
      <c r="S1030" s="25">
        <v>2</v>
      </c>
      <c r="T1030" s="25">
        <v>4</v>
      </c>
      <c r="U1030" s="25">
        <v>1</v>
      </c>
      <c r="V1030" s="13">
        <v>4</v>
      </c>
      <c r="W1030" s="13" t="str">
        <f>MID(A1030, SEARCH("_", A1030) +1, SEARCH("_", A1030, SEARCH("_", A1030) +1) - SEARCH("_", A1030) -1)</f>
        <v>Lang-27</v>
      </c>
      <c r="Y1030" s="1" t="str">
        <f t="shared" si="42"/>
        <v>NO</v>
      </c>
      <c r="Z1030" s="1" t="str">
        <f t="shared" si="43"/>
        <v>YES</v>
      </c>
      <c r="AA1030" t="str">
        <f>IF(AND(S1030&gt;1,S1555&gt;1,S1030=V1030,S1555=V1555), "YES", "NO")</f>
        <v>NO</v>
      </c>
      <c r="AB1030" t="str">
        <f>IF(AND(S1030&gt;1,S1555&gt;1,S1030&lt;V1030,S1555&lt;V1555), "YES", "NO")</f>
        <v>NO</v>
      </c>
      <c r="AC1030" t="str">
        <f t="shared" si="44"/>
        <v>NO</v>
      </c>
      <c r="AD1030" t="str">
        <f t="shared" si="45"/>
        <v>NO</v>
      </c>
      <c r="AE1030" t="str">
        <f t="shared" si="46"/>
        <v>NO</v>
      </c>
      <c r="AF1030" t="str">
        <f t="shared" si="47"/>
        <v>NO</v>
      </c>
    </row>
    <row r="1031" spans="1:32" ht="15" x14ac:dyDescent="0.35">
      <c r="A1031" s="5" t="s">
        <v>73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>LEFT($A1031,FIND("_",$A1031)-1)</f>
        <v>TBar</v>
      </c>
      <c r="P1031" s="13" t="str">
        <f>IF($O1031="ACS", "True Search", IF($O1031="Arja", "Evolutionary Search", IF($O1031="AVATAR", "True Pattern", IF($O1031="CapGen", "Search Like Pattern", IF($O1031="Cardumen", "True Semantic", IF($O1031="DynaMoth", "True Semantic", IF($O1031="FixMiner", "True Pattern", IF($O1031="GenProg-A", "Evolutionary Search", IF($O1031="Hercules", "Learning Pattern", IF($O1031="Jaid", "True Semantic",
IF($O1031="Kali-A", "True Search", IF($O1031="kPAR", "True Pattern", IF($O1031="Nopol", "True Semantic", IF($O1031="RSRepair-A", "Evolutionary Search", IF($O1031="SequenceR", "Deep Learning", IF($O1031="SimFix", "Search Like Pattern", IF($O1031="SketchFix", "True Pattern", IF($O1031="SOFix", "True Pattern", IF($O1031="ssFix", "Search Like Pattern", IF($O1031="TBar", "True Pattern", ""))))))))))))))))))))</f>
        <v>True Pattern</v>
      </c>
      <c r="Q1031" s="13" t="str">
        <f>IF(NOT(ISERR(SEARCH("*_Buggy",$A1031))), "Buggy", IF(NOT(ISERR(SEARCH("*_Fixed",$A1031))), "Fixed", IF(NOT(ISERR(SEARCH("*_Repaired",$A1031))), "Repaired", "")))</f>
        <v>Fixed</v>
      </c>
      <c r="R1031" s="13" t="s">
        <v>1668</v>
      </c>
      <c r="S1031" s="25">
        <v>1</v>
      </c>
      <c r="T1031" s="25">
        <v>1</v>
      </c>
      <c r="U1031" s="25">
        <v>1</v>
      </c>
      <c r="V1031" s="13">
        <v>1</v>
      </c>
      <c r="W1031" s="13" t="str">
        <f>MID(A1031, SEARCH("_", A1031) +1, SEARCH("_", A1031, SEARCH("_", A1031) +1) - SEARCH("_", A1031) -1)</f>
        <v>Lang-33</v>
      </c>
      <c r="Y1031" s="1" t="str">
        <f t="shared" si="42"/>
        <v>NO</v>
      </c>
      <c r="Z1031" s="1" t="str">
        <f t="shared" si="43"/>
        <v>NO</v>
      </c>
      <c r="AA1031" t="str">
        <f>IF(AND(S1031&gt;1,S1556&gt;1,S1031=V1031,S1556=V1556), "YES", "NO")</f>
        <v>NO</v>
      </c>
      <c r="AB1031" t="str">
        <f>IF(AND(S1031&gt;1,S1556&gt;1,S1031&lt;V1031,S1556&lt;V1556), "YES", "NO")</f>
        <v>NO</v>
      </c>
      <c r="AC1031" t="str">
        <f t="shared" si="44"/>
        <v>NO</v>
      </c>
      <c r="AD1031" t="str">
        <f t="shared" si="45"/>
        <v>NO</v>
      </c>
      <c r="AE1031" t="str">
        <f t="shared" si="46"/>
        <v>NO</v>
      </c>
      <c r="AF1031" t="str">
        <f t="shared" si="47"/>
        <v>NO</v>
      </c>
    </row>
    <row r="1032" spans="1:32" ht="15" x14ac:dyDescent="0.35">
      <c r="A1032" s="5" t="s">
        <v>793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>LEFT($A1032,FIND("_",$A1032)-1)</f>
        <v>TBar</v>
      </c>
      <c r="P1032" s="13" t="str">
        <f>IF($O1032="ACS", "True Search", IF($O1032="Arja", "Evolutionary Search", IF($O1032="AVATAR", "True Pattern", IF($O1032="CapGen", "Search Like Pattern", IF($O1032="Cardumen", "True Semantic", IF($O1032="DynaMoth", "True Semantic", IF($O1032="FixMiner", "True Pattern", IF($O1032="GenProg-A", "Evolutionary Search", IF($O1032="Hercules", "Learning Pattern", IF($O1032="Jaid", "True Semantic",
IF($O1032="Kali-A", "True Search", IF($O1032="kPAR", "True Pattern", IF($O1032="Nopol", "True Semantic", IF($O1032="RSRepair-A", "Evolutionary Search", IF($O1032="SequenceR", "Deep Learning", IF($O1032="SimFix", "Search Like Pattern", IF($O1032="SketchFix", "True Pattern", IF($O1032="SOFix", "True Pattern", IF($O1032="ssFix", "Search Like Pattern", IF($O1032="TBar", "True Pattern", ""))))))))))))))))))))</f>
        <v>True Pattern</v>
      </c>
      <c r="Q1032" s="13" t="str">
        <f>IF(NOT(ISERR(SEARCH("*_Buggy",$A1032))), "Buggy", IF(NOT(ISERR(SEARCH("*_Fixed",$A1032))), "Fixed", IF(NOT(ISERR(SEARCH("*_Repaired",$A1032))), "Repaired", "")))</f>
        <v>Fixed</v>
      </c>
      <c r="R1032" s="13" t="s">
        <v>1668</v>
      </c>
      <c r="S1032" s="25">
        <v>1</v>
      </c>
      <c r="T1032" s="13">
        <v>3</v>
      </c>
      <c r="U1032" s="25">
        <v>0</v>
      </c>
      <c r="V1032" s="13">
        <v>3</v>
      </c>
      <c r="W1032" s="13" t="str">
        <f>MID(A1032, SEARCH("_", A1032) +1, SEARCH("_", A1032, SEARCH("_", A1032) +1) - SEARCH("_", A1032) -1)</f>
        <v>Lang-39</v>
      </c>
      <c r="Y1032" s="1" t="str">
        <f t="shared" si="42"/>
        <v>NO</v>
      </c>
      <c r="Z1032" s="1" t="str">
        <f t="shared" si="43"/>
        <v>NO</v>
      </c>
      <c r="AA1032" t="str">
        <f>IF(AND(S1032&gt;1,S1557&gt;1,S1032=V1032,S1557=V1557), "YES", "NO")</f>
        <v>NO</v>
      </c>
      <c r="AB1032" t="str">
        <f>IF(AND(S1032&gt;1,S1557&gt;1,S1032&lt;V1032,S1557&lt;V1557), "YES", "NO")</f>
        <v>NO</v>
      </c>
      <c r="AC1032" t="str">
        <f t="shared" si="44"/>
        <v>NO</v>
      </c>
      <c r="AD1032" t="str">
        <f t="shared" si="45"/>
        <v>YES</v>
      </c>
      <c r="AE1032" t="str">
        <f t="shared" si="46"/>
        <v>NO</v>
      </c>
      <c r="AF1032" t="str">
        <f t="shared" si="47"/>
        <v>YES</v>
      </c>
    </row>
    <row r="1033" spans="1:32" ht="15" x14ac:dyDescent="0.35">
      <c r="A1033" s="7" t="s">
        <v>589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>LEFT($A1033,FIND("_",$A1033)-1)</f>
        <v>TBar</v>
      </c>
      <c r="P1033" s="13" t="str">
        <f>IF($O1033="ACS", "True Search", IF($O1033="Arja", "Evolutionary Search", IF($O1033="AVATAR", "True Pattern", IF($O1033="CapGen", "Search Like Pattern", IF($O1033="Cardumen", "True Semantic", IF($O1033="DynaMoth", "True Semantic", IF($O1033="FixMiner", "True Pattern", IF($O1033="GenProg-A", "Evolutionary Search", IF($O1033="Hercules", "Learning Pattern", IF($O1033="Jaid", "True Semantic",
IF($O1033="Kali-A", "True Search", IF($O1033="kPAR", "True Pattern", IF($O1033="Nopol", "True Semantic", IF($O1033="RSRepair-A", "Evolutionary Search", IF($O1033="SequenceR", "Deep Learning", IF($O1033="SimFix", "Search Like Pattern", IF($O1033="SketchFix", "True Pattern", IF($O1033="SOFix", "True Pattern", IF($O1033="ssFix", "Search Like Pattern", IF($O1033="TBar", "True Pattern", ""))))))))))))))))))))</f>
        <v>True Pattern</v>
      </c>
      <c r="Q1033" s="13" t="str">
        <f>IF(NOT(ISERR(SEARCH("*_Buggy",$A1033))), "Buggy", IF(NOT(ISERR(SEARCH("*_Fixed",$A1033))), "Fixed", IF(NOT(ISERR(SEARCH("*_Repaired",$A1033))), "Repaired", "")))</f>
        <v>Fixed</v>
      </c>
      <c r="R1033" s="13" t="s">
        <v>1669</v>
      </c>
      <c r="S1033" s="25">
        <v>8</v>
      </c>
      <c r="T1033" s="25">
        <v>21</v>
      </c>
      <c r="U1033" s="25">
        <v>2</v>
      </c>
      <c r="V1033" s="13">
        <v>21</v>
      </c>
      <c r="W1033" s="13" t="str">
        <f>MID(A1033, SEARCH("_", A1033) +1, SEARCH("_", A1033, SEARCH("_", A1033) +1) - SEARCH("_", A1033) -1)</f>
        <v>Lang-41</v>
      </c>
      <c r="Y1033" s="1" t="str">
        <f t="shared" si="42"/>
        <v>NO</v>
      </c>
      <c r="Z1033" s="1" t="str">
        <f t="shared" si="43"/>
        <v>YES</v>
      </c>
      <c r="AA1033" t="str">
        <f>IF(AND(S1033&gt;1,S1558&gt;1,S1033=V1033,S1558=V1558), "YES", "NO")</f>
        <v>NO</v>
      </c>
      <c r="AB1033" t="str">
        <f>IF(AND(S1033&gt;1,S1558&gt;1,S1033&lt;V1033,S1558&lt;V1558), "YES", "NO")</f>
        <v>NO</v>
      </c>
      <c r="AC1033" t="str">
        <f t="shared" si="44"/>
        <v>NO</v>
      </c>
      <c r="AD1033" t="str">
        <f t="shared" si="45"/>
        <v>NO</v>
      </c>
      <c r="AE1033" t="str">
        <f t="shared" si="46"/>
        <v>NO</v>
      </c>
      <c r="AF1033" t="str">
        <f t="shared" si="47"/>
        <v>NO</v>
      </c>
    </row>
    <row r="1034" spans="1:32" ht="15" x14ac:dyDescent="0.35">
      <c r="A1034" s="5" t="s">
        <v>165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>LEFT($A1034,FIND("_",$A1034)-1)</f>
        <v>TBar</v>
      </c>
      <c r="P1034" s="13" t="str">
        <f>IF($O1034="ACS", "True Search", IF($O1034="Arja", "Evolutionary Search", IF($O1034="AVATAR", "True Pattern", IF($O1034="CapGen", "Search Like Pattern", IF($O1034="Cardumen", "True Semantic", IF($O1034="DynaMoth", "True Semantic", IF($O1034="FixMiner", "True Pattern", IF($O1034="GenProg-A", "Evolutionary Search", IF($O1034="Hercules", "Learning Pattern", IF($O1034="Jaid", "True Semantic",
IF($O1034="Kali-A", "True Search", IF($O1034="kPAR", "True Pattern", IF($O1034="Nopol", "True Semantic", IF($O1034="RSRepair-A", "Evolutionary Search", IF($O1034="SequenceR", "Deep Learning", IF($O1034="SimFix", "Search Like Pattern", IF($O1034="SketchFix", "True Pattern", IF($O1034="SOFix", "True Pattern", IF($O1034="ssFix", "Search Like Pattern", IF($O1034="TBar", "True Pattern", ""))))))))))))))))))))</f>
        <v>True Pattern</v>
      </c>
      <c r="Q1034" s="13" t="str">
        <f>IF(NOT(ISERR(SEARCH("*_Buggy",$A1034))), "Buggy", IF(NOT(ISERR(SEARCH("*_Fixed",$A1034))), "Fixed", IF(NOT(ISERR(SEARCH("*_Repaired",$A1034))), "Repaired", "")))</f>
        <v>Fixed</v>
      </c>
      <c r="R1034" s="13" t="s">
        <v>1669</v>
      </c>
      <c r="S1034" s="25">
        <v>1</v>
      </c>
      <c r="T1034" s="13">
        <v>1</v>
      </c>
      <c r="U1034" s="25">
        <v>0</v>
      </c>
      <c r="V1034" s="13">
        <v>1</v>
      </c>
      <c r="W1034" s="13" t="str">
        <f>MID(A1034, SEARCH("_", A1034) +1, SEARCH("_", A1034, SEARCH("_", A1034) +1) - SEARCH("_", A1034) -1)</f>
        <v>Lang-43</v>
      </c>
      <c r="Y1034" s="1" t="str">
        <f t="shared" si="42"/>
        <v>NO</v>
      </c>
      <c r="Z1034" s="1" t="str">
        <f t="shared" si="43"/>
        <v>NO</v>
      </c>
      <c r="AA1034" t="str">
        <f>IF(AND(S1034&gt;1,S1559&gt;1,S1034=V1034,S1559=V1559), "YES", "NO")</f>
        <v>NO</v>
      </c>
      <c r="AB1034" t="str">
        <f>IF(AND(S1034&gt;1,S1559&gt;1,S1034&lt;V1034,S1559&lt;V1559), "YES", "NO")</f>
        <v>NO</v>
      </c>
      <c r="AC1034" t="str">
        <f t="shared" si="44"/>
        <v>YES</v>
      </c>
      <c r="AD1034" t="str">
        <f t="shared" si="45"/>
        <v>NO</v>
      </c>
      <c r="AE1034" t="str">
        <f t="shared" si="46"/>
        <v>YES</v>
      </c>
      <c r="AF1034" t="str">
        <f t="shared" si="47"/>
        <v>NO</v>
      </c>
    </row>
    <row r="1035" spans="1:32" ht="15" x14ac:dyDescent="0.35">
      <c r="A1035" s="5" t="s">
        <v>56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>LEFT($A1035,FIND("_",$A1035)-1)</f>
        <v>TBar</v>
      </c>
      <c r="P1035" s="13" t="str">
        <f>IF($O1035="ACS", "True Search", IF($O1035="Arja", "Evolutionary Search", IF($O1035="AVATAR", "True Pattern", IF($O1035="CapGen", "Search Like Pattern", IF($O1035="Cardumen", "True Semantic", IF($O1035="DynaMoth", "True Semantic", IF($O1035="FixMiner", "True Pattern", IF($O1035="GenProg-A", "Evolutionary Search", IF($O1035="Hercules", "Learning Pattern", IF($O1035="Jaid", "True Semantic",
IF($O1035="Kali-A", "True Search", IF($O1035="kPAR", "True Pattern", IF($O1035="Nopol", "True Semantic", IF($O1035="RSRepair-A", "Evolutionary Search", IF($O1035="SequenceR", "Deep Learning", IF($O1035="SimFix", "Search Like Pattern", IF($O1035="SketchFix", "True Pattern", IF($O1035="SOFix", "True Pattern", IF($O1035="ssFix", "Search Like Pattern", IF($O1035="TBar", "True Pattern", ""))))))))))))))))))))</f>
        <v>True Pattern</v>
      </c>
      <c r="Q1035" s="13" t="str">
        <f>IF(NOT(ISERR(SEARCH("*_Buggy",$A1035))), "Buggy", IF(NOT(ISERR(SEARCH("*_Fixed",$A1035))), "Fixed", IF(NOT(ISERR(SEARCH("*_Repaired",$A1035))), "Repaired", "")))</f>
        <v>Fixed</v>
      </c>
      <c r="R1035" s="13" t="s">
        <v>1669</v>
      </c>
      <c r="S1035" s="25">
        <v>1</v>
      </c>
      <c r="T1035" s="13">
        <v>3</v>
      </c>
      <c r="U1035" s="25">
        <v>0</v>
      </c>
      <c r="V1035" s="13">
        <v>3</v>
      </c>
      <c r="W1035" s="13" t="str">
        <f>MID(A1035, SEARCH("_", A1035) +1, SEARCH("_", A1035, SEARCH("_", A1035) +1) - SEARCH("_", A1035) -1)</f>
        <v>Lang-44</v>
      </c>
      <c r="Y1035" s="1" t="str">
        <f t="shared" si="42"/>
        <v>NO</v>
      </c>
      <c r="Z1035" s="1" t="str">
        <f t="shared" si="43"/>
        <v>NO</v>
      </c>
      <c r="AA1035" t="str">
        <f>IF(AND(S1035&gt;1,S1560&gt;1,S1035=V1035,S1560=V1560), "YES", "NO")</f>
        <v>NO</v>
      </c>
      <c r="AB1035" t="str">
        <f>IF(AND(S1035&gt;1,S1560&gt;1,S1035&lt;V1035,S1560&lt;V1560), "YES", "NO")</f>
        <v>NO</v>
      </c>
      <c r="AC1035" t="str">
        <f t="shared" si="44"/>
        <v>NO</v>
      </c>
      <c r="AD1035" t="str">
        <f t="shared" si="45"/>
        <v>NO</v>
      </c>
      <c r="AE1035" t="str">
        <f t="shared" si="46"/>
        <v>NO</v>
      </c>
      <c r="AF1035" t="str">
        <f t="shared" si="47"/>
        <v>YES</v>
      </c>
    </row>
    <row r="1036" spans="1:32" ht="15" x14ac:dyDescent="0.35">
      <c r="A1036" s="5" t="s">
        <v>982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>LEFT($A1036,FIND("_",$A1036)-1)</f>
        <v>TBar</v>
      </c>
      <c r="P1036" s="13" t="str">
        <f>IF($O1036="ACS", "True Search", IF($O1036="Arja", "Evolutionary Search", IF($O1036="AVATAR", "True Pattern", IF($O1036="CapGen", "Search Like Pattern", IF($O1036="Cardumen", "True Semantic", IF($O1036="DynaMoth", "True Semantic", IF($O1036="FixMiner", "True Pattern", IF($O1036="GenProg-A", "Evolutionary Search", IF($O1036="Hercules", "Learning Pattern", IF($O1036="Jaid", "True Semantic",
IF($O1036="Kali-A", "True Search", IF($O1036="kPAR", "True Pattern", IF($O1036="Nopol", "True Semantic", IF($O1036="RSRepair-A", "Evolutionary Search", IF($O1036="SequenceR", "Deep Learning", IF($O1036="SimFix", "Search Like Pattern", IF($O1036="SketchFix", "True Pattern", IF($O1036="SOFix", "True Pattern", IF($O1036="ssFix", "Search Like Pattern", IF($O1036="TBar", "True Pattern", ""))))))))))))))))))))</f>
        <v>True Pattern</v>
      </c>
      <c r="Q1036" s="13" t="str">
        <f>IF(NOT(ISERR(SEARCH("*_Buggy",$A1036))), "Buggy", IF(NOT(ISERR(SEARCH("*_Fixed",$A1036))), "Fixed", IF(NOT(ISERR(SEARCH("*_Repaired",$A1036))), "Repaired", "")))</f>
        <v>Fixed</v>
      </c>
      <c r="R1036" s="13" t="s">
        <v>1669</v>
      </c>
      <c r="S1036" s="25">
        <v>1</v>
      </c>
      <c r="T1036" s="13">
        <v>3</v>
      </c>
      <c r="U1036" s="25">
        <v>0</v>
      </c>
      <c r="V1036" s="13">
        <v>3</v>
      </c>
      <c r="W1036" s="13" t="str">
        <f>MID(A1036, SEARCH("_", A1036) +1, SEARCH("_", A1036, SEARCH("_", A1036) +1) - SEARCH("_", A1036) -1)</f>
        <v>Lang-45</v>
      </c>
      <c r="Y1036" s="1" t="str">
        <f t="shared" si="42"/>
        <v>NO</v>
      </c>
      <c r="Z1036" s="1" t="str">
        <f t="shared" si="43"/>
        <v>NO</v>
      </c>
      <c r="AA1036" t="str">
        <f>IF(AND(S1036&gt;1,S1561&gt;1,S1036=V1036,S1561=V1561), "YES", "NO")</f>
        <v>NO</v>
      </c>
      <c r="AB1036" t="str">
        <f>IF(AND(S1036&gt;1,S1561&gt;1,S1036&lt;V1036,S1561&lt;V1561), "YES", "NO")</f>
        <v>NO</v>
      </c>
      <c r="AC1036" t="str">
        <f t="shared" si="44"/>
        <v>NO</v>
      </c>
      <c r="AD1036" t="str">
        <f t="shared" si="45"/>
        <v>NO</v>
      </c>
      <c r="AE1036" t="str">
        <f t="shared" si="46"/>
        <v>NO</v>
      </c>
      <c r="AF1036" t="str">
        <f t="shared" si="47"/>
        <v>NO</v>
      </c>
    </row>
    <row r="1037" spans="1:32" ht="15" x14ac:dyDescent="0.35">
      <c r="A1037" s="5" t="s">
        <v>374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>LEFT($A1037,FIND("_",$A1037)-1)</f>
        <v>TBar</v>
      </c>
      <c r="P1037" s="13" t="str">
        <f>IF($O1037="ACS", "True Search", IF($O1037="Arja", "Evolutionary Search", IF($O1037="AVATAR", "True Pattern", IF($O1037="CapGen", "Search Like Pattern", IF($O1037="Cardumen", "True Semantic", IF($O1037="DynaMoth", "True Semantic", IF($O1037="FixMiner", "True Pattern", IF($O1037="GenProg-A", "Evolutionary Search", IF($O1037="Hercules", "Learning Pattern", IF($O1037="Jaid", "True Semantic",
IF($O1037="Kali-A", "True Search", IF($O1037="kPAR", "True Pattern", IF($O1037="Nopol", "True Semantic", IF($O1037="RSRepair-A", "Evolutionary Search", IF($O1037="SequenceR", "Deep Learning", IF($O1037="SimFix", "Search Like Pattern", IF($O1037="SketchFix", "True Pattern", IF($O1037="SOFix", "True Pattern", IF($O1037="ssFix", "Search Like Pattern", IF($O1037="TBar", "True Pattern", ""))))))))))))))))))))</f>
        <v>True Pattern</v>
      </c>
      <c r="Q1037" s="13" t="str">
        <f>IF(NOT(ISERR(SEARCH("*_Buggy",$A1037))), "Buggy", IF(NOT(ISERR(SEARCH("*_Fixed",$A1037))), "Fixed", IF(NOT(ISERR(SEARCH("*_Repaired",$A1037))), "Repaired", "")))</f>
        <v>Fixed</v>
      </c>
      <c r="R1037" s="13" t="s">
        <v>1668</v>
      </c>
      <c r="S1037" s="25">
        <v>2</v>
      </c>
      <c r="T1037" s="13">
        <v>6</v>
      </c>
      <c r="U1037" s="25">
        <v>0</v>
      </c>
      <c r="V1037" s="13">
        <v>6</v>
      </c>
      <c r="W1037" s="13" t="str">
        <f>MID(A1037, SEARCH("_", A1037) +1, SEARCH("_", A1037, SEARCH("_", A1037) +1) - SEARCH("_", A1037) -1)</f>
        <v>Lang-47</v>
      </c>
      <c r="Y1037" s="1" t="str">
        <f t="shared" si="42"/>
        <v>NO</v>
      </c>
      <c r="Z1037" s="1" t="str">
        <f t="shared" si="43"/>
        <v>YES</v>
      </c>
      <c r="AA1037" t="str">
        <f>IF(AND(S1037&gt;1,S1562&gt;1,S1037=V1037,S1562=V1562), "YES", "NO")</f>
        <v>NO</v>
      </c>
      <c r="AB1037" t="str">
        <f>IF(AND(S1037&gt;1,S1562&gt;1,S1037&lt;V1037,S1562&lt;V1562), "YES", "NO")</f>
        <v>NO</v>
      </c>
      <c r="AC1037" t="str">
        <f t="shared" si="44"/>
        <v>NO</v>
      </c>
      <c r="AD1037" t="str">
        <f t="shared" si="45"/>
        <v>NO</v>
      </c>
      <c r="AE1037" t="str">
        <f t="shared" si="46"/>
        <v>NO</v>
      </c>
      <c r="AF1037" t="str">
        <f t="shared" si="47"/>
        <v>YES</v>
      </c>
    </row>
    <row r="1038" spans="1:32" ht="15" x14ac:dyDescent="0.35">
      <c r="A1038" s="7" t="s">
        <v>616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>LEFT($A1038,FIND("_",$A1038)-1)</f>
        <v>TBar</v>
      </c>
      <c r="P1038" s="13" t="str">
        <f>IF($O1038="ACS", "True Search", IF($O1038="Arja", "Evolutionary Search", IF($O1038="AVATAR", "True Pattern", IF($O1038="CapGen", "Search Like Pattern", IF($O1038="Cardumen", "True Semantic", IF($O1038="DynaMoth", "True Semantic", IF($O1038="FixMiner", "True Pattern", IF($O1038="GenProg-A", "Evolutionary Search", IF($O1038="Hercules", "Learning Pattern", IF($O1038="Jaid", "True Semantic",
IF($O1038="Kali-A", "True Search", IF($O1038="kPAR", "True Pattern", IF($O1038="Nopol", "True Semantic", IF($O1038="RSRepair-A", "Evolutionary Search", IF($O1038="SequenceR", "Deep Learning", IF($O1038="SimFix", "Search Like Pattern", IF($O1038="SketchFix", "True Pattern", IF($O1038="SOFix", "True Pattern", IF($O1038="ssFix", "Search Like Pattern", IF($O1038="TBar", "True Pattern", ""))))))))))))))))))))</f>
        <v>True Pattern</v>
      </c>
      <c r="Q1038" s="13" t="str">
        <f>IF(NOT(ISERR(SEARCH("*_Buggy",$A1038))), "Buggy", IF(NOT(ISERR(SEARCH("*_Fixed",$A1038))), "Fixed", IF(NOT(ISERR(SEARCH("*_Repaired",$A1038))), "Repaired", "")))</f>
        <v>Fixed</v>
      </c>
      <c r="R1038" s="13" t="s">
        <v>1669</v>
      </c>
      <c r="S1038" s="25">
        <v>6</v>
      </c>
      <c r="T1038" s="25">
        <v>6</v>
      </c>
      <c r="U1038" s="25">
        <v>10</v>
      </c>
      <c r="V1038" s="13">
        <v>12</v>
      </c>
      <c r="W1038" s="13" t="str">
        <f>MID(A1038, SEARCH("_", A1038) +1, SEARCH("_", A1038, SEARCH("_", A1038) +1) - SEARCH("_", A1038) -1)</f>
        <v>Lang-50</v>
      </c>
      <c r="Y1038" s="1" t="str">
        <f t="shared" si="42"/>
        <v>NO</v>
      </c>
      <c r="Z1038" s="1" t="str">
        <f t="shared" si="43"/>
        <v>YES</v>
      </c>
      <c r="AA1038" t="str">
        <f>IF(AND(S1038&gt;1,S1563&gt;1,S1038=V1038,S1563=V1563), "YES", "NO")</f>
        <v>NO</v>
      </c>
      <c r="AB1038" t="str">
        <f>IF(AND(S1038&gt;1,S1563&gt;1,S1038&lt;V1038,S1563&lt;V1563), "YES", "NO")</f>
        <v>NO</v>
      </c>
      <c r="AC1038" t="str">
        <f t="shared" si="44"/>
        <v>NO</v>
      </c>
      <c r="AD1038" t="str">
        <f t="shared" si="45"/>
        <v>NO</v>
      </c>
      <c r="AE1038" t="str">
        <f t="shared" si="46"/>
        <v>NO</v>
      </c>
      <c r="AF1038" t="str">
        <f t="shared" si="47"/>
        <v>NO</v>
      </c>
    </row>
    <row r="1039" spans="1:32" ht="15" x14ac:dyDescent="0.35">
      <c r="A1039" s="5" t="s">
        <v>603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>LEFT($A1039,FIND("_",$A1039)-1)</f>
        <v>TBar</v>
      </c>
      <c r="P1039" s="13" t="str">
        <f>IF($O1039="ACS", "True Search", IF($O1039="Arja", "Evolutionary Search", IF($O1039="AVATAR", "True Pattern", IF($O1039="CapGen", "Search Like Pattern", IF($O1039="Cardumen", "True Semantic", IF($O1039="DynaMoth", "True Semantic", IF($O1039="FixMiner", "True Pattern", IF($O1039="GenProg-A", "Evolutionary Search", IF($O1039="Hercules", "Learning Pattern", IF($O1039="Jaid", "True Semantic",
IF($O1039="Kali-A", "True Search", IF($O1039="kPAR", "True Pattern", IF($O1039="Nopol", "True Semantic", IF($O1039="RSRepair-A", "Evolutionary Search", IF($O1039="SequenceR", "Deep Learning", IF($O1039="SimFix", "Search Like Pattern", IF($O1039="SketchFix", "True Pattern", IF($O1039="SOFix", "True Pattern", IF($O1039="ssFix", "Search Like Pattern", IF($O1039="TBar", "True Pattern", ""))))))))))))))))))))</f>
        <v>True Pattern</v>
      </c>
      <c r="Q1039" s="13" t="str">
        <f>IF(NOT(ISERR(SEARCH("*_Buggy",$A1039))), "Buggy", IF(NOT(ISERR(SEARCH("*_Fixed",$A1039))), "Fixed", IF(NOT(ISERR(SEARCH("*_Repaired",$A1039))), "Repaired", "")))</f>
        <v>Fixed</v>
      </c>
      <c r="R1039" s="13" t="s">
        <v>1668</v>
      </c>
      <c r="S1039" s="25">
        <v>1</v>
      </c>
      <c r="T1039" s="13">
        <v>1</v>
      </c>
      <c r="U1039" s="25">
        <v>0</v>
      </c>
      <c r="V1039" s="13">
        <v>1</v>
      </c>
      <c r="W1039" s="13" t="str">
        <f>MID(A1039, SEARCH("_", A1039) +1, SEARCH("_", A1039, SEARCH("_", A1039) +1) - SEARCH("_", A1039) -1)</f>
        <v>Lang-51</v>
      </c>
      <c r="Y1039" s="1" t="str">
        <f t="shared" si="42"/>
        <v>NO</v>
      </c>
      <c r="Z1039" s="1" t="str">
        <f t="shared" si="43"/>
        <v>NO</v>
      </c>
      <c r="AA1039" t="str">
        <f>IF(AND(S1039&gt;1,S1564&gt;1,S1039=V1039,S1564=V1564), "YES", "NO")</f>
        <v>NO</v>
      </c>
      <c r="AB1039" t="str">
        <f>IF(AND(S1039&gt;1,S1564&gt;1,S1039&lt;V1039,S1564&lt;V1564), "YES", "NO")</f>
        <v>NO</v>
      </c>
      <c r="AC1039" t="str">
        <f t="shared" si="44"/>
        <v>NO</v>
      </c>
      <c r="AD1039" t="str">
        <f t="shared" si="45"/>
        <v>NO</v>
      </c>
      <c r="AE1039" t="str">
        <f t="shared" si="46"/>
        <v>NO</v>
      </c>
      <c r="AF1039" t="str">
        <f t="shared" si="47"/>
        <v>NO</v>
      </c>
    </row>
    <row r="1040" spans="1:32" ht="15" x14ac:dyDescent="0.35">
      <c r="A1040" s="7" t="s">
        <v>1115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>LEFT($A1040,FIND("_",$A1040)-1)</f>
        <v>TBar</v>
      </c>
      <c r="P1040" s="13" t="str">
        <f>IF($O1040="ACS", "True Search", IF($O1040="Arja", "Evolutionary Search", IF($O1040="AVATAR", "True Pattern", IF($O1040="CapGen", "Search Like Pattern", IF($O1040="Cardumen", "True Semantic", IF($O1040="DynaMoth", "True Semantic", IF($O1040="FixMiner", "True Pattern", IF($O1040="GenProg-A", "Evolutionary Search", IF($O1040="Hercules", "Learning Pattern", IF($O1040="Jaid", "True Semantic",
IF($O1040="Kali-A", "True Search", IF($O1040="kPAR", "True Pattern", IF($O1040="Nopol", "True Semantic", IF($O1040="RSRepair-A", "Evolutionary Search", IF($O1040="SequenceR", "Deep Learning", IF($O1040="SimFix", "Search Like Pattern", IF($O1040="SketchFix", "True Pattern", IF($O1040="SOFix", "True Pattern", IF($O1040="ssFix", "Search Like Pattern", IF($O1040="TBar", "True Pattern", ""))))))))))))))))))))</f>
        <v>True Pattern</v>
      </c>
      <c r="Q1040" s="13" t="str">
        <f>IF(NOT(ISERR(SEARCH("*_Buggy",$A1040))), "Buggy", IF(NOT(ISERR(SEARCH("*_Fixed",$A1040))), "Fixed", IF(NOT(ISERR(SEARCH("*_Repaired",$A1040))), "Repaired", "")))</f>
        <v>Fixed</v>
      </c>
      <c r="R1040" s="13" t="s">
        <v>1668</v>
      </c>
      <c r="S1040" s="25">
        <v>1</v>
      </c>
      <c r="T1040" s="25">
        <v>1</v>
      </c>
      <c r="U1040" s="25">
        <v>1</v>
      </c>
      <c r="V1040" s="13">
        <v>1</v>
      </c>
      <c r="W1040" s="13" t="str">
        <f>MID(A1040, SEARCH("_", A1040) +1, SEARCH("_", A1040, SEARCH("_", A1040) +1) - SEARCH("_", A1040) -1)</f>
        <v>Lang-57</v>
      </c>
      <c r="Y1040" s="1" t="str">
        <f t="shared" si="42"/>
        <v>NO</v>
      </c>
      <c r="Z1040" s="1" t="str">
        <f t="shared" si="43"/>
        <v>NO</v>
      </c>
      <c r="AA1040" t="str">
        <f>IF(AND(S1040&gt;1,S1565&gt;1,S1040=V1040,S1565=V1565), "YES", "NO")</f>
        <v>NO</v>
      </c>
      <c r="AB1040" t="str">
        <f>IF(AND(S1040&gt;1,S1565&gt;1,S1040&lt;V1040,S1565&lt;V1565), "YES", "NO")</f>
        <v>NO</v>
      </c>
      <c r="AC1040" t="str">
        <f t="shared" si="44"/>
        <v>YES</v>
      </c>
      <c r="AD1040" t="str">
        <f t="shared" si="45"/>
        <v>NO</v>
      </c>
      <c r="AE1040" t="str">
        <f t="shared" si="46"/>
        <v>YES</v>
      </c>
      <c r="AF1040" t="str">
        <f t="shared" si="47"/>
        <v>NO</v>
      </c>
    </row>
    <row r="1041" spans="1:32" ht="15" x14ac:dyDescent="0.35">
      <c r="A1041" s="5" t="s">
        <v>998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>LEFT($A1041,FIND("_",$A1041)-1)</f>
        <v>TBar</v>
      </c>
      <c r="P1041" s="13" t="str">
        <f>IF($O1041="ACS", "True Search", IF($O1041="Arja", "Evolutionary Search", IF($O1041="AVATAR", "True Pattern", IF($O1041="CapGen", "Search Like Pattern", IF($O1041="Cardumen", "True Semantic", IF($O1041="DynaMoth", "True Semantic", IF($O1041="FixMiner", "True Pattern", IF($O1041="GenProg-A", "Evolutionary Search", IF($O1041="Hercules", "Learning Pattern", IF($O1041="Jaid", "True Semantic",
IF($O1041="Kali-A", "True Search", IF($O1041="kPAR", "True Pattern", IF($O1041="Nopol", "True Semantic", IF($O1041="RSRepair-A", "Evolutionary Search", IF($O1041="SequenceR", "Deep Learning", IF($O1041="SimFix", "Search Like Pattern", IF($O1041="SketchFix", "True Pattern", IF($O1041="SOFix", "True Pattern", IF($O1041="ssFix", "Search Like Pattern", IF($O1041="TBar", "True Pattern", ""))))))))))))))))))))</f>
        <v>True Pattern</v>
      </c>
      <c r="Q1041" s="13" t="str">
        <f>IF(NOT(ISERR(SEARCH("*_Buggy",$A1041))), "Buggy", IF(NOT(ISERR(SEARCH("*_Fixed",$A1041))), "Fixed", IF(NOT(ISERR(SEARCH("*_Repaired",$A1041))), "Repaired", "")))</f>
        <v>Fixed</v>
      </c>
      <c r="R1041" s="13" t="s">
        <v>1669</v>
      </c>
      <c r="S1041" s="25">
        <v>1</v>
      </c>
      <c r="T1041" s="25">
        <v>1</v>
      </c>
      <c r="U1041" s="25">
        <v>2</v>
      </c>
      <c r="V1041" s="13">
        <v>2</v>
      </c>
      <c r="W1041" s="13" t="str">
        <f>MID(A1041, SEARCH("_", A1041) +1, SEARCH("_", A1041, SEARCH("_", A1041) +1) - SEARCH("_", A1041) -1)</f>
        <v>Lang-58</v>
      </c>
      <c r="Y1041" s="1" t="str">
        <f t="shared" si="42"/>
        <v>NO</v>
      </c>
      <c r="Z1041" s="1" t="str">
        <f t="shared" si="43"/>
        <v>NO</v>
      </c>
      <c r="AA1041" t="str">
        <f>IF(AND(S1041&gt;1,S1566&gt;1,S1041=V1041,S1566=V1566), "YES", "NO")</f>
        <v>NO</v>
      </c>
      <c r="AB1041" t="str">
        <f>IF(AND(S1041&gt;1,S1566&gt;1,S1041&lt;V1041,S1566&lt;V1566), "YES", "NO")</f>
        <v>NO</v>
      </c>
      <c r="AC1041" t="str">
        <f t="shared" si="44"/>
        <v>NO</v>
      </c>
      <c r="AD1041" t="str">
        <f t="shared" si="45"/>
        <v>NO</v>
      </c>
      <c r="AE1041" t="str">
        <f t="shared" si="46"/>
        <v>NO</v>
      </c>
      <c r="AF1041" t="str">
        <f t="shared" si="47"/>
        <v>YES</v>
      </c>
    </row>
    <row r="1042" spans="1:32" ht="15" x14ac:dyDescent="0.35">
      <c r="A1042" s="7" t="s">
        <v>303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>LEFT($A1042,FIND("_",$A1042)-1)</f>
        <v>TBar</v>
      </c>
      <c r="P1042" s="13" t="str">
        <f>IF($O1042="ACS", "True Search", IF($O1042="Arja", "Evolutionary Search", IF($O1042="AVATAR", "True Pattern", IF($O1042="CapGen", "Search Like Pattern", IF($O1042="Cardumen", "True Semantic", IF($O1042="DynaMoth", "True Semantic", IF($O1042="FixMiner", "True Pattern", IF($O1042="GenProg-A", "Evolutionary Search", IF($O1042="Hercules", "Learning Pattern", IF($O1042="Jaid", "True Semantic",
IF($O1042="Kali-A", "True Search", IF($O1042="kPAR", "True Pattern", IF($O1042="Nopol", "True Semantic", IF($O1042="RSRepair-A", "Evolutionary Search", IF($O1042="SequenceR", "Deep Learning", IF($O1042="SimFix", "Search Like Pattern", IF($O1042="SketchFix", "True Pattern", IF($O1042="SOFix", "True Pattern", IF($O1042="ssFix", "Search Like Pattern", IF($O1042="TBar", "True Pattern", ""))))))))))))))))))))</f>
        <v>True Pattern</v>
      </c>
      <c r="Q1042" s="13" t="str">
        <f>IF(NOT(ISERR(SEARCH("*_Buggy",$A1042))), "Buggy", IF(NOT(ISERR(SEARCH("*_Fixed",$A1042))), "Fixed", IF(NOT(ISERR(SEARCH("*_Repaired",$A1042))), "Repaired", "")))</f>
        <v>Fixed</v>
      </c>
      <c r="R1042" s="13" t="s">
        <v>1668</v>
      </c>
      <c r="S1042" s="25">
        <v>1</v>
      </c>
      <c r="T1042" s="25">
        <v>1</v>
      </c>
      <c r="U1042" s="25">
        <v>1</v>
      </c>
      <c r="V1042" s="13">
        <v>1</v>
      </c>
      <c r="W1042" s="13" t="str">
        <f>MID(A1042, SEARCH("_", A1042) +1, SEARCH("_", A1042, SEARCH("_", A1042) +1) - SEARCH("_", A1042) -1)</f>
        <v>Lang-59</v>
      </c>
      <c r="Y1042" s="1" t="str">
        <f t="shared" si="42"/>
        <v>NO</v>
      </c>
      <c r="Z1042" s="1" t="str">
        <f t="shared" si="43"/>
        <v>NO</v>
      </c>
      <c r="AA1042" t="str">
        <f>IF(AND(S1042&gt;1,S1567&gt;1,S1042=V1042,S1567=V1567), "YES", "NO")</f>
        <v>NO</v>
      </c>
      <c r="AB1042" t="str">
        <f>IF(AND(S1042&gt;1,S1567&gt;1,S1042&lt;V1042,S1567&lt;V1567), "YES", "NO")</f>
        <v>NO</v>
      </c>
      <c r="AC1042" t="str">
        <f t="shared" si="44"/>
        <v>YES</v>
      </c>
      <c r="AD1042" t="str">
        <f t="shared" si="45"/>
        <v>NO</v>
      </c>
      <c r="AE1042" t="str">
        <f t="shared" si="46"/>
        <v>YES</v>
      </c>
      <c r="AF1042" t="str">
        <f t="shared" si="47"/>
        <v>NO</v>
      </c>
    </row>
    <row r="1043" spans="1:32" ht="15" x14ac:dyDescent="0.35">
      <c r="A1043" s="5" t="s">
        <v>1072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>LEFT($A1043,FIND("_",$A1043)-1)</f>
        <v>TBar</v>
      </c>
      <c r="P1043" s="13" t="str">
        <f>IF($O1043="ACS", "True Search", IF($O1043="Arja", "Evolutionary Search", IF($O1043="AVATAR", "True Pattern", IF($O1043="CapGen", "Search Like Pattern", IF($O1043="Cardumen", "True Semantic", IF($O1043="DynaMoth", "True Semantic", IF($O1043="FixMiner", "True Pattern", IF($O1043="GenProg-A", "Evolutionary Search", IF($O1043="Hercules", "Learning Pattern", IF($O1043="Jaid", "True Semantic",
IF($O1043="Kali-A", "True Search", IF($O1043="kPAR", "True Pattern", IF($O1043="Nopol", "True Semantic", IF($O1043="RSRepair-A", "Evolutionary Search", IF($O1043="SequenceR", "Deep Learning", IF($O1043="SimFix", "Search Like Pattern", IF($O1043="SketchFix", "True Pattern", IF($O1043="SOFix", "True Pattern", IF($O1043="ssFix", "Search Like Pattern", IF($O1043="TBar", "True Pattern", ""))))))))))))))))))))</f>
        <v>True Pattern</v>
      </c>
      <c r="Q1043" s="13" t="str">
        <f>IF(NOT(ISERR(SEARCH("*_Buggy",$A1043))), "Buggy", IF(NOT(ISERR(SEARCH("*_Fixed",$A1043))), "Fixed", IF(NOT(ISERR(SEARCH("*_Repaired",$A1043))), "Repaired", "")))</f>
        <v>Fixed</v>
      </c>
      <c r="R1043" s="13" t="s">
        <v>1668</v>
      </c>
      <c r="S1043" s="25">
        <v>1</v>
      </c>
      <c r="T1043" s="25">
        <v>1</v>
      </c>
      <c r="U1043" s="25">
        <v>1</v>
      </c>
      <c r="V1043" s="13">
        <v>1</v>
      </c>
      <c r="W1043" s="13" t="str">
        <f>MID(A1043, SEARCH("_", A1043) +1, SEARCH("_", A1043, SEARCH("_", A1043) +1) - SEARCH("_", A1043) -1)</f>
        <v>Lang-6</v>
      </c>
      <c r="Y1043" s="1" t="str">
        <f t="shared" si="42"/>
        <v>NO</v>
      </c>
      <c r="Z1043" s="1" t="str">
        <f t="shared" si="43"/>
        <v>NO</v>
      </c>
      <c r="AA1043" t="str">
        <f>IF(AND(S1043&gt;1,S1568&gt;1,S1043=V1043,S1568=V1568), "YES", "NO")</f>
        <v>NO</v>
      </c>
      <c r="AB1043" t="str">
        <f>IF(AND(S1043&gt;1,S1568&gt;1,S1043&lt;V1043,S1568&lt;V1568), "YES", "NO")</f>
        <v>NO</v>
      </c>
      <c r="AC1043" t="str">
        <f t="shared" si="44"/>
        <v>YES</v>
      </c>
      <c r="AD1043" t="str">
        <f t="shared" si="45"/>
        <v>NO</v>
      </c>
      <c r="AE1043" t="str">
        <f t="shared" si="46"/>
        <v>YES</v>
      </c>
      <c r="AF1043" t="str">
        <f t="shared" si="47"/>
        <v>NO</v>
      </c>
    </row>
    <row r="1044" spans="1:32" ht="15" x14ac:dyDescent="0.35">
      <c r="A1044" s="5" t="s">
        <v>822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>LEFT($A1044,FIND("_",$A1044)-1)</f>
        <v>TBar</v>
      </c>
      <c r="P1044" s="13" t="str">
        <f>IF($O1044="ACS", "True Search", IF($O1044="Arja", "Evolutionary Search", IF($O1044="AVATAR", "True Pattern", IF($O1044="CapGen", "Search Like Pattern", IF($O1044="Cardumen", "True Semantic", IF($O1044="DynaMoth", "True Semantic", IF($O1044="FixMiner", "True Pattern", IF($O1044="GenProg-A", "Evolutionary Search", IF($O1044="Hercules", "Learning Pattern", IF($O1044="Jaid", "True Semantic",
IF($O1044="Kali-A", "True Search", IF($O1044="kPAR", "True Pattern", IF($O1044="Nopol", "True Semantic", IF($O1044="RSRepair-A", "Evolutionary Search", IF($O1044="SequenceR", "Deep Learning", IF($O1044="SimFix", "Search Like Pattern", IF($O1044="SketchFix", "True Pattern", IF($O1044="SOFix", "True Pattern", IF($O1044="ssFix", "Search Like Pattern", IF($O1044="TBar", "True Pattern", ""))))))))))))))))))))</f>
        <v>True Pattern</v>
      </c>
      <c r="Q1044" s="13" t="str">
        <f>IF(NOT(ISERR(SEARCH("*_Buggy",$A1044))), "Buggy", IF(NOT(ISERR(SEARCH("*_Fixed",$A1044))), "Fixed", IF(NOT(ISERR(SEARCH("*_Repaired",$A1044))), "Repaired", "")))</f>
        <v>Fixed</v>
      </c>
      <c r="R1044" s="13" t="s">
        <v>1669</v>
      </c>
      <c r="S1044" s="25">
        <v>2</v>
      </c>
      <c r="T1044" s="25">
        <v>2</v>
      </c>
      <c r="U1044" s="25">
        <v>2</v>
      </c>
      <c r="V1044" s="13">
        <v>2</v>
      </c>
      <c r="W1044" s="13" t="str">
        <f>MID(A1044, SEARCH("_", A1044) +1, SEARCH("_", A1044, SEARCH("_", A1044) +1) - SEARCH("_", A1044) -1)</f>
        <v>Lang-60</v>
      </c>
      <c r="Y1044" s="1" t="str">
        <f t="shared" si="42"/>
        <v>YES</v>
      </c>
      <c r="Z1044" s="1" t="str">
        <f t="shared" si="43"/>
        <v>NO</v>
      </c>
      <c r="AA1044" t="str">
        <f>IF(AND(S1044&gt;1,S1569&gt;1,S1044=V1044,S1569=V1569), "YES", "NO")</f>
        <v>NO</v>
      </c>
      <c r="AB1044" t="str">
        <f>IF(AND(S1044&gt;1,S1569&gt;1,S1044&lt;V1044,S1569&lt;V1569), "YES", "NO")</f>
        <v>NO</v>
      </c>
      <c r="AC1044" t="str">
        <f t="shared" si="44"/>
        <v>NO</v>
      </c>
      <c r="AD1044" t="str">
        <f t="shared" si="45"/>
        <v>NO</v>
      </c>
      <c r="AE1044" t="str">
        <f t="shared" si="46"/>
        <v>NO</v>
      </c>
      <c r="AF1044" t="str">
        <f t="shared" si="47"/>
        <v>NO</v>
      </c>
    </row>
    <row r="1045" spans="1:32" ht="15" x14ac:dyDescent="0.35">
      <c r="A1045" s="7" t="s">
        <v>808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>LEFT($A1045,FIND("_",$A1045)-1)</f>
        <v>TBar</v>
      </c>
      <c r="P1045" s="13" t="str">
        <f>IF($O1045="ACS", "True Search", IF($O1045="Arja", "Evolutionary Search", IF($O1045="AVATAR", "True Pattern", IF($O1045="CapGen", "Search Like Pattern", IF($O1045="Cardumen", "True Semantic", IF($O1045="DynaMoth", "True Semantic", IF($O1045="FixMiner", "True Pattern", IF($O1045="GenProg-A", "Evolutionary Search", IF($O1045="Hercules", "Learning Pattern", IF($O1045="Jaid", "True Semantic",
IF($O1045="Kali-A", "True Search", IF($O1045="kPAR", "True Pattern", IF($O1045="Nopol", "True Semantic", IF($O1045="RSRepair-A", "Evolutionary Search", IF($O1045="SequenceR", "Deep Learning", IF($O1045="SimFix", "Search Like Pattern", IF($O1045="SketchFix", "True Pattern", IF($O1045="SOFix", "True Pattern", IF($O1045="ssFix", "Search Like Pattern", IF($O1045="TBar", "True Pattern", ""))))))))))))))))))))</f>
        <v>True Pattern</v>
      </c>
      <c r="Q1045" s="13" t="str">
        <f>IF(NOT(ISERR(SEARCH("*_Buggy",$A1045))), "Buggy", IF(NOT(ISERR(SEARCH("*_Fixed",$A1045))), "Fixed", IF(NOT(ISERR(SEARCH("*_Repaired",$A1045))), "Repaired", "")))</f>
        <v>Fixed</v>
      </c>
      <c r="R1045" s="13" t="s">
        <v>1669</v>
      </c>
      <c r="S1045" s="25">
        <v>4</v>
      </c>
      <c r="T1045" s="25">
        <v>3</v>
      </c>
      <c r="U1045" s="25">
        <v>20</v>
      </c>
      <c r="V1045" s="13">
        <v>22</v>
      </c>
      <c r="W1045" s="13" t="str">
        <f>MID(A1045, SEARCH("_", A1045) +1, SEARCH("_", A1045, SEARCH("_", A1045) +1) - SEARCH("_", A1045) -1)</f>
        <v>Lang-63</v>
      </c>
      <c r="Y1045" s="1" t="str">
        <f t="shared" si="42"/>
        <v>NO</v>
      </c>
      <c r="Z1045" s="1" t="str">
        <f t="shared" si="43"/>
        <v>YES</v>
      </c>
      <c r="AA1045" t="str">
        <f>IF(AND(S1045&gt;1,S1570&gt;1,S1045=V1045,S1570=V1570), "YES", "NO")</f>
        <v>NO</v>
      </c>
      <c r="AB1045" t="str">
        <f>IF(AND(S1045&gt;1,S1570&gt;1,S1045&lt;V1045,S1570&lt;V1570), "YES", "NO")</f>
        <v>YES</v>
      </c>
      <c r="AC1045" t="str">
        <f t="shared" si="44"/>
        <v>NO</v>
      </c>
      <c r="AD1045" t="str">
        <f t="shared" si="45"/>
        <v>NO</v>
      </c>
      <c r="AE1045" t="str">
        <f t="shared" si="46"/>
        <v>NO</v>
      </c>
      <c r="AF1045" t="str">
        <f t="shared" si="47"/>
        <v>YES</v>
      </c>
    </row>
    <row r="1046" spans="1:32" ht="15" x14ac:dyDescent="0.35">
      <c r="A1046" s="7" t="s">
        <v>440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>LEFT($A1046,FIND("_",$A1046)-1)</f>
        <v>TBar</v>
      </c>
      <c r="P1046" s="13" t="str">
        <f>IF($O1046="ACS", "True Search", IF($O1046="Arja", "Evolutionary Search", IF($O1046="AVATAR", "True Pattern", IF($O1046="CapGen", "Search Like Pattern", IF($O1046="Cardumen", "True Semantic", IF($O1046="DynaMoth", "True Semantic", IF($O1046="FixMiner", "True Pattern", IF($O1046="GenProg-A", "Evolutionary Search", IF($O1046="Hercules", "Learning Pattern", IF($O1046="Jaid", "True Semantic",
IF($O1046="Kali-A", "True Search", IF($O1046="kPAR", "True Pattern", IF($O1046="Nopol", "True Semantic", IF($O1046="RSRepair-A", "Evolutionary Search", IF($O1046="SequenceR", "Deep Learning", IF($O1046="SimFix", "Search Like Pattern", IF($O1046="SketchFix", "True Pattern", IF($O1046="SOFix", "True Pattern", IF($O1046="ssFix", "Search Like Pattern", IF($O1046="TBar", "True Pattern", ""))))))))))))))))))))</f>
        <v>True Pattern</v>
      </c>
      <c r="Q1046" s="13" t="str">
        <f>IF(NOT(ISERR(SEARCH("*_Buggy",$A1046))), "Buggy", IF(NOT(ISERR(SEARCH("*_Fixed",$A1046))), "Fixed", IF(NOT(ISERR(SEARCH("*_Repaired",$A1046))), "Repaired", "")))</f>
        <v>Fixed</v>
      </c>
      <c r="R1046" s="13" t="s">
        <v>1668</v>
      </c>
      <c r="S1046" s="25">
        <v>3</v>
      </c>
      <c r="T1046" s="25">
        <v>3</v>
      </c>
      <c r="U1046" s="25">
        <v>3</v>
      </c>
      <c r="V1046" s="13">
        <v>6</v>
      </c>
      <c r="W1046" s="13" t="str">
        <f>MID(A1046, SEARCH("_", A1046) +1, SEARCH("_", A1046, SEARCH("_", A1046) +1) - SEARCH("_", A1046) -1)</f>
        <v>Lang-7</v>
      </c>
      <c r="Y1046" s="1" t="str">
        <f t="shared" si="42"/>
        <v>NO</v>
      </c>
      <c r="Z1046" s="1" t="str">
        <f t="shared" si="43"/>
        <v>YES</v>
      </c>
      <c r="AA1046" t="str">
        <f>IF(AND(S1046&gt;1,S1571&gt;1,S1046=V1046,S1571=V1571), "YES", "NO")</f>
        <v>NO</v>
      </c>
      <c r="AB1046" t="str">
        <f>IF(AND(S1046&gt;1,S1571&gt;1,S1046&lt;V1046,S1571&lt;V1571), "YES", "NO")</f>
        <v>NO</v>
      </c>
      <c r="AC1046" t="str">
        <f t="shared" si="44"/>
        <v>NO</v>
      </c>
      <c r="AD1046" t="str">
        <f t="shared" si="45"/>
        <v>NO</v>
      </c>
      <c r="AE1046" t="str">
        <f t="shared" si="46"/>
        <v>NO</v>
      </c>
      <c r="AF1046" t="str">
        <f t="shared" si="47"/>
        <v>NO</v>
      </c>
    </row>
    <row r="1047" spans="1:32" ht="15" x14ac:dyDescent="0.35">
      <c r="A1047" s="5" t="s">
        <v>582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>LEFT($A1047,FIND("_",$A1047)-1)</f>
        <v>TBar</v>
      </c>
      <c r="P1047" s="13" t="str">
        <f>IF($O1047="ACS", "True Search", IF($O1047="Arja", "Evolutionary Search", IF($O1047="AVATAR", "True Pattern", IF($O1047="CapGen", "Search Like Pattern", IF($O1047="Cardumen", "True Semantic", IF($O1047="DynaMoth", "True Semantic", IF($O1047="FixMiner", "True Pattern", IF($O1047="GenProg-A", "Evolutionary Search", IF($O1047="Hercules", "Learning Pattern", IF($O1047="Jaid", "True Semantic",
IF($O1047="Kali-A", "True Search", IF($O1047="kPAR", "True Pattern", IF($O1047="Nopol", "True Semantic", IF($O1047="RSRepair-A", "Evolutionary Search", IF($O1047="SequenceR", "Deep Learning", IF($O1047="SimFix", "Search Like Pattern", IF($O1047="SketchFix", "True Pattern", IF($O1047="SOFix", "True Pattern", IF($O1047="ssFix", "Search Like Pattern", IF($O1047="TBar", "True Pattern", ""))))))))))))))))))))</f>
        <v>True Pattern</v>
      </c>
      <c r="Q1047" s="13" t="str">
        <f>IF(NOT(ISERR(SEARCH("*_Buggy",$A1047))), "Buggy", IF(NOT(ISERR(SEARCH("*_Fixed",$A1047))), "Fixed", IF(NOT(ISERR(SEARCH("*_Repaired",$A1047))), "Repaired", "")))</f>
        <v>Fixed</v>
      </c>
      <c r="R1047" s="13" t="s">
        <v>1668</v>
      </c>
      <c r="S1047" s="25">
        <v>1</v>
      </c>
      <c r="T1047" s="25">
        <v>1</v>
      </c>
      <c r="U1047" s="25">
        <v>1</v>
      </c>
      <c r="V1047" s="13">
        <v>1</v>
      </c>
      <c r="W1047" s="13" t="str">
        <f>MID(A1047, SEARCH("_", A1047) +1, SEARCH("_", A1047, SEARCH("_", A1047) +1) - SEARCH("_", A1047) -1)</f>
        <v>Math-11</v>
      </c>
      <c r="Y1047" s="1" t="str">
        <f t="shared" si="42"/>
        <v>NO</v>
      </c>
      <c r="Z1047" s="1" t="str">
        <f t="shared" si="43"/>
        <v>NO</v>
      </c>
      <c r="AA1047" t="str">
        <f>IF(AND(S1047&gt;1,S1572&gt;1,S1047=V1047,S1572=V1572), "YES", "NO")</f>
        <v>NO</v>
      </c>
      <c r="AB1047" t="str">
        <f>IF(AND(S1047&gt;1,S1572&gt;1,S1047&lt;V1047,S1572&lt;V1572), "YES", "NO")</f>
        <v>NO</v>
      </c>
      <c r="AC1047" t="str">
        <f t="shared" si="44"/>
        <v>YES</v>
      </c>
      <c r="AD1047" t="str">
        <f t="shared" si="45"/>
        <v>NO</v>
      </c>
      <c r="AE1047" t="str">
        <f t="shared" si="46"/>
        <v>YES</v>
      </c>
      <c r="AF1047" t="str">
        <f t="shared" si="47"/>
        <v>NO</v>
      </c>
    </row>
    <row r="1048" spans="1:32" ht="15" x14ac:dyDescent="0.35">
      <c r="A1048" s="5" t="s">
        <v>172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>LEFT($A1048,FIND("_",$A1048)-1)</f>
        <v>TBar</v>
      </c>
      <c r="P1048" s="13" t="str">
        <f>IF($O1048="ACS", "True Search", IF($O1048="Arja", "Evolutionary Search", IF($O1048="AVATAR", "True Pattern", IF($O1048="CapGen", "Search Like Pattern", IF($O1048="Cardumen", "True Semantic", IF($O1048="DynaMoth", "True Semantic", IF($O1048="FixMiner", "True Pattern", IF($O1048="GenProg-A", "Evolutionary Search", IF($O1048="Hercules", "Learning Pattern", IF($O1048="Jaid", "True Semantic",
IF($O1048="Kali-A", "True Search", IF($O1048="kPAR", "True Pattern", IF($O1048="Nopol", "True Semantic", IF($O1048="RSRepair-A", "Evolutionary Search", IF($O1048="SequenceR", "Deep Learning", IF($O1048="SimFix", "Search Like Pattern", IF($O1048="SketchFix", "True Pattern", IF($O1048="SOFix", "True Pattern", IF($O1048="ssFix", "Search Like Pattern", IF($O1048="TBar", "True Pattern", ""))))))))))))))))))))</f>
        <v>True Pattern</v>
      </c>
      <c r="Q1048" s="13" t="str">
        <f>IF(NOT(ISERR(SEARCH("*_Buggy",$A1048))), "Buggy", IF(NOT(ISERR(SEARCH("*_Fixed",$A1048))), "Fixed", IF(NOT(ISERR(SEARCH("*_Repaired",$A1048))), "Repaired", "")))</f>
        <v>Fixed</v>
      </c>
      <c r="R1048" s="13" t="s">
        <v>1669</v>
      </c>
      <c r="S1048" s="25">
        <v>2</v>
      </c>
      <c r="T1048" s="25">
        <v>2</v>
      </c>
      <c r="U1048" s="25">
        <v>1</v>
      </c>
      <c r="V1048" s="13">
        <v>2</v>
      </c>
      <c r="W1048" s="13" t="str">
        <f>MID(A1048, SEARCH("_", A1048) +1, SEARCH("_", A1048, SEARCH("_", A1048) +1) - SEARCH("_", A1048) -1)</f>
        <v>Math-15</v>
      </c>
      <c r="Y1048" s="1" t="str">
        <f t="shared" si="42"/>
        <v>YES</v>
      </c>
      <c r="Z1048" s="1" t="str">
        <f t="shared" si="43"/>
        <v>NO</v>
      </c>
      <c r="AA1048" t="str">
        <f>IF(AND(S1048&gt;1,S1573&gt;1,S1048=V1048,S1573=V1573), "YES", "NO")</f>
        <v>NO</v>
      </c>
      <c r="AB1048" t="str">
        <f>IF(AND(S1048&gt;1,S1573&gt;1,S1048&lt;V1048,S1573&lt;V1573), "YES", "NO")</f>
        <v>NO</v>
      </c>
      <c r="AC1048" t="str">
        <f t="shared" si="44"/>
        <v>NO</v>
      </c>
      <c r="AD1048" t="str">
        <f t="shared" si="45"/>
        <v>NO</v>
      </c>
      <c r="AE1048" t="str">
        <f t="shared" si="46"/>
        <v>NO</v>
      </c>
      <c r="AF1048" t="str">
        <f t="shared" si="47"/>
        <v>NO</v>
      </c>
    </row>
    <row r="1049" spans="1:32" ht="15" x14ac:dyDescent="0.35">
      <c r="A1049" s="7" t="s">
        <v>963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>LEFT($A1049,FIND("_",$A1049)-1)</f>
        <v>TBar</v>
      </c>
      <c r="P1049" s="13" t="str">
        <f>IF($O1049="ACS", "True Search", IF($O1049="Arja", "Evolutionary Search", IF($O1049="AVATAR", "True Pattern", IF($O1049="CapGen", "Search Like Pattern", IF($O1049="Cardumen", "True Semantic", IF($O1049="DynaMoth", "True Semantic", IF($O1049="FixMiner", "True Pattern", IF($O1049="GenProg-A", "Evolutionary Search", IF($O1049="Hercules", "Learning Pattern", IF($O1049="Jaid", "True Semantic",
IF($O1049="Kali-A", "True Search", IF($O1049="kPAR", "True Pattern", IF($O1049="Nopol", "True Semantic", IF($O1049="RSRepair-A", "Evolutionary Search", IF($O1049="SequenceR", "Deep Learning", IF($O1049="SimFix", "Search Like Pattern", IF($O1049="SketchFix", "True Pattern", IF($O1049="SOFix", "True Pattern", IF($O1049="ssFix", "Search Like Pattern", IF($O1049="TBar", "True Pattern", ""))))))))))))))))))))</f>
        <v>True Pattern</v>
      </c>
      <c r="Q1049" s="13" t="str">
        <f>IF(NOT(ISERR(SEARCH("*_Buggy",$A1049))), "Buggy", IF(NOT(ISERR(SEARCH("*_Fixed",$A1049))), "Fixed", IF(NOT(ISERR(SEARCH("*_Repaired",$A1049))), "Repaired", "")))</f>
        <v>Fixed</v>
      </c>
      <c r="R1049" s="13" t="s">
        <v>1669</v>
      </c>
      <c r="S1049" s="25">
        <v>1</v>
      </c>
      <c r="T1049" s="25">
        <v>1</v>
      </c>
      <c r="U1049" s="25">
        <v>1</v>
      </c>
      <c r="V1049" s="13">
        <v>1</v>
      </c>
      <c r="W1049" s="13" t="str">
        <f>MID(A1049, SEARCH("_", A1049) +1, SEARCH("_", A1049, SEARCH("_", A1049) +1) - SEARCH("_", A1049) -1)</f>
        <v>Math-2</v>
      </c>
      <c r="Y1049" s="1" t="str">
        <f t="shared" si="42"/>
        <v>NO</v>
      </c>
      <c r="Z1049" s="1" t="str">
        <f t="shared" si="43"/>
        <v>NO</v>
      </c>
      <c r="AA1049" t="str">
        <f>IF(AND(S1049&gt;1,S1574&gt;1,S1049=V1049,S1574=V1574), "YES", "NO")</f>
        <v>NO</v>
      </c>
      <c r="AB1049" t="str">
        <f>IF(AND(S1049&gt;1,S1574&gt;1,S1049&lt;V1049,S1574&lt;V1574), "YES", "NO")</f>
        <v>NO</v>
      </c>
      <c r="AC1049" t="str">
        <f t="shared" si="44"/>
        <v>NO</v>
      </c>
      <c r="AD1049" t="str">
        <f t="shared" si="45"/>
        <v>NO</v>
      </c>
      <c r="AE1049" t="str">
        <f t="shared" si="46"/>
        <v>NO</v>
      </c>
      <c r="AF1049" t="str">
        <f t="shared" si="47"/>
        <v>NO</v>
      </c>
    </row>
    <row r="1050" spans="1:32" ht="15" x14ac:dyDescent="0.35">
      <c r="A1050" s="5" t="s">
        <v>97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>LEFT($A1050,FIND("_",$A1050)-1)</f>
        <v>TBar</v>
      </c>
      <c r="P1050" s="13" t="str">
        <f>IF($O1050="ACS", "True Search", IF($O1050="Arja", "Evolutionary Search", IF($O1050="AVATAR", "True Pattern", IF($O1050="CapGen", "Search Like Pattern", IF($O1050="Cardumen", "True Semantic", IF($O1050="DynaMoth", "True Semantic", IF($O1050="FixMiner", "True Pattern", IF($O1050="GenProg-A", "Evolutionary Search", IF($O1050="Hercules", "Learning Pattern", IF($O1050="Jaid", "True Semantic",
IF($O1050="Kali-A", "True Search", IF($O1050="kPAR", "True Pattern", IF($O1050="Nopol", "True Semantic", IF($O1050="RSRepair-A", "Evolutionary Search", IF($O1050="SequenceR", "Deep Learning", IF($O1050="SimFix", "Search Like Pattern", IF($O1050="SketchFix", "True Pattern", IF($O1050="SOFix", "True Pattern", IF($O1050="ssFix", "Search Like Pattern", IF($O1050="TBar", "True Pattern", ""))))))))))))))))))))</f>
        <v>True Pattern</v>
      </c>
      <c r="Q1050" s="13" t="str">
        <f>IF(NOT(ISERR(SEARCH("*_Buggy",$A1050))), "Buggy", IF(NOT(ISERR(SEARCH("*_Fixed",$A1050))), "Fixed", IF(NOT(ISERR(SEARCH("*_Repaired",$A1050))), "Repaired", "")))</f>
        <v>Fixed</v>
      </c>
      <c r="R1050" s="13" t="s">
        <v>1668</v>
      </c>
      <c r="S1050" s="25">
        <v>1</v>
      </c>
      <c r="T1050" s="25">
        <v>1</v>
      </c>
      <c r="U1050" s="25">
        <v>1</v>
      </c>
      <c r="V1050" s="13">
        <v>1</v>
      </c>
      <c r="W1050" s="13" t="str">
        <f>MID(A1050, SEARCH("_", A1050) +1, SEARCH("_", A1050, SEARCH("_", A1050) +1) - SEARCH("_", A1050) -1)</f>
        <v>Math-5</v>
      </c>
      <c r="Y1050" s="1" t="str">
        <f t="shared" si="42"/>
        <v>NO</v>
      </c>
      <c r="Z1050" s="1" t="str">
        <f t="shared" si="43"/>
        <v>NO</v>
      </c>
      <c r="AA1050" t="str">
        <f>IF(AND(S1050&gt;1,S1575&gt;1,S1050=V1050,S1575=V1575), "YES", "NO")</f>
        <v>NO</v>
      </c>
      <c r="AB1050" t="str">
        <f>IF(AND(S1050&gt;1,S1575&gt;1,S1050&lt;V1050,S1575&lt;V1575), "YES", "NO")</f>
        <v>NO</v>
      </c>
      <c r="AC1050" t="str">
        <f t="shared" si="44"/>
        <v>YES</v>
      </c>
      <c r="AD1050" t="str">
        <f t="shared" si="45"/>
        <v>NO</v>
      </c>
      <c r="AE1050" t="str">
        <f t="shared" si="46"/>
        <v>YES</v>
      </c>
      <c r="AF1050" t="str">
        <f t="shared" si="47"/>
        <v>NO</v>
      </c>
    </row>
    <row r="1051" spans="1:32" ht="15" x14ac:dyDescent="0.35">
      <c r="A1051" s="7" t="s">
        <v>497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>LEFT($A1051,FIND("_",$A1051)-1)</f>
        <v>TBar</v>
      </c>
      <c r="P1051" s="13" t="str">
        <f>IF($O1051="ACS", "True Search", IF($O1051="Arja", "Evolutionary Search", IF($O1051="AVATAR", "True Pattern", IF($O1051="CapGen", "Search Like Pattern", IF($O1051="Cardumen", "True Semantic", IF($O1051="DynaMoth", "True Semantic", IF($O1051="FixMiner", "True Pattern", IF($O1051="GenProg-A", "Evolutionary Search", IF($O1051="Hercules", "Learning Pattern", IF($O1051="Jaid", "True Semantic",
IF($O1051="Kali-A", "True Search", IF($O1051="kPAR", "True Pattern", IF($O1051="Nopol", "True Semantic", IF($O1051="RSRepair-A", "Evolutionary Search", IF($O1051="SequenceR", "Deep Learning", IF($O1051="SimFix", "Search Like Pattern", IF($O1051="SketchFix", "True Pattern", IF($O1051="SOFix", "True Pattern", IF($O1051="ssFix", "Search Like Pattern", IF($O1051="TBar", "True Pattern", ""))))))))))))))))))))</f>
        <v>True Pattern</v>
      </c>
      <c r="Q1051" s="13" t="str">
        <f>IF(NOT(ISERR(SEARCH("*_Buggy",$A1051))), "Buggy", IF(NOT(ISERR(SEARCH("*_Fixed",$A1051))), "Fixed", IF(NOT(ISERR(SEARCH("*_Repaired",$A1051))), "Repaired", "")))</f>
        <v>Fixed</v>
      </c>
      <c r="R1051" s="13" t="s">
        <v>1669</v>
      </c>
      <c r="S1051" s="25">
        <v>1</v>
      </c>
      <c r="T1051" s="25">
        <v>0</v>
      </c>
      <c r="U1051" s="13">
        <v>4</v>
      </c>
      <c r="V1051" s="13">
        <v>4</v>
      </c>
      <c r="W1051" s="13" t="str">
        <f>MID(A1051, SEARCH("_", A1051) +1, SEARCH("_", A1051, SEARCH("_", A1051) +1) - SEARCH("_", A1051) -1)</f>
        <v>Math-50</v>
      </c>
      <c r="Y1051" s="1" t="str">
        <f t="shared" si="42"/>
        <v>NO</v>
      </c>
      <c r="Z1051" s="1" t="str">
        <f t="shared" si="43"/>
        <v>NO</v>
      </c>
      <c r="AA1051" t="str">
        <f>IF(AND(S1051&gt;1,S1576&gt;1,S1051=V1051,S1576=V1576), "YES", "NO")</f>
        <v>NO</v>
      </c>
      <c r="AB1051" t="str">
        <f>IF(AND(S1051&gt;1,S1576&gt;1,S1051&lt;V1051,S1576&lt;V1576), "YES", "NO")</f>
        <v>NO</v>
      </c>
      <c r="AC1051" t="str">
        <f t="shared" si="44"/>
        <v>NO</v>
      </c>
      <c r="AD1051" t="str">
        <f t="shared" si="45"/>
        <v>NO</v>
      </c>
      <c r="AE1051" t="str">
        <f t="shared" si="46"/>
        <v>NO</v>
      </c>
      <c r="AF1051" t="str">
        <f t="shared" si="47"/>
        <v>NO</v>
      </c>
    </row>
    <row r="1052" spans="1:32" ht="15" x14ac:dyDescent="0.35">
      <c r="A1052" s="5" t="s">
        <v>590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>LEFT($A1052,FIND("_",$A1052)-1)</f>
        <v>TBar</v>
      </c>
      <c r="P1052" s="13" t="str">
        <f>IF($O1052="ACS", "True Search", IF($O1052="Arja", "Evolutionary Search", IF($O1052="AVATAR", "True Pattern", IF($O1052="CapGen", "Search Like Pattern", IF($O1052="Cardumen", "True Semantic", IF($O1052="DynaMoth", "True Semantic", IF($O1052="FixMiner", "True Pattern", IF($O1052="GenProg-A", "Evolutionary Search", IF($O1052="Hercules", "Learning Pattern", IF($O1052="Jaid", "True Semantic",
IF($O1052="Kali-A", "True Search", IF($O1052="kPAR", "True Pattern", IF($O1052="Nopol", "True Semantic", IF($O1052="RSRepair-A", "Evolutionary Search", IF($O1052="SequenceR", "Deep Learning", IF($O1052="SimFix", "Search Like Pattern", IF($O1052="SketchFix", "True Pattern", IF($O1052="SOFix", "True Pattern", IF($O1052="ssFix", "Search Like Pattern", IF($O1052="TBar", "True Pattern", ""))))))))))))))))))))</f>
        <v>True Pattern</v>
      </c>
      <c r="Q1052" s="13" t="str">
        <f>IF(NOT(ISERR(SEARCH("*_Buggy",$A1052))), "Buggy", IF(NOT(ISERR(SEARCH("*_Fixed",$A1052))), "Fixed", IF(NOT(ISERR(SEARCH("*_Repaired",$A1052))), "Repaired", "")))</f>
        <v>Fixed</v>
      </c>
      <c r="R1052" s="13" t="s">
        <v>1669</v>
      </c>
      <c r="S1052" s="25">
        <v>3</v>
      </c>
      <c r="T1052" s="25">
        <v>4</v>
      </c>
      <c r="U1052" s="25">
        <v>3</v>
      </c>
      <c r="V1052" s="13">
        <v>4</v>
      </c>
      <c r="W1052" s="13" t="str">
        <f>MID(A1052, SEARCH("_", A1052) +1, SEARCH("_", A1052, SEARCH("_", A1052) +1) - SEARCH("_", A1052) -1)</f>
        <v>Math-52</v>
      </c>
      <c r="Y1052" s="1" t="str">
        <f t="shared" si="42"/>
        <v>NO</v>
      </c>
      <c r="Z1052" s="1" t="str">
        <f t="shared" si="43"/>
        <v>YES</v>
      </c>
      <c r="AA1052" t="str">
        <f>IF(AND(S1052&gt;1,S1577&gt;1,S1052=V1052,S1577=V1577), "YES", "NO")</f>
        <v>NO</v>
      </c>
      <c r="AB1052" t="str">
        <f>IF(AND(S1052&gt;1,S1577&gt;1,S1052&lt;V1052,S1577&lt;V1577), "YES", "NO")</f>
        <v>NO</v>
      </c>
      <c r="AC1052" t="str">
        <f t="shared" si="44"/>
        <v>NO</v>
      </c>
      <c r="AD1052" t="str">
        <f t="shared" si="45"/>
        <v>NO</v>
      </c>
      <c r="AE1052" t="str">
        <f t="shared" si="46"/>
        <v>NO</v>
      </c>
      <c r="AF1052" t="str">
        <f t="shared" si="47"/>
        <v>NO</v>
      </c>
    </row>
    <row r="1053" spans="1:32" ht="15" x14ac:dyDescent="0.35">
      <c r="A1053" s="7" t="s">
        <v>424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>LEFT($A1053,FIND("_",$A1053)-1)</f>
        <v>TBar</v>
      </c>
      <c r="P1053" s="13" t="str">
        <f>IF($O1053="ACS", "True Search", IF($O1053="Arja", "Evolutionary Search", IF($O1053="AVATAR", "True Pattern", IF($O1053="CapGen", "Search Like Pattern", IF($O1053="Cardumen", "True Semantic", IF($O1053="DynaMoth", "True Semantic", IF($O1053="FixMiner", "True Pattern", IF($O1053="GenProg-A", "Evolutionary Search", IF($O1053="Hercules", "Learning Pattern", IF($O1053="Jaid", "True Semantic",
IF($O1053="Kali-A", "True Search", IF($O1053="kPAR", "True Pattern", IF($O1053="Nopol", "True Semantic", IF($O1053="RSRepair-A", "Evolutionary Search", IF($O1053="SequenceR", "Deep Learning", IF($O1053="SimFix", "Search Like Pattern", IF($O1053="SketchFix", "True Pattern", IF($O1053="SOFix", "True Pattern", IF($O1053="ssFix", "Search Like Pattern", IF($O1053="TBar", "True Pattern", ""))))))))))))))))))))</f>
        <v>True Pattern</v>
      </c>
      <c r="Q1053" s="13" t="str">
        <f>IF(NOT(ISERR(SEARCH("*_Buggy",$A1053))), "Buggy", IF(NOT(ISERR(SEARCH("*_Fixed",$A1053))), "Fixed", IF(NOT(ISERR(SEARCH("*_Repaired",$A1053))), "Repaired", "")))</f>
        <v>Fixed</v>
      </c>
      <c r="R1053" s="13" t="s">
        <v>1668</v>
      </c>
      <c r="S1053" s="25">
        <v>1</v>
      </c>
      <c r="T1053" s="25">
        <v>1</v>
      </c>
      <c r="U1053" s="25">
        <v>1</v>
      </c>
      <c r="V1053" s="13">
        <v>1</v>
      </c>
      <c r="W1053" s="13" t="str">
        <f>MID(A1053, SEARCH("_", A1053) +1, SEARCH("_", A1053, SEARCH("_", A1053) +1) - SEARCH("_", A1053) -1)</f>
        <v>Math-57</v>
      </c>
      <c r="Y1053" s="1" t="str">
        <f t="shared" si="42"/>
        <v>NO</v>
      </c>
      <c r="Z1053" s="1" t="str">
        <f t="shared" si="43"/>
        <v>NO</v>
      </c>
      <c r="AA1053" t="str">
        <f>IF(AND(S1053&gt;1,S1578&gt;1,S1053=V1053,S1578=V1578), "YES", "NO")</f>
        <v>NO</v>
      </c>
      <c r="AB1053" t="str">
        <f>IF(AND(S1053&gt;1,S1578&gt;1,S1053&lt;V1053,S1578&lt;V1578), "YES", "NO")</f>
        <v>NO</v>
      </c>
      <c r="AC1053" t="str">
        <f t="shared" si="44"/>
        <v>YES</v>
      </c>
      <c r="AD1053" t="str">
        <f t="shared" si="45"/>
        <v>NO</v>
      </c>
      <c r="AE1053" t="str">
        <f t="shared" si="46"/>
        <v>YES</v>
      </c>
      <c r="AF1053" t="str">
        <f t="shared" si="47"/>
        <v>NO</v>
      </c>
    </row>
    <row r="1054" spans="1:32" ht="15" x14ac:dyDescent="0.35">
      <c r="A1054" s="7" t="s">
        <v>69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>LEFT($A1054,FIND("_",$A1054)-1)</f>
        <v>TBar</v>
      </c>
      <c r="P1054" s="13" t="str">
        <f>IF($O1054="ACS", "True Search", IF($O1054="Arja", "Evolutionary Search", IF($O1054="AVATAR", "True Pattern", IF($O1054="CapGen", "Search Like Pattern", IF($O1054="Cardumen", "True Semantic", IF($O1054="DynaMoth", "True Semantic", IF($O1054="FixMiner", "True Pattern", IF($O1054="GenProg-A", "Evolutionary Search", IF($O1054="Hercules", "Learning Pattern", IF($O1054="Jaid", "True Semantic",
IF($O1054="Kali-A", "True Search", IF($O1054="kPAR", "True Pattern", IF($O1054="Nopol", "True Semantic", IF($O1054="RSRepair-A", "Evolutionary Search", IF($O1054="SequenceR", "Deep Learning", IF($O1054="SimFix", "Search Like Pattern", IF($O1054="SketchFix", "True Pattern", IF($O1054="SOFix", "True Pattern", IF($O1054="ssFix", "Search Like Pattern", IF($O1054="TBar", "True Pattern", ""))))))))))))))))))))</f>
        <v>True Pattern</v>
      </c>
      <c r="Q1054" s="13" t="str">
        <f>IF(NOT(ISERR(SEARCH("*_Buggy",$A1054))), "Buggy", IF(NOT(ISERR(SEARCH("*_Fixed",$A1054))), "Fixed", IF(NOT(ISERR(SEARCH("*_Repaired",$A1054))), "Repaired", "")))</f>
        <v>Fixed</v>
      </c>
      <c r="R1054" s="13" t="s">
        <v>1668</v>
      </c>
      <c r="S1054" s="25">
        <v>1</v>
      </c>
      <c r="T1054" s="25">
        <v>1</v>
      </c>
      <c r="U1054" s="25">
        <v>1</v>
      </c>
      <c r="V1054" s="13">
        <v>1</v>
      </c>
      <c r="W1054" s="13" t="str">
        <f>MID(A1054, SEARCH("_", A1054) +1, SEARCH("_", A1054, SEARCH("_", A1054) +1) - SEARCH("_", A1054) -1)</f>
        <v>Math-58</v>
      </c>
      <c r="Y1054" s="1" t="str">
        <f t="shared" si="42"/>
        <v>NO</v>
      </c>
      <c r="Z1054" s="1" t="str">
        <f t="shared" si="43"/>
        <v>NO</v>
      </c>
      <c r="AA1054" t="str">
        <f>IF(AND(S1054&gt;1,S1579&gt;1,S1054=V1054,S1579=V1579), "YES", "NO")</f>
        <v>NO</v>
      </c>
      <c r="AB1054" t="str">
        <f>IF(AND(S1054&gt;1,S1579&gt;1,S1054&lt;V1054,S1579&lt;V1579), "YES", "NO")</f>
        <v>NO</v>
      </c>
      <c r="AC1054" t="str">
        <f t="shared" si="44"/>
        <v>YES</v>
      </c>
      <c r="AD1054" t="str">
        <f t="shared" si="45"/>
        <v>NO</v>
      </c>
      <c r="AE1054" t="str">
        <f t="shared" si="46"/>
        <v>YES</v>
      </c>
      <c r="AF1054" t="str">
        <f t="shared" si="47"/>
        <v>NO</v>
      </c>
    </row>
    <row r="1055" spans="1:32" ht="15" x14ac:dyDescent="0.35">
      <c r="A1055" s="5" t="s">
        <v>1024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>LEFT($A1055,FIND("_",$A1055)-1)</f>
        <v>TBar</v>
      </c>
      <c r="P1055" s="13" t="str">
        <f>IF($O1055="ACS", "True Search", IF($O1055="Arja", "Evolutionary Search", IF($O1055="AVATAR", "True Pattern", IF($O1055="CapGen", "Search Like Pattern", IF($O1055="Cardumen", "True Semantic", IF($O1055="DynaMoth", "True Semantic", IF($O1055="FixMiner", "True Pattern", IF($O1055="GenProg-A", "Evolutionary Search", IF($O1055="Hercules", "Learning Pattern", IF($O1055="Jaid", "True Semantic",
IF($O1055="Kali-A", "True Search", IF($O1055="kPAR", "True Pattern", IF($O1055="Nopol", "True Semantic", IF($O1055="RSRepair-A", "Evolutionary Search", IF($O1055="SequenceR", "Deep Learning", IF($O1055="SimFix", "Search Like Pattern", IF($O1055="SketchFix", "True Pattern", IF($O1055="SOFix", "True Pattern", IF($O1055="ssFix", "Search Like Pattern", IF($O1055="TBar", "True Pattern", ""))))))))))))))))))))</f>
        <v>True Pattern</v>
      </c>
      <c r="Q1055" s="13" t="str">
        <f>IF(NOT(ISERR(SEARCH("*_Buggy",$A1055))), "Buggy", IF(NOT(ISERR(SEARCH("*_Fixed",$A1055))), "Fixed", IF(NOT(ISERR(SEARCH("*_Repaired",$A1055))), "Repaired", "")))</f>
        <v>Fixed</v>
      </c>
      <c r="R1055" s="13" t="s">
        <v>1669</v>
      </c>
      <c r="S1055" s="25">
        <v>2</v>
      </c>
      <c r="T1055" s="25">
        <v>3</v>
      </c>
      <c r="U1055" s="25">
        <v>4</v>
      </c>
      <c r="V1055" s="13">
        <v>4</v>
      </c>
      <c r="W1055" s="13" t="str">
        <f>MID(A1055, SEARCH("_", A1055) +1, SEARCH("_", A1055, SEARCH("_", A1055) +1) - SEARCH("_", A1055) -1)</f>
        <v>Math-62</v>
      </c>
      <c r="Y1055" s="1" t="str">
        <f t="shared" si="42"/>
        <v>NO</v>
      </c>
      <c r="Z1055" s="1" t="str">
        <f t="shared" si="43"/>
        <v>YES</v>
      </c>
      <c r="AA1055" t="str">
        <f>IF(AND(S1055&gt;1,S1580&gt;1,S1055=V1055,S1580=V1580), "YES", "NO")</f>
        <v>NO</v>
      </c>
      <c r="AB1055" t="str">
        <f>IF(AND(S1055&gt;1,S1580&gt;1,S1055&lt;V1055,S1580&lt;V1580), "YES", "NO")</f>
        <v>NO</v>
      </c>
      <c r="AC1055" t="str">
        <f t="shared" si="44"/>
        <v>NO</v>
      </c>
      <c r="AD1055" t="str">
        <f t="shared" si="45"/>
        <v>NO</v>
      </c>
      <c r="AE1055" t="str">
        <f t="shared" si="46"/>
        <v>NO</v>
      </c>
      <c r="AF1055" t="str">
        <f t="shared" si="47"/>
        <v>NO</v>
      </c>
    </row>
    <row r="1056" spans="1:32" ht="15" x14ac:dyDescent="0.35">
      <c r="A1056" s="7" t="s">
        <v>46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>LEFT($A1056,FIND("_",$A1056)-1)</f>
        <v>TBar</v>
      </c>
      <c r="P1056" s="13" t="str">
        <f>IF($O1056="ACS", "True Search", IF($O1056="Arja", "Evolutionary Search", IF($O1056="AVATAR", "True Pattern", IF($O1056="CapGen", "Search Like Pattern", IF($O1056="Cardumen", "True Semantic", IF($O1056="DynaMoth", "True Semantic", IF($O1056="FixMiner", "True Pattern", IF($O1056="GenProg-A", "Evolutionary Search", IF($O1056="Hercules", "Learning Pattern", IF($O1056="Jaid", "True Semantic",
IF($O1056="Kali-A", "True Search", IF($O1056="kPAR", "True Pattern", IF($O1056="Nopol", "True Semantic", IF($O1056="RSRepair-A", "Evolutionary Search", IF($O1056="SequenceR", "Deep Learning", IF($O1056="SimFix", "Search Like Pattern", IF($O1056="SketchFix", "True Pattern", IF($O1056="SOFix", "True Pattern", IF($O1056="ssFix", "Search Like Pattern", IF($O1056="TBar", "True Pattern", ""))))))))))))))))))))</f>
        <v>True Pattern</v>
      </c>
      <c r="Q1056" s="13" t="str">
        <f>IF(NOT(ISERR(SEARCH("*_Buggy",$A1056))), "Buggy", IF(NOT(ISERR(SEARCH("*_Fixed",$A1056))), "Fixed", IF(NOT(ISERR(SEARCH("*_Repaired",$A1056))), "Repaired", "")))</f>
        <v>Fixed</v>
      </c>
      <c r="R1056" s="13" t="s">
        <v>1669</v>
      </c>
      <c r="S1056" s="25">
        <v>1</v>
      </c>
      <c r="T1056" s="25">
        <v>1</v>
      </c>
      <c r="U1056" s="25">
        <v>1</v>
      </c>
      <c r="V1056" s="13">
        <v>1</v>
      </c>
      <c r="W1056" s="13" t="str">
        <f>MID(A1056, SEARCH("_", A1056) +1, SEARCH("_", A1056, SEARCH("_", A1056) +1) - SEARCH("_", A1056) -1)</f>
        <v>Math-63</v>
      </c>
      <c r="Y1056" s="1" t="str">
        <f t="shared" si="42"/>
        <v>NO</v>
      </c>
      <c r="Z1056" s="1" t="str">
        <f t="shared" si="43"/>
        <v>NO</v>
      </c>
      <c r="AA1056" t="str">
        <f>IF(AND(S1056&gt;1,S1581&gt;1,S1056=V1056,S1581=V1581), "YES", "NO")</f>
        <v>NO</v>
      </c>
      <c r="AB1056" t="str">
        <f>IF(AND(S1056&gt;1,S1581&gt;1,S1056&lt;V1056,S1581&lt;V1581), "YES", "NO")</f>
        <v>NO</v>
      </c>
      <c r="AC1056" t="str">
        <f t="shared" si="44"/>
        <v>YES</v>
      </c>
      <c r="AD1056" t="str">
        <f t="shared" si="45"/>
        <v>NO</v>
      </c>
      <c r="AE1056" t="str">
        <f t="shared" si="46"/>
        <v>YES</v>
      </c>
      <c r="AF1056" t="str">
        <f t="shared" si="47"/>
        <v>NO</v>
      </c>
    </row>
    <row r="1057" spans="1:32" ht="15" x14ac:dyDescent="0.35">
      <c r="A1057" s="7" t="s">
        <v>1123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>LEFT($A1057,FIND("_",$A1057)-1)</f>
        <v>TBar</v>
      </c>
      <c r="P1057" s="13" t="str">
        <f>IF($O1057="ACS", "True Search", IF($O1057="Arja", "Evolutionary Search", IF($O1057="AVATAR", "True Pattern", IF($O1057="CapGen", "Search Like Pattern", IF($O1057="Cardumen", "True Semantic", IF($O1057="DynaMoth", "True Semantic", IF($O1057="FixMiner", "True Pattern", IF($O1057="GenProg-A", "Evolutionary Search", IF($O1057="Hercules", "Learning Pattern", IF($O1057="Jaid", "True Semantic",
IF($O1057="Kali-A", "True Search", IF($O1057="kPAR", "True Pattern", IF($O1057="Nopol", "True Semantic", IF($O1057="RSRepair-A", "Evolutionary Search", IF($O1057="SequenceR", "Deep Learning", IF($O1057="SimFix", "Search Like Pattern", IF($O1057="SketchFix", "True Pattern", IF($O1057="SOFix", "True Pattern", IF($O1057="ssFix", "Search Like Pattern", IF($O1057="TBar", "True Pattern", ""))))))))))))))))))))</f>
        <v>True Pattern</v>
      </c>
      <c r="Q1057" s="13" t="str">
        <f>IF(NOT(ISERR(SEARCH("*_Buggy",$A1057))), "Buggy", IF(NOT(ISERR(SEARCH("*_Fixed",$A1057))), "Fixed", IF(NOT(ISERR(SEARCH("*_Repaired",$A1057))), "Repaired", "")))</f>
        <v>Fixed</v>
      </c>
      <c r="R1057" s="13" t="s">
        <v>1668</v>
      </c>
      <c r="S1057" s="25">
        <v>2</v>
      </c>
      <c r="T1057" s="25">
        <v>2</v>
      </c>
      <c r="U1057" s="25">
        <v>7</v>
      </c>
      <c r="V1057" s="13">
        <v>7</v>
      </c>
      <c r="W1057" s="13" t="str">
        <f>MID(A1057, SEARCH("_", A1057) +1, SEARCH("_", A1057, SEARCH("_", A1057) +1) - SEARCH("_", A1057) -1)</f>
        <v>Math-65</v>
      </c>
      <c r="Y1057" s="1" t="str">
        <f t="shared" si="42"/>
        <v>NO</v>
      </c>
      <c r="Z1057" s="1" t="str">
        <f t="shared" si="43"/>
        <v>YES</v>
      </c>
      <c r="AA1057" t="str">
        <f>IF(AND(S1057&gt;1,S1582&gt;1,S1057=V1057,S1582=V1582), "YES", "NO")</f>
        <v>NO</v>
      </c>
      <c r="AB1057" t="str">
        <f>IF(AND(S1057&gt;1,S1582&gt;1,S1057&lt;V1057,S1582&lt;V1582), "YES", "NO")</f>
        <v>NO</v>
      </c>
      <c r="AC1057" t="str">
        <f t="shared" si="44"/>
        <v>NO</v>
      </c>
      <c r="AD1057" t="str">
        <f t="shared" si="45"/>
        <v>NO</v>
      </c>
      <c r="AE1057" t="str">
        <f t="shared" si="46"/>
        <v>NO</v>
      </c>
      <c r="AF1057" t="str">
        <f t="shared" si="47"/>
        <v>NO</v>
      </c>
    </row>
    <row r="1058" spans="1:32" ht="15" x14ac:dyDescent="0.35">
      <c r="A1058" s="7" t="s">
        <v>1060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>LEFT($A1058,FIND("_",$A1058)-1)</f>
        <v>TBar</v>
      </c>
      <c r="P1058" s="13" t="str">
        <f>IF($O1058="ACS", "True Search", IF($O1058="Arja", "Evolutionary Search", IF($O1058="AVATAR", "True Pattern", IF($O1058="CapGen", "Search Like Pattern", IF($O1058="Cardumen", "True Semantic", IF($O1058="DynaMoth", "True Semantic", IF($O1058="FixMiner", "True Pattern", IF($O1058="GenProg-A", "Evolutionary Search", IF($O1058="Hercules", "Learning Pattern", IF($O1058="Jaid", "True Semantic",
IF($O1058="Kali-A", "True Search", IF($O1058="kPAR", "True Pattern", IF($O1058="Nopol", "True Semantic", IF($O1058="RSRepair-A", "Evolutionary Search", IF($O1058="SequenceR", "Deep Learning", IF($O1058="SimFix", "Search Like Pattern", IF($O1058="SketchFix", "True Pattern", IF($O1058="SOFix", "True Pattern", IF($O1058="ssFix", "Search Like Pattern", IF($O1058="TBar", "True Pattern", ""))))))))))))))))))))</f>
        <v>True Pattern</v>
      </c>
      <c r="Q1058" s="13" t="str">
        <f>IF(NOT(ISERR(SEARCH("*_Buggy",$A1058))), "Buggy", IF(NOT(ISERR(SEARCH("*_Fixed",$A1058))), "Fixed", IF(NOT(ISERR(SEARCH("*_Repaired",$A1058))), "Repaired", "")))</f>
        <v>Fixed</v>
      </c>
      <c r="R1058" s="13" t="s">
        <v>1668</v>
      </c>
      <c r="S1058" s="25">
        <v>1</v>
      </c>
      <c r="T1058" s="25">
        <v>1</v>
      </c>
      <c r="U1058" s="25">
        <v>1</v>
      </c>
      <c r="V1058" s="13">
        <v>1</v>
      </c>
      <c r="W1058" s="13" t="str">
        <f>MID(A1058, SEARCH("_", A1058) +1, SEARCH("_", A1058, SEARCH("_", A1058) +1) - SEARCH("_", A1058) -1)</f>
        <v>Math-70</v>
      </c>
      <c r="Y1058" s="1" t="str">
        <f t="shared" si="42"/>
        <v>NO</v>
      </c>
      <c r="Z1058" s="1" t="str">
        <f t="shared" si="43"/>
        <v>NO</v>
      </c>
      <c r="AA1058" t="str">
        <f>IF(AND(S1058&gt;1,S1583&gt;1,S1058=V1058,S1583=V1583), "YES", "NO")</f>
        <v>NO</v>
      </c>
      <c r="AB1058" t="str">
        <f>IF(AND(S1058&gt;1,S1583&gt;1,S1058&lt;V1058,S1583&lt;V1583), "YES", "NO")</f>
        <v>NO</v>
      </c>
      <c r="AC1058" t="str">
        <f t="shared" si="44"/>
        <v>YES</v>
      </c>
      <c r="AD1058" t="str">
        <f t="shared" si="45"/>
        <v>NO</v>
      </c>
      <c r="AE1058" t="str">
        <f t="shared" si="46"/>
        <v>YES</v>
      </c>
      <c r="AF1058" t="str">
        <f t="shared" si="47"/>
        <v>NO</v>
      </c>
    </row>
    <row r="1059" spans="1:32" ht="15" x14ac:dyDescent="0.35">
      <c r="A1059" s="7" t="s">
        <v>452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>LEFT($A1059,FIND("_",$A1059)-1)</f>
        <v>TBar</v>
      </c>
      <c r="P1059" s="13" t="str">
        <f>IF($O1059="ACS", "True Search", IF($O1059="Arja", "Evolutionary Search", IF($O1059="AVATAR", "True Pattern", IF($O1059="CapGen", "Search Like Pattern", IF($O1059="Cardumen", "True Semantic", IF($O1059="DynaMoth", "True Semantic", IF($O1059="FixMiner", "True Pattern", IF($O1059="GenProg-A", "Evolutionary Search", IF($O1059="Hercules", "Learning Pattern", IF($O1059="Jaid", "True Semantic",
IF($O1059="Kali-A", "True Search", IF($O1059="kPAR", "True Pattern", IF($O1059="Nopol", "True Semantic", IF($O1059="RSRepair-A", "Evolutionary Search", IF($O1059="SequenceR", "Deep Learning", IF($O1059="SimFix", "Search Like Pattern", IF($O1059="SketchFix", "True Pattern", IF($O1059="SOFix", "True Pattern", IF($O1059="ssFix", "Search Like Pattern", IF($O1059="TBar", "True Pattern", ""))))))))))))))))))))</f>
        <v>True Pattern</v>
      </c>
      <c r="Q1059" s="13" t="str">
        <f>IF(NOT(ISERR(SEARCH("*_Buggy",$A1059))), "Buggy", IF(NOT(ISERR(SEARCH("*_Fixed",$A1059))), "Fixed", IF(NOT(ISERR(SEARCH("*_Repaired",$A1059))), "Repaired", "")))</f>
        <v>Fixed</v>
      </c>
      <c r="R1059" s="13" t="s">
        <v>1668</v>
      </c>
      <c r="S1059" s="25">
        <v>1</v>
      </c>
      <c r="T1059" s="25">
        <v>1</v>
      </c>
      <c r="U1059" s="25">
        <v>1</v>
      </c>
      <c r="V1059" s="13">
        <v>1</v>
      </c>
      <c r="W1059" s="13" t="str">
        <f>MID(A1059, SEARCH("_", A1059) +1, SEARCH("_", A1059, SEARCH("_", A1059) +1) - SEARCH("_", A1059) -1)</f>
        <v>Math-75</v>
      </c>
      <c r="Y1059" s="1" t="str">
        <f t="shared" si="42"/>
        <v>NO</v>
      </c>
      <c r="Z1059" s="1" t="str">
        <f t="shared" si="43"/>
        <v>NO</v>
      </c>
      <c r="AA1059" t="str">
        <f>IF(AND(S1059&gt;1,S1584&gt;1,S1059=V1059,S1584=V1584), "YES", "NO")</f>
        <v>NO</v>
      </c>
      <c r="AB1059" t="str">
        <f>IF(AND(S1059&gt;1,S1584&gt;1,S1059&lt;V1059,S1584&lt;V1584), "YES", "NO")</f>
        <v>NO</v>
      </c>
      <c r="AC1059" t="str">
        <f t="shared" si="44"/>
        <v>YES</v>
      </c>
      <c r="AD1059" t="str">
        <f t="shared" si="45"/>
        <v>NO</v>
      </c>
      <c r="AE1059" t="str">
        <f t="shared" si="46"/>
        <v>YES</v>
      </c>
      <c r="AF1059" t="str">
        <f t="shared" si="47"/>
        <v>NO</v>
      </c>
    </row>
    <row r="1060" spans="1:32" ht="15" x14ac:dyDescent="0.35">
      <c r="A1060" s="7" t="s">
        <v>268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>LEFT($A1060,FIND("_",$A1060)-1)</f>
        <v>TBar</v>
      </c>
      <c r="P1060" s="13" t="str">
        <f>IF($O1060="ACS", "True Search", IF($O1060="Arja", "Evolutionary Search", IF($O1060="AVATAR", "True Pattern", IF($O1060="CapGen", "Search Like Pattern", IF($O1060="Cardumen", "True Semantic", IF($O1060="DynaMoth", "True Semantic", IF($O1060="FixMiner", "True Pattern", IF($O1060="GenProg-A", "Evolutionary Search", IF($O1060="Hercules", "Learning Pattern", IF($O1060="Jaid", "True Semantic",
IF($O1060="Kali-A", "True Search", IF($O1060="kPAR", "True Pattern", IF($O1060="Nopol", "True Semantic", IF($O1060="RSRepair-A", "Evolutionary Search", IF($O1060="SequenceR", "Deep Learning", IF($O1060="SimFix", "Search Like Pattern", IF($O1060="SketchFix", "True Pattern", IF($O1060="SOFix", "True Pattern", IF($O1060="ssFix", "Search Like Pattern", IF($O1060="TBar", "True Pattern", ""))))))))))))))))))))</f>
        <v>True Pattern</v>
      </c>
      <c r="Q1060" s="13" t="str">
        <f>IF(NOT(ISERR(SEARCH("*_Buggy",$A1060))), "Buggy", IF(NOT(ISERR(SEARCH("*_Fixed",$A1060))), "Fixed", IF(NOT(ISERR(SEARCH("*_Repaired",$A1060))), "Repaired", "")))</f>
        <v>Fixed</v>
      </c>
      <c r="R1060" s="13" t="s">
        <v>1668</v>
      </c>
      <c r="S1060" s="25">
        <v>2</v>
      </c>
      <c r="T1060" s="25">
        <v>2</v>
      </c>
      <c r="U1060" s="25">
        <v>2</v>
      </c>
      <c r="V1060" s="13">
        <v>2</v>
      </c>
      <c r="W1060" s="13" t="str">
        <f>MID(A1060, SEARCH("_", A1060) +1, SEARCH("_", A1060, SEARCH("_", A1060) +1) - SEARCH("_", A1060) -1)</f>
        <v>Math-79</v>
      </c>
      <c r="Y1060" s="1" t="str">
        <f t="shared" si="42"/>
        <v>YES</v>
      </c>
      <c r="Z1060" s="1" t="str">
        <f t="shared" si="43"/>
        <v>NO</v>
      </c>
      <c r="AA1060" t="str">
        <f>IF(AND(S1060&gt;1,S1585&gt;1,S1060=V1060,S1585=V1585), "YES", "NO")</f>
        <v>YES</v>
      </c>
      <c r="AB1060" t="str">
        <f>IF(AND(S1060&gt;1,S1585&gt;1,S1060&lt;V1060,S1585&lt;V1585), "YES", "NO")</f>
        <v>NO</v>
      </c>
      <c r="AC1060" t="str">
        <f t="shared" si="44"/>
        <v>NO</v>
      </c>
      <c r="AD1060" t="str">
        <f t="shared" si="45"/>
        <v>NO</v>
      </c>
      <c r="AE1060" t="str">
        <f t="shared" si="46"/>
        <v>NO</v>
      </c>
      <c r="AF1060" t="str">
        <f t="shared" si="47"/>
        <v>YES</v>
      </c>
    </row>
    <row r="1061" spans="1:32" ht="15" x14ac:dyDescent="0.35">
      <c r="A1061" s="5" t="s">
        <v>1014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>LEFT($A1061,FIND("_",$A1061)-1)</f>
        <v>TBar</v>
      </c>
      <c r="P1061" s="13" t="str">
        <f>IF($O1061="ACS", "True Search", IF($O1061="Arja", "Evolutionary Search", IF($O1061="AVATAR", "True Pattern", IF($O1061="CapGen", "Search Like Pattern", IF($O1061="Cardumen", "True Semantic", IF($O1061="DynaMoth", "True Semantic", IF($O1061="FixMiner", "True Pattern", IF($O1061="GenProg-A", "Evolutionary Search", IF($O1061="Hercules", "Learning Pattern", IF($O1061="Jaid", "True Semantic",
IF($O1061="Kali-A", "True Search", IF($O1061="kPAR", "True Pattern", IF($O1061="Nopol", "True Semantic", IF($O1061="RSRepair-A", "Evolutionary Search", IF($O1061="SequenceR", "Deep Learning", IF($O1061="SimFix", "Search Like Pattern", IF($O1061="SketchFix", "True Pattern", IF($O1061="SOFix", "True Pattern", IF($O1061="ssFix", "Search Like Pattern", IF($O1061="TBar", "True Pattern", ""))))))))))))))))))))</f>
        <v>True Pattern</v>
      </c>
      <c r="Q1061" s="13" t="str">
        <f>IF(NOT(ISERR(SEARCH("*_Buggy",$A1061))), "Buggy", IF(NOT(ISERR(SEARCH("*_Fixed",$A1061))), "Fixed", IF(NOT(ISERR(SEARCH("*_Repaired",$A1061))), "Repaired", "")))</f>
        <v>Fixed</v>
      </c>
      <c r="R1061" s="13" t="s">
        <v>1669</v>
      </c>
      <c r="S1061" s="25">
        <v>2</v>
      </c>
      <c r="T1061" s="25">
        <v>2</v>
      </c>
      <c r="U1061" s="25">
        <v>2</v>
      </c>
      <c r="V1061" s="13">
        <v>2</v>
      </c>
      <c r="W1061" s="13" t="str">
        <f>MID(A1061, SEARCH("_", A1061) +1, SEARCH("_", A1061, SEARCH("_", A1061) +1) - SEARCH("_", A1061) -1)</f>
        <v>Math-8</v>
      </c>
      <c r="Y1061" s="1" t="str">
        <f t="shared" si="42"/>
        <v>YES</v>
      </c>
      <c r="Z1061" s="1" t="str">
        <f t="shared" si="43"/>
        <v>NO</v>
      </c>
      <c r="AA1061" t="str">
        <f>IF(AND(S1061&gt;1,S1586&gt;1,S1061=V1061,S1586=V1586), "YES", "NO")</f>
        <v>NO</v>
      </c>
      <c r="AB1061" t="str">
        <f>IF(AND(S1061&gt;1,S1586&gt;1,S1061&lt;V1061,S1586&lt;V1586), "YES", "NO")</f>
        <v>NO</v>
      </c>
      <c r="AC1061" t="str">
        <f t="shared" si="44"/>
        <v>NO</v>
      </c>
      <c r="AD1061" t="str">
        <f t="shared" si="45"/>
        <v>NO</v>
      </c>
      <c r="AE1061" t="str">
        <f t="shared" si="46"/>
        <v>NO</v>
      </c>
      <c r="AF1061" t="str">
        <f t="shared" si="47"/>
        <v>NO</v>
      </c>
    </row>
    <row r="1062" spans="1:32" ht="15" x14ac:dyDescent="0.35">
      <c r="A1062" s="5" t="s">
        <v>952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>LEFT($A1062,FIND("_",$A1062)-1)</f>
        <v>TBar</v>
      </c>
      <c r="P1062" s="13" t="str">
        <f>IF($O1062="ACS", "True Search", IF($O1062="Arja", "Evolutionary Search", IF($O1062="AVATAR", "True Pattern", IF($O1062="CapGen", "Search Like Pattern", IF($O1062="Cardumen", "True Semantic", IF($O1062="DynaMoth", "True Semantic", IF($O1062="FixMiner", "True Pattern", IF($O1062="GenProg-A", "Evolutionary Search", IF($O1062="Hercules", "Learning Pattern", IF($O1062="Jaid", "True Semantic",
IF($O1062="Kali-A", "True Search", IF($O1062="kPAR", "True Pattern", IF($O1062="Nopol", "True Semantic", IF($O1062="RSRepair-A", "Evolutionary Search", IF($O1062="SequenceR", "Deep Learning", IF($O1062="SimFix", "Search Like Pattern", IF($O1062="SketchFix", "True Pattern", IF($O1062="SOFix", "True Pattern", IF($O1062="ssFix", "Search Like Pattern", IF($O1062="TBar", "True Pattern", ""))))))))))))))))))))</f>
        <v>True Pattern</v>
      </c>
      <c r="Q1062" s="13" t="str">
        <f>IF(NOT(ISERR(SEARCH("*_Buggy",$A1062))), "Buggy", IF(NOT(ISERR(SEARCH("*_Fixed",$A1062))), "Fixed", IF(NOT(ISERR(SEARCH("*_Repaired",$A1062))), "Repaired", "")))</f>
        <v>Fixed</v>
      </c>
      <c r="R1062" s="13" t="s">
        <v>1669</v>
      </c>
      <c r="S1062" s="25">
        <v>1</v>
      </c>
      <c r="T1062" s="25">
        <v>1</v>
      </c>
      <c r="U1062" s="25">
        <v>1</v>
      </c>
      <c r="V1062" s="13">
        <v>1</v>
      </c>
      <c r="W1062" s="13" t="str">
        <f>MID(A1062, SEARCH("_", A1062) +1, SEARCH("_", A1062, SEARCH("_", A1062) +1) - SEARCH("_", A1062) -1)</f>
        <v>Math-80</v>
      </c>
      <c r="Y1062" s="1" t="str">
        <f t="shared" ref="Y1062:Y1125" si="48">IF(AND(S1062&gt;1,S1062=V1062), "YES", "NO")</f>
        <v>NO</v>
      </c>
      <c r="Z1062" s="1" t="str">
        <f t="shared" ref="Z1062:Z1125" si="49">IF(AND(S1062&gt;1,S1062&lt;V1062), "YES", "NO")</f>
        <v>NO</v>
      </c>
      <c r="AA1062" t="str">
        <f>IF(AND(S1062&gt;1,S1587&gt;1,S1062=V1062,S1587=V1587), "YES", "NO")</f>
        <v>NO</v>
      </c>
      <c r="AB1062" t="str">
        <f>IF(AND(S1062&gt;1,S1587&gt;1,S1062&lt;V1062,S1587&lt;V1587), "YES", "NO")</f>
        <v>NO</v>
      </c>
      <c r="AC1062" t="str">
        <f t="shared" ref="AC1062:AC1073" si="50">IF(AND($S1062=1,$S1587=1,$S1062=$V1062,$S1587=$V1587), "YES", "NO")</f>
        <v>YES</v>
      </c>
      <c r="AD1062" t="str">
        <f t="shared" ref="AD1062:AD1073" si="51">IF(AND($S1062=1,$S1587=1,$S1062&lt;$V1062,$S1587&lt;$V1587), "YES", "NO")</f>
        <v>NO</v>
      </c>
      <c r="AE1062" t="str">
        <f t="shared" ref="AE1062:AE1073" si="52">IF(AND($V1062=1,$V1587=1), "YES", "NO")</f>
        <v>YES</v>
      </c>
      <c r="AF1062" t="str">
        <f t="shared" ref="AF1062:AF1073" si="53">IF(AND($V1062&gt;1,$V1587&gt;1), "YES", "NO")</f>
        <v>NO</v>
      </c>
    </row>
    <row r="1063" spans="1:32" ht="15" x14ac:dyDescent="0.35">
      <c r="A1063" s="7" t="s">
        <v>668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>LEFT($A1063,FIND("_",$A1063)-1)</f>
        <v>TBar</v>
      </c>
      <c r="P1063" s="13" t="str">
        <f>IF($O1063="ACS", "True Search", IF($O1063="Arja", "Evolutionary Search", IF($O1063="AVATAR", "True Pattern", IF($O1063="CapGen", "Search Like Pattern", IF($O1063="Cardumen", "True Semantic", IF($O1063="DynaMoth", "True Semantic", IF($O1063="FixMiner", "True Pattern", IF($O1063="GenProg-A", "Evolutionary Search", IF($O1063="Hercules", "Learning Pattern", IF($O1063="Jaid", "True Semantic",
IF($O1063="Kali-A", "True Search", IF($O1063="kPAR", "True Pattern", IF($O1063="Nopol", "True Semantic", IF($O1063="RSRepair-A", "Evolutionary Search", IF($O1063="SequenceR", "Deep Learning", IF($O1063="SimFix", "Search Like Pattern", IF($O1063="SketchFix", "True Pattern", IF($O1063="SOFix", "True Pattern", IF($O1063="ssFix", "Search Like Pattern", IF($O1063="TBar", "True Pattern", ""))))))))))))))))))))</f>
        <v>True Pattern</v>
      </c>
      <c r="Q1063" s="13" t="str">
        <f>IF(NOT(ISERR(SEARCH("*_Buggy",$A1063))), "Buggy", IF(NOT(ISERR(SEARCH("*_Fixed",$A1063))), "Fixed", IF(NOT(ISERR(SEARCH("*_Repaired",$A1063))), "Repaired", "")))</f>
        <v>Fixed</v>
      </c>
      <c r="R1063" s="13" t="s">
        <v>1669</v>
      </c>
      <c r="S1063" s="25">
        <v>3</v>
      </c>
      <c r="T1063" s="25">
        <v>4</v>
      </c>
      <c r="U1063" s="25">
        <v>3</v>
      </c>
      <c r="V1063" s="13">
        <v>4</v>
      </c>
      <c r="W1063" s="13" t="str">
        <f>MID(A1063, SEARCH("_", A1063) +1, SEARCH("_", A1063, SEARCH("_", A1063) +1) - SEARCH("_", A1063) -1)</f>
        <v>Math-81</v>
      </c>
      <c r="Y1063" s="1" t="str">
        <f t="shared" si="48"/>
        <v>NO</v>
      </c>
      <c r="Z1063" s="1" t="str">
        <f t="shared" si="49"/>
        <v>YES</v>
      </c>
      <c r="AA1063" t="str">
        <f>IF(AND(S1063&gt;1,S1588&gt;1,S1063=V1063,S1588=V1588), "YES", "NO")</f>
        <v>NO</v>
      </c>
      <c r="AB1063" t="str">
        <f>IF(AND(S1063&gt;1,S1588&gt;1,S1063&lt;V1063,S1588&lt;V1588), "YES", "NO")</f>
        <v>NO</v>
      </c>
      <c r="AC1063" t="str">
        <f t="shared" si="50"/>
        <v>NO</v>
      </c>
      <c r="AD1063" t="str">
        <f t="shared" si="51"/>
        <v>NO</v>
      </c>
      <c r="AE1063" t="str">
        <f t="shared" si="52"/>
        <v>NO</v>
      </c>
      <c r="AF1063" t="str">
        <f t="shared" si="53"/>
        <v>NO</v>
      </c>
    </row>
    <row r="1064" spans="1:32" ht="15" x14ac:dyDescent="0.35">
      <c r="A1064" s="5" t="s">
        <v>476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>LEFT($A1064,FIND("_",$A1064)-1)</f>
        <v>TBar</v>
      </c>
      <c r="P1064" s="13" t="str">
        <f>IF($O1064="ACS", "True Search", IF($O1064="Arja", "Evolutionary Search", IF($O1064="AVATAR", "True Pattern", IF($O1064="CapGen", "Search Like Pattern", IF($O1064="Cardumen", "True Semantic", IF($O1064="DynaMoth", "True Semantic", IF($O1064="FixMiner", "True Pattern", IF($O1064="GenProg-A", "Evolutionary Search", IF($O1064="Hercules", "Learning Pattern", IF($O1064="Jaid", "True Semantic",
IF($O1064="Kali-A", "True Search", IF($O1064="kPAR", "True Pattern", IF($O1064="Nopol", "True Semantic", IF($O1064="RSRepair-A", "Evolutionary Search", IF($O1064="SequenceR", "Deep Learning", IF($O1064="SimFix", "Search Like Pattern", IF($O1064="SketchFix", "True Pattern", IF($O1064="SOFix", "True Pattern", IF($O1064="ssFix", "Search Like Pattern", IF($O1064="TBar", "True Pattern", ""))))))))))))))))))))</f>
        <v>True Pattern</v>
      </c>
      <c r="Q1064" s="13" t="str">
        <f>IF(NOT(ISERR(SEARCH("*_Buggy",$A1064))), "Buggy", IF(NOT(ISERR(SEARCH("*_Fixed",$A1064))), "Fixed", IF(NOT(ISERR(SEARCH("*_Repaired",$A1064))), "Repaired", "")))</f>
        <v>Fixed</v>
      </c>
      <c r="R1064" s="13" t="s">
        <v>1668</v>
      </c>
      <c r="S1064" s="25">
        <v>1</v>
      </c>
      <c r="T1064" s="25">
        <v>1</v>
      </c>
      <c r="U1064" s="25">
        <v>1</v>
      </c>
      <c r="V1064" s="13">
        <v>1</v>
      </c>
      <c r="W1064" s="13" t="str">
        <f>MID(A1064, SEARCH("_", A1064) +1, SEARCH("_", A1064, SEARCH("_", A1064) +1) - SEARCH("_", A1064) -1)</f>
        <v>Math-82</v>
      </c>
      <c r="Y1064" s="1" t="str">
        <f t="shared" si="48"/>
        <v>NO</v>
      </c>
      <c r="Z1064" s="1" t="str">
        <f t="shared" si="49"/>
        <v>NO</v>
      </c>
      <c r="AA1064" t="str">
        <f>IF(AND(S1064&gt;1,S1589&gt;1,S1064=V1064,S1589=V1589), "YES", "NO")</f>
        <v>NO</v>
      </c>
      <c r="AB1064" t="str">
        <f>IF(AND(S1064&gt;1,S1589&gt;1,S1064&lt;V1064,S1589&lt;V1589), "YES", "NO")</f>
        <v>NO</v>
      </c>
      <c r="AC1064" t="str">
        <f t="shared" si="50"/>
        <v>YES</v>
      </c>
      <c r="AD1064" t="str">
        <f t="shared" si="51"/>
        <v>NO</v>
      </c>
      <c r="AE1064" t="str">
        <f t="shared" si="52"/>
        <v>YES</v>
      </c>
      <c r="AF1064" t="str">
        <f t="shared" si="53"/>
        <v>NO</v>
      </c>
    </row>
    <row r="1065" spans="1:32" ht="15" x14ac:dyDescent="0.35">
      <c r="A1065" s="7" t="s">
        <v>182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>LEFT($A1065,FIND("_",$A1065)-1)</f>
        <v>TBar</v>
      </c>
      <c r="P1065" s="13" t="str">
        <f>IF($O1065="ACS", "True Search", IF($O1065="Arja", "Evolutionary Search", IF($O1065="AVATAR", "True Pattern", IF($O1065="CapGen", "Search Like Pattern", IF($O1065="Cardumen", "True Semantic", IF($O1065="DynaMoth", "True Semantic", IF($O1065="FixMiner", "True Pattern", IF($O1065="GenProg-A", "Evolutionary Search", IF($O1065="Hercules", "Learning Pattern", IF($O1065="Jaid", "True Semantic",
IF($O1065="Kali-A", "True Search", IF($O1065="kPAR", "True Pattern", IF($O1065="Nopol", "True Semantic", IF($O1065="RSRepair-A", "Evolutionary Search", IF($O1065="SequenceR", "Deep Learning", IF($O1065="SimFix", "Search Like Pattern", IF($O1065="SketchFix", "True Pattern", IF($O1065="SOFix", "True Pattern", IF($O1065="ssFix", "Search Like Pattern", IF($O1065="TBar", "True Pattern", ""))))))))))))))))))))</f>
        <v>True Pattern</v>
      </c>
      <c r="Q1065" s="13" t="str">
        <f>IF(NOT(ISERR(SEARCH("*_Buggy",$A1065))), "Buggy", IF(NOT(ISERR(SEARCH("*_Fixed",$A1065))), "Fixed", IF(NOT(ISERR(SEARCH("*_Repaired",$A1065))), "Repaired", "")))</f>
        <v>Fixed</v>
      </c>
      <c r="R1065" s="13" t="s">
        <v>1669</v>
      </c>
      <c r="S1065" s="25">
        <v>3</v>
      </c>
      <c r="T1065" s="13">
        <v>9</v>
      </c>
      <c r="U1065" s="25">
        <v>0</v>
      </c>
      <c r="V1065" s="13">
        <v>9</v>
      </c>
      <c r="W1065" s="13" t="str">
        <f>MID(A1065, SEARCH("_", A1065) +1, SEARCH("_", A1065, SEARCH("_", A1065) +1) - SEARCH("_", A1065) -1)</f>
        <v>Math-84</v>
      </c>
      <c r="Y1065" s="1" t="str">
        <f t="shared" si="48"/>
        <v>NO</v>
      </c>
      <c r="Z1065" s="1" t="str">
        <f t="shared" si="49"/>
        <v>YES</v>
      </c>
      <c r="AA1065" t="str">
        <f>IF(AND(S1065&gt;1,S1590&gt;1,S1065=V1065,S1590=V1590), "YES", "NO")</f>
        <v>NO</v>
      </c>
      <c r="AB1065" t="str">
        <f>IF(AND(S1065&gt;1,S1590&gt;1,S1065&lt;V1065,S1590&lt;V1590), "YES", "NO")</f>
        <v>NO</v>
      </c>
      <c r="AC1065" t="str">
        <f t="shared" si="50"/>
        <v>NO</v>
      </c>
      <c r="AD1065" t="str">
        <f t="shared" si="51"/>
        <v>NO</v>
      </c>
      <c r="AE1065" t="str">
        <f t="shared" si="52"/>
        <v>NO</v>
      </c>
      <c r="AF1065" t="str">
        <f t="shared" si="53"/>
        <v>NO</v>
      </c>
    </row>
    <row r="1066" spans="1:32" ht="15" x14ac:dyDescent="0.35">
      <c r="A1066" s="5" t="s">
        <v>526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>LEFT($A1066,FIND("_",$A1066)-1)</f>
        <v>TBar</v>
      </c>
      <c r="P1066" s="13" t="str">
        <f>IF($O1066="ACS", "True Search", IF($O1066="Arja", "Evolutionary Search", IF($O1066="AVATAR", "True Pattern", IF($O1066="CapGen", "Search Like Pattern", IF($O1066="Cardumen", "True Semantic", IF($O1066="DynaMoth", "True Semantic", IF($O1066="FixMiner", "True Pattern", IF($O1066="GenProg-A", "Evolutionary Search", IF($O1066="Hercules", "Learning Pattern", IF($O1066="Jaid", "True Semantic",
IF($O1066="Kali-A", "True Search", IF($O1066="kPAR", "True Pattern", IF($O1066="Nopol", "True Semantic", IF($O1066="RSRepair-A", "Evolutionary Search", IF($O1066="SequenceR", "Deep Learning", IF($O1066="SimFix", "Search Like Pattern", IF($O1066="SketchFix", "True Pattern", IF($O1066="SOFix", "True Pattern", IF($O1066="ssFix", "Search Like Pattern", IF($O1066="TBar", "True Pattern", ""))))))))))))))))))))</f>
        <v>True Pattern</v>
      </c>
      <c r="Q1066" s="13" t="str">
        <f>IF(NOT(ISERR(SEARCH("*_Buggy",$A1066))), "Buggy", IF(NOT(ISERR(SEARCH("*_Fixed",$A1066))), "Fixed", IF(NOT(ISERR(SEARCH("*_Repaired",$A1066))), "Repaired", "")))</f>
        <v>Fixed</v>
      </c>
      <c r="R1066" s="13" t="s">
        <v>1668</v>
      </c>
      <c r="S1066" s="25">
        <v>1</v>
      </c>
      <c r="T1066" s="25">
        <v>1</v>
      </c>
      <c r="U1066" s="25">
        <v>1</v>
      </c>
      <c r="V1066" s="13">
        <v>1</v>
      </c>
      <c r="W1066" s="13" t="str">
        <f>MID(A1066, SEARCH("_", A1066) +1, SEARCH("_", A1066, SEARCH("_", A1066) +1) - SEARCH("_", A1066) -1)</f>
        <v>Math-85</v>
      </c>
      <c r="Y1066" s="1" t="str">
        <f t="shared" si="48"/>
        <v>NO</v>
      </c>
      <c r="Z1066" s="1" t="str">
        <f t="shared" si="49"/>
        <v>NO</v>
      </c>
      <c r="AA1066" t="str">
        <f>IF(AND(S1066&gt;1,S1591&gt;1,S1066=V1066,S1591=V1591), "YES", "NO")</f>
        <v>NO</v>
      </c>
      <c r="AB1066" t="str">
        <f>IF(AND(S1066&gt;1,S1591&gt;1,S1066&lt;V1066,S1591&lt;V1591), "YES", "NO")</f>
        <v>NO</v>
      </c>
      <c r="AC1066" t="str">
        <f t="shared" si="50"/>
        <v>YES</v>
      </c>
      <c r="AD1066" t="str">
        <f t="shared" si="51"/>
        <v>NO</v>
      </c>
      <c r="AE1066" t="str">
        <f t="shared" si="52"/>
        <v>YES</v>
      </c>
      <c r="AF1066" t="str">
        <f t="shared" si="53"/>
        <v>NO</v>
      </c>
    </row>
    <row r="1067" spans="1:32" ht="15" x14ac:dyDescent="0.35">
      <c r="A1067" s="7" t="s">
        <v>196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>LEFT($A1067,FIND("_",$A1067)-1)</f>
        <v>TBar</v>
      </c>
      <c r="P1067" s="13" t="str">
        <f>IF($O1067="ACS", "True Search", IF($O1067="Arja", "Evolutionary Search", IF($O1067="AVATAR", "True Pattern", IF($O1067="CapGen", "Search Like Pattern", IF($O1067="Cardumen", "True Semantic", IF($O1067="DynaMoth", "True Semantic", IF($O1067="FixMiner", "True Pattern", IF($O1067="GenProg-A", "Evolutionary Search", IF($O1067="Hercules", "Learning Pattern", IF($O1067="Jaid", "True Semantic",
IF($O1067="Kali-A", "True Search", IF($O1067="kPAR", "True Pattern", IF($O1067="Nopol", "True Semantic", IF($O1067="RSRepair-A", "Evolutionary Search", IF($O1067="SequenceR", "Deep Learning", IF($O1067="SimFix", "Search Like Pattern", IF($O1067="SketchFix", "True Pattern", IF($O1067="SOFix", "True Pattern", IF($O1067="ssFix", "Search Like Pattern", IF($O1067="TBar", "True Pattern", ""))))))))))))))))))))</f>
        <v>True Pattern</v>
      </c>
      <c r="Q1067" s="13" t="str">
        <f>IF(NOT(ISERR(SEARCH("*_Buggy",$A1067))), "Buggy", IF(NOT(ISERR(SEARCH("*_Fixed",$A1067))), "Fixed", IF(NOT(ISERR(SEARCH("*_Repaired",$A1067))), "Repaired", "")))</f>
        <v>Fixed</v>
      </c>
      <c r="R1067" s="13" t="s">
        <v>1669</v>
      </c>
      <c r="S1067" s="25">
        <v>4</v>
      </c>
      <c r="T1067" s="25">
        <v>5</v>
      </c>
      <c r="U1067" s="25">
        <v>6</v>
      </c>
      <c r="V1067" s="13">
        <v>11</v>
      </c>
      <c r="W1067" s="13" t="str">
        <f>MID(A1067, SEARCH("_", A1067) +1, SEARCH("_", A1067, SEARCH("_", A1067) +1) - SEARCH("_", A1067) -1)</f>
        <v>Math-88</v>
      </c>
      <c r="Y1067" s="1" t="str">
        <f t="shared" si="48"/>
        <v>NO</v>
      </c>
      <c r="Z1067" s="1" t="str">
        <f t="shared" si="49"/>
        <v>YES</v>
      </c>
      <c r="AA1067" t="str">
        <f>IF(AND(S1067&gt;1,S1592&gt;1,S1067=V1067,S1592=V1592), "YES", "NO")</f>
        <v>NO</v>
      </c>
      <c r="AB1067" t="str">
        <f>IF(AND(S1067&gt;1,S1592&gt;1,S1067&lt;V1067,S1592&lt;V1592), "YES", "NO")</f>
        <v>NO</v>
      </c>
      <c r="AC1067" t="str">
        <f t="shared" si="50"/>
        <v>NO</v>
      </c>
      <c r="AD1067" t="str">
        <f t="shared" si="51"/>
        <v>NO</v>
      </c>
      <c r="AE1067" t="str">
        <f t="shared" si="52"/>
        <v>NO</v>
      </c>
      <c r="AF1067" t="str">
        <f t="shared" si="53"/>
        <v>NO</v>
      </c>
    </row>
    <row r="1068" spans="1:32" ht="15" x14ac:dyDescent="0.35">
      <c r="A1068" s="7" t="s">
        <v>1017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>LEFT($A1068,FIND("_",$A1068)-1)</f>
        <v>TBar</v>
      </c>
      <c r="P1068" s="13" t="str">
        <f>IF($O1068="ACS", "True Search", IF($O1068="Arja", "Evolutionary Search", IF($O1068="AVATAR", "True Pattern", IF($O1068="CapGen", "Search Like Pattern", IF($O1068="Cardumen", "True Semantic", IF($O1068="DynaMoth", "True Semantic", IF($O1068="FixMiner", "True Pattern", IF($O1068="GenProg-A", "Evolutionary Search", IF($O1068="Hercules", "Learning Pattern", IF($O1068="Jaid", "True Semantic",
IF($O1068="Kali-A", "True Search", IF($O1068="kPAR", "True Pattern", IF($O1068="Nopol", "True Semantic", IF($O1068="RSRepair-A", "Evolutionary Search", IF($O1068="SequenceR", "Deep Learning", IF($O1068="SimFix", "Search Like Pattern", IF($O1068="SketchFix", "True Pattern", IF($O1068="SOFix", "True Pattern", IF($O1068="ssFix", "Search Like Pattern", IF($O1068="TBar", "True Pattern", ""))))))))))))))))))))</f>
        <v>True Pattern</v>
      </c>
      <c r="Q1068" s="13" t="str">
        <f>IF(NOT(ISERR(SEARCH("*_Buggy",$A1068))), "Buggy", IF(NOT(ISERR(SEARCH("*_Fixed",$A1068))), "Fixed", IF(NOT(ISERR(SEARCH("*_Repaired",$A1068))), "Repaired", "")))</f>
        <v>Fixed</v>
      </c>
      <c r="R1068" s="13" t="s">
        <v>1668</v>
      </c>
      <c r="S1068" s="25">
        <v>2</v>
      </c>
      <c r="T1068" s="13">
        <v>4</v>
      </c>
      <c r="U1068" s="25">
        <v>0</v>
      </c>
      <c r="V1068" s="13">
        <v>4</v>
      </c>
      <c r="W1068" s="13" t="str">
        <f>MID(A1068, SEARCH("_", A1068) +1, SEARCH("_", A1068, SEARCH("_", A1068) +1) - SEARCH("_", A1068) -1)</f>
        <v>Math-89</v>
      </c>
      <c r="Y1068" s="1" t="str">
        <f t="shared" si="48"/>
        <v>NO</v>
      </c>
      <c r="Z1068" s="1" t="str">
        <f t="shared" si="49"/>
        <v>YES</v>
      </c>
      <c r="AA1068" t="str">
        <f>IF(AND(S1068&gt;1,S1593&gt;1,S1068=V1068,S1593=V1593), "YES", "NO")</f>
        <v>NO</v>
      </c>
      <c r="AB1068" t="str">
        <f>IF(AND(S1068&gt;1,S1593&gt;1,S1068&lt;V1068,S1593&lt;V1593), "YES", "NO")</f>
        <v>NO</v>
      </c>
      <c r="AC1068" t="str">
        <f t="shared" si="50"/>
        <v>NO</v>
      </c>
      <c r="AD1068" t="str">
        <f t="shared" si="51"/>
        <v>NO</v>
      </c>
      <c r="AE1068" t="str">
        <f t="shared" si="52"/>
        <v>NO</v>
      </c>
      <c r="AF1068" t="str">
        <f t="shared" si="53"/>
        <v>YES</v>
      </c>
    </row>
    <row r="1069" spans="1:32" ht="15" x14ac:dyDescent="0.35">
      <c r="A1069" s="7" t="s">
        <v>1263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>LEFT($A1069,FIND("_",$A1069)-1)</f>
        <v>TBar</v>
      </c>
      <c r="P1069" s="13" t="str">
        <f>IF($O1069="ACS", "True Search", IF($O1069="Arja", "Evolutionary Search", IF($O1069="AVATAR", "True Pattern", IF($O1069="CapGen", "Search Like Pattern", IF($O1069="Cardumen", "True Semantic", IF($O1069="DynaMoth", "True Semantic", IF($O1069="FixMiner", "True Pattern", IF($O1069="GenProg-A", "Evolutionary Search", IF($O1069="Hercules", "Learning Pattern", IF($O1069="Jaid", "True Semantic",
IF($O1069="Kali-A", "True Search", IF($O1069="kPAR", "True Pattern", IF($O1069="Nopol", "True Semantic", IF($O1069="RSRepair-A", "Evolutionary Search", IF($O1069="SequenceR", "Deep Learning", IF($O1069="SimFix", "Search Like Pattern", IF($O1069="SketchFix", "True Pattern", IF($O1069="SOFix", "True Pattern", IF($O1069="ssFix", "Search Like Pattern", IF($O1069="TBar", "True Pattern", ""))))))))))))))))))))</f>
        <v>True Pattern</v>
      </c>
      <c r="Q1069" s="13" t="str">
        <f>IF(NOT(ISERR(SEARCH("*_Buggy",$A1069))), "Buggy", IF(NOT(ISERR(SEARCH("*_Fixed",$A1069))), "Fixed", IF(NOT(ISERR(SEARCH("*_Repaired",$A1069))), "Repaired", "")))</f>
        <v>Fixed</v>
      </c>
      <c r="R1069" s="13" t="s">
        <v>1669</v>
      </c>
      <c r="S1069" s="25">
        <v>3</v>
      </c>
      <c r="T1069" s="25">
        <v>3</v>
      </c>
      <c r="U1069" s="25">
        <v>1</v>
      </c>
      <c r="V1069" s="13">
        <v>3</v>
      </c>
      <c r="W1069" s="13" t="str">
        <f>MID(A1069, SEARCH("_", A1069) +1, SEARCH("_", A1069, SEARCH("_", A1069) +1) - SEARCH("_", A1069) -1)</f>
        <v>Math-95</v>
      </c>
      <c r="Y1069" s="1" t="str">
        <f t="shared" si="48"/>
        <v>YES</v>
      </c>
      <c r="Z1069" s="1" t="str">
        <f t="shared" si="49"/>
        <v>NO</v>
      </c>
      <c r="AA1069" t="str">
        <f>IF(AND(S1069&gt;1,S1594&gt;1,S1069=V1069,S1594=V1594), "YES", "NO")</f>
        <v>NO</v>
      </c>
      <c r="AB1069" t="str">
        <f>IF(AND(S1069&gt;1,S1594&gt;1,S1069&lt;V1069,S1594&lt;V1594), "YES", "NO")</f>
        <v>NO</v>
      </c>
      <c r="AC1069" t="str">
        <f t="shared" si="50"/>
        <v>NO</v>
      </c>
      <c r="AD1069" t="str">
        <f t="shared" si="51"/>
        <v>NO</v>
      </c>
      <c r="AE1069" t="str">
        <f t="shared" si="52"/>
        <v>NO</v>
      </c>
      <c r="AF1069" t="str">
        <f t="shared" si="53"/>
        <v>NO</v>
      </c>
    </row>
    <row r="1070" spans="1:32" ht="15" x14ac:dyDescent="0.35">
      <c r="A1070" s="5" t="s">
        <v>693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>LEFT($A1070,FIND("_",$A1070)-1)</f>
        <v>TBar</v>
      </c>
      <c r="P1070" s="13" t="str">
        <f>IF($O1070="ACS", "True Search", IF($O1070="Arja", "Evolutionary Search", IF($O1070="AVATAR", "True Pattern", IF($O1070="CapGen", "Search Like Pattern", IF($O1070="Cardumen", "True Semantic", IF($O1070="DynaMoth", "True Semantic", IF($O1070="FixMiner", "True Pattern", IF($O1070="GenProg-A", "Evolutionary Search", IF($O1070="Hercules", "Learning Pattern", IF($O1070="Jaid", "True Semantic",
IF($O1070="Kali-A", "True Search", IF($O1070="kPAR", "True Pattern", IF($O1070="Nopol", "True Semantic", IF($O1070="RSRepair-A", "Evolutionary Search", IF($O1070="SequenceR", "Deep Learning", IF($O1070="SimFix", "Search Like Pattern", IF($O1070="SketchFix", "True Pattern", IF($O1070="SOFix", "True Pattern", IF($O1070="ssFix", "Search Like Pattern", IF($O1070="TBar", "True Pattern", ""))))))))))))))))))))</f>
        <v>True Pattern</v>
      </c>
      <c r="Q1070" s="13" t="str">
        <f>IF(NOT(ISERR(SEARCH("*_Buggy",$A1070))), "Buggy", IF(NOT(ISERR(SEARCH("*_Fixed",$A1070))), "Fixed", IF(NOT(ISERR(SEARCH("*_Repaired",$A1070))), "Repaired", "")))</f>
        <v>Fixed</v>
      </c>
      <c r="R1070" s="13" t="s">
        <v>1669</v>
      </c>
      <c r="S1070" s="25">
        <v>1</v>
      </c>
      <c r="T1070" s="25">
        <v>1</v>
      </c>
      <c r="U1070" s="25">
        <v>1</v>
      </c>
      <c r="V1070" s="13">
        <v>1</v>
      </c>
      <c r="W1070" s="13" t="str">
        <f>MID(A1070, SEARCH("_", A1070) +1, SEARCH("_", A1070, SEARCH("_", A1070) +1) - SEARCH("_", A1070) -1)</f>
        <v>Math-96</v>
      </c>
      <c r="Y1070" s="1" t="str">
        <f t="shared" si="48"/>
        <v>NO</v>
      </c>
      <c r="Z1070" s="1" t="str">
        <f t="shared" si="49"/>
        <v>NO</v>
      </c>
      <c r="AA1070" t="str">
        <f>IF(AND(S1070&gt;1,S1595&gt;1,S1070=V1070,S1595=V1595), "YES", "NO")</f>
        <v>NO</v>
      </c>
      <c r="AB1070" t="str">
        <f>IF(AND(S1070&gt;1,S1595&gt;1,S1070&lt;V1070,S1595&lt;V1595), "YES", "NO")</f>
        <v>NO</v>
      </c>
      <c r="AC1070" t="str">
        <f t="shared" si="50"/>
        <v>YES</v>
      </c>
      <c r="AD1070" t="str">
        <f t="shared" si="51"/>
        <v>NO</v>
      </c>
      <c r="AE1070" t="str">
        <f t="shared" si="52"/>
        <v>YES</v>
      </c>
      <c r="AF1070" t="str">
        <f t="shared" si="53"/>
        <v>NO</v>
      </c>
    </row>
    <row r="1071" spans="1:32" ht="15" x14ac:dyDescent="0.35">
      <c r="A1071" s="5" t="s">
        <v>1108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>LEFT($A1071,FIND("_",$A1071)-1)</f>
        <v>TBar</v>
      </c>
      <c r="P1071" s="13" t="str">
        <f>IF($O1071="ACS", "True Search", IF($O1071="Arja", "Evolutionary Search", IF($O1071="AVATAR", "True Pattern", IF($O1071="CapGen", "Search Like Pattern", IF($O1071="Cardumen", "True Semantic", IF($O1071="DynaMoth", "True Semantic", IF($O1071="FixMiner", "True Pattern", IF($O1071="GenProg-A", "Evolutionary Search", IF($O1071="Hercules", "Learning Pattern", IF($O1071="Jaid", "True Semantic",
IF($O1071="Kali-A", "True Search", IF($O1071="kPAR", "True Pattern", IF($O1071="Nopol", "True Semantic", IF($O1071="RSRepair-A", "Evolutionary Search", IF($O1071="SequenceR", "Deep Learning", IF($O1071="SimFix", "Search Like Pattern", IF($O1071="SketchFix", "True Pattern", IF($O1071="SOFix", "True Pattern", IF($O1071="ssFix", "Search Like Pattern", IF($O1071="TBar", "True Pattern", ""))))))))))))))))))))</f>
        <v>True Pattern</v>
      </c>
      <c r="Q1071" s="13" t="str">
        <f>IF(NOT(ISERR(SEARCH("*_Buggy",$A1071))), "Buggy", IF(NOT(ISERR(SEARCH("*_Fixed",$A1071))), "Fixed", IF(NOT(ISERR(SEARCH("*_Repaired",$A1071))), "Repaired", "")))</f>
        <v>Fixed</v>
      </c>
      <c r="R1071" s="13" t="s">
        <v>1668</v>
      </c>
      <c r="S1071" s="25">
        <v>1</v>
      </c>
      <c r="T1071" s="25">
        <v>1</v>
      </c>
      <c r="U1071" s="25">
        <v>1</v>
      </c>
      <c r="V1071" s="13">
        <v>1</v>
      </c>
      <c r="W1071" s="13" t="str">
        <f>MID(A1071, SEARCH("_", A1071) +1, SEARCH("_", A1071, SEARCH("_", A1071) +1) - SEARCH("_", A1071) -1)</f>
        <v>Mockito-26</v>
      </c>
      <c r="Y1071" s="1" t="str">
        <f t="shared" si="48"/>
        <v>NO</v>
      </c>
      <c r="Z1071" s="1" t="str">
        <f t="shared" si="49"/>
        <v>NO</v>
      </c>
      <c r="AA1071" t="str">
        <f>IF(AND(S1071&gt;1,S1596&gt;1,S1071=V1071,S1596=V1596), "YES", "NO")</f>
        <v>NO</v>
      </c>
      <c r="AB1071" t="str">
        <f>IF(AND(S1071&gt;1,S1596&gt;1,S1071&lt;V1071,S1596&lt;V1596), "YES", "NO")</f>
        <v>NO</v>
      </c>
      <c r="AC1071" t="str">
        <f t="shared" si="50"/>
        <v>YES</v>
      </c>
      <c r="AD1071" t="str">
        <f t="shared" si="51"/>
        <v>NO</v>
      </c>
      <c r="AE1071" t="str">
        <f t="shared" si="52"/>
        <v>YES</v>
      </c>
      <c r="AF1071" t="str">
        <f t="shared" si="53"/>
        <v>NO</v>
      </c>
    </row>
    <row r="1072" spans="1:32" ht="15" x14ac:dyDescent="0.35">
      <c r="A1072" s="7" t="s">
        <v>280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>LEFT($A1072,FIND("_",$A1072)-1)</f>
        <v>TBar</v>
      </c>
      <c r="P1072" s="13" t="str">
        <f>IF($O1072="ACS", "True Search", IF($O1072="Arja", "Evolutionary Search", IF($O1072="AVATAR", "True Pattern", IF($O1072="CapGen", "Search Like Pattern", IF($O1072="Cardumen", "True Semantic", IF($O1072="DynaMoth", "True Semantic", IF($O1072="FixMiner", "True Pattern", IF($O1072="GenProg-A", "Evolutionary Search", IF($O1072="Hercules", "Learning Pattern", IF($O1072="Jaid", "True Semantic",
IF($O1072="Kali-A", "True Search", IF($O1072="kPAR", "True Pattern", IF($O1072="Nopol", "True Semantic", IF($O1072="RSRepair-A", "Evolutionary Search", IF($O1072="SequenceR", "Deep Learning", IF($O1072="SimFix", "Search Like Pattern", IF($O1072="SketchFix", "True Pattern", IF($O1072="SOFix", "True Pattern", IF($O1072="ssFix", "Search Like Pattern", IF($O1072="TBar", "True Pattern", ""))))))))))))))))))))</f>
        <v>True Pattern</v>
      </c>
      <c r="Q1072" s="13" t="str">
        <f>IF(NOT(ISERR(SEARCH("*_Buggy",$A1072))), "Buggy", IF(NOT(ISERR(SEARCH("*_Fixed",$A1072))), "Fixed", IF(NOT(ISERR(SEARCH("*_Repaired",$A1072))), "Repaired", "")))</f>
        <v>Fixed</v>
      </c>
      <c r="R1072" s="13" t="s">
        <v>1668</v>
      </c>
      <c r="S1072" s="25">
        <v>1</v>
      </c>
      <c r="T1072" s="25">
        <v>1</v>
      </c>
      <c r="U1072" s="25">
        <v>1</v>
      </c>
      <c r="V1072" s="13">
        <v>1</v>
      </c>
      <c r="W1072" s="13" t="str">
        <f>MID(A1072, SEARCH("_", A1072) +1, SEARCH("_", A1072, SEARCH("_", A1072) +1) - SEARCH("_", A1072) -1)</f>
        <v>Mockito-29</v>
      </c>
      <c r="Y1072" s="1" t="str">
        <f t="shared" si="48"/>
        <v>NO</v>
      </c>
      <c r="Z1072" s="1" t="str">
        <f t="shared" si="49"/>
        <v>NO</v>
      </c>
      <c r="AA1072" t="str">
        <f>IF(AND(S1072&gt;1,S1597&gt;1,S1072=V1072,S1597=V1597), "YES", "NO")</f>
        <v>NO</v>
      </c>
      <c r="AB1072" t="str">
        <f>IF(AND(S1072&gt;1,S1597&gt;1,S1072&lt;V1072,S1597&lt;V1597), "YES", "NO")</f>
        <v>NO</v>
      </c>
      <c r="AC1072" t="str">
        <f t="shared" si="50"/>
        <v>NO</v>
      </c>
      <c r="AD1072" t="str">
        <f t="shared" si="51"/>
        <v>NO</v>
      </c>
      <c r="AE1072" t="str">
        <f t="shared" si="52"/>
        <v>NO</v>
      </c>
      <c r="AF1072" t="str">
        <f t="shared" si="53"/>
        <v>NO</v>
      </c>
    </row>
    <row r="1073" spans="1:32" ht="15.6" thickBot="1" x14ac:dyDescent="0.4">
      <c r="A1073" s="19" t="s">
        <v>300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>LEFT($A1073,FIND("_",$A1073)-1)</f>
        <v>TBar</v>
      </c>
      <c r="P1073" s="21" t="str">
        <f>IF($O1073="ACS", "True Search", IF($O1073="Arja", "Evolutionary Search", IF($O1073="AVATAR", "True Pattern", IF($O1073="CapGen", "Search Like Pattern", IF($O1073="Cardumen", "True Semantic", IF($O1073="DynaMoth", "True Semantic", IF($O1073="FixMiner", "True Pattern", IF($O1073="GenProg-A", "Evolutionary Search", IF($O1073="Hercules", "Learning Pattern", IF($O1073="Jaid", "True Semantic",
IF($O1073="Kali-A", "True Search", IF($O1073="kPAR", "True Pattern", IF($O1073="Nopol", "True Semantic", IF($O1073="RSRepair-A", "Evolutionary Search", IF($O1073="SequenceR", "Deep Learning", IF($O1073="SimFix", "Search Like Pattern", IF($O1073="SketchFix", "True Pattern", IF($O1073="SOFix", "True Pattern", IF($O1073="ssFix", "Search Like Pattern", IF($O1073="TBar", "True Pattern", ""))))))))))))))))))))</f>
        <v>True Pattern</v>
      </c>
      <c r="Q1073" s="21" t="str">
        <f>IF(NOT(ISERR(SEARCH("*_Buggy",$A1073))), "Buggy", IF(NOT(ISERR(SEARCH("*_Fixed",$A1073))), "Fixed", IF(NOT(ISERR(SEARCH("*_Repaired",$A1073))), "Repaired", "")))</f>
        <v>Fixed</v>
      </c>
      <c r="R1073" s="21" t="s">
        <v>1668</v>
      </c>
      <c r="S1073" s="26">
        <v>1</v>
      </c>
      <c r="T1073" s="26">
        <v>1</v>
      </c>
      <c r="U1073" s="26">
        <v>1</v>
      </c>
      <c r="V1073" s="21">
        <v>1</v>
      </c>
      <c r="W1073" s="21" t="str">
        <f>MID(A1073, SEARCH("_", A1073) +1, SEARCH("_", A1073, SEARCH("_", A1073) +1) - SEARCH("_", A1073) -1)</f>
        <v>Mockito-38</v>
      </c>
      <c r="X1073" s="49"/>
      <c r="Y1073" s="31" t="str">
        <f t="shared" si="48"/>
        <v>NO</v>
      </c>
      <c r="Z1073" s="31" t="str">
        <f t="shared" si="49"/>
        <v>NO</v>
      </c>
      <c r="AA1073" s="41" t="str">
        <f>IF(AND(S1073&gt;1,S1598&gt;1,S1073=V1073,S1598=V1598), "YES", "NO")</f>
        <v>NO</v>
      </c>
      <c r="AB1073" s="41" t="str">
        <f>IF(AND(S1073&gt;1,S1598&gt;1,S1073&lt;V1073,S1598&lt;V1598), "YES", "NO")</f>
        <v>NO</v>
      </c>
      <c r="AC1073" s="41" t="str">
        <f t="shared" si="50"/>
        <v>NO</v>
      </c>
      <c r="AD1073" s="41" t="str">
        <f t="shared" si="51"/>
        <v>NO</v>
      </c>
      <c r="AE1073" s="41" t="str">
        <f t="shared" si="52"/>
        <v>NO</v>
      </c>
      <c r="AF1073" s="41" t="str">
        <f t="shared" si="53"/>
        <v>NO</v>
      </c>
    </row>
    <row r="1074" spans="1:32" ht="15" x14ac:dyDescent="0.35">
      <c r="A1074" s="16" t="s">
        <v>287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>LEFT($A1074,FIND("_",$A1074)-1)</f>
        <v>ACS</v>
      </c>
      <c r="P1074" s="13" t="str">
        <f>IF($O1074="ACS", "True Search", IF($O1074="Arja", "Evolutionary Search", IF($O1074="AVATAR", "True Pattern", IF($O1074="CapGen", "Search Like Pattern", IF($O1074="Cardumen", "True Semantic", IF($O1074="DynaMoth", "True Semantic", IF($O1074="FixMiner", "True Pattern", IF($O1074="GenProg-A", "Evolutionary Search", IF($O1074="Hercules", "Learning Pattern", IF($O1074="Jaid", "True Semantic",
IF($O1074="Kali-A", "True Search", IF($O1074="kPAR", "True Pattern", IF($O1074="Nopol", "True Semantic", IF($O1074="RSRepair-A", "Evolutionary Search", IF($O1074="SequenceR", "Deep Learning", IF($O1074="SimFix", "Search Like Pattern", IF($O1074="SketchFix", "True Pattern", IF($O1074="SOFix", "True Pattern", IF($O1074="ssFix", "Search Like Pattern", IF($O1074="TBar", "True Pattern", ""))))))))))))))))))))</f>
        <v>True Search</v>
      </c>
      <c r="Q1074" s="18" t="str">
        <f>IF(NOT(ISERR(SEARCH("*_Buggy",$A1074))), "Buggy", IF(NOT(ISERR(SEARCH("*_Fixed",$A1074))), "Fixed", IF(NOT(ISERR(SEARCH("*_Repaired",$A1074))), "Repaired", "")))</f>
        <v>Repaired</v>
      </c>
      <c r="R1074" s="18" t="s">
        <v>1668</v>
      </c>
      <c r="S1074" s="24">
        <v>2</v>
      </c>
      <c r="T1074" s="24">
        <v>2</v>
      </c>
      <c r="U1074" s="24">
        <v>2</v>
      </c>
      <c r="V1074" s="18">
        <v>2</v>
      </c>
      <c r="W1074" s="18" t="str">
        <f>MID(A1074, SEARCH("_", A1074) +1, SEARCH("_", A1074, SEARCH("_", A1074) +1) - SEARCH("_", A1074) -1)</f>
        <v>Chart-19</v>
      </c>
      <c r="Y1074" s="1" t="str">
        <f>IF(AND(S1074&gt;1,S1074=V1074), "YES", "NO")</f>
        <v>YES</v>
      </c>
      <c r="Z1074" s="1" t="str">
        <f t="shared" si="49"/>
        <v>NO</v>
      </c>
      <c r="AA1074" t="s">
        <v>1704</v>
      </c>
      <c r="AB1074" t="s">
        <v>1704</v>
      </c>
      <c r="AC1074" s="1" t="s">
        <v>1704</v>
      </c>
      <c r="AD1074" s="1" t="s">
        <v>1704</v>
      </c>
      <c r="AE1074" s="1" t="s">
        <v>1704</v>
      </c>
      <c r="AF1074" s="1" t="s">
        <v>1705</v>
      </c>
    </row>
    <row r="1075" spans="1:32" ht="15" x14ac:dyDescent="0.35">
      <c r="A1075" s="7" t="s">
        <v>599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>LEFT($A1075,FIND("_",$A1075)-1)</f>
        <v>ACS</v>
      </c>
      <c r="P1075" s="13" t="str">
        <f>IF($O1075="ACS", "True Search", IF($O1075="Arja", "Evolutionary Search", IF($O1075="AVATAR", "True Pattern", IF($O1075="CapGen", "Search Like Pattern", IF($O1075="Cardumen", "True Semantic", IF($O1075="DynaMoth", "True Semantic", IF($O1075="FixMiner", "True Pattern", IF($O1075="GenProg-A", "Evolutionary Search", IF($O1075="Hercules", "Learning Pattern", IF($O1075="Jaid", "True Semantic",
IF($O1075="Kali-A", "True Search", IF($O1075="kPAR", "True Pattern", IF($O1075="Nopol", "True Semantic", IF($O1075="RSRepair-A", "Evolutionary Search", IF($O1075="SequenceR", "Deep Learning", IF($O1075="SimFix", "Search Like Pattern", IF($O1075="SketchFix", "True Pattern", IF($O1075="SOFix", "True Pattern", IF($O1075="ssFix", "Search Like Pattern", IF($O1075="TBar", "True Pattern", ""))))))))))))))))))))</f>
        <v>True Search</v>
      </c>
      <c r="Q1075" s="13" t="str">
        <f>IF(NOT(ISERR(SEARCH("*_Buggy",$A1075))), "Buggy", IF(NOT(ISERR(SEARCH("*_Fixed",$A1075))), "Fixed", IF(NOT(ISERR(SEARCH("*_Repaired",$A1075))), "Repaired", "")))</f>
        <v>Repaired</v>
      </c>
      <c r="R1075" s="13" t="s">
        <v>1668</v>
      </c>
      <c r="S1075" s="25">
        <v>1</v>
      </c>
      <c r="T1075" s="25">
        <v>1</v>
      </c>
      <c r="U1075" s="25">
        <v>1</v>
      </c>
      <c r="V1075" s="13">
        <v>1</v>
      </c>
      <c r="W1075" s="13" t="str">
        <f>MID(A1075, SEARCH("_", A1075) +1, SEARCH("_", A1075, SEARCH("_", A1075) +1) - SEARCH("_", A1075) -1)</f>
        <v>Lang-24</v>
      </c>
      <c r="Y1075" s="1" t="str">
        <f t="shared" si="48"/>
        <v>NO</v>
      </c>
      <c r="Z1075" s="1" t="str">
        <f t="shared" si="49"/>
        <v>NO</v>
      </c>
      <c r="AA1075" t="s">
        <v>1704</v>
      </c>
      <c r="AB1075" t="s">
        <v>1704</v>
      </c>
      <c r="AC1075" s="1" t="s">
        <v>1705</v>
      </c>
      <c r="AD1075" s="1" t="s">
        <v>1704</v>
      </c>
      <c r="AE1075" s="1" t="s">
        <v>1705</v>
      </c>
      <c r="AF1075" s="1" t="s">
        <v>1704</v>
      </c>
    </row>
    <row r="1076" spans="1:32" ht="15" x14ac:dyDescent="0.35">
      <c r="A1076" s="7" t="s">
        <v>522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>LEFT($A1076,FIND("_",$A1076)-1)</f>
        <v>ACS</v>
      </c>
      <c r="P1076" s="13" t="str">
        <f>IF($O1076="ACS", "True Search", IF($O1076="Arja", "Evolutionary Search", IF($O1076="AVATAR", "True Pattern", IF($O1076="CapGen", "Search Like Pattern", IF($O1076="Cardumen", "True Semantic", IF($O1076="DynaMoth", "True Semantic", IF($O1076="FixMiner", "True Pattern", IF($O1076="GenProg-A", "Evolutionary Search", IF($O1076="Hercules", "Learning Pattern", IF($O1076="Jaid", "True Semantic",
IF($O1076="Kali-A", "True Search", IF($O1076="kPAR", "True Pattern", IF($O1076="Nopol", "True Semantic", IF($O1076="RSRepair-A", "Evolutionary Search", IF($O1076="SequenceR", "Deep Learning", IF($O1076="SimFix", "Search Like Pattern", IF($O1076="SketchFix", "True Pattern", IF($O1076="SOFix", "True Pattern", IF($O1076="ssFix", "Search Like Pattern", IF($O1076="TBar", "True Pattern", ""))))))))))))))))))))</f>
        <v>True Search</v>
      </c>
      <c r="Q1076" s="13" t="str">
        <f>IF(NOT(ISERR(SEARCH("*_Buggy",$A1076))), "Buggy", IF(NOT(ISERR(SEARCH("*_Fixed",$A1076))), "Fixed", IF(NOT(ISERR(SEARCH("*_Repaired",$A1076))), "Repaired", "")))</f>
        <v>Repaired</v>
      </c>
      <c r="R1076" s="13" t="s">
        <v>1668</v>
      </c>
      <c r="S1076" s="25">
        <v>2</v>
      </c>
      <c r="T1076" s="25">
        <v>2</v>
      </c>
      <c r="U1076" s="25">
        <v>2</v>
      </c>
      <c r="V1076" s="13">
        <v>2</v>
      </c>
      <c r="W1076" s="13" t="str">
        <f>MID(A1076, SEARCH("_", A1076) +1, SEARCH("_", A1076, SEARCH("_", A1076) +1) - SEARCH("_", A1076) -1)</f>
        <v>Lang-35</v>
      </c>
      <c r="Y1076" s="1" t="str">
        <f t="shared" si="48"/>
        <v>YES</v>
      </c>
      <c r="Z1076" s="1" t="str">
        <f t="shared" si="49"/>
        <v>NO</v>
      </c>
      <c r="AA1076" t="s">
        <v>1705</v>
      </c>
      <c r="AB1076" t="s">
        <v>1704</v>
      </c>
      <c r="AC1076" s="1" t="s">
        <v>1704</v>
      </c>
      <c r="AD1076" s="1" t="s">
        <v>1704</v>
      </c>
      <c r="AE1076" s="1" t="s">
        <v>1704</v>
      </c>
      <c r="AF1076" s="1" t="s">
        <v>1705</v>
      </c>
    </row>
    <row r="1077" spans="1:32" ht="15" x14ac:dyDescent="0.35">
      <c r="A1077" s="5" t="s">
        <v>635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>LEFT($A1077,FIND("_",$A1077)-1)</f>
        <v>ACS</v>
      </c>
      <c r="P1077" s="13" t="str">
        <f>IF($O1077="ACS", "True Search", IF($O1077="Arja", "Evolutionary Search", IF($O1077="AVATAR", "True Pattern", IF($O1077="CapGen", "Search Like Pattern", IF($O1077="Cardumen", "True Semantic", IF($O1077="DynaMoth", "True Semantic", IF($O1077="FixMiner", "True Pattern", IF($O1077="GenProg-A", "Evolutionary Search", IF($O1077="Hercules", "Learning Pattern", IF($O1077="Jaid", "True Semantic",
IF($O1077="Kali-A", "True Search", IF($O1077="kPAR", "True Pattern", IF($O1077="Nopol", "True Semantic", IF($O1077="RSRepair-A", "Evolutionary Search", IF($O1077="SequenceR", "Deep Learning", IF($O1077="SimFix", "Search Like Pattern", IF($O1077="SketchFix", "True Pattern", IF($O1077="SOFix", "True Pattern", IF($O1077="ssFix", "Search Like Pattern", IF($O1077="TBar", "True Pattern", ""))))))))))))))))))))</f>
        <v>True Search</v>
      </c>
      <c r="Q1077" s="13" t="str">
        <f>IF(NOT(ISERR(SEARCH("*_Buggy",$A1077))), "Buggy", IF(NOT(ISERR(SEARCH("*_Fixed",$A1077))), "Fixed", IF(NOT(ISERR(SEARCH("*_Repaired",$A1077))), "Repaired", "")))</f>
        <v>Repaired</v>
      </c>
      <c r="R1077" s="13" t="s">
        <v>1668</v>
      </c>
      <c r="S1077" s="25">
        <v>1</v>
      </c>
      <c r="T1077" s="25">
        <v>1</v>
      </c>
      <c r="U1077" s="25">
        <v>1</v>
      </c>
      <c r="V1077" s="13">
        <v>1</v>
      </c>
      <c r="W1077" s="13" t="str">
        <f>MID(A1077, SEARCH("_", A1077) +1, SEARCH("_", A1077, SEARCH("_", A1077) +1) - SEARCH("_", A1077) -1)</f>
        <v>Lang-7</v>
      </c>
      <c r="Y1077" s="1" t="str">
        <f t="shared" si="48"/>
        <v>NO</v>
      </c>
      <c r="Z1077" s="1" t="str">
        <f t="shared" si="49"/>
        <v>NO</v>
      </c>
      <c r="AA1077" t="s">
        <v>1704</v>
      </c>
      <c r="AB1077" t="s">
        <v>1704</v>
      </c>
      <c r="AC1077" s="1" t="s">
        <v>1704</v>
      </c>
      <c r="AD1077" s="1" t="s">
        <v>1704</v>
      </c>
      <c r="AE1077" s="1" t="s">
        <v>1704</v>
      </c>
      <c r="AF1077" s="1" t="s">
        <v>1704</v>
      </c>
    </row>
    <row r="1078" spans="1:32" ht="15" x14ac:dyDescent="0.35">
      <c r="A1078" s="5" t="s">
        <v>447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>LEFT($A1078,FIND("_",$A1078)-1)</f>
        <v>ACS</v>
      </c>
      <c r="P1078" s="13" t="str">
        <f>IF($O1078="ACS", "True Search", IF($O1078="Arja", "Evolutionary Search", IF($O1078="AVATAR", "True Pattern", IF($O1078="CapGen", "Search Like Pattern", IF($O1078="Cardumen", "True Semantic", IF($O1078="DynaMoth", "True Semantic", IF($O1078="FixMiner", "True Pattern", IF($O1078="GenProg-A", "Evolutionary Search", IF($O1078="Hercules", "Learning Pattern", IF($O1078="Jaid", "True Semantic",
IF($O1078="Kali-A", "True Search", IF($O1078="kPAR", "True Pattern", IF($O1078="Nopol", "True Semantic", IF($O1078="RSRepair-A", "Evolutionary Search", IF($O1078="SequenceR", "Deep Learning", IF($O1078="SimFix", "Search Like Pattern", IF($O1078="SketchFix", "True Pattern", IF($O1078="SOFix", "True Pattern", IF($O1078="ssFix", "Search Like Pattern", IF($O1078="TBar", "True Pattern", ""))))))))))))))))))))</f>
        <v>True Search</v>
      </c>
      <c r="Q1078" s="13" t="str">
        <f>IF(NOT(ISERR(SEARCH("*_Buggy",$A1078))), "Buggy", IF(NOT(ISERR(SEARCH("*_Fixed",$A1078))), "Fixed", IF(NOT(ISERR(SEARCH("*_Repaired",$A1078))), "Repaired", "")))</f>
        <v>Repaired</v>
      </c>
      <c r="R1078" s="13" t="s">
        <v>1668</v>
      </c>
      <c r="S1078" s="25">
        <v>1</v>
      </c>
      <c r="T1078" s="25">
        <v>1</v>
      </c>
      <c r="U1078" s="25">
        <v>1</v>
      </c>
      <c r="V1078" s="13">
        <v>1</v>
      </c>
      <c r="W1078" s="13" t="str">
        <f>MID(A1078, SEARCH("_", A1078) +1, SEARCH("_", A1078, SEARCH("_", A1078) +1) - SEARCH("_", A1078) -1)</f>
        <v>Math-25</v>
      </c>
      <c r="Y1078" s="1" t="str">
        <f t="shared" si="48"/>
        <v>NO</v>
      </c>
      <c r="Z1078" s="1" t="str">
        <f t="shared" si="49"/>
        <v>NO</v>
      </c>
      <c r="AA1078" t="s">
        <v>1704</v>
      </c>
      <c r="AB1078" t="s">
        <v>1704</v>
      </c>
      <c r="AC1078" s="1" t="s">
        <v>1704</v>
      </c>
      <c r="AD1078" s="1" t="s">
        <v>1704</v>
      </c>
      <c r="AE1078" s="1" t="s">
        <v>1704</v>
      </c>
      <c r="AF1078" s="1" t="s">
        <v>1704</v>
      </c>
    </row>
    <row r="1079" spans="1:32" ht="15" x14ac:dyDescent="0.35">
      <c r="A1079" s="5" t="s">
        <v>1231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>LEFT($A1079,FIND("_",$A1079)-1)</f>
        <v>ACS</v>
      </c>
      <c r="P1079" s="13" t="str">
        <f>IF($O1079="ACS", "True Search", IF($O1079="Arja", "Evolutionary Search", IF($O1079="AVATAR", "True Pattern", IF($O1079="CapGen", "Search Like Pattern", IF($O1079="Cardumen", "True Semantic", IF($O1079="DynaMoth", "True Semantic", IF($O1079="FixMiner", "True Pattern", IF($O1079="GenProg-A", "Evolutionary Search", IF($O1079="Hercules", "Learning Pattern", IF($O1079="Jaid", "True Semantic",
IF($O1079="Kali-A", "True Search", IF($O1079="kPAR", "True Pattern", IF($O1079="Nopol", "True Semantic", IF($O1079="RSRepair-A", "Evolutionary Search", IF($O1079="SequenceR", "Deep Learning", IF($O1079="SimFix", "Search Like Pattern", IF($O1079="SketchFix", "True Pattern", IF($O1079="SOFix", "True Pattern", IF($O1079="ssFix", "Search Like Pattern", IF($O1079="TBar", "True Pattern", ""))))))))))))))))))))</f>
        <v>True Search</v>
      </c>
      <c r="Q1079" s="13" t="str">
        <f>IF(NOT(ISERR(SEARCH("*_Buggy",$A1079))), "Buggy", IF(NOT(ISERR(SEARCH("*_Fixed",$A1079))), "Fixed", IF(NOT(ISERR(SEARCH("*_Repaired",$A1079))), "Repaired", "")))</f>
        <v>Repaired</v>
      </c>
      <c r="R1079" s="13" t="s">
        <v>1669</v>
      </c>
      <c r="S1079" s="25">
        <v>1</v>
      </c>
      <c r="T1079" s="25">
        <v>1</v>
      </c>
      <c r="U1079" s="25">
        <v>2</v>
      </c>
      <c r="V1079" s="13">
        <v>2</v>
      </c>
      <c r="W1079" s="13" t="str">
        <f>MID(A1079, SEARCH("_", A1079) +1, SEARCH("_", A1079, SEARCH("_", A1079) +1) - SEARCH("_", A1079) -1)</f>
        <v>Math-28</v>
      </c>
      <c r="Y1079" s="1" t="str">
        <f t="shared" si="48"/>
        <v>NO</v>
      </c>
      <c r="Z1079" s="1" t="str">
        <f t="shared" si="49"/>
        <v>NO</v>
      </c>
      <c r="AA1079" t="s">
        <v>1704</v>
      </c>
      <c r="AB1079" t="s">
        <v>1704</v>
      </c>
      <c r="AC1079" s="1" t="s">
        <v>1704</v>
      </c>
      <c r="AD1079" s="1" t="s">
        <v>1704</v>
      </c>
      <c r="AE1079" s="1" t="s">
        <v>1704</v>
      </c>
      <c r="AF1079" s="1" t="s">
        <v>1705</v>
      </c>
    </row>
    <row r="1080" spans="1:32" ht="15" x14ac:dyDescent="0.35">
      <c r="A1080" s="5" t="s">
        <v>1195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>LEFT($A1080,FIND("_",$A1080)-1)</f>
        <v>ACS</v>
      </c>
      <c r="P1080" s="13" t="str">
        <f>IF($O1080="ACS", "True Search", IF($O1080="Arja", "Evolutionary Search", IF($O1080="AVATAR", "True Pattern", IF($O1080="CapGen", "Search Like Pattern", IF($O1080="Cardumen", "True Semantic", IF($O1080="DynaMoth", "True Semantic", IF($O1080="FixMiner", "True Pattern", IF($O1080="GenProg-A", "Evolutionary Search", IF($O1080="Hercules", "Learning Pattern", IF($O1080="Jaid", "True Semantic",
IF($O1080="Kali-A", "True Search", IF($O1080="kPAR", "True Pattern", IF($O1080="Nopol", "True Semantic", IF($O1080="RSRepair-A", "Evolutionary Search", IF($O1080="SequenceR", "Deep Learning", IF($O1080="SimFix", "Search Like Pattern", IF($O1080="SketchFix", "True Pattern", IF($O1080="SOFix", "True Pattern", IF($O1080="ssFix", "Search Like Pattern", IF($O1080="TBar", "True Pattern", ""))))))))))))))))))))</f>
        <v>True Search</v>
      </c>
      <c r="Q1080" s="13" t="str">
        <f>IF(NOT(ISERR(SEARCH("*_Buggy",$A1080))), "Buggy", IF(NOT(ISERR(SEARCH("*_Fixed",$A1080))), "Fixed", IF(NOT(ISERR(SEARCH("*_Repaired",$A1080))), "Repaired", "")))</f>
        <v>Repaired</v>
      </c>
      <c r="R1080" s="13" t="s">
        <v>1668</v>
      </c>
      <c r="S1080" s="25">
        <v>1</v>
      </c>
      <c r="T1080" s="25">
        <v>1</v>
      </c>
      <c r="U1080" s="25">
        <v>1</v>
      </c>
      <c r="V1080" s="13">
        <v>1</v>
      </c>
      <c r="W1080" s="13" t="str">
        <f>MID(A1080, SEARCH("_", A1080) +1, SEARCH("_", A1080, SEARCH("_", A1080) +1) - SEARCH("_", A1080) -1)</f>
        <v>Math-3</v>
      </c>
      <c r="Y1080" s="1" t="str">
        <f t="shared" si="48"/>
        <v>NO</v>
      </c>
      <c r="Z1080" s="1" t="str">
        <f t="shared" si="49"/>
        <v>NO</v>
      </c>
      <c r="AA1080" t="s">
        <v>1704</v>
      </c>
      <c r="AB1080" t="s">
        <v>1704</v>
      </c>
      <c r="AC1080" s="1" t="s">
        <v>1704</v>
      </c>
      <c r="AD1080" s="1" t="s">
        <v>1704</v>
      </c>
      <c r="AE1080" s="1" t="s">
        <v>1704</v>
      </c>
      <c r="AF1080" s="1" t="s">
        <v>1704</v>
      </c>
    </row>
    <row r="1081" spans="1:32" ht="15" x14ac:dyDescent="0.35">
      <c r="A1081" s="5" t="s">
        <v>1206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>LEFT($A1081,FIND("_",$A1081)-1)</f>
        <v>ACS</v>
      </c>
      <c r="P1081" s="13" t="str">
        <f>IF($O1081="ACS", "True Search", IF($O1081="Arja", "Evolutionary Search", IF($O1081="AVATAR", "True Pattern", IF($O1081="CapGen", "Search Like Pattern", IF($O1081="Cardumen", "True Semantic", IF($O1081="DynaMoth", "True Semantic", IF($O1081="FixMiner", "True Pattern", IF($O1081="GenProg-A", "Evolutionary Search", IF($O1081="Hercules", "Learning Pattern", IF($O1081="Jaid", "True Semantic",
IF($O1081="Kali-A", "True Search", IF($O1081="kPAR", "True Pattern", IF($O1081="Nopol", "True Semantic", IF($O1081="RSRepair-A", "Evolutionary Search", IF($O1081="SequenceR", "Deep Learning", IF($O1081="SimFix", "Search Like Pattern", IF($O1081="SketchFix", "True Pattern", IF($O1081="SOFix", "True Pattern", IF($O1081="ssFix", "Search Like Pattern", IF($O1081="TBar", "True Pattern", ""))))))))))))))))))))</f>
        <v>True Search</v>
      </c>
      <c r="Q1081" s="13" t="str">
        <f>IF(NOT(ISERR(SEARCH("*_Buggy",$A1081))), "Buggy", IF(NOT(ISERR(SEARCH("*_Fixed",$A1081))), "Fixed", IF(NOT(ISERR(SEARCH("*_Repaired",$A1081))), "Repaired", "")))</f>
        <v>Repaired</v>
      </c>
      <c r="R1081" s="13" t="s">
        <v>1668</v>
      </c>
      <c r="S1081" s="25">
        <v>2</v>
      </c>
      <c r="T1081" s="13">
        <v>4</v>
      </c>
      <c r="U1081" s="25">
        <v>0</v>
      </c>
      <c r="V1081" s="13">
        <v>4</v>
      </c>
      <c r="W1081" s="13" t="str">
        <f>MID(A1081, SEARCH("_", A1081) +1, SEARCH("_", A1081, SEARCH("_", A1081) +1) - SEARCH("_", A1081) -1)</f>
        <v>Math-35</v>
      </c>
      <c r="Y1081" s="1" t="str">
        <f t="shared" si="48"/>
        <v>NO</v>
      </c>
      <c r="Z1081" s="1" t="str">
        <f t="shared" si="49"/>
        <v>YES</v>
      </c>
      <c r="AA1081" t="s">
        <v>1704</v>
      </c>
      <c r="AB1081" t="s">
        <v>1704</v>
      </c>
      <c r="AC1081" s="1" t="s">
        <v>1704</v>
      </c>
      <c r="AD1081" s="1" t="s">
        <v>1704</v>
      </c>
      <c r="AE1081" s="1" t="s">
        <v>1704</v>
      </c>
      <c r="AF1081" s="1" t="s">
        <v>1705</v>
      </c>
    </row>
    <row r="1082" spans="1:32" ht="15" x14ac:dyDescent="0.35">
      <c r="A1082" s="7" t="s">
        <v>1117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>LEFT($A1082,FIND("_",$A1082)-1)</f>
        <v>ACS</v>
      </c>
      <c r="P1082" s="13" t="str">
        <f>IF($O1082="ACS", "True Search", IF($O1082="Arja", "Evolutionary Search", IF($O1082="AVATAR", "True Pattern", IF($O1082="CapGen", "Search Like Pattern", IF($O1082="Cardumen", "True Semantic", IF($O1082="DynaMoth", "True Semantic", IF($O1082="FixMiner", "True Pattern", IF($O1082="GenProg-A", "Evolutionary Search", IF($O1082="Hercules", "Learning Pattern", IF($O1082="Jaid", "True Semantic",
IF($O1082="Kali-A", "True Search", IF($O1082="kPAR", "True Pattern", IF($O1082="Nopol", "True Semantic", IF($O1082="RSRepair-A", "Evolutionary Search", IF($O1082="SequenceR", "Deep Learning", IF($O1082="SimFix", "Search Like Pattern", IF($O1082="SketchFix", "True Pattern", IF($O1082="SOFix", "True Pattern", IF($O1082="ssFix", "Search Like Pattern", IF($O1082="TBar", "True Pattern", ""))))))))))))))))))))</f>
        <v>True Search</v>
      </c>
      <c r="Q1082" s="13" t="str">
        <f>IF(NOT(ISERR(SEARCH("*_Buggy",$A1082))), "Buggy", IF(NOT(ISERR(SEARCH("*_Fixed",$A1082))), "Fixed", IF(NOT(ISERR(SEARCH("*_Repaired",$A1082))), "Repaired", "")))</f>
        <v>Repaired</v>
      </c>
      <c r="R1082" s="13" t="s">
        <v>1668</v>
      </c>
      <c r="S1082" s="25">
        <v>1</v>
      </c>
      <c r="T1082" s="25">
        <v>1</v>
      </c>
      <c r="U1082" s="25">
        <v>1</v>
      </c>
      <c r="V1082" s="13">
        <v>1</v>
      </c>
      <c r="W1082" s="13" t="str">
        <f>MID(A1082, SEARCH("_", A1082) +1, SEARCH("_", A1082, SEARCH("_", A1082) +1) - SEARCH("_", A1082) -1)</f>
        <v>Math-5</v>
      </c>
      <c r="Y1082" s="1" t="str">
        <f t="shared" si="48"/>
        <v>NO</v>
      </c>
      <c r="Z1082" s="1" t="str">
        <f t="shared" si="49"/>
        <v>NO</v>
      </c>
      <c r="AA1082" t="s">
        <v>1704</v>
      </c>
      <c r="AB1082" t="s">
        <v>1704</v>
      </c>
      <c r="AC1082" s="1" t="s">
        <v>1705</v>
      </c>
      <c r="AD1082" s="1" t="s">
        <v>1704</v>
      </c>
      <c r="AE1082" s="1" t="s">
        <v>1705</v>
      </c>
      <c r="AF1082" s="1" t="s">
        <v>1704</v>
      </c>
    </row>
    <row r="1083" spans="1:32" ht="15" x14ac:dyDescent="0.35">
      <c r="A1083" s="7" t="s">
        <v>393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>LEFT($A1083,FIND("_",$A1083)-1)</f>
        <v>ACS</v>
      </c>
      <c r="P1083" s="13" t="str">
        <f>IF($O1083="ACS", "True Search", IF($O1083="Arja", "Evolutionary Search", IF($O1083="AVATAR", "True Pattern", IF($O1083="CapGen", "Search Like Pattern", IF($O1083="Cardumen", "True Semantic", IF($O1083="DynaMoth", "True Semantic", IF($O1083="FixMiner", "True Pattern", IF($O1083="GenProg-A", "Evolutionary Search", IF($O1083="Hercules", "Learning Pattern", IF($O1083="Jaid", "True Semantic",
IF($O1083="Kali-A", "True Search", IF($O1083="kPAR", "True Pattern", IF($O1083="Nopol", "True Semantic", IF($O1083="RSRepair-A", "Evolutionary Search", IF($O1083="SequenceR", "Deep Learning", IF($O1083="SimFix", "Search Like Pattern", IF($O1083="SketchFix", "True Pattern", IF($O1083="SOFix", "True Pattern", IF($O1083="ssFix", "Search Like Pattern", IF($O1083="TBar", "True Pattern", ""))))))))))))))))))))</f>
        <v>True Search</v>
      </c>
      <c r="Q1083" s="13" t="str">
        <f>IF(NOT(ISERR(SEARCH("*_Buggy",$A1083))), "Buggy", IF(NOT(ISERR(SEARCH("*_Fixed",$A1083))), "Fixed", IF(NOT(ISERR(SEARCH("*_Repaired",$A1083))), "Repaired", "")))</f>
        <v>Repaired</v>
      </c>
      <c r="R1083" s="13" t="s">
        <v>1669</v>
      </c>
      <c r="S1083" s="25">
        <v>1</v>
      </c>
      <c r="T1083" s="25">
        <v>1</v>
      </c>
      <c r="U1083" s="25">
        <v>1</v>
      </c>
      <c r="V1083" s="13">
        <v>1</v>
      </c>
      <c r="W1083" s="13" t="str">
        <f>MID(A1083, SEARCH("_", A1083) +1, SEARCH("_", A1083, SEARCH("_", A1083) +1) - SEARCH("_", A1083) -1)</f>
        <v>Math-73</v>
      </c>
      <c r="Y1083" s="1" t="str">
        <f t="shared" si="48"/>
        <v>NO</v>
      </c>
      <c r="Z1083" s="1" t="str">
        <f t="shared" si="49"/>
        <v>NO</v>
      </c>
      <c r="AA1083" t="s">
        <v>1704</v>
      </c>
      <c r="AB1083" t="s">
        <v>1704</v>
      </c>
      <c r="AC1083" s="1" t="s">
        <v>1704</v>
      </c>
      <c r="AD1083" s="1" t="s">
        <v>1704</v>
      </c>
      <c r="AE1083" s="1" t="s">
        <v>1704</v>
      </c>
      <c r="AF1083" s="1" t="s">
        <v>1704</v>
      </c>
    </row>
    <row r="1084" spans="1:32" ht="15" x14ac:dyDescent="0.35">
      <c r="A1084" s="5" t="s">
        <v>767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>LEFT($A1084,FIND("_",$A1084)-1)</f>
        <v>ACS</v>
      </c>
      <c r="P1084" s="13" t="str">
        <f>IF($O1084="ACS", "True Search", IF($O1084="Arja", "Evolutionary Search", IF($O1084="AVATAR", "True Pattern", IF($O1084="CapGen", "Search Like Pattern", IF($O1084="Cardumen", "True Semantic", IF($O1084="DynaMoth", "True Semantic", IF($O1084="FixMiner", "True Pattern", IF($O1084="GenProg-A", "Evolutionary Search", IF($O1084="Hercules", "Learning Pattern", IF($O1084="Jaid", "True Semantic",
IF($O1084="Kali-A", "True Search", IF($O1084="kPAR", "True Pattern", IF($O1084="Nopol", "True Semantic", IF($O1084="RSRepair-A", "Evolutionary Search", IF($O1084="SequenceR", "Deep Learning", IF($O1084="SimFix", "Search Like Pattern", IF($O1084="SketchFix", "True Pattern", IF($O1084="SOFix", "True Pattern", IF($O1084="ssFix", "Search Like Pattern", IF($O1084="TBar", "True Pattern", ""))))))))))))))))))))</f>
        <v>True Search</v>
      </c>
      <c r="Q1084" s="13" t="str">
        <f>IF(NOT(ISERR(SEARCH("*_Buggy",$A1084))), "Buggy", IF(NOT(ISERR(SEARCH("*_Fixed",$A1084))), "Fixed", IF(NOT(ISERR(SEARCH("*_Repaired",$A1084))), "Repaired", "")))</f>
        <v>Repaired</v>
      </c>
      <c r="R1084" s="13" t="s">
        <v>1669</v>
      </c>
      <c r="S1084" s="25">
        <v>1</v>
      </c>
      <c r="T1084" s="25">
        <v>1</v>
      </c>
      <c r="U1084" s="25">
        <v>2</v>
      </c>
      <c r="V1084" s="13">
        <v>2</v>
      </c>
      <c r="W1084" s="13" t="str">
        <f>MID(A1084, SEARCH("_", A1084) +1, SEARCH("_", A1084, SEARCH("_", A1084) +1) - SEARCH("_", A1084) -1)</f>
        <v>Math-81</v>
      </c>
      <c r="Y1084" s="1" t="str">
        <f t="shared" si="48"/>
        <v>NO</v>
      </c>
      <c r="Z1084" s="1" t="str">
        <f t="shared" si="49"/>
        <v>NO</v>
      </c>
      <c r="AA1084" t="s">
        <v>1704</v>
      </c>
      <c r="AB1084" t="s">
        <v>1704</v>
      </c>
      <c r="AC1084" s="1" t="s">
        <v>1704</v>
      </c>
      <c r="AD1084" s="1" t="s">
        <v>1704</v>
      </c>
      <c r="AE1084" s="1" t="s">
        <v>1704</v>
      </c>
      <c r="AF1084" s="1" t="s">
        <v>1705</v>
      </c>
    </row>
    <row r="1085" spans="1:32" ht="15" x14ac:dyDescent="0.35">
      <c r="A1085" s="5" t="s">
        <v>577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>LEFT($A1085,FIND("_",$A1085)-1)</f>
        <v>ACS</v>
      </c>
      <c r="P1085" s="13" t="str">
        <f>IF($O1085="ACS", "True Search", IF($O1085="Arja", "Evolutionary Search", IF($O1085="AVATAR", "True Pattern", IF($O1085="CapGen", "Search Like Pattern", IF($O1085="Cardumen", "True Semantic", IF($O1085="DynaMoth", "True Semantic", IF($O1085="FixMiner", "True Pattern", IF($O1085="GenProg-A", "Evolutionary Search", IF($O1085="Hercules", "Learning Pattern", IF($O1085="Jaid", "True Semantic",
IF($O1085="Kali-A", "True Search", IF($O1085="kPAR", "True Pattern", IF($O1085="Nopol", "True Semantic", IF($O1085="RSRepair-A", "Evolutionary Search", IF($O1085="SequenceR", "Deep Learning", IF($O1085="SimFix", "Search Like Pattern", IF($O1085="SketchFix", "True Pattern", IF($O1085="SOFix", "True Pattern", IF($O1085="ssFix", "Search Like Pattern", IF($O1085="TBar", "True Pattern", ""))))))))))))))))))))</f>
        <v>True Search</v>
      </c>
      <c r="Q1085" s="13" t="str">
        <f>IF(NOT(ISERR(SEARCH("*_Buggy",$A1085))), "Buggy", IF(NOT(ISERR(SEARCH("*_Fixed",$A1085))), "Fixed", IF(NOT(ISERR(SEARCH("*_Repaired",$A1085))), "Repaired", "")))</f>
        <v>Repaired</v>
      </c>
      <c r="R1085" s="13" t="s">
        <v>1668</v>
      </c>
      <c r="S1085" s="25">
        <v>1</v>
      </c>
      <c r="T1085" s="25">
        <v>1</v>
      </c>
      <c r="U1085" s="25">
        <v>2</v>
      </c>
      <c r="V1085" s="13">
        <v>2</v>
      </c>
      <c r="W1085" s="13" t="str">
        <f>MID(A1085, SEARCH("_", A1085) +1, SEARCH("_", A1085, SEARCH("_", A1085) +1) - SEARCH("_", A1085) -1)</f>
        <v>Math-82</v>
      </c>
      <c r="Y1085" s="1" t="str">
        <f t="shared" si="48"/>
        <v>NO</v>
      </c>
      <c r="Z1085" s="1" t="str">
        <f t="shared" si="49"/>
        <v>NO</v>
      </c>
      <c r="AA1085" t="s">
        <v>1704</v>
      </c>
      <c r="AB1085" t="s">
        <v>1704</v>
      </c>
      <c r="AC1085" s="1" t="s">
        <v>1704</v>
      </c>
      <c r="AD1085" s="1" t="s">
        <v>1704</v>
      </c>
      <c r="AE1085" s="1" t="s">
        <v>1704</v>
      </c>
      <c r="AF1085" s="1" t="s">
        <v>1704</v>
      </c>
    </row>
    <row r="1086" spans="1:32" ht="15" x14ac:dyDescent="0.35">
      <c r="A1086" s="7" t="s">
        <v>74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>LEFT($A1086,FIND("_",$A1086)-1)</f>
        <v>ACS</v>
      </c>
      <c r="P1086" s="13" t="str">
        <f>IF($O1086="ACS", "True Search", IF($O1086="Arja", "Evolutionary Search", IF($O1086="AVATAR", "True Pattern", IF($O1086="CapGen", "Search Like Pattern", IF($O1086="Cardumen", "True Semantic", IF($O1086="DynaMoth", "True Semantic", IF($O1086="FixMiner", "True Pattern", IF($O1086="GenProg-A", "Evolutionary Search", IF($O1086="Hercules", "Learning Pattern", IF($O1086="Jaid", "True Semantic",
IF($O1086="Kali-A", "True Search", IF($O1086="kPAR", "True Pattern", IF($O1086="Nopol", "True Semantic", IF($O1086="RSRepair-A", "Evolutionary Search", IF($O1086="SequenceR", "Deep Learning", IF($O1086="SimFix", "Search Like Pattern", IF($O1086="SketchFix", "True Pattern", IF($O1086="SOFix", "True Pattern", IF($O1086="ssFix", "Search Like Pattern", IF($O1086="TBar", "True Pattern", ""))))))))))))))))))))</f>
        <v>True Search</v>
      </c>
      <c r="Q1086" s="13" t="str">
        <f>IF(NOT(ISERR(SEARCH("*_Buggy",$A1086))), "Buggy", IF(NOT(ISERR(SEARCH("*_Fixed",$A1086))), "Fixed", IF(NOT(ISERR(SEARCH("*_Repaired",$A1086))), "Repaired", "")))</f>
        <v>Repaired</v>
      </c>
      <c r="R1086" s="13" t="s">
        <v>1668</v>
      </c>
      <c r="S1086" s="25">
        <v>1</v>
      </c>
      <c r="T1086" s="25">
        <v>1</v>
      </c>
      <c r="U1086" s="25">
        <v>2</v>
      </c>
      <c r="V1086" s="13">
        <v>2</v>
      </c>
      <c r="W1086" s="13" t="str">
        <f>MID(A1086, SEARCH("_", A1086) +1, SEARCH("_", A1086, SEARCH("_", A1086) +1) - SEARCH("_", A1086) -1)</f>
        <v>Math-85</v>
      </c>
      <c r="Y1086" s="1" t="str">
        <f t="shared" si="48"/>
        <v>NO</v>
      </c>
      <c r="Z1086" s="1" t="str">
        <f t="shared" si="49"/>
        <v>NO</v>
      </c>
      <c r="AA1086" t="s">
        <v>1704</v>
      </c>
      <c r="AB1086" t="s">
        <v>1704</v>
      </c>
      <c r="AC1086" s="1" t="s">
        <v>1704</v>
      </c>
      <c r="AD1086" s="1" t="s">
        <v>1704</v>
      </c>
      <c r="AE1086" s="1" t="s">
        <v>1704</v>
      </c>
      <c r="AF1086" s="1" t="s">
        <v>1704</v>
      </c>
    </row>
    <row r="1087" spans="1:32" ht="15" x14ac:dyDescent="0.35">
      <c r="A1087" s="7" t="s">
        <v>1250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>LEFT($A1087,FIND("_",$A1087)-1)</f>
        <v>ACS</v>
      </c>
      <c r="P1087" s="13" t="str">
        <f>IF($O1087="ACS", "True Search", IF($O1087="Arja", "Evolutionary Search", IF($O1087="AVATAR", "True Pattern", IF($O1087="CapGen", "Search Like Pattern", IF($O1087="Cardumen", "True Semantic", IF($O1087="DynaMoth", "True Semantic", IF($O1087="FixMiner", "True Pattern", IF($O1087="GenProg-A", "Evolutionary Search", IF($O1087="Hercules", "Learning Pattern", IF($O1087="Jaid", "True Semantic",
IF($O1087="Kali-A", "True Search", IF($O1087="kPAR", "True Pattern", IF($O1087="Nopol", "True Semantic", IF($O1087="RSRepair-A", "Evolutionary Search", IF($O1087="SequenceR", "Deep Learning", IF($O1087="SimFix", "Search Like Pattern", IF($O1087="SketchFix", "True Pattern", IF($O1087="SOFix", "True Pattern", IF($O1087="ssFix", "Search Like Pattern", IF($O1087="TBar", "True Pattern", ""))))))))))))))))))))</f>
        <v>True Search</v>
      </c>
      <c r="Q1087" s="13" t="str">
        <f>IF(NOT(ISERR(SEARCH("*_Buggy",$A1087))), "Buggy", IF(NOT(ISERR(SEARCH("*_Fixed",$A1087))), "Fixed", IF(NOT(ISERR(SEARCH("*_Repaired",$A1087))), "Repaired", "")))</f>
        <v>Repaired</v>
      </c>
      <c r="R1087" s="13" t="s">
        <v>1668</v>
      </c>
      <c r="S1087" s="25">
        <v>1</v>
      </c>
      <c r="T1087" s="25">
        <v>1</v>
      </c>
      <c r="U1087" s="25">
        <v>1</v>
      </c>
      <c r="V1087" s="13">
        <v>1</v>
      </c>
      <c r="W1087" s="13" t="str">
        <f>MID(A1087, SEARCH("_", A1087) +1, SEARCH("_", A1087, SEARCH("_", A1087) +1) - SEARCH("_", A1087) -1)</f>
        <v>Math-89</v>
      </c>
      <c r="Y1087" s="1" t="str">
        <f t="shared" si="48"/>
        <v>NO</v>
      </c>
      <c r="Z1087" s="1" t="str">
        <f t="shared" si="49"/>
        <v>NO</v>
      </c>
      <c r="AA1087" t="s">
        <v>1704</v>
      </c>
      <c r="AB1087" t="s">
        <v>1704</v>
      </c>
      <c r="AC1087" s="1" t="s">
        <v>1704</v>
      </c>
      <c r="AD1087" s="1" t="s">
        <v>1704</v>
      </c>
      <c r="AE1087" s="1" t="s">
        <v>1704</v>
      </c>
      <c r="AF1087" s="1" t="s">
        <v>1704</v>
      </c>
    </row>
    <row r="1088" spans="1:32" ht="15" x14ac:dyDescent="0.35">
      <c r="A1088" s="7" t="s">
        <v>604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>LEFT($A1088,FIND("_",$A1088)-1)</f>
        <v>ACS</v>
      </c>
      <c r="P1088" s="13" t="str">
        <f>IF($O1088="ACS", "True Search", IF($O1088="Arja", "Evolutionary Search", IF($O1088="AVATAR", "True Pattern", IF($O1088="CapGen", "Search Like Pattern", IF($O1088="Cardumen", "True Semantic", IF($O1088="DynaMoth", "True Semantic", IF($O1088="FixMiner", "True Pattern", IF($O1088="GenProg-A", "Evolutionary Search", IF($O1088="Hercules", "Learning Pattern", IF($O1088="Jaid", "True Semantic",
IF($O1088="Kali-A", "True Search", IF($O1088="kPAR", "True Pattern", IF($O1088="Nopol", "True Semantic", IF($O1088="RSRepair-A", "Evolutionary Search", IF($O1088="SequenceR", "Deep Learning", IF($O1088="SimFix", "Search Like Pattern", IF($O1088="SketchFix", "True Pattern", IF($O1088="SOFix", "True Pattern", IF($O1088="ssFix", "Search Like Pattern", IF($O1088="TBar", "True Pattern", ""))))))))))))))))))))</f>
        <v>True Search</v>
      </c>
      <c r="Q1088" s="13" t="str">
        <f>IF(NOT(ISERR(SEARCH("*_Buggy",$A1088))), "Buggy", IF(NOT(ISERR(SEARCH("*_Fixed",$A1088))), "Fixed", IF(NOT(ISERR(SEARCH("*_Repaired",$A1088))), "Repaired", "")))</f>
        <v>Repaired</v>
      </c>
      <c r="R1088" s="13" t="s">
        <v>1668</v>
      </c>
      <c r="S1088" s="25">
        <v>1</v>
      </c>
      <c r="T1088" s="25">
        <v>1</v>
      </c>
      <c r="U1088" s="25">
        <v>1</v>
      </c>
      <c r="V1088" s="13">
        <v>1</v>
      </c>
      <c r="W1088" s="13" t="str">
        <f>MID(A1088, SEARCH("_", A1088) +1, SEARCH("_", A1088, SEARCH("_", A1088) +1) - SEARCH("_", A1088) -1)</f>
        <v>Math-90</v>
      </c>
      <c r="Y1088" s="1" t="str">
        <f t="shared" si="48"/>
        <v>NO</v>
      </c>
      <c r="Z1088" s="1" t="str">
        <f t="shared" si="49"/>
        <v>NO</v>
      </c>
      <c r="AA1088" t="s">
        <v>1704</v>
      </c>
      <c r="AB1088" t="s">
        <v>1704</v>
      </c>
      <c r="AC1088" s="1" t="s">
        <v>1704</v>
      </c>
      <c r="AD1088" s="1" t="s">
        <v>1704</v>
      </c>
      <c r="AE1088" s="1" t="s">
        <v>1704</v>
      </c>
      <c r="AF1088" s="1" t="s">
        <v>1704</v>
      </c>
    </row>
    <row r="1089" spans="1:32" ht="15" x14ac:dyDescent="0.35">
      <c r="A1089" s="7" t="s">
        <v>134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>LEFT($A1089,FIND("_",$A1089)-1)</f>
        <v>ACS</v>
      </c>
      <c r="P1089" s="13" t="str">
        <f>IF($O1089="ACS", "True Search", IF($O1089="Arja", "Evolutionary Search", IF($O1089="AVATAR", "True Pattern", IF($O1089="CapGen", "Search Like Pattern", IF($O1089="Cardumen", "True Semantic", IF($O1089="DynaMoth", "True Semantic", IF($O1089="FixMiner", "True Pattern", IF($O1089="GenProg-A", "Evolutionary Search", IF($O1089="Hercules", "Learning Pattern", IF($O1089="Jaid", "True Semantic",
IF($O1089="Kali-A", "True Search", IF($O1089="kPAR", "True Pattern", IF($O1089="Nopol", "True Semantic", IF($O1089="RSRepair-A", "Evolutionary Search", IF($O1089="SequenceR", "Deep Learning", IF($O1089="SimFix", "Search Like Pattern", IF($O1089="SketchFix", "True Pattern", IF($O1089="SOFix", "True Pattern", IF($O1089="ssFix", "Search Like Pattern", IF($O1089="TBar", "True Pattern", ""))))))))))))))))))))</f>
        <v>True Search</v>
      </c>
      <c r="Q1089" s="13" t="str">
        <f>IF(NOT(ISERR(SEARCH("*_Buggy",$A1089))), "Buggy", IF(NOT(ISERR(SEARCH("*_Fixed",$A1089))), "Fixed", IF(NOT(ISERR(SEARCH("*_Repaired",$A1089))), "Repaired", "")))</f>
        <v>Repaired</v>
      </c>
      <c r="R1089" s="13" t="s">
        <v>1669</v>
      </c>
      <c r="S1089" s="25">
        <v>2</v>
      </c>
      <c r="T1089" s="25">
        <v>8</v>
      </c>
      <c r="U1089" s="25">
        <v>1</v>
      </c>
      <c r="V1089" s="13">
        <v>8</v>
      </c>
      <c r="W1089" s="13" t="str">
        <f>MID(A1089, SEARCH("_", A1089) +1, SEARCH("_", A1089, SEARCH("_", A1089) +1) - SEARCH("_", A1089) -1)</f>
        <v>Math-93</v>
      </c>
      <c r="Y1089" s="1" t="str">
        <f t="shared" si="48"/>
        <v>NO</v>
      </c>
      <c r="Z1089" s="1" t="str">
        <f t="shared" si="49"/>
        <v>YES</v>
      </c>
      <c r="AA1089" t="s">
        <v>1704</v>
      </c>
      <c r="AB1089" t="s">
        <v>1705</v>
      </c>
      <c r="AC1089" s="1" t="s">
        <v>1704</v>
      </c>
      <c r="AD1089" s="1" t="s">
        <v>1704</v>
      </c>
      <c r="AE1089" s="1" t="s">
        <v>1704</v>
      </c>
      <c r="AF1089" s="1" t="s">
        <v>1705</v>
      </c>
    </row>
    <row r="1090" spans="1:32" ht="15" x14ac:dyDescent="0.35">
      <c r="A1090" s="5" t="s">
        <v>465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>LEFT($A1090,FIND("_",$A1090)-1)</f>
        <v>ACS</v>
      </c>
      <c r="P1090" s="13" t="str">
        <f>IF($O1090="ACS", "True Search", IF($O1090="Arja", "Evolutionary Search", IF($O1090="AVATAR", "True Pattern", IF($O1090="CapGen", "Search Like Pattern", IF($O1090="Cardumen", "True Semantic", IF($O1090="DynaMoth", "True Semantic", IF($O1090="FixMiner", "True Pattern", IF($O1090="GenProg-A", "Evolutionary Search", IF($O1090="Hercules", "Learning Pattern", IF($O1090="Jaid", "True Semantic",
IF($O1090="Kali-A", "True Search", IF($O1090="kPAR", "True Pattern", IF($O1090="Nopol", "True Semantic", IF($O1090="RSRepair-A", "Evolutionary Search", IF($O1090="SequenceR", "Deep Learning", IF($O1090="SimFix", "Search Like Pattern", IF($O1090="SketchFix", "True Pattern", IF($O1090="SOFix", "True Pattern", IF($O1090="ssFix", "Search Like Pattern", IF($O1090="TBar", "True Pattern", ""))))))))))))))))))))</f>
        <v>True Search</v>
      </c>
      <c r="Q1090" s="13" t="str">
        <f>IF(NOT(ISERR(SEARCH("*_Buggy",$A1090))), "Buggy", IF(NOT(ISERR(SEARCH("*_Fixed",$A1090))), "Fixed", IF(NOT(ISERR(SEARCH("*_Repaired",$A1090))), "Repaired", "")))</f>
        <v>Repaired</v>
      </c>
      <c r="R1090" s="13" t="s">
        <v>1669</v>
      </c>
      <c r="S1090" s="25">
        <v>1</v>
      </c>
      <c r="T1090" s="25">
        <v>1</v>
      </c>
      <c r="U1090" s="25">
        <v>2</v>
      </c>
      <c r="V1090" s="13">
        <v>2</v>
      </c>
      <c r="W1090" s="13" t="str">
        <f>MID(A1090, SEARCH("_", A1090) +1, SEARCH("_", A1090, SEARCH("_", A1090) +1) - SEARCH("_", A1090) -1)</f>
        <v>Math-97</v>
      </c>
      <c r="Y1090" s="1" t="str">
        <f t="shared" si="48"/>
        <v>NO</v>
      </c>
      <c r="Z1090" s="1" t="str">
        <f t="shared" si="49"/>
        <v>NO</v>
      </c>
      <c r="AA1090" t="s">
        <v>1704</v>
      </c>
      <c r="AB1090" t="s">
        <v>1704</v>
      </c>
      <c r="AC1090" s="1" t="s">
        <v>1704</v>
      </c>
      <c r="AD1090" s="1" t="s">
        <v>1704</v>
      </c>
      <c r="AE1090" s="1" t="s">
        <v>1704</v>
      </c>
      <c r="AF1090" s="1" t="s">
        <v>1705</v>
      </c>
    </row>
    <row r="1091" spans="1:32" ht="15" x14ac:dyDescent="0.35">
      <c r="A1091" s="7" t="s">
        <v>144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>LEFT($A1091,FIND("_",$A1091)-1)</f>
        <v>ACS</v>
      </c>
      <c r="P1091" s="13" t="str">
        <f>IF($O1091="ACS", "True Search", IF($O1091="Arja", "Evolutionary Search", IF($O1091="AVATAR", "True Pattern", IF($O1091="CapGen", "Search Like Pattern", IF($O1091="Cardumen", "True Semantic", IF($O1091="DynaMoth", "True Semantic", IF($O1091="FixMiner", "True Pattern", IF($O1091="GenProg-A", "Evolutionary Search", IF($O1091="Hercules", "Learning Pattern", IF($O1091="Jaid", "True Semantic",
IF($O1091="Kali-A", "True Search", IF($O1091="kPAR", "True Pattern", IF($O1091="Nopol", "True Semantic", IF($O1091="RSRepair-A", "Evolutionary Search", IF($O1091="SequenceR", "Deep Learning", IF($O1091="SimFix", "Search Like Pattern", IF($O1091="SketchFix", "True Pattern", IF($O1091="SOFix", "True Pattern", IF($O1091="ssFix", "Search Like Pattern", IF($O1091="TBar", "True Pattern", ""))))))))))))))))))))</f>
        <v>True Search</v>
      </c>
      <c r="Q1091" s="13" t="str">
        <f>IF(NOT(ISERR(SEARCH("*_Buggy",$A1091))), "Buggy", IF(NOT(ISERR(SEARCH("*_Fixed",$A1091))), "Fixed", IF(NOT(ISERR(SEARCH("*_Repaired",$A1091))), "Repaired", "")))</f>
        <v>Repaired</v>
      </c>
      <c r="R1091" s="13" t="s">
        <v>1668</v>
      </c>
      <c r="S1091" s="25">
        <v>2</v>
      </c>
      <c r="T1091" s="25">
        <v>2</v>
      </c>
      <c r="U1091" s="25">
        <v>2</v>
      </c>
      <c r="V1091" s="13">
        <v>2</v>
      </c>
      <c r="W1091" s="13" t="str">
        <f>MID(A1091, SEARCH("_", A1091) +1, SEARCH("_", A1091, SEARCH("_", A1091) +1) - SEARCH("_", A1091) -1)</f>
        <v>Math-99</v>
      </c>
      <c r="Y1091" s="1" t="str">
        <f t="shared" si="48"/>
        <v>YES</v>
      </c>
      <c r="Z1091" s="1" t="str">
        <f t="shared" si="49"/>
        <v>NO</v>
      </c>
      <c r="AA1091" t="s">
        <v>1704</v>
      </c>
      <c r="AB1091" t="s">
        <v>1704</v>
      </c>
      <c r="AC1091" s="1" t="s">
        <v>1704</v>
      </c>
      <c r="AD1091" s="1" t="s">
        <v>1704</v>
      </c>
      <c r="AE1091" s="1" t="s">
        <v>1704</v>
      </c>
      <c r="AF1091" s="1" t="s">
        <v>1705</v>
      </c>
    </row>
    <row r="1092" spans="1:32" ht="15" x14ac:dyDescent="0.35">
      <c r="A1092" s="5" t="s">
        <v>809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>LEFT($A1092,FIND("_",$A1092)-1)</f>
        <v>ACS</v>
      </c>
      <c r="P1092" s="13" t="str">
        <f>IF($O1092="ACS", "True Search", IF($O1092="Arja", "Evolutionary Search", IF($O1092="AVATAR", "True Pattern", IF($O1092="CapGen", "Search Like Pattern", IF($O1092="Cardumen", "True Semantic", IF($O1092="DynaMoth", "True Semantic", IF($O1092="FixMiner", "True Pattern", IF($O1092="GenProg-A", "Evolutionary Search", IF($O1092="Hercules", "Learning Pattern", IF($O1092="Jaid", "True Semantic",
IF($O1092="Kali-A", "True Search", IF($O1092="kPAR", "True Pattern", IF($O1092="Nopol", "True Semantic", IF($O1092="RSRepair-A", "Evolutionary Search", IF($O1092="SequenceR", "Deep Learning", IF($O1092="SimFix", "Search Like Pattern", IF($O1092="SketchFix", "True Pattern", IF($O1092="SOFix", "True Pattern", IF($O1092="ssFix", "Search Like Pattern", IF($O1092="TBar", "True Pattern", ""))))))))))))))))))))</f>
        <v>True Search</v>
      </c>
      <c r="Q1092" s="13" t="str">
        <f>IF(NOT(ISERR(SEARCH("*_Buggy",$A1092))), "Buggy", IF(NOT(ISERR(SEARCH("*_Fixed",$A1092))), "Fixed", IF(NOT(ISERR(SEARCH("*_Repaired",$A1092))), "Repaired", "")))</f>
        <v>Repaired</v>
      </c>
      <c r="R1092" s="13" t="s">
        <v>1668</v>
      </c>
      <c r="S1092" s="25">
        <v>1</v>
      </c>
      <c r="T1092" s="25">
        <v>1</v>
      </c>
      <c r="U1092" s="25">
        <v>1</v>
      </c>
      <c r="V1092" s="13">
        <v>1</v>
      </c>
      <c r="W1092" s="13" t="str">
        <f>MID(A1092, SEARCH("_", A1092) +1, SEARCH("_", A1092, SEARCH("_", A1092) +1) - SEARCH("_", A1092) -1)</f>
        <v>Time-15</v>
      </c>
      <c r="Y1092" s="1" t="str">
        <f t="shared" si="48"/>
        <v>NO</v>
      </c>
      <c r="Z1092" s="1" t="str">
        <f t="shared" si="49"/>
        <v>NO</v>
      </c>
      <c r="AA1092" t="s">
        <v>1704</v>
      </c>
      <c r="AB1092" t="s">
        <v>1704</v>
      </c>
      <c r="AC1092" s="1" t="s">
        <v>1704</v>
      </c>
      <c r="AD1092" s="1" t="s">
        <v>1704</v>
      </c>
      <c r="AE1092" s="1" t="s">
        <v>1704</v>
      </c>
      <c r="AF1092" s="1" t="s">
        <v>1704</v>
      </c>
    </row>
    <row r="1093" spans="1:32" ht="15" x14ac:dyDescent="0.35">
      <c r="A1093" s="7" t="s">
        <v>512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>LEFT($A1093,FIND("_",$A1093)-1)</f>
        <v>ARJA</v>
      </c>
      <c r="P1093" s="13" t="str">
        <f>IF($O1093="ACS", "True Search", IF($O1093="Arja", "Evolutionary Search", IF($O1093="AVATAR", "True Pattern", IF($O1093="CapGen", "Search Like Pattern", IF($O1093="Cardumen", "True Semantic", IF($O1093="DynaMoth", "True Semantic", IF($O1093="FixMiner", "True Pattern", IF($O1093="GenProg-A", "Evolutionary Search", IF($O1093="Hercules", "Learning Pattern", IF($O1093="Jaid", "True Semantic",
IF($O1093="Kali-A", "True Search", IF($O1093="kPAR", "True Pattern", IF($O1093="Nopol", "True Semantic", IF($O1093="RSRepair-A", "Evolutionary Search", IF($O1093="SequenceR", "Deep Learning", IF($O1093="SimFix", "Search Like Pattern", IF($O1093="SketchFix", "True Pattern", IF($O1093="SOFix", "True Pattern", IF($O1093="ssFix", "Search Like Pattern", IF($O1093="TBar", "True Pattern", ""))))))))))))))))))))</f>
        <v>Evolutionary Search</v>
      </c>
      <c r="Q1093" s="13" t="str">
        <f>IF(NOT(ISERR(SEARCH("*_Buggy",$A1093))), "Buggy", IF(NOT(ISERR(SEARCH("*_Fixed",$A1093))), "Fixed", IF(NOT(ISERR(SEARCH("*_Repaired",$A1093))), "Repaired", "")))</f>
        <v>Repaired</v>
      </c>
      <c r="R1093" s="13" t="s">
        <v>1669</v>
      </c>
      <c r="S1093" s="25">
        <v>1</v>
      </c>
      <c r="T1093" s="25">
        <v>0</v>
      </c>
      <c r="U1093" s="13">
        <v>3</v>
      </c>
      <c r="V1093" s="13">
        <v>3</v>
      </c>
      <c r="W1093" s="13" t="str">
        <f>MID(A1093, SEARCH("_", A1093) +1, SEARCH("_", A1093, SEARCH("_", A1093) +1) - SEARCH("_", A1093) -1)</f>
        <v>Chart-1</v>
      </c>
      <c r="Y1093" s="1" t="str">
        <f t="shared" si="48"/>
        <v>NO</v>
      </c>
      <c r="Z1093" s="1" t="str">
        <f t="shared" si="49"/>
        <v>NO</v>
      </c>
      <c r="AA1093" t="s">
        <v>1704</v>
      </c>
      <c r="AB1093" t="s">
        <v>1704</v>
      </c>
      <c r="AC1093" s="1" t="s">
        <v>1704</v>
      </c>
      <c r="AD1093" s="1" t="s">
        <v>1704</v>
      </c>
      <c r="AE1093" s="1" t="s">
        <v>1704</v>
      </c>
      <c r="AF1093" s="1" t="s">
        <v>1704</v>
      </c>
    </row>
    <row r="1094" spans="1:32" ht="15" x14ac:dyDescent="0.35">
      <c r="A1094" s="5" t="s">
        <v>687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>LEFT($A1094,FIND("_",$A1094)-1)</f>
        <v>ARJA</v>
      </c>
      <c r="P1094" s="13" t="str">
        <f>IF($O1094="ACS", "True Search", IF($O1094="Arja", "Evolutionary Search", IF($O1094="AVATAR", "True Pattern", IF($O1094="CapGen", "Search Like Pattern", IF($O1094="Cardumen", "True Semantic", IF($O1094="DynaMoth", "True Semantic", IF($O1094="FixMiner", "True Pattern", IF($O1094="GenProg-A", "Evolutionary Search", IF($O1094="Hercules", "Learning Pattern", IF($O1094="Jaid", "True Semantic",
IF($O1094="Kali-A", "True Search", IF($O1094="kPAR", "True Pattern", IF($O1094="Nopol", "True Semantic", IF($O1094="RSRepair-A", "Evolutionary Search", IF($O1094="SequenceR", "Deep Learning", IF($O1094="SimFix", "Search Like Pattern", IF($O1094="SketchFix", "True Pattern", IF($O1094="SOFix", "True Pattern", IF($O1094="ssFix", "Search Like Pattern", IF($O1094="TBar", "True Pattern", ""))))))))))))))))))))</f>
        <v>Evolutionary Search</v>
      </c>
      <c r="Q1094" s="13" t="str">
        <f>IF(NOT(ISERR(SEARCH("*_Buggy",$A1094))), "Buggy", IF(NOT(ISERR(SEARCH("*_Fixed",$A1094))), "Fixed", IF(NOT(ISERR(SEARCH("*_Repaired",$A1094))), "Repaired", "")))</f>
        <v>Repaired</v>
      </c>
      <c r="R1094" s="13" t="s">
        <v>1668</v>
      </c>
      <c r="S1094" s="25">
        <v>1</v>
      </c>
      <c r="T1094" s="25">
        <v>1</v>
      </c>
      <c r="U1094" s="25">
        <v>1</v>
      </c>
      <c r="V1094" s="13">
        <v>1</v>
      </c>
      <c r="W1094" s="13" t="str">
        <f>MID(A1094, SEARCH("_", A1094) +1, SEARCH("_", A1094, SEARCH("_", A1094) +1) - SEARCH("_", A1094) -1)</f>
        <v>Chart-12</v>
      </c>
      <c r="Y1094" s="1" t="str">
        <f t="shared" si="48"/>
        <v>NO</v>
      </c>
      <c r="Z1094" s="1" t="str">
        <f t="shared" si="49"/>
        <v>NO</v>
      </c>
      <c r="AA1094" t="s">
        <v>1704</v>
      </c>
      <c r="AB1094" t="s">
        <v>1704</v>
      </c>
      <c r="AC1094" s="1" t="s">
        <v>1705</v>
      </c>
      <c r="AD1094" s="1" t="s">
        <v>1704</v>
      </c>
      <c r="AE1094" s="1" t="s">
        <v>1705</v>
      </c>
      <c r="AF1094" s="1" t="s">
        <v>1704</v>
      </c>
    </row>
    <row r="1095" spans="1:32" ht="15" x14ac:dyDescent="0.35">
      <c r="A1095" s="5" t="s">
        <v>216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>LEFT($A1095,FIND("_",$A1095)-1)</f>
        <v>ARJA</v>
      </c>
      <c r="P1095" s="13" t="str">
        <f>IF($O1095="ACS", "True Search", IF($O1095="Arja", "Evolutionary Search", IF($O1095="AVATAR", "True Pattern", IF($O1095="CapGen", "Search Like Pattern", IF($O1095="Cardumen", "True Semantic", IF($O1095="DynaMoth", "True Semantic", IF($O1095="FixMiner", "True Pattern", IF($O1095="GenProg-A", "Evolutionary Search", IF($O1095="Hercules", "Learning Pattern", IF($O1095="Jaid", "True Semantic",
IF($O1095="Kali-A", "True Search", IF($O1095="kPAR", "True Pattern", IF($O1095="Nopol", "True Semantic", IF($O1095="RSRepair-A", "Evolutionary Search", IF($O1095="SequenceR", "Deep Learning", IF($O1095="SimFix", "Search Like Pattern", IF($O1095="SketchFix", "True Pattern", IF($O1095="SOFix", "True Pattern", IF($O1095="ssFix", "Search Like Pattern", IF($O1095="TBar", "True Pattern", ""))))))))))))))))))))</f>
        <v>Evolutionary Search</v>
      </c>
      <c r="Q1095" s="13" t="str">
        <f>IF(NOT(ISERR(SEARCH("*_Buggy",$A1095))), "Buggy", IF(NOT(ISERR(SEARCH("*_Fixed",$A1095))), "Fixed", IF(NOT(ISERR(SEARCH("*_Repaired",$A1095))), "Repaired", "")))</f>
        <v>Repaired</v>
      </c>
      <c r="R1095" s="13" t="s">
        <v>1669</v>
      </c>
      <c r="S1095" s="25">
        <v>1</v>
      </c>
      <c r="T1095" s="25">
        <v>2</v>
      </c>
      <c r="U1095" s="25">
        <v>1</v>
      </c>
      <c r="V1095" s="13">
        <v>2</v>
      </c>
      <c r="W1095" s="13" t="str">
        <f>MID(A1095, SEARCH("_", A1095) +1, SEARCH("_", A1095, SEARCH("_", A1095) +1) - SEARCH("_", A1095) -1)</f>
        <v>Chart-13</v>
      </c>
      <c r="Y1095" s="1" t="str">
        <f t="shared" si="48"/>
        <v>NO</v>
      </c>
      <c r="Z1095" s="1" t="str">
        <f t="shared" si="49"/>
        <v>NO</v>
      </c>
      <c r="AA1095" t="s">
        <v>1704</v>
      </c>
      <c r="AB1095" t="s">
        <v>1704</v>
      </c>
      <c r="AC1095" s="1" t="s">
        <v>1704</v>
      </c>
      <c r="AD1095" s="1" t="s">
        <v>1704</v>
      </c>
      <c r="AE1095" s="1" t="s">
        <v>1704</v>
      </c>
      <c r="AF1095" s="1" t="s">
        <v>1704</v>
      </c>
    </row>
    <row r="1096" spans="1:32" ht="15" x14ac:dyDescent="0.35">
      <c r="A1096" s="5" t="s">
        <v>1126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>LEFT($A1096,FIND("_",$A1096)-1)</f>
        <v>ARJA</v>
      </c>
      <c r="P1096" s="13" t="str">
        <f>IF($O1096="ACS", "True Search", IF($O1096="Arja", "Evolutionary Search", IF($O1096="AVATAR", "True Pattern", IF($O1096="CapGen", "Search Like Pattern", IF($O1096="Cardumen", "True Semantic", IF($O1096="DynaMoth", "True Semantic", IF($O1096="FixMiner", "True Pattern", IF($O1096="GenProg-A", "Evolutionary Search", IF($O1096="Hercules", "Learning Pattern", IF($O1096="Jaid", "True Semantic",
IF($O1096="Kali-A", "True Search", IF($O1096="kPAR", "True Pattern", IF($O1096="Nopol", "True Semantic", IF($O1096="RSRepair-A", "Evolutionary Search", IF($O1096="SequenceR", "Deep Learning", IF($O1096="SimFix", "Search Like Pattern", IF($O1096="SketchFix", "True Pattern", IF($O1096="SOFix", "True Pattern", IF($O1096="ssFix", "Search Like Pattern", IF($O1096="TBar", "True Pattern", ""))))))))))))))))))))</f>
        <v>Evolutionary Search</v>
      </c>
      <c r="Q1096" s="13" t="str">
        <f>IF(NOT(ISERR(SEARCH("*_Buggy",$A1096))), "Buggy", IF(NOT(ISERR(SEARCH("*_Fixed",$A1096))), "Fixed", IF(NOT(ISERR(SEARCH("*_Repaired",$A1096))), "Repaired", "")))</f>
        <v>Repaired</v>
      </c>
      <c r="R1096" s="13" t="s">
        <v>1669</v>
      </c>
      <c r="S1096" s="25">
        <v>2</v>
      </c>
      <c r="T1096" s="25">
        <v>6</v>
      </c>
      <c r="U1096" s="25">
        <v>12</v>
      </c>
      <c r="V1096" s="13">
        <v>15</v>
      </c>
      <c r="W1096" s="13" t="str">
        <f>MID(A1096, SEARCH("_", A1096) +1, SEARCH("_", A1096, SEARCH("_", A1096) +1) - SEARCH("_", A1096) -1)</f>
        <v>Chart-3</v>
      </c>
      <c r="Y1096" s="1" t="str">
        <f t="shared" si="48"/>
        <v>NO</v>
      </c>
      <c r="Z1096" s="1" t="str">
        <f t="shared" si="49"/>
        <v>YES</v>
      </c>
      <c r="AA1096" t="s">
        <v>1704</v>
      </c>
      <c r="AB1096" t="s">
        <v>1704</v>
      </c>
      <c r="AC1096" s="1" t="s">
        <v>1704</v>
      </c>
      <c r="AD1096" s="1" t="s">
        <v>1704</v>
      </c>
      <c r="AE1096" s="1" t="s">
        <v>1704</v>
      </c>
      <c r="AF1096" s="1" t="s">
        <v>1705</v>
      </c>
    </row>
    <row r="1097" spans="1:32" ht="15" x14ac:dyDescent="0.35">
      <c r="A1097" s="5" t="s">
        <v>890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>LEFT($A1097,FIND("_",$A1097)-1)</f>
        <v>ARJA</v>
      </c>
      <c r="P1097" s="13" t="str">
        <f>IF($O1097="ACS", "True Search", IF($O1097="Arja", "Evolutionary Search", IF($O1097="AVATAR", "True Pattern", IF($O1097="CapGen", "Search Like Pattern", IF($O1097="Cardumen", "True Semantic", IF($O1097="DynaMoth", "True Semantic", IF($O1097="FixMiner", "True Pattern", IF($O1097="GenProg-A", "Evolutionary Search", IF($O1097="Hercules", "Learning Pattern", IF($O1097="Jaid", "True Semantic",
IF($O1097="Kali-A", "True Search", IF($O1097="kPAR", "True Pattern", IF($O1097="Nopol", "True Semantic", IF($O1097="RSRepair-A", "Evolutionary Search", IF($O1097="SequenceR", "Deep Learning", IF($O1097="SimFix", "Search Like Pattern", IF($O1097="SketchFix", "True Pattern", IF($O1097="SOFix", "True Pattern", IF($O1097="ssFix", "Search Like Pattern", IF($O1097="TBar", "True Pattern", ""))))))))))))))))))))</f>
        <v>Evolutionary Search</v>
      </c>
      <c r="Q1097" s="13" t="str">
        <f>IF(NOT(ISERR(SEARCH("*_Buggy",$A1097))), "Buggy", IF(NOT(ISERR(SEARCH("*_Fixed",$A1097))), "Fixed", IF(NOT(ISERR(SEARCH("*_Repaired",$A1097))), "Repaired", "")))</f>
        <v>Repaired</v>
      </c>
      <c r="R1097" s="13" t="s">
        <v>1669</v>
      </c>
      <c r="S1097" s="25">
        <v>1</v>
      </c>
      <c r="T1097" s="25">
        <v>2</v>
      </c>
      <c r="U1097" s="25">
        <v>11</v>
      </c>
      <c r="V1097" s="13">
        <v>11</v>
      </c>
      <c r="W1097" s="13" t="str">
        <f>MID(A1097, SEARCH("_", A1097) +1, SEARCH("_", A1097, SEARCH("_", A1097) +1) - SEARCH("_", A1097) -1)</f>
        <v>Chart-5</v>
      </c>
      <c r="Y1097" s="1" t="str">
        <f t="shared" si="48"/>
        <v>NO</v>
      </c>
      <c r="Z1097" s="1" t="str">
        <f t="shared" si="49"/>
        <v>NO</v>
      </c>
      <c r="AA1097" t="s">
        <v>1704</v>
      </c>
      <c r="AB1097" t="s">
        <v>1704</v>
      </c>
      <c r="AC1097" s="1" t="s">
        <v>1704</v>
      </c>
      <c r="AD1097" s="1" t="s">
        <v>1704</v>
      </c>
      <c r="AE1097" s="1" t="s">
        <v>1704</v>
      </c>
      <c r="AF1097" s="1" t="s">
        <v>1705</v>
      </c>
    </row>
    <row r="1098" spans="1:32" ht="15" x14ac:dyDescent="0.35">
      <c r="A1098" s="5" t="s">
        <v>52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>LEFT($A1098,FIND("_",$A1098)-1)</f>
        <v>ARJA</v>
      </c>
      <c r="P1098" s="13" t="str">
        <f>IF($O1098="ACS", "True Search", IF($O1098="Arja", "Evolutionary Search", IF($O1098="AVATAR", "True Pattern", IF($O1098="CapGen", "Search Like Pattern", IF($O1098="Cardumen", "True Semantic", IF($O1098="DynaMoth", "True Semantic", IF($O1098="FixMiner", "True Pattern", IF($O1098="GenProg-A", "Evolutionary Search", IF($O1098="Hercules", "Learning Pattern", IF($O1098="Jaid", "True Semantic",
IF($O1098="Kali-A", "True Search", IF($O1098="kPAR", "True Pattern", IF($O1098="Nopol", "True Semantic", IF($O1098="RSRepair-A", "Evolutionary Search", IF($O1098="SequenceR", "Deep Learning", IF($O1098="SimFix", "Search Like Pattern", IF($O1098="SketchFix", "True Pattern", IF($O1098="SOFix", "True Pattern", IF($O1098="ssFix", "Search Like Pattern", IF($O1098="TBar", "True Pattern", ""))))))))))))))))))))</f>
        <v>Evolutionary Search</v>
      </c>
      <c r="Q1098" s="13" t="str">
        <f>IF(NOT(ISERR(SEARCH("*_Buggy",$A1098))), "Buggy", IF(NOT(ISERR(SEARCH("*_Fixed",$A1098))), "Fixed", IF(NOT(ISERR(SEARCH("*_Repaired",$A1098))), "Repaired", "")))</f>
        <v>Repaired</v>
      </c>
      <c r="R1098" s="13" t="s">
        <v>1669</v>
      </c>
      <c r="S1098" s="25">
        <v>1</v>
      </c>
      <c r="T1098" s="25">
        <v>2</v>
      </c>
      <c r="U1098" s="25">
        <v>1</v>
      </c>
      <c r="V1098" s="13">
        <v>2</v>
      </c>
      <c r="W1098" s="13" t="str">
        <f>MID(A1098, SEARCH("_", A1098) +1, SEARCH("_", A1098, SEARCH("_", A1098) +1) - SEARCH("_", A1098) -1)</f>
        <v>Chart-7</v>
      </c>
      <c r="Y1098" s="1" t="str">
        <f t="shared" si="48"/>
        <v>NO</v>
      </c>
      <c r="Z1098" s="1" t="str">
        <f t="shared" si="49"/>
        <v>NO</v>
      </c>
      <c r="AA1098" t="s">
        <v>1704</v>
      </c>
      <c r="AB1098" t="s">
        <v>1704</v>
      </c>
      <c r="AC1098" s="1" t="s">
        <v>1704</v>
      </c>
      <c r="AD1098" s="1" t="s">
        <v>1704</v>
      </c>
      <c r="AE1098" s="1" t="s">
        <v>1704</v>
      </c>
      <c r="AF1098" s="1" t="s">
        <v>1705</v>
      </c>
    </row>
    <row r="1099" spans="1:32" ht="15" x14ac:dyDescent="0.35">
      <c r="A1099" s="5" t="s">
        <v>123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>LEFT($A1099,FIND("_",$A1099)-1)</f>
        <v>ARJA</v>
      </c>
      <c r="P1099" s="13" t="str">
        <f>IF($O1099="ACS", "True Search", IF($O1099="Arja", "Evolutionary Search", IF($O1099="AVATAR", "True Pattern", IF($O1099="CapGen", "Search Like Pattern", IF($O1099="Cardumen", "True Semantic", IF($O1099="DynaMoth", "True Semantic", IF($O1099="FixMiner", "True Pattern", IF($O1099="GenProg-A", "Evolutionary Search", IF($O1099="Hercules", "Learning Pattern", IF($O1099="Jaid", "True Semantic",
IF($O1099="Kali-A", "True Search", IF($O1099="kPAR", "True Pattern", IF($O1099="Nopol", "True Semantic", IF($O1099="RSRepair-A", "Evolutionary Search", IF($O1099="SequenceR", "Deep Learning", IF($O1099="SimFix", "Search Like Pattern", IF($O1099="SketchFix", "True Pattern", IF($O1099="SOFix", "True Pattern", IF($O1099="ssFix", "Search Like Pattern", IF($O1099="TBar", "True Pattern", ""))))))))))))))))))))</f>
        <v>Evolutionary Search</v>
      </c>
      <c r="Q1099" s="13" t="str">
        <f>IF(NOT(ISERR(SEARCH("*_Buggy",$A1099))), "Buggy", IF(NOT(ISERR(SEARCH("*_Fixed",$A1099))), "Fixed", IF(NOT(ISERR(SEARCH("*_Repaired",$A1099))), "Repaired", "")))</f>
        <v>Repaired</v>
      </c>
      <c r="R1099" s="13" t="s">
        <v>1669</v>
      </c>
      <c r="S1099" s="25">
        <v>2</v>
      </c>
      <c r="T1099" s="25">
        <v>3</v>
      </c>
      <c r="U1099" s="25">
        <v>43</v>
      </c>
      <c r="V1099" s="13">
        <v>43</v>
      </c>
      <c r="W1099" s="13" t="str">
        <f>MID(A1099, SEARCH("_", A1099) +1, SEARCH("_", A1099, SEARCH("_", A1099) +1) - SEARCH("_", A1099) -1)</f>
        <v>Closure-112</v>
      </c>
      <c r="Y1099" s="1" t="str">
        <f t="shared" si="48"/>
        <v>NO</v>
      </c>
      <c r="Z1099" s="1" t="str">
        <f t="shared" si="49"/>
        <v>YES</v>
      </c>
      <c r="AA1099" t="s">
        <v>1704</v>
      </c>
      <c r="AB1099" t="s">
        <v>1704</v>
      </c>
      <c r="AC1099" s="1" t="s">
        <v>1704</v>
      </c>
      <c r="AD1099" s="1" t="s">
        <v>1704</v>
      </c>
      <c r="AE1099" s="1" t="s">
        <v>1704</v>
      </c>
      <c r="AF1099" s="1" t="s">
        <v>1705</v>
      </c>
    </row>
    <row r="1100" spans="1:32" ht="15" x14ac:dyDescent="0.35">
      <c r="A1100" s="7" t="s">
        <v>817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>LEFT($A1100,FIND("_",$A1100)-1)</f>
        <v>ARJA</v>
      </c>
      <c r="P1100" s="13" t="str">
        <f>IF($O1100="ACS", "True Search", IF($O1100="Arja", "Evolutionary Search", IF($O1100="AVATAR", "True Pattern", IF($O1100="CapGen", "Search Like Pattern", IF($O1100="Cardumen", "True Semantic", IF($O1100="DynaMoth", "True Semantic", IF($O1100="FixMiner", "True Pattern", IF($O1100="GenProg-A", "Evolutionary Search", IF($O1100="Hercules", "Learning Pattern", IF($O1100="Jaid", "True Semantic",
IF($O1100="Kali-A", "True Search", IF($O1100="kPAR", "True Pattern", IF($O1100="Nopol", "True Semantic", IF($O1100="RSRepair-A", "Evolutionary Search", IF($O1100="SequenceR", "Deep Learning", IF($O1100="SimFix", "Search Like Pattern", IF($O1100="SketchFix", "True Pattern", IF($O1100="SOFix", "True Pattern", IF($O1100="ssFix", "Search Like Pattern", IF($O1100="TBar", "True Pattern", ""))))))))))))))))))))</f>
        <v>Evolutionary Search</v>
      </c>
      <c r="Q1100" s="13" t="str">
        <f>IF(NOT(ISERR(SEARCH("*_Buggy",$A1100))), "Buggy", IF(NOT(ISERR(SEARCH("*_Fixed",$A1100))), "Fixed", IF(NOT(ISERR(SEARCH("*_Repaired",$A1100))), "Repaired", "")))</f>
        <v>Repaired</v>
      </c>
      <c r="R1100" s="13" t="s">
        <v>1669</v>
      </c>
      <c r="S1100" s="25">
        <v>1</v>
      </c>
      <c r="T1100" s="25">
        <v>0</v>
      </c>
      <c r="U1100" s="13">
        <v>16</v>
      </c>
      <c r="V1100" s="13">
        <v>16</v>
      </c>
      <c r="W1100" s="13" t="str">
        <f>MID(A1100, SEARCH("_", A1100) +1, SEARCH("_", A1100, SEARCH("_", A1100) +1) - SEARCH("_", A1100) -1)</f>
        <v>Closure-114</v>
      </c>
      <c r="Y1100" s="1" t="str">
        <f t="shared" si="48"/>
        <v>NO</v>
      </c>
      <c r="Z1100" s="1" t="str">
        <f t="shared" si="49"/>
        <v>NO</v>
      </c>
      <c r="AA1100" t="s">
        <v>1704</v>
      </c>
      <c r="AB1100" t="s">
        <v>1704</v>
      </c>
      <c r="AC1100" s="1" t="s">
        <v>1704</v>
      </c>
      <c r="AD1100" s="1" t="s">
        <v>1704</v>
      </c>
      <c r="AE1100" s="1" t="s">
        <v>1704</v>
      </c>
      <c r="AF1100" s="1" t="s">
        <v>1704</v>
      </c>
    </row>
    <row r="1101" spans="1:32" ht="15" x14ac:dyDescent="0.35">
      <c r="A1101" s="7" t="s">
        <v>1045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>LEFT($A1101,FIND("_",$A1101)-1)</f>
        <v>ARJA</v>
      </c>
      <c r="P1101" s="13" t="str">
        <f>IF($O1101="ACS", "True Search", IF($O1101="Arja", "Evolutionary Search", IF($O1101="AVATAR", "True Pattern", IF($O1101="CapGen", "Search Like Pattern", IF($O1101="Cardumen", "True Semantic", IF($O1101="DynaMoth", "True Semantic", IF($O1101="FixMiner", "True Pattern", IF($O1101="GenProg-A", "Evolutionary Search", IF($O1101="Hercules", "Learning Pattern", IF($O1101="Jaid", "True Semantic",
IF($O1101="Kali-A", "True Search", IF($O1101="kPAR", "True Pattern", IF($O1101="Nopol", "True Semantic", IF($O1101="RSRepair-A", "Evolutionary Search", IF($O1101="SequenceR", "Deep Learning", IF($O1101="SimFix", "Search Like Pattern", IF($O1101="SketchFix", "True Pattern", IF($O1101="SOFix", "True Pattern", IF($O1101="ssFix", "Search Like Pattern", IF($O1101="TBar", "True Pattern", ""))))))))))))))))))))</f>
        <v>Evolutionary Search</v>
      </c>
      <c r="Q1101" s="13" t="str">
        <f>IF(NOT(ISERR(SEARCH("*_Buggy",$A1101))), "Buggy", IF(NOT(ISERR(SEARCH("*_Fixed",$A1101))), "Fixed", IF(NOT(ISERR(SEARCH("*_Repaired",$A1101))), "Repaired", "")))</f>
        <v>Repaired</v>
      </c>
      <c r="R1101" s="13" t="s">
        <v>1668</v>
      </c>
      <c r="S1101" s="25">
        <v>1</v>
      </c>
      <c r="T1101" s="25">
        <v>0</v>
      </c>
      <c r="U1101" s="13">
        <v>3</v>
      </c>
      <c r="V1101" s="13">
        <v>3</v>
      </c>
      <c r="W1101" s="13" t="str">
        <f>MID(A1101, SEARCH("_", A1101) +1, SEARCH("_", A1101, SEARCH("_", A1101) +1) - SEARCH("_", A1101) -1)</f>
        <v>Closure-115</v>
      </c>
      <c r="Y1101" s="1" t="str">
        <f t="shared" si="48"/>
        <v>NO</v>
      </c>
      <c r="Z1101" s="1" t="str">
        <f t="shared" si="49"/>
        <v>NO</v>
      </c>
      <c r="AA1101" t="s">
        <v>1704</v>
      </c>
      <c r="AB1101" t="s">
        <v>1704</v>
      </c>
      <c r="AC1101" s="1" t="s">
        <v>1704</v>
      </c>
      <c r="AD1101" s="1" t="s">
        <v>1704</v>
      </c>
      <c r="AE1101" s="1" t="s">
        <v>1704</v>
      </c>
      <c r="AF1101" s="1" t="s">
        <v>1705</v>
      </c>
    </row>
    <row r="1102" spans="1:32" ht="15" x14ac:dyDescent="0.35">
      <c r="A1102" s="5" t="s">
        <v>1046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>LEFT($A1102,FIND("_",$A1102)-1)</f>
        <v>ARJA</v>
      </c>
      <c r="P1102" s="13" t="str">
        <f>IF($O1102="ACS", "True Search", IF($O1102="Arja", "Evolutionary Search", IF($O1102="AVATAR", "True Pattern", IF($O1102="CapGen", "Search Like Pattern", IF($O1102="Cardumen", "True Semantic", IF($O1102="DynaMoth", "True Semantic", IF($O1102="FixMiner", "True Pattern", IF($O1102="GenProg-A", "Evolutionary Search", IF($O1102="Hercules", "Learning Pattern", IF($O1102="Jaid", "True Semantic",
IF($O1102="Kali-A", "True Search", IF($O1102="kPAR", "True Pattern", IF($O1102="Nopol", "True Semantic", IF($O1102="RSRepair-A", "Evolutionary Search", IF($O1102="SequenceR", "Deep Learning", IF($O1102="SimFix", "Search Like Pattern", IF($O1102="SketchFix", "True Pattern", IF($O1102="SOFix", "True Pattern", IF($O1102="ssFix", "Search Like Pattern", IF($O1102="TBar", "True Pattern", ""))))))))))))))))))))</f>
        <v>Evolutionary Search</v>
      </c>
      <c r="Q1102" s="13" t="str">
        <f>IF(NOT(ISERR(SEARCH("*_Buggy",$A1102))), "Buggy", IF(NOT(ISERR(SEARCH("*_Fixed",$A1102))), "Fixed", IF(NOT(ISERR(SEARCH("*_Repaired",$A1102))), "Repaired", "")))</f>
        <v>Repaired</v>
      </c>
      <c r="R1102" s="13" t="s">
        <v>1669</v>
      </c>
      <c r="S1102" s="25">
        <v>1</v>
      </c>
      <c r="T1102" s="25">
        <v>0</v>
      </c>
      <c r="U1102" s="13">
        <v>28</v>
      </c>
      <c r="V1102" s="13">
        <v>28</v>
      </c>
      <c r="W1102" s="13" t="str">
        <f>MID(A1102, SEARCH("_", A1102) +1, SEARCH("_", A1102, SEARCH("_", A1102) +1) - SEARCH("_", A1102) -1)</f>
        <v>Closure-117</v>
      </c>
      <c r="Y1102" s="1" t="str">
        <f t="shared" si="48"/>
        <v>NO</v>
      </c>
      <c r="Z1102" s="1" t="str">
        <f t="shared" si="49"/>
        <v>NO</v>
      </c>
      <c r="AA1102" t="s">
        <v>1704</v>
      </c>
      <c r="AB1102" t="s">
        <v>1704</v>
      </c>
      <c r="AC1102" s="1" t="s">
        <v>1704</v>
      </c>
      <c r="AD1102" s="1" t="s">
        <v>1704</v>
      </c>
      <c r="AE1102" s="1" t="s">
        <v>1704</v>
      </c>
      <c r="AF1102" s="1" t="s">
        <v>1705</v>
      </c>
    </row>
    <row r="1103" spans="1:32" ht="15" x14ac:dyDescent="0.35">
      <c r="A1103" s="7" t="s">
        <v>1128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>LEFT($A1103,FIND("_",$A1103)-1)</f>
        <v>ARJA</v>
      </c>
      <c r="P1103" s="13" t="str">
        <f>IF($O1103="ACS", "True Search", IF($O1103="Arja", "Evolutionary Search", IF($O1103="AVATAR", "True Pattern", IF($O1103="CapGen", "Search Like Pattern", IF($O1103="Cardumen", "True Semantic", IF($O1103="DynaMoth", "True Semantic", IF($O1103="FixMiner", "True Pattern", IF($O1103="GenProg-A", "Evolutionary Search", IF($O1103="Hercules", "Learning Pattern", IF($O1103="Jaid", "True Semantic",
IF($O1103="Kali-A", "True Search", IF($O1103="kPAR", "True Pattern", IF($O1103="Nopol", "True Semantic", IF($O1103="RSRepair-A", "Evolutionary Search", IF($O1103="SequenceR", "Deep Learning", IF($O1103="SimFix", "Search Like Pattern", IF($O1103="SketchFix", "True Pattern", IF($O1103="SOFix", "True Pattern", IF($O1103="ssFix", "Search Like Pattern", IF($O1103="TBar", "True Pattern", ""))))))))))))))))))))</f>
        <v>Evolutionary Search</v>
      </c>
      <c r="Q1103" s="13" t="str">
        <f>IF(NOT(ISERR(SEARCH("*_Buggy",$A1103))), "Buggy", IF(NOT(ISERR(SEARCH("*_Fixed",$A1103))), "Fixed", IF(NOT(ISERR(SEARCH("*_Repaired",$A1103))), "Repaired", "")))</f>
        <v>Repaired</v>
      </c>
      <c r="R1103" s="13" t="s">
        <v>1669</v>
      </c>
      <c r="S1103" s="25">
        <v>1</v>
      </c>
      <c r="T1103" s="25">
        <v>0</v>
      </c>
      <c r="U1103" s="13">
        <v>1</v>
      </c>
      <c r="V1103" s="13">
        <v>1</v>
      </c>
      <c r="W1103" s="13" t="str">
        <f>MID(A1103, SEARCH("_", A1103) +1, SEARCH("_", A1103, SEARCH("_", A1103) +1) - SEARCH("_", A1103) -1)</f>
        <v>Closure-124</v>
      </c>
      <c r="Y1103" s="1" t="str">
        <f t="shared" si="48"/>
        <v>NO</v>
      </c>
      <c r="Z1103" s="1" t="str">
        <f t="shared" si="49"/>
        <v>NO</v>
      </c>
      <c r="AA1103" t="s">
        <v>1704</v>
      </c>
      <c r="AB1103" t="s">
        <v>1704</v>
      </c>
      <c r="AC1103" s="1" t="s">
        <v>1704</v>
      </c>
      <c r="AD1103" s="1" t="s">
        <v>1704</v>
      </c>
      <c r="AE1103" s="1" t="s">
        <v>1704</v>
      </c>
      <c r="AF1103" s="1" t="s">
        <v>1704</v>
      </c>
    </row>
    <row r="1104" spans="1:32" ht="15" x14ac:dyDescent="0.35">
      <c r="A1104" s="5" t="s">
        <v>906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>LEFT($A1104,FIND("_",$A1104)-1)</f>
        <v>ARJA</v>
      </c>
      <c r="P1104" s="13" t="str">
        <f>IF($O1104="ACS", "True Search", IF($O1104="Arja", "Evolutionary Search", IF($O1104="AVATAR", "True Pattern", IF($O1104="CapGen", "Search Like Pattern", IF($O1104="Cardumen", "True Semantic", IF($O1104="DynaMoth", "True Semantic", IF($O1104="FixMiner", "True Pattern", IF($O1104="GenProg-A", "Evolutionary Search", IF($O1104="Hercules", "Learning Pattern", IF($O1104="Jaid", "True Semantic",
IF($O1104="Kali-A", "True Search", IF($O1104="kPAR", "True Pattern", IF($O1104="Nopol", "True Semantic", IF($O1104="RSRepair-A", "Evolutionary Search", IF($O1104="SequenceR", "Deep Learning", IF($O1104="SimFix", "Search Like Pattern", IF($O1104="SketchFix", "True Pattern", IF($O1104="SOFix", "True Pattern", IF($O1104="ssFix", "Search Like Pattern", IF($O1104="TBar", "True Pattern", ""))))))))))))))))))))</f>
        <v>Evolutionary Search</v>
      </c>
      <c r="Q1104" s="13" t="str">
        <f>IF(NOT(ISERR(SEARCH("*_Buggy",$A1104))), "Buggy", IF(NOT(ISERR(SEARCH("*_Fixed",$A1104))), "Fixed", IF(NOT(ISERR(SEARCH("*_Repaired",$A1104))), "Repaired", "")))</f>
        <v>Repaired</v>
      </c>
      <c r="R1104" s="13" t="s">
        <v>1669</v>
      </c>
      <c r="S1104" s="25">
        <v>1</v>
      </c>
      <c r="T1104" s="25">
        <v>0</v>
      </c>
      <c r="U1104" s="13">
        <v>6</v>
      </c>
      <c r="V1104" s="13">
        <v>6</v>
      </c>
      <c r="W1104" s="13" t="str">
        <f>MID(A1104, SEARCH("_", A1104) +1, SEARCH("_", A1104, SEARCH("_", A1104) +1) - SEARCH("_", A1104) -1)</f>
        <v>Closure-125</v>
      </c>
      <c r="Y1104" s="1" t="str">
        <f t="shared" si="48"/>
        <v>NO</v>
      </c>
      <c r="Z1104" s="1" t="str">
        <f t="shared" si="49"/>
        <v>NO</v>
      </c>
      <c r="AA1104" t="s">
        <v>1704</v>
      </c>
      <c r="AB1104" t="s">
        <v>1704</v>
      </c>
      <c r="AC1104" s="1" t="s">
        <v>1704</v>
      </c>
      <c r="AD1104" s="1" t="s">
        <v>1704</v>
      </c>
      <c r="AE1104" s="1" t="s">
        <v>1704</v>
      </c>
      <c r="AF1104" s="1" t="s">
        <v>1704</v>
      </c>
    </row>
    <row r="1105" spans="1:32" ht="15" x14ac:dyDescent="0.35">
      <c r="A1105" s="5" t="s">
        <v>765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>LEFT($A1105,FIND("_",$A1105)-1)</f>
        <v>ARJA</v>
      </c>
      <c r="P1105" s="13" t="str">
        <f>IF($O1105="ACS", "True Search", IF($O1105="Arja", "Evolutionary Search", IF($O1105="AVATAR", "True Pattern", IF($O1105="CapGen", "Search Like Pattern", IF($O1105="Cardumen", "True Semantic", IF($O1105="DynaMoth", "True Semantic", IF($O1105="FixMiner", "True Pattern", IF($O1105="GenProg-A", "Evolutionary Search", IF($O1105="Hercules", "Learning Pattern", IF($O1105="Jaid", "True Semantic",
IF($O1105="Kali-A", "True Search", IF($O1105="kPAR", "True Pattern", IF($O1105="Nopol", "True Semantic", IF($O1105="RSRepair-A", "Evolutionary Search", IF($O1105="SequenceR", "Deep Learning", IF($O1105="SimFix", "Search Like Pattern", IF($O1105="SketchFix", "True Pattern", IF($O1105="SOFix", "True Pattern", IF($O1105="ssFix", "Search Like Pattern", IF($O1105="TBar", "True Pattern", ""))))))))))))))))))))</f>
        <v>Evolutionary Search</v>
      </c>
      <c r="Q1105" s="13" t="str">
        <f>IF(NOT(ISERR(SEARCH("*_Buggy",$A1105))), "Buggy", IF(NOT(ISERR(SEARCH("*_Fixed",$A1105))), "Fixed", IF(NOT(ISERR(SEARCH("*_Repaired",$A1105))), "Repaired", "")))</f>
        <v>Repaired</v>
      </c>
      <c r="R1105" s="13" t="s">
        <v>1669</v>
      </c>
      <c r="S1105" s="25">
        <v>1</v>
      </c>
      <c r="T1105" s="25">
        <v>2</v>
      </c>
      <c r="U1105" s="25">
        <v>1</v>
      </c>
      <c r="V1105" s="13">
        <v>2</v>
      </c>
      <c r="W1105" s="13" t="str">
        <f>MID(A1105, SEARCH("_", A1105) +1, SEARCH("_", A1105, SEARCH("_", A1105) +1) - SEARCH("_", A1105) -1)</f>
        <v>Closure-21</v>
      </c>
      <c r="Y1105" s="1" t="str">
        <f t="shared" si="48"/>
        <v>NO</v>
      </c>
      <c r="Z1105" s="1" t="str">
        <f t="shared" si="49"/>
        <v>NO</v>
      </c>
      <c r="AA1105" t="s">
        <v>1704</v>
      </c>
      <c r="AB1105" t="s">
        <v>1704</v>
      </c>
      <c r="AC1105" s="1" t="s">
        <v>1704</v>
      </c>
      <c r="AD1105" s="1" t="s">
        <v>1704</v>
      </c>
      <c r="AE1105" s="1" t="s">
        <v>1704</v>
      </c>
      <c r="AF1105" s="1" t="s">
        <v>1705</v>
      </c>
    </row>
    <row r="1106" spans="1:32" ht="15" x14ac:dyDescent="0.35">
      <c r="A1106" s="5" t="s">
        <v>881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>LEFT($A1106,FIND("_",$A1106)-1)</f>
        <v>ARJA</v>
      </c>
      <c r="P1106" s="13" t="str">
        <f>IF($O1106="ACS", "True Search", IF($O1106="Arja", "Evolutionary Search", IF($O1106="AVATAR", "True Pattern", IF($O1106="CapGen", "Search Like Pattern", IF($O1106="Cardumen", "True Semantic", IF($O1106="DynaMoth", "True Semantic", IF($O1106="FixMiner", "True Pattern", IF($O1106="GenProg-A", "Evolutionary Search", IF($O1106="Hercules", "Learning Pattern", IF($O1106="Jaid", "True Semantic",
IF($O1106="Kali-A", "True Search", IF($O1106="kPAR", "True Pattern", IF($O1106="Nopol", "True Semantic", IF($O1106="RSRepair-A", "Evolutionary Search", IF($O1106="SequenceR", "Deep Learning", IF($O1106="SimFix", "Search Like Pattern", IF($O1106="SketchFix", "True Pattern", IF($O1106="SOFix", "True Pattern", IF($O1106="ssFix", "Search Like Pattern", IF($O1106="TBar", "True Pattern", ""))))))))))))))))))))</f>
        <v>Evolutionary Search</v>
      </c>
      <c r="Q1106" s="13" t="str">
        <f>IF(NOT(ISERR(SEARCH("*_Buggy",$A1106))), "Buggy", IF(NOT(ISERR(SEARCH("*_Fixed",$A1106))), "Fixed", IF(NOT(ISERR(SEARCH("*_Repaired",$A1106))), "Repaired", "")))</f>
        <v>Repaired</v>
      </c>
      <c r="R1106" s="13" t="s">
        <v>1669</v>
      </c>
      <c r="S1106" s="25">
        <v>1</v>
      </c>
      <c r="T1106" s="25">
        <v>0</v>
      </c>
      <c r="U1106" s="13">
        <v>32</v>
      </c>
      <c r="V1106" s="13">
        <v>32</v>
      </c>
      <c r="W1106" s="13" t="str">
        <f>MID(A1106, SEARCH("_", A1106) +1, SEARCH("_", A1106, SEARCH("_", A1106) +1) - SEARCH("_", A1106) -1)</f>
        <v>Closure-22</v>
      </c>
      <c r="Y1106" s="1" t="str">
        <f t="shared" si="48"/>
        <v>NO</v>
      </c>
      <c r="Z1106" s="1" t="str">
        <f t="shared" si="49"/>
        <v>NO</v>
      </c>
      <c r="AA1106" t="s">
        <v>1704</v>
      </c>
      <c r="AB1106" t="s">
        <v>1704</v>
      </c>
      <c r="AC1106" s="1" t="s">
        <v>1704</v>
      </c>
      <c r="AD1106" s="1" t="s">
        <v>1704</v>
      </c>
      <c r="AE1106" s="1" t="s">
        <v>1704</v>
      </c>
      <c r="AF1106" s="1" t="s">
        <v>1705</v>
      </c>
    </row>
    <row r="1107" spans="1:32" ht="15" x14ac:dyDescent="0.35">
      <c r="A1107" s="7" t="s">
        <v>646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>LEFT($A1107,FIND("_",$A1107)-1)</f>
        <v>ARJA</v>
      </c>
      <c r="P1107" s="13" t="str">
        <f>IF($O1107="ACS", "True Search", IF($O1107="Arja", "Evolutionary Search", IF($O1107="AVATAR", "True Pattern", IF($O1107="CapGen", "Search Like Pattern", IF($O1107="Cardumen", "True Semantic", IF($O1107="DynaMoth", "True Semantic", IF($O1107="FixMiner", "True Pattern", IF($O1107="GenProg-A", "Evolutionary Search", IF($O1107="Hercules", "Learning Pattern", IF($O1107="Jaid", "True Semantic",
IF($O1107="Kali-A", "True Search", IF($O1107="kPAR", "True Pattern", IF($O1107="Nopol", "True Semantic", IF($O1107="RSRepair-A", "Evolutionary Search", IF($O1107="SequenceR", "Deep Learning", IF($O1107="SimFix", "Search Like Pattern", IF($O1107="SketchFix", "True Pattern", IF($O1107="SOFix", "True Pattern", IF($O1107="ssFix", "Search Like Pattern", IF($O1107="TBar", "True Pattern", ""))))))))))))))))))))</f>
        <v>Evolutionary Search</v>
      </c>
      <c r="Q1107" s="13" t="str">
        <f>IF(NOT(ISERR(SEARCH("*_Buggy",$A1107))), "Buggy", IF(NOT(ISERR(SEARCH("*_Fixed",$A1107))), "Fixed", IF(NOT(ISERR(SEARCH("*_Repaired",$A1107))), "Repaired", "")))</f>
        <v>Repaired</v>
      </c>
      <c r="R1107" s="13" t="s">
        <v>1669</v>
      </c>
      <c r="S1107" s="25">
        <v>1</v>
      </c>
      <c r="T1107" s="25">
        <v>1</v>
      </c>
      <c r="U1107" s="25">
        <v>14</v>
      </c>
      <c r="V1107" s="13">
        <v>14</v>
      </c>
      <c r="W1107" s="13" t="str">
        <f>MID(A1107, SEARCH("_", A1107) +1, SEARCH("_", A1107, SEARCH("_", A1107) +1) - SEARCH("_", A1107) -1)</f>
        <v>Closure-3</v>
      </c>
      <c r="Y1107" s="1" t="str">
        <f t="shared" si="48"/>
        <v>NO</v>
      </c>
      <c r="Z1107" s="1" t="str">
        <f t="shared" si="49"/>
        <v>NO</v>
      </c>
      <c r="AA1107" t="s">
        <v>1704</v>
      </c>
      <c r="AB1107" t="s">
        <v>1704</v>
      </c>
      <c r="AC1107" s="1" t="s">
        <v>1704</v>
      </c>
      <c r="AD1107" s="1" t="s">
        <v>1704</v>
      </c>
      <c r="AE1107" s="1" t="s">
        <v>1704</v>
      </c>
      <c r="AF1107" s="1" t="s">
        <v>1705</v>
      </c>
    </row>
    <row r="1108" spans="1:32" ht="15" x14ac:dyDescent="0.35">
      <c r="A1108" s="7" t="s">
        <v>696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>LEFT($A1108,FIND("_",$A1108)-1)</f>
        <v>ARJA</v>
      </c>
      <c r="P1108" s="13" t="str">
        <f>IF($O1108="ACS", "True Search", IF($O1108="Arja", "Evolutionary Search", IF($O1108="AVATAR", "True Pattern", IF($O1108="CapGen", "Search Like Pattern", IF($O1108="Cardumen", "True Semantic", IF($O1108="DynaMoth", "True Semantic", IF($O1108="FixMiner", "True Pattern", IF($O1108="GenProg-A", "Evolutionary Search", IF($O1108="Hercules", "Learning Pattern", IF($O1108="Jaid", "True Semantic",
IF($O1108="Kali-A", "True Search", IF($O1108="kPAR", "True Pattern", IF($O1108="Nopol", "True Semantic", IF($O1108="RSRepair-A", "Evolutionary Search", IF($O1108="SequenceR", "Deep Learning", IF($O1108="SimFix", "Search Like Pattern", IF($O1108="SketchFix", "True Pattern", IF($O1108="SOFix", "True Pattern", IF($O1108="ssFix", "Search Like Pattern", IF($O1108="TBar", "True Pattern", ""))))))))))))))))))))</f>
        <v>Evolutionary Search</v>
      </c>
      <c r="Q1108" s="13" t="str">
        <f>IF(NOT(ISERR(SEARCH("*_Buggy",$A1108))), "Buggy", IF(NOT(ISERR(SEARCH("*_Fixed",$A1108))), "Fixed", IF(NOT(ISERR(SEARCH("*_Repaired",$A1108))), "Repaired", "")))</f>
        <v>Repaired</v>
      </c>
      <c r="R1108" s="13" t="s">
        <v>1669</v>
      </c>
      <c r="S1108" s="25">
        <v>1</v>
      </c>
      <c r="T1108" s="25">
        <v>1</v>
      </c>
      <c r="U1108" s="25">
        <v>22</v>
      </c>
      <c r="V1108" s="13">
        <v>22</v>
      </c>
      <c r="W1108" s="13" t="str">
        <f>MID(A1108, SEARCH("_", A1108) +1, SEARCH("_", A1108, SEARCH("_", A1108) +1) - SEARCH("_", A1108) -1)</f>
        <v>Closure-33</v>
      </c>
      <c r="Y1108" s="1" t="str">
        <f t="shared" si="48"/>
        <v>NO</v>
      </c>
      <c r="Z1108" s="1" t="str">
        <f t="shared" si="49"/>
        <v>NO</v>
      </c>
      <c r="AA1108" t="s">
        <v>1704</v>
      </c>
      <c r="AB1108" t="s">
        <v>1704</v>
      </c>
      <c r="AC1108" s="1" t="s">
        <v>1704</v>
      </c>
      <c r="AD1108" s="1" t="s">
        <v>1705</v>
      </c>
      <c r="AE1108" s="1" t="s">
        <v>1704</v>
      </c>
      <c r="AF1108" s="1" t="s">
        <v>1705</v>
      </c>
    </row>
    <row r="1109" spans="1:32" ht="15" x14ac:dyDescent="0.35">
      <c r="A1109" s="5" t="s">
        <v>199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>LEFT($A1109,FIND("_",$A1109)-1)</f>
        <v>ARJA</v>
      </c>
      <c r="P1109" s="13" t="str">
        <f>IF($O1109="ACS", "True Search", IF($O1109="Arja", "Evolutionary Search", IF($O1109="AVATAR", "True Pattern", IF($O1109="CapGen", "Search Like Pattern", IF($O1109="Cardumen", "True Semantic", IF($O1109="DynaMoth", "True Semantic", IF($O1109="FixMiner", "True Pattern", IF($O1109="GenProg-A", "Evolutionary Search", IF($O1109="Hercules", "Learning Pattern", IF($O1109="Jaid", "True Semantic",
IF($O1109="Kali-A", "True Search", IF($O1109="kPAR", "True Pattern", IF($O1109="Nopol", "True Semantic", IF($O1109="RSRepair-A", "Evolutionary Search", IF($O1109="SequenceR", "Deep Learning", IF($O1109="SimFix", "Search Like Pattern", IF($O1109="SketchFix", "True Pattern", IF($O1109="SOFix", "True Pattern", IF($O1109="ssFix", "Search Like Pattern", IF($O1109="TBar", "True Pattern", ""))))))))))))))))))))</f>
        <v>Evolutionary Search</v>
      </c>
      <c r="Q1109" s="13" t="str">
        <f>IF(NOT(ISERR(SEARCH("*_Buggy",$A1109))), "Buggy", IF(NOT(ISERR(SEARCH("*_Fixed",$A1109))), "Fixed", IF(NOT(ISERR(SEARCH("*_Repaired",$A1109))), "Repaired", "")))</f>
        <v>Repaired</v>
      </c>
      <c r="R1109" s="13" t="s">
        <v>1669</v>
      </c>
      <c r="S1109" s="25">
        <v>1</v>
      </c>
      <c r="T1109" s="25">
        <v>1</v>
      </c>
      <c r="U1109" s="25">
        <v>1</v>
      </c>
      <c r="V1109" s="13">
        <v>1</v>
      </c>
      <c r="W1109" s="13" t="str">
        <f>MID(A1109, SEARCH("_", A1109) +1, SEARCH("_", A1109, SEARCH("_", A1109) +1) - SEARCH("_", A1109) -1)</f>
        <v>Closure-55</v>
      </c>
      <c r="Y1109" s="1" t="str">
        <f t="shared" si="48"/>
        <v>NO</v>
      </c>
      <c r="Z1109" s="1" t="str">
        <f t="shared" si="49"/>
        <v>NO</v>
      </c>
      <c r="AA1109" t="s">
        <v>1704</v>
      </c>
      <c r="AB1109" t="s">
        <v>1704</v>
      </c>
      <c r="AC1109" s="1" t="s">
        <v>1704</v>
      </c>
      <c r="AD1109" s="1" t="s">
        <v>1704</v>
      </c>
      <c r="AE1109" s="1" t="s">
        <v>1704</v>
      </c>
      <c r="AF1109" s="1" t="s">
        <v>1704</v>
      </c>
    </row>
    <row r="1110" spans="1:32" ht="15" x14ac:dyDescent="0.35">
      <c r="A1110" s="7" t="s">
        <v>557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>LEFT($A1110,FIND("_",$A1110)-1)</f>
        <v>ARJA</v>
      </c>
      <c r="P1110" s="13" t="str">
        <f>IF($O1110="ACS", "True Search", IF($O1110="Arja", "Evolutionary Search", IF($O1110="AVATAR", "True Pattern", IF($O1110="CapGen", "Search Like Pattern", IF($O1110="Cardumen", "True Semantic", IF($O1110="DynaMoth", "True Semantic", IF($O1110="FixMiner", "True Pattern", IF($O1110="GenProg-A", "Evolutionary Search", IF($O1110="Hercules", "Learning Pattern", IF($O1110="Jaid", "True Semantic",
IF($O1110="Kali-A", "True Search", IF($O1110="kPAR", "True Pattern", IF($O1110="Nopol", "True Semantic", IF($O1110="RSRepair-A", "Evolutionary Search", IF($O1110="SequenceR", "Deep Learning", IF($O1110="SimFix", "Search Like Pattern", IF($O1110="SketchFix", "True Pattern", IF($O1110="SOFix", "True Pattern", IF($O1110="ssFix", "Search Like Pattern", IF($O1110="TBar", "True Pattern", ""))))))))))))))))))))</f>
        <v>Evolutionary Search</v>
      </c>
      <c r="Q1110" s="13" t="str">
        <f>IF(NOT(ISERR(SEARCH("*_Buggy",$A1110))), "Buggy", IF(NOT(ISERR(SEARCH("*_Fixed",$A1110))), "Fixed", IF(NOT(ISERR(SEARCH("*_Repaired",$A1110))), "Repaired", "")))</f>
        <v>Repaired</v>
      </c>
      <c r="R1110" s="13" t="s">
        <v>1669</v>
      </c>
      <c r="S1110" s="25">
        <v>2</v>
      </c>
      <c r="T1110" s="25">
        <v>0</v>
      </c>
      <c r="U1110" s="13">
        <v>36</v>
      </c>
      <c r="V1110" s="13">
        <v>36</v>
      </c>
      <c r="W1110" s="13" t="str">
        <f>MID(A1110, SEARCH("_", A1110) +1, SEARCH("_", A1110, SEARCH("_", A1110) +1) - SEARCH("_", A1110) -1)</f>
        <v>Closure-8</v>
      </c>
      <c r="Y1110" s="1" t="str">
        <f t="shared" si="48"/>
        <v>NO</v>
      </c>
      <c r="Z1110" s="1" t="str">
        <f t="shared" si="49"/>
        <v>YES</v>
      </c>
      <c r="AA1110" t="s">
        <v>1704</v>
      </c>
      <c r="AB1110" t="s">
        <v>1705</v>
      </c>
      <c r="AC1110" s="1" t="s">
        <v>1704</v>
      </c>
      <c r="AD1110" s="1" t="s">
        <v>1704</v>
      </c>
      <c r="AE1110" s="1" t="s">
        <v>1704</v>
      </c>
      <c r="AF1110" s="1" t="s">
        <v>1705</v>
      </c>
    </row>
    <row r="1111" spans="1:32" ht="15" x14ac:dyDescent="0.35">
      <c r="A1111" s="7" t="s">
        <v>922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>LEFT($A1111,FIND("_",$A1111)-1)</f>
        <v>ARJA</v>
      </c>
      <c r="P1111" s="13" t="str">
        <f>IF($O1111="ACS", "True Search", IF($O1111="Arja", "Evolutionary Search", IF($O1111="AVATAR", "True Pattern", IF($O1111="CapGen", "Search Like Pattern", IF($O1111="Cardumen", "True Semantic", IF($O1111="DynaMoth", "True Semantic", IF($O1111="FixMiner", "True Pattern", IF($O1111="GenProg-A", "Evolutionary Search", IF($O1111="Hercules", "Learning Pattern", IF($O1111="Jaid", "True Semantic",
IF($O1111="Kali-A", "True Search", IF($O1111="kPAR", "True Pattern", IF($O1111="Nopol", "True Semantic", IF($O1111="RSRepair-A", "Evolutionary Search", IF($O1111="SequenceR", "Deep Learning", IF($O1111="SimFix", "Search Like Pattern", IF($O1111="SketchFix", "True Pattern", IF($O1111="SOFix", "True Pattern", IF($O1111="ssFix", "Search Like Pattern", IF($O1111="TBar", "True Pattern", ""))))))))))))))))))))</f>
        <v>Evolutionary Search</v>
      </c>
      <c r="Q1111" s="13" t="str">
        <f>IF(NOT(ISERR(SEARCH("*_Buggy",$A1111))), "Buggy", IF(NOT(ISERR(SEARCH("*_Fixed",$A1111))), "Fixed", IF(NOT(ISERR(SEARCH("*_Repaired",$A1111))), "Repaired", "")))</f>
        <v>Repaired</v>
      </c>
      <c r="R1111" s="13" t="s">
        <v>1668</v>
      </c>
      <c r="S1111" s="25">
        <v>1</v>
      </c>
      <c r="T1111" s="25">
        <v>1</v>
      </c>
      <c r="U1111" s="25">
        <v>4</v>
      </c>
      <c r="V1111" s="13">
        <v>4</v>
      </c>
      <c r="W1111" s="13" t="str">
        <f>MID(A1111, SEARCH("_", A1111) +1, SEARCH("_", A1111, SEARCH("_", A1111) +1) - SEARCH("_", A1111) -1)</f>
        <v>Closure-86</v>
      </c>
      <c r="Y1111" s="1" t="str">
        <f t="shared" si="48"/>
        <v>NO</v>
      </c>
      <c r="Z1111" s="1" t="str">
        <f t="shared" si="49"/>
        <v>NO</v>
      </c>
      <c r="AA1111" t="s">
        <v>1704</v>
      </c>
      <c r="AB1111" t="s">
        <v>1704</v>
      </c>
      <c r="AC1111" s="1" t="s">
        <v>1704</v>
      </c>
      <c r="AD1111" s="1" t="s">
        <v>1704</v>
      </c>
      <c r="AE1111" s="1" t="s">
        <v>1704</v>
      </c>
      <c r="AF1111" s="1" t="s">
        <v>1704</v>
      </c>
    </row>
    <row r="1112" spans="1:32" ht="15" x14ac:dyDescent="0.35">
      <c r="A1112" s="5" t="s">
        <v>388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>LEFT($A1112,FIND("_",$A1112)-1)</f>
        <v>ARJA</v>
      </c>
      <c r="P1112" s="13" t="str">
        <f>IF($O1112="ACS", "True Search", IF($O1112="Arja", "Evolutionary Search", IF($O1112="AVATAR", "True Pattern", IF($O1112="CapGen", "Search Like Pattern", IF($O1112="Cardumen", "True Semantic", IF($O1112="DynaMoth", "True Semantic", IF($O1112="FixMiner", "True Pattern", IF($O1112="GenProg-A", "Evolutionary Search", IF($O1112="Hercules", "Learning Pattern", IF($O1112="Jaid", "True Semantic",
IF($O1112="Kali-A", "True Search", IF($O1112="kPAR", "True Pattern", IF($O1112="Nopol", "True Semantic", IF($O1112="RSRepair-A", "Evolutionary Search", IF($O1112="SequenceR", "Deep Learning", IF($O1112="SimFix", "Search Like Pattern", IF($O1112="SketchFix", "True Pattern", IF($O1112="SOFix", "True Pattern", IF($O1112="ssFix", "Search Like Pattern", IF($O1112="TBar", "True Pattern", ""))))))))))))))))))))</f>
        <v>Evolutionary Search</v>
      </c>
      <c r="Q1112" s="13" t="str">
        <f>IF(NOT(ISERR(SEARCH("*_Buggy",$A1112))), "Buggy", IF(NOT(ISERR(SEARCH("*_Fixed",$A1112))), "Fixed", IF(NOT(ISERR(SEARCH("*_Repaired",$A1112))), "Repaired", "")))</f>
        <v>Repaired</v>
      </c>
      <c r="R1112" s="13" t="s">
        <v>1669</v>
      </c>
      <c r="S1112" s="25">
        <v>1</v>
      </c>
      <c r="T1112" s="25">
        <v>0</v>
      </c>
      <c r="U1112" s="13">
        <v>4</v>
      </c>
      <c r="V1112" s="13">
        <v>4</v>
      </c>
      <c r="W1112" s="13" t="str">
        <f>MID(A1112, SEARCH("_", A1112) +1, SEARCH("_", A1112, SEARCH("_", A1112) +1) - SEARCH("_", A1112) -1)</f>
        <v>Closure-88</v>
      </c>
      <c r="Y1112" s="1" t="str">
        <f t="shared" si="48"/>
        <v>NO</v>
      </c>
      <c r="Z1112" s="1" t="str">
        <f t="shared" si="49"/>
        <v>NO</v>
      </c>
      <c r="AA1112" t="s">
        <v>1704</v>
      </c>
      <c r="AB1112" t="s">
        <v>1704</v>
      </c>
      <c r="AC1112" s="1" t="s">
        <v>1704</v>
      </c>
      <c r="AD1112" s="1" t="s">
        <v>1704</v>
      </c>
      <c r="AE1112" s="1" t="s">
        <v>1704</v>
      </c>
      <c r="AF1112" s="1" t="s">
        <v>1705</v>
      </c>
    </row>
    <row r="1113" spans="1:32" ht="15" x14ac:dyDescent="0.35">
      <c r="A1113" s="5" t="s">
        <v>1143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>LEFT($A1113,FIND("_",$A1113)-1)</f>
        <v>ARJA</v>
      </c>
      <c r="P1113" s="13" t="str">
        <f>IF($O1113="ACS", "True Search", IF($O1113="Arja", "Evolutionary Search", IF($O1113="AVATAR", "True Pattern", IF($O1113="CapGen", "Search Like Pattern", IF($O1113="Cardumen", "True Semantic", IF($O1113="DynaMoth", "True Semantic", IF($O1113="FixMiner", "True Pattern", IF($O1113="GenProg-A", "Evolutionary Search", IF($O1113="Hercules", "Learning Pattern", IF($O1113="Jaid", "True Semantic",
IF($O1113="Kali-A", "True Search", IF($O1113="kPAR", "True Pattern", IF($O1113="Nopol", "True Semantic", IF($O1113="RSRepair-A", "Evolutionary Search", IF($O1113="SequenceR", "Deep Learning", IF($O1113="SimFix", "Search Like Pattern", IF($O1113="SketchFix", "True Pattern", IF($O1113="SOFix", "True Pattern", IF($O1113="ssFix", "Search Like Pattern", IF($O1113="TBar", "True Pattern", ""))))))))))))))))))))</f>
        <v>Evolutionary Search</v>
      </c>
      <c r="Q1113" s="13" t="str">
        <f>IF(NOT(ISERR(SEARCH("*_Buggy",$A1113))), "Buggy", IF(NOT(ISERR(SEARCH("*_Fixed",$A1113))), "Fixed", IF(NOT(ISERR(SEARCH("*_Repaired",$A1113))), "Repaired", "")))</f>
        <v>Repaired</v>
      </c>
      <c r="R1113" s="13" t="s">
        <v>1669</v>
      </c>
      <c r="S1113" s="25">
        <v>1</v>
      </c>
      <c r="T1113" s="25">
        <v>1</v>
      </c>
      <c r="U1113" s="25">
        <v>1</v>
      </c>
      <c r="V1113" s="13">
        <v>1</v>
      </c>
      <c r="W1113" s="13" t="str">
        <f>MID(A1113, SEARCH("_", A1113) +1, SEARCH("_", A1113, SEARCH("_", A1113) +1) - SEARCH("_", A1113) -1)</f>
        <v>Lang-16</v>
      </c>
      <c r="Y1113" s="1" t="str">
        <f t="shared" si="48"/>
        <v>NO</v>
      </c>
      <c r="Z1113" s="1" t="str">
        <f t="shared" si="49"/>
        <v>NO</v>
      </c>
      <c r="AA1113" t="s">
        <v>1704</v>
      </c>
      <c r="AB1113" t="s">
        <v>1704</v>
      </c>
      <c r="AC1113" s="1" t="s">
        <v>1705</v>
      </c>
      <c r="AD1113" s="1" t="s">
        <v>1704</v>
      </c>
      <c r="AE1113" s="1" t="s">
        <v>1705</v>
      </c>
      <c r="AF1113" s="1" t="s">
        <v>1704</v>
      </c>
    </row>
    <row r="1114" spans="1:32" ht="15" x14ac:dyDescent="0.35">
      <c r="A1114" s="5" t="s">
        <v>859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>LEFT($A1114,FIND("_",$A1114)-1)</f>
        <v>ARJA</v>
      </c>
      <c r="P1114" s="13" t="str">
        <f>IF($O1114="ACS", "True Search", IF($O1114="Arja", "Evolutionary Search", IF($O1114="AVATAR", "True Pattern", IF($O1114="CapGen", "Search Like Pattern", IF($O1114="Cardumen", "True Semantic", IF($O1114="DynaMoth", "True Semantic", IF($O1114="FixMiner", "True Pattern", IF($O1114="GenProg-A", "Evolutionary Search", IF($O1114="Hercules", "Learning Pattern", IF($O1114="Jaid", "True Semantic",
IF($O1114="Kali-A", "True Search", IF($O1114="kPAR", "True Pattern", IF($O1114="Nopol", "True Semantic", IF($O1114="RSRepair-A", "Evolutionary Search", IF($O1114="SequenceR", "Deep Learning", IF($O1114="SimFix", "Search Like Pattern", IF($O1114="SketchFix", "True Pattern", IF($O1114="SOFix", "True Pattern", IF($O1114="ssFix", "Search Like Pattern", IF($O1114="TBar", "True Pattern", ""))))))))))))))))))))</f>
        <v>Evolutionary Search</v>
      </c>
      <c r="Q1114" s="13" t="str">
        <f>IF(NOT(ISERR(SEARCH("*_Buggy",$A1114))), "Buggy", IF(NOT(ISERR(SEARCH("*_Fixed",$A1114))), "Fixed", IF(NOT(ISERR(SEARCH("*_Repaired",$A1114))), "Repaired", "")))</f>
        <v>Repaired</v>
      </c>
      <c r="R1114" s="13" t="s">
        <v>1669</v>
      </c>
      <c r="S1114" s="25">
        <v>2</v>
      </c>
      <c r="T1114" s="25">
        <v>2</v>
      </c>
      <c r="U1114" s="25">
        <v>2</v>
      </c>
      <c r="V1114" s="13">
        <v>2</v>
      </c>
      <c r="W1114" s="13" t="str">
        <f>MID(A1114, SEARCH("_", A1114) +1, SEARCH("_", A1114, SEARCH("_", A1114) +1) - SEARCH("_", A1114) -1)</f>
        <v>Lang-20</v>
      </c>
      <c r="Y1114" s="1" t="str">
        <f t="shared" si="48"/>
        <v>YES</v>
      </c>
      <c r="Z1114" s="1" t="str">
        <f t="shared" si="49"/>
        <v>NO</v>
      </c>
      <c r="AA1114" t="s">
        <v>1705</v>
      </c>
      <c r="AB1114" t="s">
        <v>1704</v>
      </c>
      <c r="AC1114" s="1" t="s">
        <v>1704</v>
      </c>
      <c r="AD1114" s="1" t="s">
        <v>1704</v>
      </c>
      <c r="AE1114" s="1" t="s">
        <v>1704</v>
      </c>
      <c r="AF1114" s="1" t="s">
        <v>1705</v>
      </c>
    </row>
    <row r="1115" spans="1:32" ht="15" x14ac:dyDescent="0.35">
      <c r="A1115" s="5" t="s">
        <v>946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>LEFT($A1115,FIND("_",$A1115)-1)</f>
        <v>ARJA</v>
      </c>
      <c r="P1115" s="13" t="str">
        <f>IF($O1115="ACS", "True Search", IF($O1115="Arja", "Evolutionary Search", IF($O1115="AVATAR", "True Pattern", IF($O1115="CapGen", "Search Like Pattern", IF($O1115="Cardumen", "True Semantic", IF($O1115="DynaMoth", "True Semantic", IF($O1115="FixMiner", "True Pattern", IF($O1115="GenProg-A", "Evolutionary Search", IF($O1115="Hercules", "Learning Pattern", IF($O1115="Jaid", "True Semantic",
IF($O1115="Kali-A", "True Search", IF($O1115="kPAR", "True Pattern", IF($O1115="Nopol", "True Semantic", IF($O1115="RSRepair-A", "Evolutionary Search", IF($O1115="SequenceR", "Deep Learning", IF($O1115="SimFix", "Search Like Pattern", IF($O1115="SketchFix", "True Pattern", IF($O1115="SOFix", "True Pattern", IF($O1115="ssFix", "Search Like Pattern", IF($O1115="TBar", "True Pattern", ""))))))))))))))))))))</f>
        <v>Evolutionary Search</v>
      </c>
      <c r="Q1115" s="13" t="str">
        <f>IF(NOT(ISERR(SEARCH("*_Buggy",$A1115))), "Buggy", IF(NOT(ISERR(SEARCH("*_Fixed",$A1115))), "Fixed", IF(NOT(ISERR(SEARCH("*_Repaired",$A1115))), "Repaired", "")))</f>
        <v>Repaired</v>
      </c>
      <c r="R1115" s="13" t="s">
        <v>1669</v>
      </c>
      <c r="S1115" s="25">
        <v>1</v>
      </c>
      <c r="T1115" s="25">
        <v>1</v>
      </c>
      <c r="U1115" s="25">
        <v>1</v>
      </c>
      <c r="V1115" s="13">
        <v>1</v>
      </c>
      <c r="W1115" s="13" t="str">
        <f>MID(A1115, SEARCH("_", A1115) +1, SEARCH("_", A1115, SEARCH("_", A1115) +1) - SEARCH("_", A1115) -1)</f>
        <v>Lang-43</v>
      </c>
      <c r="Y1115" s="1" t="str">
        <f t="shared" si="48"/>
        <v>NO</v>
      </c>
      <c r="Z1115" s="1" t="str">
        <f t="shared" si="49"/>
        <v>NO</v>
      </c>
      <c r="AA1115" t="s">
        <v>1704</v>
      </c>
      <c r="AB1115" t="s">
        <v>1704</v>
      </c>
      <c r="AC1115" s="1" t="s">
        <v>1705</v>
      </c>
      <c r="AD1115" s="1" t="s">
        <v>1704</v>
      </c>
      <c r="AE1115" s="1" t="s">
        <v>1705</v>
      </c>
      <c r="AF1115" s="1" t="s">
        <v>1704</v>
      </c>
    </row>
    <row r="1116" spans="1:32" ht="15" x14ac:dyDescent="0.35">
      <c r="A1116" s="7" t="s">
        <v>219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>LEFT($A1116,FIND("_",$A1116)-1)</f>
        <v>ARJA</v>
      </c>
      <c r="P1116" s="13" t="str">
        <f>IF($O1116="ACS", "True Search", IF($O1116="Arja", "Evolutionary Search", IF($O1116="AVATAR", "True Pattern", IF($O1116="CapGen", "Search Like Pattern", IF($O1116="Cardumen", "True Semantic", IF($O1116="DynaMoth", "True Semantic", IF($O1116="FixMiner", "True Pattern", IF($O1116="GenProg-A", "Evolutionary Search", IF($O1116="Hercules", "Learning Pattern", IF($O1116="Jaid", "True Semantic",
IF($O1116="Kali-A", "True Search", IF($O1116="kPAR", "True Pattern", IF($O1116="Nopol", "True Semantic", IF($O1116="RSRepair-A", "Evolutionary Search", IF($O1116="SequenceR", "Deep Learning", IF($O1116="SimFix", "Search Like Pattern", IF($O1116="SketchFix", "True Pattern", IF($O1116="SOFix", "True Pattern", IF($O1116="ssFix", "Search Like Pattern", IF($O1116="TBar", "True Pattern", ""))))))))))))))))))))</f>
        <v>Evolutionary Search</v>
      </c>
      <c r="Q1116" s="13" t="str">
        <f>IF(NOT(ISERR(SEARCH("*_Buggy",$A1116))), "Buggy", IF(NOT(ISERR(SEARCH("*_Fixed",$A1116))), "Fixed", IF(NOT(ISERR(SEARCH("*_Repaired",$A1116))), "Repaired", "")))</f>
        <v>Repaired</v>
      </c>
      <c r="R1116" s="13" t="s">
        <v>1668</v>
      </c>
      <c r="S1116" s="25">
        <v>1</v>
      </c>
      <c r="T1116" s="25">
        <v>3</v>
      </c>
      <c r="U1116" s="25">
        <v>1</v>
      </c>
      <c r="V1116" s="13">
        <v>3</v>
      </c>
      <c r="W1116" s="13" t="str">
        <f>MID(A1116, SEARCH("_", A1116) +1, SEARCH("_", A1116, SEARCH("_", A1116) +1) - SEARCH("_", A1116) -1)</f>
        <v>Lang-46</v>
      </c>
      <c r="Y1116" s="1" t="str">
        <f t="shared" si="48"/>
        <v>NO</v>
      </c>
      <c r="Z1116" s="1" t="str">
        <f t="shared" si="49"/>
        <v>NO</v>
      </c>
      <c r="AA1116" t="s">
        <v>1704</v>
      </c>
      <c r="AB1116" t="s">
        <v>1704</v>
      </c>
      <c r="AC1116" s="1" t="s">
        <v>1704</v>
      </c>
      <c r="AD1116" s="1" t="s">
        <v>1704</v>
      </c>
      <c r="AE1116" s="1" t="s">
        <v>1704</v>
      </c>
      <c r="AF1116" s="1" t="s">
        <v>1705</v>
      </c>
    </row>
    <row r="1117" spans="1:32" ht="15" x14ac:dyDescent="0.35">
      <c r="A1117" s="7" t="s">
        <v>285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>LEFT($A1117,FIND("_",$A1117)-1)</f>
        <v>ARJA</v>
      </c>
      <c r="P1117" s="13" t="str">
        <f>IF($O1117="ACS", "True Search", IF($O1117="Arja", "Evolutionary Search", IF($O1117="AVATAR", "True Pattern", IF($O1117="CapGen", "Search Like Pattern", IF($O1117="Cardumen", "True Semantic", IF($O1117="DynaMoth", "True Semantic", IF($O1117="FixMiner", "True Pattern", IF($O1117="GenProg-A", "Evolutionary Search", IF($O1117="Hercules", "Learning Pattern", IF($O1117="Jaid", "True Semantic",
IF($O1117="Kali-A", "True Search", IF($O1117="kPAR", "True Pattern", IF($O1117="Nopol", "True Semantic", IF($O1117="RSRepair-A", "Evolutionary Search", IF($O1117="SequenceR", "Deep Learning", IF($O1117="SimFix", "Search Like Pattern", IF($O1117="SketchFix", "True Pattern", IF($O1117="SOFix", "True Pattern", IF($O1117="ssFix", "Search Like Pattern", IF($O1117="TBar", "True Pattern", ""))))))))))))))))))))</f>
        <v>Evolutionary Search</v>
      </c>
      <c r="Q1117" s="13" t="str">
        <f>IF(NOT(ISERR(SEARCH("*_Buggy",$A1117))), "Buggy", IF(NOT(ISERR(SEARCH("*_Fixed",$A1117))), "Fixed", IF(NOT(ISERR(SEARCH("*_Repaired",$A1117))), "Repaired", "")))</f>
        <v>Repaired</v>
      </c>
      <c r="R1117" s="13" t="s">
        <v>1669</v>
      </c>
      <c r="S1117" s="25">
        <v>3</v>
      </c>
      <c r="T1117" s="25">
        <v>6</v>
      </c>
      <c r="U1117" s="25">
        <v>3</v>
      </c>
      <c r="V1117" s="13">
        <v>7</v>
      </c>
      <c r="W1117" s="13" t="str">
        <f>MID(A1117, SEARCH("_", A1117) +1, SEARCH("_", A1117, SEARCH("_", A1117) +1) - SEARCH("_", A1117) -1)</f>
        <v>Lang-50</v>
      </c>
      <c r="Y1117" s="1" t="str">
        <f t="shared" si="48"/>
        <v>NO</v>
      </c>
      <c r="Z1117" s="1" t="str">
        <f t="shared" si="49"/>
        <v>YES</v>
      </c>
      <c r="AA1117" t="s">
        <v>1704</v>
      </c>
      <c r="AB1117" t="s">
        <v>1705</v>
      </c>
      <c r="AC1117" s="1" t="s">
        <v>1704</v>
      </c>
      <c r="AD1117" s="1" t="s">
        <v>1704</v>
      </c>
      <c r="AE1117" s="1" t="s">
        <v>1704</v>
      </c>
      <c r="AF1117" s="1" t="s">
        <v>1705</v>
      </c>
    </row>
    <row r="1118" spans="1:32" ht="15" x14ac:dyDescent="0.35">
      <c r="A1118" s="5" t="s">
        <v>1278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>LEFT($A1118,FIND("_",$A1118)-1)</f>
        <v>ARJA</v>
      </c>
      <c r="P1118" s="13" t="str">
        <f>IF($O1118="ACS", "True Search", IF($O1118="Arja", "Evolutionary Search", IF($O1118="AVATAR", "True Pattern", IF($O1118="CapGen", "Search Like Pattern", IF($O1118="Cardumen", "True Semantic", IF($O1118="DynaMoth", "True Semantic", IF($O1118="FixMiner", "True Pattern", IF($O1118="GenProg-A", "Evolutionary Search", IF($O1118="Hercules", "Learning Pattern", IF($O1118="Jaid", "True Semantic",
IF($O1118="Kali-A", "True Search", IF($O1118="kPAR", "True Pattern", IF($O1118="Nopol", "True Semantic", IF($O1118="RSRepair-A", "Evolutionary Search", IF($O1118="SequenceR", "Deep Learning", IF($O1118="SimFix", "Search Like Pattern", IF($O1118="SketchFix", "True Pattern", IF($O1118="SOFix", "True Pattern", IF($O1118="ssFix", "Search Like Pattern", IF($O1118="TBar", "True Pattern", ""))))))))))))))))))))</f>
        <v>Evolutionary Search</v>
      </c>
      <c r="Q1118" s="13" t="str">
        <f>IF(NOT(ISERR(SEARCH("*_Buggy",$A1118))), "Buggy", IF(NOT(ISERR(SEARCH("*_Fixed",$A1118))), "Fixed", IF(NOT(ISERR(SEARCH("*_Repaired",$A1118))), "Repaired", "")))</f>
        <v>Repaired</v>
      </c>
      <c r="R1118" s="13" t="s">
        <v>1669</v>
      </c>
      <c r="S1118" s="25">
        <v>1</v>
      </c>
      <c r="T1118" s="25">
        <v>2</v>
      </c>
      <c r="U1118" s="25">
        <v>1</v>
      </c>
      <c r="V1118" s="13">
        <v>2</v>
      </c>
      <c r="W1118" s="13" t="str">
        <f>MID(A1118, SEARCH("_", A1118) +1, SEARCH("_", A1118, SEARCH("_", A1118) +1) - SEARCH("_", A1118) -1)</f>
        <v>Lang-59</v>
      </c>
      <c r="Y1118" s="1" t="str">
        <f t="shared" si="48"/>
        <v>NO</v>
      </c>
      <c r="Z1118" s="1" t="str">
        <f t="shared" si="49"/>
        <v>NO</v>
      </c>
      <c r="AA1118" t="s">
        <v>1704</v>
      </c>
      <c r="AB1118" t="s">
        <v>1704</v>
      </c>
      <c r="AC1118" s="1" t="s">
        <v>1704</v>
      </c>
      <c r="AD1118" s="1" t="s">
        <v>1704</v>
      </c>
      <c r="AE1118" s="1" t="s">
        <v>1704</v>
      </c>
      <c r="AF1118" s="1" t="s">
        <v>1704</v>
      </c>
    </row>
    <row r="1119" spans="1:32" ht="15" x14ac:dyDescent="0.35">
      <c r="A1119" s="7" t="s">
        <v>391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>LEFT($A1119,FIND("_",$A1119)-1)</f>
        <v>ARJA</v>
      </c>
      <c r="P1119" s="13" t="str">
        <f>IF($O1119="ACS", "True Search", IF($O1119="Arja", "Evolutionary Search", IF($O1119="AVATAR", "True Pattern", IF($O1119="CapGen", "Search Like Pattern", IF($O1119="Cardumen", "True Semantic", IF($O1119="DynaMoth", "True Semantic", IF($O1119="FixMiner", "True Pattern", IF($O1119="GenProg-A", "Evolutionary Search", IF($O1119="Hercules", "Learning Pattern", IF($O1119="Jaid", "True Semantic",
IF($O1119="Kali-A", "True Search", IF($O1119="kPAR", "True Pattern", IF($O1119="Nopol", "True Semantic", IF($O1119="RSRepair-A", "Evolutionary Search", IF($O1119="SequenceR", "Deep Learning", IF($O1119="SimFix", "Search Like Pattern", IF($O1119="SketchFix", "True Pattern", IF($O1119="SOFix", "True Pattern", IF($O1119="ssFix", "Search Like Pattern", IF($O1119="TBar", "True Pattern", ""))))))))))))))))))))</f>
        <v>Evolutionary Search</v>
      </c>
      <c r="Q1119" s="13" t="str">
        <f>IF(NOT(ISERR(SEARCH("*_Buggy",$A1119))), "Buggy", IF(NOT(ISERR(SEARCH("*_Fixed",$A1119))), "Fixed", IF(NOT(ISERR(SEARCH("*_Repaired",$A1119))), "Repaired", "")))</f>
        <v>Repaired</v>
      </c>
      <c r="R1119" s="13" t="s">
        <v>1669</v>
      </c>
      <c r="S1119" s="25">
        <v>1</v>
      </c>
      <c r="T1119" s="25">
        <v>2</v>
      </c>
      <c r="U1119" s="25">
        <v>1</v>
      </c>
      <c r="V1119" s="13">
        <v>2</v>
      </c>
      <c r="W1119" s="13" t="str">
        <f>MID(A1119, SEARCH("_", A1119) +1, SEARCH("_", A1119, SEARCH("_", A1119) +1) - SEARCH("_", A1119) -1)</f>
        <v>Lang-63</v>
      </c>
      <c r="Y1119" s="1" t="str">
        <f t="shared" si="48"/>
        <v>NO</v>
      </c>
      <c r="Z1119" s="1" t="str">
        <f t="shared" si="49"/>
        <v>NO</v>
      </c>
      <c r="AA1119" t="s">
        <v>1704</v>
      </c>
      <c r="AB1119" t="s">
        <v>1704</v>
      </c>
      <c r="AC1119" s="1" t="s">
        <v>1704</v>
      </c>
      <c r="AD1119" s="1" t="s">
        <v>1704</v>
      </c>
      <c r="AE1119" s="1" t="s">
        <v>1704</v>
      </c>
      <c r="AF1119" s="1" t="s">
        <v>1705</v>
      </c>
    </row>
    <row r="1120" spans="1:32" ht="15" x14ac:dyDescent="0.35">
      <c r="A1120" s="7" t="s">
        <v>474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>LEFT($A1120,FIND("_",$A1120)-1)</f>
        <v>ARJA</v>
      </c>
      <c r="P1120" s="13" t="str">
        <f>IF($O1120="ACS", "True Search", IF($O1120="Arja", "Evolutionary Search", IF($O1120="AVATAR", "True Pattern", IF($O1120="CapGen", "Search Like Pattern", IF($O1120="Cardumen", "True Semantic", IF($O1120="DynaMoth", "True Semantic", IF($O1120="FixMiner", "True Pattern", IF($O1120="GenProg-A", "Evolutionary Search", IF($O1120="Hercules", "Learning Pattern", IF($O1120="Jaid", "True Semantic",
IF($O1120="Kali-A", "True Search", IF($O1120="kPAR", "True Pattern", IF($O1120="Nopol", "True Semantic", IF($O1120="RSRepair-A", "Evolutionary Search", IF($O1120="SequenceR", "Deep Learning", IF($O1120="SimFix", "Search Like Pattern", IF($O1120="SketchFix", "True Pattern", IF($O1120="SOFix", "True Pattern", IF($O1120="ssFix", "Search Like Pattern", IF($O1120="TBar", "True Pattern", ""))))))))))))))))))))</f>
        <v>Evolutionary Search</v>
      </c>
      <c r="Q1120" s="13" t="str">
        <f>IF(NOT(ISERR(SEARCH("*_Buggy",$A1120))), "Buggy", IF(NOT(ISERR(SEARCH("*_Fixed",$A1120))), "Fixed", IF(NOT(ISERR(SEARCH("*_Repaired",$A1120))), "Repaired", "")))</f>
        <v>Repaired</v>
      </c>
      <c r="R1120" s="13" t="s">
        <v>1669</v>
      </c>
      <c r="S1120" s="25">
        <v>1</v>
      </c>
      <c r="T1120" s="25">
        <v>0</v>
      </c>
      <c r="U1120" s="13">
        <v>1</v>
      </c>
      <c r="V1120" s="13">
        <v>1</v>
      </c>
      <c r="W1120" s="13" t="str">
        <f>MID(A1120, SEARCH("_", A1120) +1, SEARCH("_", A1120, SEARCH("_", A1120) +1) - SEARCH("_", A1120) -1)</f>
        <v>Math-28</v>
      </c>
      <c r="Y1120" s="1" t="str">
        <f t="shared" si="48"/>
        <v>NO</v>
      </c>
      <c r="Z1120" s="1" t="str">
        <f t="shared" si="49"/>
        <v>NO</v>
      </c>
      <c r="AA1120" t="s">
        <v>1704</v>
      </c>
      <c r="AB1120" t="s">
        <v>1704</v>
      </c>
      <c r="AC1120" s="1" t="s">
        <v>1704</v>
      </c>
      <c r="AD1120" s="1" t="s">
        <v>1704</v>
      </c>
      <c r="AE1120" s="1" t="s">
        <v>1704</v>
      </c>
      <c r="AF1120" s="1" t="s">
        <v>1704</v>
      </c>
    </row>
    <row r="1121" spans="1:32" ht="15" x14ac:dyDescent="0.35">
      <c r="A1121" s="7" t="s">
        <v>421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>LEFT($A1121,FIND("_",$A1121)-1)</f>
        <v>ARJA</v>
      </c>
      <c r="P1121" s="13" t="str">
        <f>IF($O1121="ACS", "True Search", IF($O1121="Arja", "Evolutionary Search", IF($O1121="AVATAR", "True Pattern", IF($O1121="CapGen", "Search Like Pattern", IF($O1121="Cardumen", "True Semantic", IF($O1121="DynaMoth", "True Semantic", IF($O1121="FixMiner", "True Pattern", IF($O1121="GenProg-A", "Evolutionary Search", IF($O1121="Hercules", "Learning Pattern", IF($O1121="Jaid", "True Semantic",
IF($O1121="Kali-A", "True Search", IF($O1121="kPAR", "True Pattern", IF($O1121="Nopol", "True Semantic", IF($O1121="RSRepair-A", "Evolutionary Search", IF($O1121="SequenceR", "Deep Learning", IF($O1121="SimFix", "Search Like Pattern", IF($O1121="SketchFix", "True Pattern", IF($O1121="SOFix", "True Pattern", IF($O1121="ssFix", "Search Like Pattern", IF($O1121="TBar", "True Pattern", ""))))))))))))))))))))</f>
        <v>Evolutionary Search</v>
      </c>
      <c r="Q1121" s="13" t="str">
        <f>IF(NOT(ISERR(SEARCH("*_Buggy",$A1121))), "Buggy", IF(NOT(ISERR(SEARCH("*_Fixed",$A1121))), "Fixed", IF(NOT(ISERR(SEARCH("*_Repaired",$A1121))), "Repaired", "")))</f>
        <v>Repaired</v>
      </c>
      <c r="R1121" s="13" t="s">
        <v>1668</v>
      </c>
      <c r="S1121" s="25">
        <v>2</v>
      </c>
      <c r="T1121" s="25">
        <v>7</v>
      </c>
      <c r="U1121" s="25">
        <v>2</v>
      </c>
      <c r="V1121" s="13">
        <v>7</v>
      </c>
      <c r="W1121" s="13" t="str">
        <f>MID(A1121, SEARCH("_", A1121) +1, SEARCH("_", A1121, SEARCH("_", A1121) +1) - SEARCH("_", A1121) -1)</f>
        <v>Math-35</v>
      </c>
      <c r="Y1121" s="1" t="str">
        <f t="shared" si="48"/>
        <v>NO</v>
      </c>
      <c r="Z1121" s="1" t="str">
        <f t="shared" si="49"/>
        <v>YES</v>
      </c>
      <c r="AA1121" t="s">
        <v>1704</v>
      </c>
      <c r="AB1121" t="s">
        <v>1704</v>
      </c>
      <c r="AC1121" s="1" t="s">
        <v>1704</v>
      </c>
      <c r="AD1121" s="1" t="s">
        <v>1704</v>
      </c>
      <c r="AE1121" s="1" t="s">
        <v>1704</v>
      </c>
      <c r="AF1121" s="1" t="s">
        <v>1705</v>
      </c>
    </row>
    <row r="1122" spans="1:32" ht="15" x14ac:dyDescent="0.35">
      <c r="A1122" s="7" t="s">
        <v>1036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>LEFT($A1122,FIND("_",$A1122)-1)</f>
        <v>ARJA</v>
      </c>
      <c r="P1122" s="13" t="str">
        <f>IF($O1122="ACS", "True Search", IF($O1122="Arja", "Evolutionary Search", IF($O1122="AVATAR", "True Pattern", IF($O1122="CapGen", "Search Like Pattern", IF($O1122="Cardumen", "True Semantic", IF($O1122="DynaMoth", "True Semantic", IF($O1122="FixMiner", "True Pattern", IF($O1122="GenProg-A", "Evolutionary Search", IF($O1122="Hercules", "Learning Pattern", IF($O1122="Jaid", "True Semantic",
IF($O1122="Kali-A", "True Search", IF($O1122="kPAR", "True Pattern", IF($O1122="Nopol", "True Semantic", IF($O1122="RSRepair-A", "Evolutionary Search", IF($O1122="SequenceR", "Deep Learning", IF($O1122="SimFix", "Search Like Pattern", IF($O1122="SketchFix", "True Pattern", IF($O1122="SOFix", "True Pattern", IF($O1122="ssFix", "Search Like Pattern", IF($O1122="TBar", "True Pattern", ""))))))))))))))))))))</f>
        <v>Evolutionary Search</v>
      </c>
      <c r="Q1122" s="13" t="str">
        <f>IF(NOT(ISERR(SEARCH("*_Buggy",$A1122))), "Buggy", IF(NOT(ISERR(SEARCH("*_Fixed",$A1122))), "Fixed", IF(NOT(ISERR(SEARCH("*_Repaired",$A1122))), "Repaired", "")))</f>
        <v>Repaired</v>
      </c>
      <c r="R1122" s="13" t="s">
        <v>1669</v>
      </c>
      <c r="S1122" s="25">
        <v>1</v>
      </c>
      <c r="T1122" s="25">
        <v>2</v>
      </c>
      <c r="U1122" s="25">
        <v>1</v>
      </c>
      <c r="V1122" s="13">
        <v>2</v>
      </c>
      <c r="W1122" s="13" t="str">
        <f>MID(A1122, SEARCH("_", A1122) +1, SEARCH("_", A1122, SEARCH("_", A1122) +1) - SEARCH("_", A1122) -1)</f>
        <v>Math-40</v>
      </c>
      <c r="Y1122" s="1" t="str">
        <f t="shared" si="48"/>
        <v>NO</v>
      </c>
      <c r="Z1122" s="1" t="str">
        <f t="shared" si="49"/>
        <v>NO</v>
      </c>
      <c r="AA1122" t="s">
        <v>1704</v>
      </c>
      <c r="AB1122" t="s">
        <v>1704</v>
      </c>
      <c r="AC1122" s="1" t="s">
        <v>1704</v>
      </c>
      <c r="AD1122" s="1" t="s">
        <v>1704</v>
      </c>
      <c r="AE1122" s="1" t="s">
        <v>1704</v>
      </c>
      <c r="AF1122" s="1" t="s">
        <v>1705</v>
      </c>
    </row>
    <row r="1123" spans="1:32" ht="15" x14ac:dyDescent="0.35">
      <c r="A1123" s="5" t="s">
        <v>289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>LEFT($A1123,FIND("_",$A1123)-1)</f>
        <v>ARJA</v>
      </c>
      <c r="P1123" s="13" t="str">
        <f>IF($O1123="ACS", "True Search", IF($O1123="Arja", "Evolutionary Search", IF($O1123="AVATAR", "True Pattern", IF($O1123="CapGen", "Search Like Pattern", IF($O1123="Cardumen", "True Semantic", IF($O1123="DynaMoth", "True Semantic", IF($O1123="FixMiner", "True Pattern", IF($O1123="GenProg-A", "Evolutionary Search", IF($O1123="Hercules", "Learning Pattern", IF($O1123="Jaid", "True Semantic",
IF($O1123="Kali-A", "True Search", IF($O1123="kPAR", "True Pattern", IF($O1123="Nopol", "True Semantic", IF($O1123="RSRepair-A", "Evolutionary Search", IF($O1123="SequenceR", "Deep Learning", IF($O1123="SimFix", "Search Like Pattern", IF($O1123="SketchFix", "True Pattern", IF($O1123="SOFix", "True Pattern", IF($O1123="ssFix", "Search Like Pattern", IF($O1123="TBar", "True Pattern", ""))))))))))))))))))))</f>
        <v>Evolutionary Search</v>
      </c>
      <c r="Q1123" s="13" t="str">
        <f>IF(NOT(ISERR(SEARCH("*_Buggy",$A1123))), "Buggy", IF(NOT(ISERR(SEARCH("*_Fixed",$A1123))), "Fixed", IF(NOT(ISERR(SEARCH("*_Repaired",$A1123))), "Repaired", "")))</f>
        <v>Repaired</v>
      </c>
      <c r="R1123" s="13" t="s">
        <v>1669</v>
      </c>
      <c r="S1123" s="25">
        <v>3</v>
      </c>
      <c r="T1123" s="25">
        <v>4</v>
      </c>
      <c r="U1123" s="25">
        <v>3</v>
      </c>
      <c r="V1123" s="13">
        <v>4</v>
      </c>
      <c r="W1123" s="13" t="str">
        <f>MID(A1123, SEARCH("_", A1123) +1, SEARCH("_", A1123, SEARCH("_", A1123) +1) - SEARCH("_", A1123) -1)</f>
        <v>Math-49</v>
      </c>
      <c r="Y1123" s="1" t="str">
        <f t="shared" si="48"/>
        <v>NO</v>
      </c>
      <c r="Z1123" s="1" t="str">
        <f t="shared" si="49"/>
        <v>YES</v>
      </c>
      <c r="AA1123" t="s">
        <v>1704</v>
      </c>
      <c r="AB1123" t="s">
        <v>1704</v>
      </c>
      <c r="AC1123" s="1" t="s">
        <v>1704</v>
      </c>
      <c r="AD1123" s="1" t="s">
        <v>1704</v>
      </c>
      <c r="AE1123" s="1" t="s">
        <v>1704</v>
      </c>
      <c r="AF1123" s="1" t="s">
        <v>1705</v>
      </c>
    </row>
    <row r="1124" spans="1:32" ht="15" x14ac:dyDescent="0.35">
      <c r="A1124" s="5" t="s">
        <v>482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>LEFT($A1124,FIND("_",$A1124)-1)</f>
        <v>ARJA</v>
      </c>
      <c r="P1124" s="13" t="str">
        <f>IF($O1124="ACS", "True Search", IF($O1124="Arja", "Evolutionary Search", IF($O1124="AVATAR", "True Pattern", IF($O1124="CapGen", "Search Like Pattern", IF($O1124="Cardumen", "True Semantic", IF($O1124="DynaMoth", "True Semantic", IF($O1124="FixMiner", "True Pattern", IF($O1124="GenProg-A", "Evolutionary Search", IF($O1124="Hercules", "Learning Pattern", IF($O1124="Jaid", "True Semantic",
IF($O1124="Kali-A", "True Search", IF($O1124="kPAR", "True Pattern", IF($O1124="Nopol", "True Semantic", IF($O1124="RSRepair-A", "Evolutionary Search", IF($O1124="SequenceR", "Deep Learning", IF($O1124="SimFix", "Search Like Pattern", IF($O1124="SketchFix", "True Pattern", IF($O1124="SOFix", "True Pattern", IF($O1124="ssFix", "Search Like Pattern", IF($O1124="TBar", "True Pattern", ""))))))))))))))))))))</f>
        <v>Evolutionary Search</v>
      </c>
      <c r="Q1124" s="13" t="str">
        <f>IF(NOT(ISERR(SEARCH("*_Buggy",$A1124))), "Buggy", IF(NOT(ISERR(SEARCH("*_Fixed",$A1124))), "Fixed", IF(NOT(ISERR(SEARCH("*_Repaired",$A1124))), "Repaired", "")))</f>
        <v>Repaired</v>
      </c>
      <c r="R1124" s="13" t="s">
        <v>1668</v>
      </c>
      <c r="S1124" s="25">
        <v>1</v>
      </c>
      <c r="T1124" s="25">
        <v>0</v>
      </c>
      <c r="U1124" s="13">
        <v>1</v>
      </c>
      <c r="V1124" s="13">
        <v>1</v>
      </c>
      <c r="W1124" s="13" t="str">
        <f>MID(A1124, SEARCH("_", A1124) +1, SEARCH("_", A1124, SEARCH("_", A1124) +1) - SEARCH("_", A1124) -1)</f>
        <v>Math-50</v>
      </c>
      <c r="Y1124" s="1" t="str">
        <f t="shared" si="48"/>
        <v>NO</v>
      </c>
      <c r="Z1124" s="1" t="str">
        <f t="shared" si="49"/>
        <v>NO</v>
      </c>
      <c r="AA1124" t="s">
        <v>1704</v>
      </c>
      <c r="AB1124" t="s">
        <v>1704</v>
      </c>
      <c r="AC1124" s="1" t="s">
        <v>1704</v>
      </c>
      <c r="AD1124" s="1" t="s">
        <v>1704</v>
      </c>
      <c r="AE1124" s="1" t="s">
        <v>1704</v>
      </c>
      <c r="AF1124" s="1" t="s">
        <v>1704</v>
      </c>
    </row>
    <row r="1125" spans="1:32" ht="15" x14ac:dyDescent="0.35">
      <c r="A1125" s="7" t="s">
        <v>471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>LEFT($A1125,FIND("_",$A1125)-1)</f>
        <v>ARJA</v>
      </c>
      <c r="P1125" s="13" t="str">
        <f>IF($O1125="ACS", "True Search", IF($O1125="Arja", "Evolutionary Search", IF($O1125="AVATAR", "True Pattern", IF($O1125="CapGen", "Search Like Pattern", IF($O1125="Cardumen", "True Semantic", IF($O1125="DynaMoth", "True Semantic", IF($O1125="FixMiner", "True Pattern", IF($O1125="GenProg-A", "Evolutionary Search", IF($O1125="Hercules", "Learning Pattern", IF($O1125="Jaid", "True Semantic",
IF($O1125="Kali-A", "True Search", IF($O1125="kPAR", "True Pattern", IF($O1125="Nopol", "True Semantic", IF($O1125="RSRepair-A", "Evolutionary Search", IF($O1125="SequenceR", "Deep Learning", IF($O1125="SimFix", "Search Like Pattern", IF($O1125="SketchFix", "True Pattern", IF($O1125="SOFix", "True Pattern", IF($O1125="ssFix", "Search Like Pattern", IF($O1125="TBar", "True Pattern", ""))))))))))))))))))))</f>
        <v>Evolutionary Search</v>
      </c>
      <c r="Q1125" s="13" t="str">
        <f>IF(NOT(ISERR(SEARCH("*_Buggy",$A1125))), "Buggy", IF(NOT(ISERR(SEARCH("*_Fixed",$A1125))), "Fixed", IF(NOT(ISERR(SEARCH("*_Repaired",$A1125))), "Repaired", "")))</f>
        <v>Repaired</v>
      </c>
      <c r="R1125" s="13" t="s">
        <v>1669</v>
      </c>
      <c r="S1125" s="25">
        <v>1</v>
      </c>
      <c r="T1125" s="25">
        <v>3</v>
      </c>
      <c r="U1125" s="25">
        <v>1</v>
      </c>
      <c r="V1125" s="13">
        <v>3</v>
      </c>
      <c r="W1125" s="13" t="str">
        <f>MID(A1125, SEARCH("_", A1125) +1, SEARCH("_", A1125, SEARCH("_", A1125) +1) - SEARCH("_", A1125) -1)</f>
        <v>Math-53</v>
      </c>
      <c r="Y1125" s="1" t="str">
        <f t="shared" si="48"/>
        <v>NO</v>
      </c>
      <c r="Z1125" s="1" t="str">
        <f t="shared" si="49"/>
        <v>NO</v>
      </c>
      <c r="AA1125" t="s">
        <v>1704</v>
      </c>
      <c r="AB1125" t="s">
        <v>1704</v>
      </c>
      <c r="AC1125" s="1" t="s">
        <v>1704</v>
      </c>
      <c r="AD1125" s="1" t="s">
        <v>1705</v>
      </c>
      <c r="AE1125" s="1" t="s">
        <v>1704</v>
      </c>
      <c r="AF1125" s="1" t="s">
        <v>1705</v>
      </c>
    </row>
    <row r="1126" spans="1:32" ht="15" x14ac:dyDescent="0.35">
      <c r="A1126" s="5" t="s">
        <v>579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>LEFT($A1126,FIND("_",$A1126)-1)</f>
        <v>ARJA</v>
      </c>
      <c r="P1126" s="13" t="str">
        <f>IF($O1126="ACS", "True Search", IF($O1126="Arja", "Evolutionary Search", IF($O1126="AVATAR", "True Pattern", IF($O1126="CapGen", "Search Like Pattern", IF($O1126="Cardumen", "True Semantic", IF($O1126="DynaMoth", "True Semantic", IF($O1126="FixMiner", "True Pattern", IF($O1126="GenProg-A", "Evolutionary Search", IF($O1126="Hercules", "Learning Pattern", IF($O1126="Jaid", "True Semantic",
IF($O1126="Kali-A", "True Search", IF($O1126="kPAR", "True Pattern", IF($O1126="Nopol", "True Semantic", IF($O1126="RSRepair-A", "Evolutionary Search", IF($O1126="SequenceR", "Deep Learning", IF($O1126="SimFix", "Search Like Pattern", IF($O1126="SketchFix", "True Pattern", IF($O1126="SOFix", "True Pattern", IF($O1126="ssFix", "Search Like Pattern", IF($O1126="TBar", "True Pattern", ""))))))))))))))))))))</f>
        <v>Evolutionary Search</v>
      </c>
      <c r="Q1126" s="13" t="str">
        <f>IF(NOT(ISERR(SEARCH("*_Buggy",$A1126))), "Buggy", IF(NOT(ISERR(SEARCH("*_Fixed",$A1126))), "Fixed", IF(NOT(ISERR(SEARCH("*_Repaired",$A1126))), "Repaired", "")))</f>
        <v>Repaired</v>
      </c>
      <c r="R1126" s="13" t="s">
        <v>1669</v>
      </c>
      <c r="S1126" s="25">
        <v>1</v>
      </c>
      <c r="T1126" s="25">
        <v>5</v>
      </c>
      <c r="U1126" s="25">
        <v>1</v>
      </c>
      <c r="V1126" s="13">
        <v>5</v>
      </c>
      <c r="W1126" s="13" t="str">
        <f>MID(A1126, SEARCH("_", A1126) +1, SEARCH("_", A1126, SEARCH("_", A1126) +1) - SEARCH("_", A1126) -1)</f>
        <v>Math-56</v>
      </c>
      <c r="Y1126" s="1" t="str">
        <f t="shared" ref="Y1126:Y1189" si="54">IF(AND(S1126&gt;1,S1126=V1126), "YES", "NO")</f>
        <v>NO</v>
      </c>
      <c r="Z1126" s="1" t="str">
        <f t="shared" ref="Z1126:Z1189" si="55">IF(AND(S1126&gt;1,S1126&lt;V1126), "YES", "NO")</f>
        <v>NO</v>
      </c>
      <c r="AA1126" t="s">
        <v>1704</v>
      </c>
      <c r="AB1126" t="s">
        <v>1704</v>
      </c>
      <c r="AC1126" s="1" t="s">
        <v>1704</v>
      </c>
      <c r="AD1126" s="1" t="s">
        <v>1705</v>
      </c>
      <c r="AE1126" s="1" t="s">
        <v>1704</v>
      </c>
      <c r="AF1126" s="1" t="s">
        <v>1705</v>
      </c>
    </row>
    <row r="1127" spans="1:32" ht="15" x14ac:dyDescent="0.35">
      <c r="A1127" s="5" t="s">
        <v>1185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>LEFT($A1127,FIND("_",$A1127)-1)</f>
        <v>ARJA</v>
      </c>
      <c r="P1127" s="13" t="str">
        <f>IF($O1127="ACS", "True Search", IF($O1127="Arja", "Evolutionary Search", IF($O1127="AVATAR", "True Pattern", IF($O1127="CapGen", "Search Like Pattern", IF($O1127="Cardumen", "True Semantic", IF($O1127="DynaMoth", "True Semantic", IF($O1127="FixMiner", "True Pattern", IF($O1127="GenProg-A", "Evolutionary Search", IF($O1127="Hercules", "Learning Pattern", IF($O1127="Jaid", "True Semantic",
IF($O1127="Kali-A", "True Search", IF($O1127="kPAR", "True Pattern", IF($O1127="Nopol", "True Semantic", IF($O1127="RSRepair-A", "Evolutionary Search", IF($O1127="SequenceR", "Deep Learning", IF($O1127="SimFix", "Search Like Pattern", IF($O1127="SketchFix", "True Pattern", IF($O1127="SOFix", "True Pattern", IF($O1127="ssFix", "Search Like Pattern", IF($O1127="TBar", "True Pattern", ""))))))))))))))))))))</f>
        <v>Evolutionary Search</v>
      </c>
      <c r="Q1127" s="13" t="str">
        <f>IF(NOT(ISERR(SEARCH("*_Buggy",$A1127))), "Buggy", IF(NOT(ISERR(SEARCH("*_Fixed",$A1127))), "Fixed", IF(NOT(ISERR(SEARCH("*_Repaired",$A1127))), "Repaired", "")))</f>
        <v>Repaired</v>
      </c>
      <c r="R1127" s="13" t="s">
        <v>1668</v>
      </c>
      <c r="S1127" s="25">
        <v>1</v>
      </c>
      <c r="T1127" s="25">
        <v>1</v>
      </c>
      <c r="U1127" s="25">
        <v>1</v>
      </c>
      <c r="V1127" s="13">
        <v>1</v>
      </c>
      <c r="W1127" s="13" t="str">
        <f>MID(A1127, SEARCH("_", A1127) +1, SEARCH("_", A1127, SEARCH("_", A1127) +1) - SEARCH("_", A1127) -1)</f>
        <v>Math-58</v>
      </c>
      <c r="Y1127" s="1" t="str">
        <f t="shared" si="54"/>
        <v>NO</v>
      </c>
      <c r="Z1127" s="1" t="str">
        <f t="shared" si="55"/>
        <v>NO</v>
      </c>
      <c r="AA1127" t="s">
        <v>1704</v>
      </c>
      <c r="AB1127" t="s">
        <v>1704</v>
      </c>
      <c r="AC1127" s="1" t="s">
        <v>1705</v>
      </c>
      <c r="AD1127" s="1" t="s">
        <v>1704</v>
      </c>
      <c r="AE1127" s="1" t="s">
        <v>1705</v>
      </c>
      <c r="AF1127" s="1" t="s">
        <v>1704</v>
      </c>
    </row>
    <row r="1128" spans="1:32" ht="15" x14ac:dyDescent="0.35">
      <c r="A1128" s="5" t="s">
        <v>571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>LEFT($A1128,FIND("_",$A1128)-1)</f>
        <v>ARJA</v>
      </c>
      <c r="P1128" s="13" t="str">
        <f>IF($O1128="ACS", "True Search", IF($O1128="Arja", "Evolutionary Search", IF($O1128="AVATAR", "True Pattern", IF($O1128="CapGen", "Search Like Pattern", IF($O1128="Cardumen", "True Semantic", IF($O1128="DynaMoth", "True Semantic", IF($O1128="FixMiner", "True Pattern", IF($O1128="GenProg-A", "Evolutionary Search", IF($O1128="Hercules", "Learning Pattern", IF($O1128="Jaid", "True Semantic",
IF($O1128="Kali-A", "True Search", IF($O1128="kPAR", "True Pattern", IF($O1128="Nopol", "True Semantic", IF($O1128="RSRepair-A", "Evolutionary Search", IF($O1128="SequenceR", "Deep Learning", IF($O1128="SimFix", "Search Like Pattern", IF($O1128="SketchFix", "True Pattern", IF($O1128="SOFix", "True Pattern", IF($O1128="ssFix", "Search Like Pattern", IF($O1128="TBar", "True Pattern", ""))))))))))))))))))))</f>
        <v>Evolutionary Search</v>
      </c>
      <c r="Q1128" s="13" t="str">
        <f>IF(NOT(ISERR(SEARCH("*_Buggy",$A1128))), "Buggy", IF(NOT(ISERR(SEARCH("*_Fixed",$A1128))), "Fixed", IF(NOT(ISERR(SEARCH("*_Repaired",$A1128))), "Repaired", "")))</f>
        <v>Repaired</v>
      </c>
      <c r="R1128" s="13" t="s">
        <v>1668</v>
      </c>
      <c r="S1128" s="25">
        <v>1</v>
      </c>
      <c r="T1128" s="25">
        <v>1</v>
      </c>
      <c r="U1128" s="25">
        <v>1</v>
      </c>
      <c r="V1128" s="13">
        <v>1</v>
      </c>
      <c r="W1128" s="13" t="str">
        <f>MID(A1128, SEARCH("_", A1128) +1, SEARCH("_", A1128, SEARCH("_", A1128) +1) - SEARCH("_", A1128) -1)</f>
        <v>Math-70</v>
      </c>
      <c r="Y1128" s="1" t="str">
        <f t="shared" si="54"/>
        <v>NO</v>
      </c>
      <c r="Z1128" s="1" t="str">
        <f t="shared" si="55"/>
        <v>NO</v>
      </c>
      <c r="AA1128" t="s">
        <v>1704</v>
      </c>
      <c r="AB1128" t="s">
        <v>1704</v>
      </c>
      <c r="AC1128" s="1" t="s">
        <v>1705</v>
      </c>
      <c r="AD1128" s="1" t="s">
        <v>1704</v>
      </c>
      <c r="AE1128" s="1" t="s">
        <v>1705</v>
      </c>
      <c r="AF1128" s="1" t="s">
        <v>1704</v>
      </c>
    </row>
    <row r="1129" spans="1:32" ht="15" x14ac:dyDescent="0.35">
      <c r="A1129" s="5" t="s">
        <v>1284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>LEFT($A1129,FIND("_",$A1129)-1)</f>
        <v>ARJA</v>
      </c>
      <c r="P1129" s="13" t="str">
        <f>IF($O1129="ACS", "True Search", IF($O1129="Arja", "Evolutionary Search", IF($O1129="AVATAR", "True Pattern", IF($O1129="CapGen", "Search Like Pattern", IF($O1129="Cardumen", "True Semantic", IF($O1129="DynaMoth", "True Semantic", IF($O1129="FixMiner", "True Pattern", IF($O1129="GenProg-A", "Evolutionary Search", IF($O1129="Hercules", "Learning Pattern", IF($O1129="Jaid", "True Semantic",
IF($O1129="Kali-A", "True Search", IF($O1129="kPAR", "True Pattern", IF($O1129="Nopol", "True Semantic", IF($O1129="RSRepair-A", "Evolutionary Search", IF($O1129="SequenceR", "Deep Learning", IF($O1129="SimFix", "Search Like Pattern", IF($O1129="SketchFix", "True Pattern", IF($O1129="SOFix", "True Pattern", IF($O1129="ssFix", "Search Like Pattern", IF($O1129="TBar", "True Pattern", ""))))))))))))))))))))</f>
        <v>Evolutionary Search</v>
      </c>
      <c r="Q1129" s="13" t="str">
        <f>IF(NOT(ISERR(SEARCH("*_Buggy",$A1129))), "Buggy", IF(NOT(ISERR(SEARCH("*_Fixed",$A1129))), "Fixed", IF(NOT(ISERR(SEARCH("*_Repaired",$A1129))), "Repaired", "")))</f>
        <v>Repaired</v>
      </c>
      <c r="R1129" s="13" t="s">
        <v>1669</v>
      </c>
      <c r="S1129" s="25">
        <v>3</v>
      </c>
      <c r="T1129" s="25">
        <v>2</v>
      </c>
      <c r="U1129" s="25">
        <v>7</v>
      </c>
      <c r="V1129" s="13">
        <v>7</v>
      </c>
      <c r="W1129" s="13" t="str">
        <f>MID(A1129, SEARCH("_", A1129) +1, SEARCH("_", A1129, SEARCH("_", A1129) +1) - SEARCH("_", A1129) -1)</f>
        <v>Math-80</v>
      </c>
      <c r="Y1129" s="1" t="str">
        <f t="shared" si="54"/>
        <v>NO</v>
      </c>
      <c r="Z1129" s="1" t="str">
        <f t="shared" si="55"/>
        <v>YES</v>
      </c>
      <c r="AA1129" t="s">
        <v>1704</v>
      </c>
      <c r="AB1129" t="s">
        <v>1704</v>
      </c>
      <c r="AC1129" s="1" t="s">
        <v>1704</v>
      </c>
      <c r="AD1129" s="1" t="s">
        <v>1704</v>
      </c>
      <c r="AE1129" s="1" t="s">
        <v>1704</v>
      </c>
      <c r="AF1129" s="1" t="s">
        <v>1704</v>
      </c>
    </row>
    <row r="1130" spans="1:32" ht="15" x14ac:dyDescent="0.35">
      <c r="A1130" s="7" t="s">
        <v>885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>LEFT($A1130,FIND("_",$A1130)-1)</f>
        <v>ARJA</v>
      </c>
      <c r="P1130" s="13" t="str">
        <f>IF($O1130="ACS", "True Search", IF($O1130="Arja", "Evolutionary Search", IF($O1130="AVATAR", "True Pattern", IF($O1130="CapGen", "Search Like Pattern", IF($O1130="Cardumen", "True Semantic", IF($O1130="DynaMoth", "True Semantic", IF($O1130="FixMiner", "True Pattern", IF($O1130="GenProg-A", "Evolutionary Search", IF($O1130="Hercules", "Learning Pattern", IF($O1130="Jaid", "True Semantic",
IF($O1130="Kali-A", "True Search", IF($O1130="kPAR", "True Pattern", IF($O1130="Nopol", "True Semantic", IF($O1130="RSRepair-A", "Evolutionary Search", IF($O1130="SequenceR", "Deep Learning", IF($O1130="SimFix", "Search Like Pattern", IF($O1130="SketchFix", "True Pattern", IF($O1130="SOFix", "True Pattern", IF($O1130="ssFix", "Search Like Pattern", IF($O1130="TBar", "True Pattern", ""))))))))))))))))))))</f>
        <v>Evolutionary Search</v>
      </c>
      <c r="Q1130" s="13" t="str">
        <f>IF(NOT(ISERR(SEARCH("*_Buggy",$A1130))), "Buggy", IF(NOT(ISERR(SEARCH("*_Fixed",$A1130))), "Fixed", IF(NOT(ISERR(SEARCH("*_Repaired",$A1130))), "Repaired", "")))</f>
        <v>Repaired</v>
      </c>
      <c r="R1130" s="13" t="s">
        <v>1669</v>
      </c>
      <c r="S1130" s="25">
        <v>2</v>
      </c>
      <c r="T1130" s="25">
        <v>0</v>
      </c>
      <c r="U1130" s="13">
        <v>36</v>
      </c>
      <c r="V1130" s="13">
        <v>36</v>
      </c>
      <c r="W1130" s="13" t="str">
        <f>MID(A1130, SEARCH("_", A1130) +1, SEARCH("_", A1130, SEARCH("_", A1130) +1) - SEARCH("_", A1130) -1)</f>
        <v>Math-81</v>
      </c>
      <c r="Y1130" s="1" t="str">
        <f t="shared" si="54"/>
        <v>NO</v>
      </c>
      <c r="Z1130" s="1" t="str">
        <f t="shared" si="55"/>
        <v>YES</v>
      </c>
      <c r="AA1130" t="s">
        <v>1704</v>
      </c>
      <c r="AB1130" t="s">
        <v>1705</v>
      </c>
      <c r="AC1130" s="1" t="s">
        <v>1704</v>
      </c>
      <c r="AD1130" s="1" t="s">
        <v>1704</v>
      </c>
      <c r="AE1130" s="1" t="s">
        <v>1704</v>
      </c>
      <c r="AF1130" s="1" t="s">
        <v>1705</v>
      </c>
    </row>
    <row r="1131" spans="1:32" ht="15" x14ac:dyDescent="0.35">
      <c r="A1131" s="7" t="s">
        <v>883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>LEFT($A1131,FIND("_",$A1131)-1)</f>
        <v>ARJA</v>
      </c>
      <c r="P1131" s="13" t="str">
        <f>IF($O1131="ACS", "True Search", IF($O1131="Arja", "Evolutionary Search", IF($O1131="AVATAR", "True Pattern", IF($O1131="CapGen", "Search Like Pattern", IF($O1131="Cardumen", "True Semantic", IF($O1131="DynaMoth", "True Semantic", IF($O1131="FixMiner", "True Pattern", IF($O1131="GenProg-A", "Evolutionary Search", IF($O1131="Hercules", "Learning Pattern", IF($O1131="Jaid", "True Semantic",
IF($O1131="Kali-A", "True Search", IF($O1131="kPAR", "True Pattern", IF($O1131="Nopol", "True Semantic", IF($O1131="RSRepair-A", "Evolutionary Search", IF($O1131="SequenceR", "Deep Learning", IF($O1131="SimFix", "Search Like Pattern", IF($O1131="SketchFix", "True Pattern", IF($O1131="SOFix", "True Pattern", IF($O1131="ssFix", "Search Like Pattern", IF($O1131="TBar", "True Pattern", ""))))))))))))))))))))</f>
        <v>Evolutionary Search</v>
      </c>
      <c r="Q1131" s="13" t="str">
        <f>IF(NOT(ISERR(SEARCH("*_Buggy",$A1131))), "Buggy", IF(NOT(ISERR(SEARCH("*_Fixed",$A1131))), "Fixed", IF(NOT(ISERR(SEARCH("*_Repaired",$A1131))), "Repaired", "")))</f>
        <v>Repaired</v>
      </c>
      <c r="R1131" s="13" t="s">
        <v>1669</v>
      </c>
      <c r="S1131" s="25">
        <v>1</v>
      </c>
      <c r="T1131" s="25">
        <v>1</v>
      </c>
      <c r="U1131" s="25">
        <v>6</v>
      </c>
      <c r="V1131" s="13">
        <v>6</v>
      </c>
      <c r="W1131" s="13" t="str">
        <f>MID(A1131, SEARCH("_", A1131) +1, SEARCH("_", A1131, SEARCH("_", A1131) +1) - SEARCH("_", A1131) -1)</f>
        <v>Math-84</v>
      </c>
      <c r="Y1131" s="1" t="str">
        <f t="shared" si="54"/>
        <v>NO</v>
      </c>
      <c r="Z1131" s="1" t="str">
        <f t="shared" si="55"/>
        <v>NO</v>
      </c>
      <c r="AA1131" t="s">
        <v>1704</v>
      </c>
      <c r="AB1131" t="s">
        <v>1704</v>
      </c>
      <c r="AC1131" s="1" t="s">
        <v>1704</v>
      </c>
      <c r="AD1131" s="1" t="s">
        <v>1704</v>
      </c>
      <c r="AE1131" s="1" t="s">
        <v>1704</v>
      </c>
      <c r="AF1131" s="1" t="s">
        <v>1705</v>
      </c>
    </row>
    <row r="1132" spans="1:32" ht="15" x14ac:dyDescent="0.35">
      <c r="A1132" s="7" t="s">
        <v>286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>LEFT($A1132,FIND("_",$A1132)-1)</f>
        <v>ARJA</v>
      </c>
      <c r="P1132" s="13" t="str">
        <f>IF($O1132="ACS", "True Search", IF($O1132="Arja", "Evolutionary Search", IF($O1132="AVATAR", "True Pattern", IF($O1132="CapGen", "Search Like Pattern", IF($O1132="Cardumen", "True Semantic", IF($O1132="DynaMoth", "True Semantic", IF($O1132="FixMiner", "True Pattern", IF($O1132="GenProg-A", "Evolutionary Search", IF($O1132="Hercules", "Learning Pattern", IF($O1132="Jaid", "True Semantic",
IF($O1132="Kali-A", "True Search", IF($O1132="kPAR", "True Pattern", IF($O1132="Nopol", "True Semantic", IF($O1132="RSRepair-A", "Evolutionary Search", IF($O1132="SequenceR", "Deep Learning", IF($O1132="SimFix", "Search Like Pattern", IF($O1132="SketchFix", "True Pattern", IF($O1132="SOFix", "True Pattern", IF($O1132="ssFix", "Search Like Pattern", IF($O1132="TBar", "True Pattern", ""))))))))))))))))))))</f>
        <v>Evolutionary Search</v>
      </c>
      <c r="Q1132" s="13" t="str">
        <f>IF(NOT(ISERR(SEARCH("*_Buggy",$A1132))), "Buggy", IF(NOT(ISERR(SEARCH("*_Fixed",$A1132))), "Fixed", IF(NOT(ISERR(SEARCH("*_Repaired",$A1132))), "Repaired", "")))</f>
        <v>Repaired</v>
      </c>
      <c r="R1132" s="13" t="s">
        <v>1669</v>
      </c>
      <c r="S1132" s="25">
        <v>1</v>
      </c>
      <c r="T1132" s="25">
        <v>0</v>
      </c>
      <c r="U1132" s="13">
        <v>9</v>
      </c>
      <c r="V1132" s="13">
        <v>9</v>
      </c>
      <c r="W1132" s="13" t="str">
        <f>MID(A1132, SEARCH("_", A1132) +1, SEARCH("_", A1132, SEARCH("_", A1132) +1) - SEARCH("_", A1132) -1)</f>
        <v>Math-85</v>
      </c>
      <c r="Y1132" s="1" t="str">
        <f t="shared" si="54"/>
        <v>NO</v>
      </c>
      <c r="Z1132" s="1" t="str">
        <f t="shared" si="55"/>
        <v>NO</v>
      </c>
      <c r="AA1132" t="s">
        <v>1704</v>
      </c>
      <c r="AB1132" t="s">
        <v>1704</v>
      </c>
      <c r="AC1132" s="1" t="s">
        <v>1704</v>
      </c>
      <c r="AD1132" s="1" t="s">
        <v>1704</v>
      </c>
      <c r="AE1132" s="1" t="s">
        <v>1704</v>
      </c>
      <c r="AF1132" s="1" t="s">
        <v>1704</v>
      </c>
    </row>
    <row r="1133" spans="1:32" ht="15" x14ac:dyDescent="0.35">
      <c r="A1133" s="5" t="s">
        <v>304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>LEFT($A1133,FIND("_",$A1133)-1)</f>
        <v>ARJA</v>
      </c>
      <c r="P1133" s="13" t="str">
        <f>IF($O1133="ACS", "True Search", IF($O1133="Arja", "Evolutionary Search", IF($O1133="AVATAR", "True Pattern", IF($O1133="CapGen", "Search Like Pattern", IF($O1133="Cardumen", "True Semantic", IF($O1133="DynaMoth", "True Semantic", IF($O1133="FixMiner", "True Pattern", IF($O1133="GenProg-A", "Evolutionary Search", IF($O1133="Hercules", "Learning Pattern", IF($O1133="Jaid", "True Semantic",
IF($O1133="Kali-A", "True Search", IF($O1133="kPAR", "True Pattern", IF($O1133="Nopol", "True Semantic", IF($O1133="RSRepair-A", "Evolutionary Search", IF($O1133="SequenceR", "Deep Learning", IF($O1133="SimFix", "Search Like Pattern", IF($O1133="SketchFix", "True Pattern", IF($O1133="SOFix", "True Pattern", IF($O1133="ssFix", "Search Like Pattern", IF($O1133="TBar", "True Pattern", ""))))))))))))))))))))</f>
        <v>Evolutionary Search</v>
      </c>
      <c r="Q1133" s="13" t="str">
        <f>IF(NOT(ISERR(SEARCH("*_Buggy",$A1133))), "Buggy", IF(NOT(ISERR(SEARCH("*_Fixed",$A1133))), "Fixed", IF(NOT(ISERR(SEARCH("*_Repaired",$A1133))), "Repaired", "")))</f>
        <v>Repaired</v>
      </c>
      <c r="R1133" s="13" t="s">
        <v>1669</v>
      </c>
      <c r="S1133" s="25">
        <v>1</v>
      </c>
      <c r="T1133" s="25">
        <v>3</v>
      </c>
      <c r="U1133" s="25">
        <v>1</v>
      </c>
      <c r="V1133" s="13">
        <v>3</v>
      </c>
      <c r="W1133" s="13" t="str">
        <f>MID(A1133, SEARCH("_", A1133) +1, SEARCH("_", A1133, SEARCH("_", A1133) +1) - SEARCH("_", A1133) -1)</f>
        <v>Math-88</v>
      </c>
      <c r="Y1133" s="1" t="str">
        <f t="shared" si="54"/>
        <v>NO</v>
      </c>
      <c r="Z1133" s="1" t="str">
        <f t="shared" si="55"/>
        <v>NO</v>
      </c>
      <c r="AA1133" t="s">
        <v>1704</v>
      </c>
      <c r="AB1133" t="s">
        <v>1704</v>
      </c>
      <c r="AC1133" s="1" t="s">
        <v>1704</v>
      </c>
      <c r="AD1133" s="1" t="s">
        <v>1704</v>
      </c>
      <c r="AE1133" s="1" t="s">
        <v>1704</v>
      </c>
      <c r="AF1133" s="1" t="s">
        <v>1705</v>
      </c>
    </row>
    <row r="1134" spans="1:32" ht="15" x14ac:dyDescent="0.35">
      <c r="A1134" s="5" t="s">
        <v>461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>LEFT($A1134,FIND("_",$A1134)-1)</f>
        <v>ARJA</v>
      </c>
      <c r="P1134" s="13" t="str">
        <f>IF($O1134="ACS", "True Search", IF($O1134="Arja", "Evolutionary Search", IF($O1134="AVATAR", "True Pattern", IF($O1134="CapGen", "Search Like Pattern", IF($O1134="Cardumen", "True Semantic", IF($O1134="DynaMoth", "True Semantic", IF($O1134="FixMiner", "True Pattern", IF($O1134="GenProg-A", "Evolutionary Search", IF($O1134="Hercules", "Learning Pattern", IF($O1134="Jaid", "True Semantic",
IF($O1134="Kali-A", "True Search", IF($O1134="kPAR", "True Pattern", IF($O1134="Nopol", "True Semantic", IF($O1134="RSRepair-A", "Evolutionary Search", IF($O1134="SequenceR", "Deep Learning", IF($O1134="SimFix", "Search Like Pattern", IF($O1134="SketchFix", "True Pattern", IF($O1134="SOFix", "True Pattern", IF($O1134="ssFix", "Search Like Pattern", IF($O1134="TBar", "True Pattern", ""))))))))))))))))))))</f>
        <v>Evolutionary Search</v>
      </c>
      <c r="Q1134" s="13" t="str">
        <f>IF(NOT(ISERR(SEARCH("*_Buggy",$A1134))), "Buggy", IF(NOT(ISERR(SEARCH("*_Fixed",$A1134))), "Fixed", IF(NOT(ISERR(SEARCH("*_Repaired",$A1134))), "Repaired", "")))</f>
        <v>Repaired</v>
      </c>
      <c r="R1134" s="13" t="s">
        <v>1669</v>
      </c>
      <c r="S1134" s="25">
        <v>1</v>
      </c>
      <c r="T1134" s="25">
        <v>1</v>
      </c>
      <c r="U1134" s="25">
        <v>2</v>
      </c>
      <c r="V1134" s="13">
        <v>2</v>
      </c>
      <c r="W1134" s="13" t="str">
        <f>MID(A1134, SEARCH("_", A1134) +1, SEARCH("_", A1134, SEARCH("_", A1134) +1) - SEARCH("_", A1134) -1)</f>
        <v>Math-95</v>
      </c>
      <c r="Y1134" s="1" t="str">
        <f t="shared" si="54"/>
        <v>NO</v>
      </c>
      <c r="Z1134" s="1" t="str">
        <f t="shared" si="55"/>
        <v>NO</v>
      </c>
      <c r="AA1134" t="s">
        <v>1704</v>
      </c>
      <c r="AB1134" t="s">
        <v>1704</v>
      </c>
      <c r="AC1134" s="1" t="s">
        <v>1704</v>
      </c>
      <c r="AD1134" s="1" t="s">
        <v>1704</v>
      </c>
      <c r="AE1134" s="1" t="s">
        <v>1704</v>
      </c>
      <c r="AF1134" s="1" t="s">
        <v>1705</v>
      </c>
    </row>
    <row r="1135" spans="1:32" ht="15" x14ac:dyDescent="0.35">
      <c r="A1135" s="5" t="s">
        <v>131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>LEFT($A1135,FIND("_",$A1135)-1)</f>
        <v>AVATAR</v>
      </c>
      <c r="P1135" s="13" t="str">
        <f>IF($O1135="ACS", "True Search", IF($O1135="Arja", "Evolutionary Search", IF($O1135="AVATAR", "True Pattern", IF($O1135="CapGen", "Search Like Pattern", IF($O1135="Cardumen", "True Semantic", IF($O1135="DynaMoth", "True Semantic", IF($O1135="FixMiner", "True Pattern", IF($O1135="GenProg-A", "Evolutionary Search", IF($O1135="Hercules", "Learning Pattern", IF($O1135="Jaid", "True Semantic",
IF($O1135="Kali-A", "True Search", IF($O1135="kPAR", "True Pattern", IF($O1135="Nopol", "True Semantic", IF($O1135="RSRepair-A", "Evolutionary Search", IF($O1135="SequenceR", "Deep Learning", IF($O1135="SimFix", "Search Like Pattern", IF($O1135="SketchFix", "True Pattern", IF($O1135="SOFix", "True Pattern", IF($O1135="ssFix", "Search Like Pattern", IF($O1135="TBar", "True Pattern", ""))))))))))))))))))))</f>
        <v>True Pattern</v>
      </c>
      <c r="Q1135" s="13" t="str">
        <f>IF(NOT(ISERR(SEARCH("*_Buggy",$A1135))), "Buggy", IF(NOT(ISERR(SEARCH("*_Fixed",$A1135))), "Fixed", IF(NOT(ISERR(SEARCH("*_Repaired",$A1135))), "Repaired", "")))</f>
        <v>Repaired</v>
      </c>
      <c r="R1135" s="13" t="s">
        <v>1668</v>
      </c>
      <c r="S1135" s="25">
        <v>1</v>
      </c>
      <c r="T1135" s="25">
        <v>1</v>
      </c>
      <c r="U1135" s="25">
        <v>1</v>
      </c>
      <c r="V1135" s="13">
        <v>1</v>
      </c>
      <c r="W1135" s="13" t="str">
        <f>MID(A1135, SEARCH("_", A1135) +1, SEARCH("_", A1135, SEARCH("_", A1135) +1) - SEARCH("_", A1135) -1)</f>
        <v>Chart-1</v>
      </c>
      <c r="Y1135" s="1" t="str">
        <f t="shared" si="54"/>
        <v>NO</v>
      </c>
      <c r="Z1135" s="1" t="str">
        <f t="shared" si="55"/>
        <v>NO</v>
      </c>
      <c r="AA1135" t="s">
        <v>1704</v>
      </c>
      <c r="AB1135" t="s">
        <v>1704</v>
      </c>
      <c r="AC1135" s="1" t="s">
        <v>1705</v>
      </c>
      <c r="AD1135" s="1" t="s">
        <v>1704</v>
      </c>
      <c r="AE1135" s="1" t="s">
        <v>1705</v>
      </c>
      <c r="AF1135" s="1" t="s">
        <v>1704</v>
      </c>
    </row>
    <row r="1136" spans="1:32" ht="15" x14ac:dyDescent="0.35">
      <c r="A1136" s="5" t="s">
        <v>453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>LEFT($A1136,FIND("_",$A1136)-1)</f>
        <v>AVATAR</v>
      </c>
      <c r="P1136" s="13" t="str">
        <f>IF($O1136="ACS", "True Search", IF($O1136="Arja", "Evolutionary Search", IF($O1136="AVATAR", "True Pattern", IF($O1136="CapGen", "Search Like Pattern", IF($O1136="Cardumen", "True Semantic", IF($O1136="DynaMoth", "True Semantic", IF($O1136="FixMiner", "True Pattern", IF($O1136="GenProg-A", "Evolutionary Search", IF($O1136="Hercules", "Learning Pattern", IF($O1136="Jaid", "True Semantic",
IF($O1136="Kali-A", "True Search", IF($O1136="kPAR", "True Pattern", IF($O1136="Nopol", "True Semantic", IF($O1136="RSRepair-A", "Evolutionary Search", IF($O1136="SequenceR", "Deep Learning", IF($O1136="SimFix", "Search Like Pattern", IF($O1136="SketchFix", "True Pattern", IF($O1136="SOFix", "True Pattern", IF($O1136="ssFix", "Search Like Pattern", IF($O1136="TBar", "True Pattern", ""))))))))))))))))))))</f>
        <v>True Pattern</v>
      </c>
      <c r="Q1136" s="13" t="str">
        <f>IF(NOT(ISERR(SEARCH("*_Buggy",$A1136))), "Buggy", IF(NOT(ISERR(SEARCH("*_Fixed",$A1136))), "Fixed", IF(NOT(ISERR(SEARCH("*_Repaired",$A1136))), "Repaired", "")))</f>
        <v>Repaired</v>
      </c>
      <c r="R1136" s="13" t="s">
        <v>1668</v>
      </c>
      <c r="S1136" s="25">
        <v>1</v>
      </c>
      <c r="T1136" s="25">
        <v>1</v>
      </c>
      <c r="U1136" s="25">
        <v>1</v>
      </c>
      <c r="V1136" s="13">
        <v>1</v>
      </c>
      <c r="W1136" s="13" t="str">
        <f>MID(A1136, SEARCH("_", A1136) +1, SEARCH("_", A1136, SEARCH("_", A1136) +1) - SEARCH("_", A1136) -1)</f>
        <v>Chart-11</v>
      </c>
      <c r="Y1136" s="1" t="str">
        <f t="shared" si="54"/>
        <v>NO</v>
      </c>
      <c r="Z1136" s="1" t="str">
        <f t="shared" si="55"/>
        <v>NO</v>
      </c>
      <c r="AA1136" t="s">
        <v>1704</v>
      </c>
      <c r="AB1136" t="s">
        <v>1704</v>
      </c>
      <c r="AC1136" s="1" t="s">
        <v>1705</v>
      </c>
      <c r="AD1136" s="1" t="s">
        <v>1704</v>
      </c>
      <c r="AE1136" s="1" t="s">
        <v>1705</v>
      </c>
      <c r="AF1136" s="1" t="s">
        <v>1704</v>
      </c>
    </row>
    <row r="1137" spans="1:32" ht="15" x14ac:dyDescent="0.35">
      <c r="A1137" s="7" t="s">
        <v>1276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>LEFT($A1137,FIND("_",$A1137)-1)</f>
        <v>AVATAR</v>
      </c>
      <c r="P1137" s="13" t="str">
        <f>IF($O1137="ACS", "True Search", IF($O1137="Arja", "Evolutionary Search", IF($O1137="AVATAR", "True Pattern", IF($O1137="CapGen", "Search Like Pattern", IF($O1137="Cardumen", "True Semantic", IF($O1137="DynaMoth", "True Semantic", IF($O1137="FixMiner", "True Pattern", IF($O1137="GenProg-A", "Evolutionary Search", IF($O1137="Hercules", "Learning Pattern", IF($O1137="Jaid", "True Semantic",
IF($O1137="Kali-A", "True Search", IF($O1137="kPAR", "True Pattern", IF($O1137="Nopol", "True Semantic", IF($O1137="RSRepair-A", "Evolutionary Search", IF($O1137="SequenceR", "Deep Learning", IF($O1137="SimFix", "Search Like Pattern", IF($O1137="SketchFix", "True Pattern", IF($O1137="SOFix", "True Pattern", IF($O1137="ssFix", "Search Like Pattern", IF($O1137="TBar", "True Pattern", ""))))))))))))))))))))</f>
        <v>True Pattern</v>
      </c>
      <c r="Q1137" s="13" t="str">
        <f>IF(NOT(ISERR(SEARCH("*_Buggy",$A1137))), "Buggy", IF(NOT(ISERR(SEARCH("*_Fixed",$A1137))), "Fixed", IF(NOT(ISERR(SEARCH("*_Repaired",$A1137))), "Repaired", "")))</f>
        <v>Repaired</v>
      </c>
      <c r="R1137" s="13" t="s">
        <v>1668</v>
      </c>
      <c r="S1137" s="25">
        <v>1</v>
      </c>
      <c r="T1137" s="25">
        <v>4</v>
      </c>
      <c r="U1137" s="25">
        <v>1</v>
      </c>
      <c r="V1137" s="13">
        <v>4</v>
      </c>
      <c r="W1137" s="13" t="str">
        <f>MID(A1137, SEARCH("_", A1137) +1, SEARCH("_", A1137, SEARCH("_", A1137) +1) - SEARCH("_", A1137) -1)</f>
        <v>Chart-19</v>
      </c>
      <c r="Y1137" s="1" t="str">
        <f t="shared" si="54"/>
        <v>NO</v>
      </c>
      <c r="Z1137" s="1" t="str">
        <f t="shared" si="55"/>
        <v>NO</v>
      </c>
      <c r="AA1137" t="s">
        <v>1704</v>
      </c>
      <c r="AB1137" t="s">
        <v>1704</v>
      </c>
      <c r="AC1137" s="1" t="s">
        <v>1704</v>
      </c>
      <c r="AD1137" s="1" t="s">
        <v>1704</v>
      </c>
      <c r="AE1137" s="1" t="s">
        <v>1704</v>
      </c>
      <c r="AF1137" s="1" t="s">
        <v>1705</v>
      </c>
    </row>
    <row r="1138" spans="1:32" ht="15" x14ac:dyDescent="0.35">
      <c r="A1138" s="5" t="s">
        <v>162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>LEFT($A1138,FIND("_",$A1138)-1)</f>
        <v>AVATAR</v>
      </c>
      <c r="P1138" s="13" t="str">
        <f>IF($O1138="ACS", "True Search", IF($O1138="Arja", "Evolutionary Search", IF($O1138="AVATAR", "True Pattern", IF($O1138="CapGen", "Search Like Pattern", IF($O1138="Cardumen", "True Semantic", IF($O1138="DynaMoth", "True Semantic", IF($O1138="FixMiner", "True Pattern", IF($O1138="GenProg-A", "Evolutionary Search", IF($O1138="Hercules", "Learning Pattern", IF($O1138="Jaid", "True Semantic",
IF($O1138="Kali-A", "True Search", IF($O1138="kPAR", "True Pattern", IF($O1138="Nopol", "True Semantic", IF($O1138="RSRepair-A", "Evolutionary Search", IF($O1138="SequenceR", "Deep Learning", IF($O1138="SimFix", "Search Like Pattern", IF($O1138="SketchFix", "True Pattern", IF($O1138="SOFix", "True Pattern", IF($O1138="ssFix", "Search Like Pattern", IF($O1138="TBar", "True Pattern", ""))))))))))))))))))))</f>
        <v>True Pattern</v>
      </c>
      <c r="Q1138" s="13" t="str">
        <f>IF(NOT(ISERR(SEARCH("*_Buggy",$A1138))), "Buggy", IF(NOT(ISERR(SEARCH("*_Fixed",$A1138))), "Fixed", IF(NOT(ISERR(SEARCH("*_Repaired",$A1138))), "Repaired", "")))</f>
        <v>Repaired</v>
      </c>
      <c r="R1138" s="13" t="s">
        <v>1668</v>
      </c>
      <c r="S1138" s="25">
        <v>1</v>
      </c>
      <c r="T1138" s="25">
        <v>1</v>
      </c>
      <c r="U1138" s="25">
        <v>1</v>
      </c>
      <c r="V1138" s="13">
        <v>1</v>
      </c>
      <c r="W1138" s="13" t="str">
        <f>MID(A1138, SEARCH("_", A1138) +1, SEARCH("_", A1138, SEARCH("_", A1138) +1) - SEARCH("_", A1138) -1)</f>
        <v>Chart-24</v>
      </c>
      <c r="Y1138" s="1" t="str">
        <f t="shared" si="54"/>
        <v>NO</v>
      </c>
      <c r="Z1138" s="1" t="str">
        <f t="shared" si="55"/>
        <v>NO</v>
      </c>
      <c r="AA1138" t="s">
        <v>1704</v>
      </c>
      <c r="AB1138" t="s">
        <v>1704</v>
      </c>
      <c r="AC1138" s="1" t="s">
        <v>1705</v>
      </c>
      <c r="AD1138" s="1" t="s">
        <v>1704</v>
      </c>
      <c r="AE1138" s="1" t="s">
        <v>1705</v>
      </c>
      <c r="AF1138" s="1" t="s">
        <v>1704</v>
      </c>
    </row>
    <row r="1139" spans="1:32" ht="15" x14ac:dyDescent="0.35">
      <c r="A1139" s="7" t="s">
        <v>837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>LEFT($A1139,FIND("_",$A1139)-1)</f>
        <v>AVATAR</v>
      </c>
      <c r="P1139" s="13" t="str">
        <f>IF($O1139="ACS", "True Search", IF($O1139="Arja", "Evolutionary Search", IF($O1139="AVATAR", "True Pattern", IF($O1139="CapGen", "Search Like Pattern", IF($O1139="Cardumen", "True Semantic", IF($O1139="DynaMoth", "True Semantic", IF($O1139="FixMiner", "True Pattern", IF($O1139="GenProg-A", "Evolutionary Search", IF($O1139="Hercules", "Learning Pattern", IF($O1139="Jaid", "True Semantic",
IF($O1139="Kali-A", "True Search", IF($O1139="kPAR", "True Pattern", IF($O1139="Nopol", "True Semantic", IF($O1139="RSRepair-A", "Evolutionary Search", IF($O1139="SequenceR", "Deep Learning", IF($O1139="SimFix", "Search Like Pattern", IF($O1139="SketchFix", "True Pattern", IF($O1139="SOFix", "True Pattern", IF($O1139="ssFix", "Search Like Pattern", IF($O1139="TBar", "True Pattern", ""))))))))))))))))))))</f>
        <v>True Pattern</v>
      </c>
      <c r="Q1139" s="13" t="str">
        <f>IF(NOT(ISERR(SEARCH("*_Buggy",$A1139))), "Buggy", IF(NOT(ISERR(SEARCH("*_Fixed",$A1139))), "Fixed", IF(NOT(ISERR(SEARCH("*_Repaired",$A1139))), "Repaired", "")))</f>
        <v>Repaired</v>
      </c>
      <c r="R1139" s="13" t="s">
        <v>1669</v>
      </c>
      <c r="S1139" s="25">
        <v>1</v>
      </c>
      <c r="T1139" s="25">
        <v>1</v>
      </c>
      <c r="U1139" s="25">
        <v>43</v>
      </c>
      <c r="V1139" s="13">
        <v>43</v>
      </c>
      <c r="W1139" s="13" t="str">
        <f>MID(A1139, SEARCH("_", A1139) +1, SEARCH("_", A1139, SEARCH("_", A1139) +1) - SEARCH("_", A1139) -1)</f>
        <v>Chart-25</v>
      </c>
      <c r="Y1139" s="1" t="str">
        <f t="shared" si="54"/>
        <v>NO</v>
      </c>
      <c r="Z1139" s="1" t="str">
        <f t="shared" si="55"/>
        <v>NO</v>
      </c>
      <c r="AA1139" t="s">
        <v>1704</v>
      </c>
      <c r="AB1139" t="s">
        <v>1704</v>
      </c>
      <c r="AC1139" s="1" t="s">
        <v>1704</v>
      </c>
      <c r="AD1139" s="1" t="s">
        <v>1704</v>
      </c>
      <c r="AE1139" s="1" t="s">
        <v>1704</v>
      </c>
      <c r="AF1139" s="1" t="s">
        <v>1705</v>
      </c>
    </row>
    <row r="1140" spans="1:32" ht="15" x14ac:dyDescent="0.35">
      <c r="A1140" s="7" t="s">
        <v>1098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>LEFT($A1140,FIND("_",$A1140)-1)</f>
        <v>AVATAR</v>
      </c>
      <c r="P1140" s="13" t="str">
        <f>IF($O1140="ACS", "True Search", IF($O1140="Arja", "Evolutionary Search", IF($O1140="AVATAR", "True Pattern", IF($O1140="CapGen", "Search Like Pattern", IF($O1140="Cardumen", "True Semantic", IF($O1140="DynaMoth", "True Semantic", IF($O1140="FixMiner", "True Pattern", IF($O1140="GenProg-A", "Evolutionary Search", IF($O1140="Hercules", "Learning Pattern", IF($O1140="Jaid", "True Semantic",
IF($O1140="Kali-A", "True Search", IF($O1140="kPAR", "True Pattern", IF($O1140="Nopol", "True Semantic", IF($O1140="RSRepair-A", "Evolutionary Search", IF($O1140="SequenceR", "Deep Learning", IF($O1140="SimFix", "Search Like Pattern", IF($O1140="SketchFix", "True Pattern", IF($O1140="SOFix", "True Pattern", IF($O1140="ssFix", "Search Like Pattern", IF($O1140="TBar", "True Pattern", ""))))))))))))))))))))</f>
        <v>True Pattern</v>
      </c>
      <c r="Q1140" s="13" t="str">
        <f>IF(NOT(ISERR(SEARCH("*_Buggy",$A1140))), "Buggy", IF(NOT(ISERR(SEARCH("*_Fixed",$A1140))), "Fixed", IF(NOT(ISERR(SEARCH("*_Repaired",$A1140))), "Repaired", "")))</f>
        <v>Repaired</v>
      </c>
      <c r="R1140" s="13" t="s">
        <v>1668</v>
      </c>
      <c r="S1140" s="25">
        <v>2</v>
      </c>
      <c r="T1140" s="25">
        <v>4</v>
      </c>
      <c r="U1140" s="25">
        <v>1</v>
      </c>
      <c r="V1140" s="13">
        <v>4</v>
      </c>
      <c r="W1140" s="13" t="str">
        <f>MID(A1140, SEARCH("_", A1140) +1, SEARCH("_", A1140, SEARCH("_", A1140) +1) - SEARCH("_", A1140) -1)</f>
        <v>Chart-26</v>
      </c>
      <c r="Y1140" s="1" t="str">
        <f t="shared" si="54"/>
        <v>NO</v>
      </c>
      <c r="Z1140" s="1" t="str">
        <f t="shared" si="55"/>
        <v>YES</v>
      </c>
      <c r="AA1140" t="s">
        <v>1704</v>
      </c>
      <c r="AB1140" t="s">
        <v>1704</v>
      </c>
      <c r="AC1140" s="1" t="s">
        <v>1704</v>
      </c>
      <c r="AD1140" s="1" t="s">
        <v>1704</v>
      </c>
      <c r="AE1140" s="1" t="s">
        <v>1704</v>
      </c>
      <c r="AF1140" s="1" t="s">
        <v>1705</v>
      </c>
    </row>
    <row r="1141" spans="1:32" ht="15" x14ac:dyDescent="0.35">
      <c r="A1141" s="5" t="s">
        <v>719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>LEFT($A1141,FIND("_",$A1141)-1)</f>
        <v>AVATAR</v>
      </c>
      <c r="P1141" s="13" t="str">
        <f>IF($O1141="ACS", "True Search", IF($O1141="Arja", "Evolutionary Search", IF($O1141="AVATAR", "True Pattern", IF($O1141="CapGen", "Search Like Pattern", IF($O1141="Cardumen", "True Semantic", IF($O1141="DynaMoth", "True Semantic", IF($O1141="FixMiner", "True Pattern", IF($O1141="GenProg-A", "Evolutionary Search", IF($O1141="Hercules", "Learning Pattern", IF($O1141="Jaid", "True Semantic",
IF($O1141="Kali-A", "True Search", IF($O1141="kPAR", "True Pattern", IF($O1141="Nopol", "True Semantic", IF($O1141="RSRepair-A", "Evolutionary Search", IF($O1141="SequenceR", "Deep Learning", IF($O1141="SimFix", "Search Like Pattern", IF($O1141="SketchFix", "True Pattern", IF($O1141="SOFix", "True Pattern", IF($O1141="ssFix", "Search Like Pattern", IF($O1141="TBar", "True Pattern", ""))))))))))))))))))))</f>
        <v>True Pattern</v>
      </c>
      <c r="Q1141" s="13" t="str">
        <f>IF(NOT(ISERR(SEARCH("*_Buggy",$A1141))), "Buggy", IF(NOT(ISERR(SEARCH("*_Fixed",$A1141))), "Fixed", IF(NOT(ISERR(SEARCH("*_Repaired",$A1141))), "Repaired", "")))</f>
        <v>Repaired</v>
      </c>
      <c r="R1141" s="13" t="s">
        <v>1668</v>
      </c>
      <c r="S1141" s="25">
        <v>2</v>
      </c>
      <c r="T1141" s="25">
        <v>4</v>
      </c>
      <c r="U1141" s="25">
        <v>1</v>
      </c>
      <c r="V1141" s="13">
        <v>4</v>
      </c>
      <c r="W1141" s="13" t="str">
        <f>MID(A1141, SEARCH("_", A1141) +1, SEARCH("_", A1141, SEARCH("_", A1141) +1) - SEARCH("_", A1141) -1)</f>
        <v>Chart-4</v>
      </c>
      <c r="Y1141" s="1" t="str">
        <f t="shared" si="54"/>
        <v>NO</v>
      </c>
      <c r="Z1141" s="1" t="str">
        <f t="shared" si="55"/>
        <v>YES</v>
      </c>
      <c r="AA1141" t="s">
        <v>1704</v>
      </c>
      <c r="AB1141" t="s">
        <v>1704</v>
      </c>
      <c r="AC1141" s="1" t="s">
        <v>1704</v>
      </c>
      <c r="AD1141" s="1" t="s">
        <v>1704</v>
      </c>
      <c r="AE1141" s="1" t="s">
        <v>1704</v>
      </c>
      <c r="AF1141" s="1" t="s">
        <v>1705</v>
      </c>
    </row>
    <row r="1142" spans="1:32" ht="15" x14ac:dyDescent="0.35">
      <c r="A1142" s="5" t="s">
        <v>939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>LEFT($A1142,FIND("_",$A1142)-1)</f>
        <v>AVATAR</v>
      </c>
      <c r="P1142" s="13" t="str">
        <f>IF($O1142="ACS", "True Search", IF($O1142="Arja", "Evolutionary Search", IF($O1142="AVATAR", "True Pattern", IF($O1142="CapGen", "Search Like Pattern", IF($O1142="Cardumen", "True Semantic", IF($O1142="DynaMoth", "True Semantic", IF($O1142="FixMiner", "True Pattern", IF($O1142="GenProg-A", "Evolutionary Search", IF($O1142="Hercules", "Learning Pattern", IF($O1142="Jaid", "True Semantic",
IF($O1142="Kali-A", "True Search", IF($O1142="kPAR", "True Pattern", IF($O1142="Nopol", "True Semantic", IF($O1142="RSRepair-A", "Evolutionary Search", IF($O1142="SequenceR", "Deep Learning", IF($O1142="SimFix", "Search Like Pattern", IF($O1142="SketchFix", "True Pattern", IF($O1142="SOFix", "True Pattern", IF($O1142="ssFix", "Search Like Pattern", IF($O1142="TBar", "True Pattern", ""))))))))))))))))))))</f>
        <v>True Pattern</v>
      </c>
      <c r="Q1142" s="13" t="str">
        <f>IF(NOT(ISERR(SEARCH("*_Buggy",$A1142))), "Buggy", IF(NOT(ISERR(SEARCH("*_Fixed",$A1142))), "Fixed", IF(NOT(ISERR(SEARCH("*_Repaired",$A1142))), "Repaired", "")))</f>
        <v>Repaired</v>
      </c>
      <c r="R1142" s="13" t="s">
        <v>1669</v>
      </c>
      <c r="S1142" s="25">
        <v>1</v>
      </c>
      <c r="T1142" s="25">
        <v>1</v>
      </c>
      <c r="U1142" s="25">
        <v>1</v>
      </c>
      <c r="V1142" s="13">
        <v>1</v>
      </c>
      <c r="W1142" s="13" t="str">
        <f>MID(A1142, SEARCH("_", A1142) +1, SEARCH("_", A1142, SEARCH("_", A1142) +1) - SEARCH("_", A1142) -1)</f>
        <v>Chart-5</v>
      </c>
      <c r="Y1142" s="1" t="str">
        <f t="shared" si="54"/>
        <v>NO</v>
      </c>
      <c r="Z1142" s="1" t="str">
        <f t="shared" si="55"/>
        <v>NO</v>
      </c>
      <c r="AA1142" t="s">
        <v>1704</v>
      </c>
      <c r="AB1142" t="s">
        <v>1704</v>
      </c>
      <c r="AC1142" s="1" t="s">
        <v>1704</v>
      </c>
      <c r="AD1142" s="1" t="s">
        <v>1704</v>
      </c>
      <c r="AE1142" s="1" t="s">
        <v>1704</v>
      </c>
      <c r="AF1142" s="1" t="s">
        <v>1704</v>
      </c>
    </row>
    <row r="1143" spans="1:32" ht="15" x14ac:dyDescent="0.35">
      <c r="A1143" s="5" t="s">
        <v>900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>LEFT($A1143,FIND("_",$A1143)-1)</f>
        <v>AVATAR</v>
      </c>
      <c r="P1143" s="13" t="str">
        <f>IF($O1143="ACS", "True Search", IF($O1143="Arja", "Evolutionary Search", IF($O1143="AVATAR", "True Pattern", IF($O1143="CapGen", "Search Like Pattern", IF($O1143="Cardumen", "True Semantic", IF($O1143="DynaMoth", "True Semantic", IF($O1143="FixMiner", "True Pattern", IF($O1143="GenProg-A", "Evolutionary Search", IF($O1143="Hercules", "Learning Pattern", IF($O1143="Jaid", "True Semantic",
IF($O1143="Kali-A", "True Search", IF($O1143="kPAR", "True Pattern", IF($O1143="Nopol", "True Semantic", IF($O1143="RSRepair-A", "Evolutionary Search", IF($O1143="SequenceR", "Deep Learning", IF($O1143="SimFix", "Search Like Pattern", IF($O1143="SketchFix", "True Pattern", IF($O1143="SOFix", "True Pattern", IF($O1143="ssFix", "Search Like Pattern", IF($O1143="TBar", "True Pattern", ""))))))))))))))))))))</f>
        <v>True Pattern</v>
      </c>
      <c r="Q1143" s="13" t="str">
        <f>IF(NOT(ISERR(SEARCH("*_Buggy",$A1143))), "Buggy", IF(NOT(ISERR(SEARCH("*_Fixed",$A1143))), "Fixed", IF(NOT(ISERR(SEARCH("*_Repaired",$A1143))), "Repaired", "")))</f>
        <v>Repaired</v>
      </c>
      <c r="R1143" s="13" t="s">
        <v>1669</v>
      </c>
      <c r="S1143" s="25">
        <v>1</v>
      </c>
      <c r="T1143" s="25">
        <v>1</v>
      </c>
      <c r="U1143" s="25">
        <v>1</v>
      </c>
      <c r="V1143" s="13">
        <v>1</v>
      </c>
      <c r="W1143" s="13" t="str">
        <f>MID(A1143, SEARCH("_", A1143) +1, SEARCH("_", A1143, SEARCH("_", A1143) +1) - SEARCH("_", A1143) -1)</f>
        <v>Chart-7</v>
      </c>
      <c r="Y1143" s="1" t="str">
        <f t="shared" si="54"/>
        <v>NO</v>
      </c>
      <c r="Z1143" s="1" t="str">
        <f t="shared" si="55"/>
        <v>NO</v>
      </c>
      <c r="AA1143" t="s">
        <v>1704</v>
      </c>
      <c r="AB1143" t="s">
        <v>1704</v>
      </c>
      <c r="AC1143" s="1" t="s">
        <v>1704</v>
      </c>
      <c r="AD1143" s="1" t="s">
        <v>1704</v>
      </c>
      <c r="AE1143" s="1" t="s">
        <v>1704</v>
      </c>
      <c r="AF1143" s="1" t="s">
        <v>1704</v>
      </c>
    </row>
    <row r="1144" spans="1:32" ht="15" x14ac:dyDescent="0.35">
      <c r="A1144" s="7" t="s">
        <v>72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>LEFT($A1144,FIND("_",$A1144)-1)</f>
        <v>AVATAR</v>
      </c>
      <c r="P1144" s="13" t="str">
        <f>IF($O1144="ACS", "True Search", IF($O1144="Arja", "Evolutionary Search", IF($O1144="AVATAR", "True Pattern", IF($O1144="CapGen", "Search Like Pattern", IF($O1144="Cardumen", "True Semantic", IF($O1144="DynaMoth", "True Semantic", IF($O1144="FixMiner", "True Pattern", IF($O1144="GenProg-A", "Evolutionary Search", IF($O1144="Hercules", "Learning Pattern", IF($O1144="Jaid", "True Semantic",
IF($O1144="Kali-A", "True Search", IF($O1144="kPAR", "True Pattern", IF($O1144="Nopol", "True Semantic", IF($O1144="RSRepair-A", "Evolutionary Search", IF($O1144="SequenceR", "Deep Learning", IF($O1144="SimFix", "Search Like Pattern", IF($O1144="SketchFix", "True Pattern", IF($O1144="SOFix", "True Pattern", IF($O1144="ssFix", "Search Like Pattern", IF($O1144="TBar", "True Pattern", ""))))))))))))))))))))</f>
        <v>True Pattern</v>
      </c>
      <c r="Q1144" s="13" t="str">
        <f>IF(NOT(ISERR(SEARCH("*_Buggy",$A1144))), "Buggy", IF(NOT(ISERR(SEARCH("*_Fixed",$A1144))), "Fixed", IF(NOT(ISERR(SEARCH("*_Repaired",$A1144))), "Repaired", "")))</f>
        <v>Repaired</v>
      </c>
      <c r="R1144" s="13" t="s">
        <v>1669</v>
      </c>
      <c r="S1144" s="25">
        <v>1</v>
      </c>
      <c r="T1144" s="25">
        <v>1</v>
      </c>
      <c r="U1144" s="25">
        <v>1</v>
      </c>
      <c r="V1144" s="13">
        <v>1</v>
      </c>
      <c r="W1144" s="13" t="str">
        <f>MID(A1144, SEARCH("_", A1144) +1, SEARCH("_", A1144, SEARCH("_", A1144) +1) - SEARCH("_", A1144) -1)</f>
        <v>Closure-108</v>
      </c>
      <c r="Y1144" s="1" t="str">
        <f t="shared" si="54"/>
        <v>NO</v>
      </c>
      <c r="Z1144" s="1" t="str">
        <f t="shared" si="55"/>
        <v>NO</v>
      </c>
      <c r="AA1144" t="s">
        <v>1704</v>
      </c>
      <c r="AB1144" t="s">
        <v>1704</v>
      </c>
      <c r="AC1144" s="1" t="s">
        <v>1704</v>
      </c>
      <c r="AD1144" s="1" t="s">
        <v>1704</v>
      </c>
      <c r="AE1144" s="1" t="s">
        <v>1704</v>
      </c>
      <c r="AF1144" s="1" t="s">
        <v>1704</v>
      </c>
    </row>
    <row r="1145" spans="1:32" ht="15" x14ac:dyDescent="0.35">
      <c r="A1145" s="7" t="s">
        <v>585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>LEFT($A1145,FIND("_",$A1145)-1)</f>
        <v>AVATAR</v>
      </c>
      <c r="P1145" s="13" t="str">
        <f>IF($O1145="ACS", "True Search", IF($O1145="Arja", "Evolutionary Search", IF($O1145="AVATAR", "True Pattern", IF($O1145="CapGen", "Search Like Pattern", IF($O1145="Cardumen", "True Semantic", IF($O1145="DynaMoth", "True Semantic", IF($O1145="FixMiner", "True Pattern", IF($O1145="GenProg-A", "Evolutionary Search", IF($O1145="Hercules", "Learning Pattern", IF($O1145="Jaid", "True Semantic",
IF($O1145="Kali-A", "True Search", IF($O1145="kPAR", "True Pattern", IF($O1145="Nopol", "True Semantic", IF($O1145="RSRepair-A", "Evolutionary Search", IF($O1145="SequenceR", "Deep Learning", IF($O1145="SimFix", "Search Like Pattern", IF($O1145="SketchFix", "True Pattern", IF($O1145="SOFix", "True Pattern", IF($O1145="ssFix", "Search Like Pattern", IF($O1145="TBar", "True Pattern", ""))))))))))))))))))))</f>
        <v>True Pattern</v>
      </c>
      <c r="Q1145" s="13" t="str">
        <f>IF(NOT(ISERR(SEARCH("*_Buggy",$A1145))), "Buggy", IF(NOT(ISERR(SEARCH("*_Fixed",$A1145))), "Fixed", IF(NOT(ISERR(SEARCH("*_Repaired",$A1145))), "Repaired", "")))</f>
        <v>Repaired</v>
      </c>
      <c r="R1145" s="13" t="s">
        <v>1668</v>
      </c>
      <c r="S1145" s="25">
        <v>1</v>
      </c>
      <c r="T1145" s="25">
        <v>1</v>
      </c>
      <c r="U1145" s="25">
        <v>1</v>
      </c>
      <c r="V1145" s="13">
        <v>1</v>
      </c>
      <c r="W1145" s="13" t="str">
        <f>MID(A1145, SEARCH("_", A1145) +1, SEARCH("_", A1145, SEARCH("_", A1145) +1) - SEARCH("_", A1145) -1)</f>
        <v>Closure-11</v>
      </c>
      <c r="Y1145" s="1" t="str">
        <f t="shared" si="54"/>
        <v>NO</v>
      </c>
      <c r="Z1145" s="1" t="str">
        <f t="shared" si="55"/>
        <v>NO</v>
      </c>
      <c r="AA1145" t="s">
        <v>1704</v>
      </c>
      <c r="AB1145" t="s">
        <v>1704</v>
      </c>
      <c r="AC1145" s="1" t="s">
        <v>1704</v>
      </c>
      <c r="AD1145" s="1" t="s">
        <v>1704</v>
      </c>
      <c r="AE1145" s="1" t="s">
        <v>1704</v>
      </c>
      <c r="AF1145" s="1" t="s">
        <v>1704</v>
      </c>
    </row>
    <row r="1146" spans="1:32" ht="15" x14ac:dyDescent="0.35">
      <c r="A1146" s="7" t="s">
        <v>977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>LEFT($A1146,FIND("_",$A1146)-1)</f>
        <v>AVATAR</v>
      </c>
      <c r="P1146" s="13" t="str">
        <f>IF($O1146="ACS", "True Search", IF($O1146="Arja", "Evolutionary Search", IF($O1146="AVATAR", "True Pattern", IF($O1146="CapGen", "Search Like Pattern", IF($O1146="Cardumen", "True Semantic", IF($O1146="DynaMoth", "True Semantic", IF($O1146="FixMiner", "True Pattern", IF($O1146="GenProg-A", "Evolutionary Search", IF($O1146="Hercules", "Learning Pattern", IF($O1146="Jaid", "True Semantic",
IF($O1146="Kali-A", "True Search", IF($O1146="kPAR", "True Pattern", IF($O1146="Nopol", "True Semantic", IF($O1146="RSRepair-A", "Evolutionary Search", IF($O1146="SequenceR", "Deep Learning", IF($O1146="SimFix", "Search Like Pattern", IF($O1146="SketchFix", "True Pattern", IF($O1146="SOFix", "True Pattern", IF($O1146="ssFix", "Search Like Pattern", IF($O1146="TBar", "True Pattern", ""))))))))))))))))))))</f>
        <v>True Pattern</v>
      </c>
      <c r="Q1146" s="13" t="str">
        <f>IF(NOT(ISERR(SEARCH("*_Buggy",$A1146))), "Buggy", IF(NOT(ISERR(SEARCH("*_Fixed",$A1146))), "Fixed", IF(NOT(ISERR(SEARCH("*_Repaired",$A1146))), "Repaired", "")))</f>
        <v>Repaired</v>
      </c>
      <c r="R1146" s="13" t="s">
        <v>1668</v>
      </c>
      <c r="S1146" s="25">
        <v>1</v>
      </c>
      <c r="T1146" s="25">
        <v>1</v>
      </c>
      <c r="U1146" s="25">
        <v>7</v>
      </c>
      <c r="V1146" s="13">
        <v>7</v>
      </c>
      <c r="W1146" s="13" t="str">
        <f>MID(A1146, SEARCH("_", A1146) +1, SEARCH("_", A1146, SEARCH("_", A1146) +1) - SEARCH("_", A1146) -1)</f>
        <v>Closure-115</v>
      </c>
      <c r="Y1146" s="1" t="str">
        <f t="shared" si="54"/>
        <v>NO</v>
      </c>
      <c r="Z1146" s="1" t="str">
        <f t="shared" si="55"/>
        <v>NO</v>
      </c>
      <c r="AA1146" t="s">
        <v>1704</v>
      </c>
      <c r="AB1146" t="s">
        <v>1704</v>
      </c>
      <c r="AC1146" s="1" t="s">
        <v>1704</v>
      </c>
      <c r="AD1146" s="1" t="s">
        <v>1704</v>
      </c>
      <c r="AE1146" s="1" t="s">
        <v>1704</v>
      </c>
      <c r="AF1146" s="1" t="s">
        <v>1705</v>
      </c>
    </row>
    <row r="1147" spans="1:32" ht="15" x14ac:dyDescent="0.35">
      <c r="A1147" s="5" t="s">
        <v>839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>LEFT($A1147,FIND("_",$A1147)-1)</f>
        <v>AVATAR</v>
      </c>
      <c r="P1147" s="13" t="str">
        <f>IF($O1147="ACS", "True Search", IF($O1147="Arja", "Evolutionary Search", IF($O1147="AVATAR", "True Pattern", IF($O1147="CapGen", "Search Like Pattern", IF($O1147="Cardumen", "True Semantic", IF($O1147="DynaMoth", "True Semantic", IF($O1147="FixMiner", "True Pattern", IF($O1147="GenProg-A", "Evolutionary Search", IF($O1147="Hercules", "Learning Pattern", IF($O1147="Jaid", "True Semantic",
IF($O1147="Kali-A", "True Search", IF($O1147="kPAR", "True Pattern", IF($O1147="Nopol", "True Semantic", IF($O1147="RSRepair-A", "Evolutionary Search", IF($O1147="SequenceR", "Deep Learning", IF($O1147="SimFix", "Search Like Pattern", IF($O1147="SketchFix", "True Pattern", IF($O1147="SOFix", "True Pattern", IF($O1147="ssFix", "Search Like Pattern", IF($O1147="TBar", "True Pattern", ""))))))))))))))))))))</f>
        <v>True Pattern</v>
      </c>
      <c r="Q1147" s="13" t="str">
        <f>IF(NOT(ISERR(SEARCH("*_Buggy",$A1147))), "Buggy", IF(NOT(ISERR(SEARCH("*_Fixed",$A1147))), "Fixed", IF(NOT(ISERR(SEARCH("*_Repaired",$A1147))), "Repaired", "")))</f>
        <v>Repaired</v>
      </c>
      <c r="R1147" s="13" t="s">
        <v>1668</v>
      </c>
      <c r="S1147" s="25">
        <v>2</v>
      </c>
      <c r="T1147" s="25">
        <v>4</v>
      </c>
      <c r="U1147" s="25">
        <v>1</v>
      </c>
      <c r="V1147" s="13">
        <v>4</v>
      </c>
      <c r="W1147" s="13" t="str">
        <f>MID(A1147, SEARCH("_", A1147) +1, SEARCH("_", A1147, SEARCH("_", A1147) +1) - SEARCH("_", A1147) -1)</f>
        <v>Closure-2</v>
      </c>
      <c r="Y1147" s="1" t="str">
        <f t="shared" si="54"/>
        <v>NO</v>
      </c>
      <c r="Z1147" s="1" t="str">
        <f t="shared" si="55"/>
        <v>YES</v>
      </c>
      <c r="AA1147" t="s">
        <v>1704</v>
      </c>
      <c r="AB1147" t="s">
        <v>1705</v>
      </c>
      <c r="AC1147" s="1" t="s">
        <v>1704</v>
      </c>
      <c r="AD1147" s="1" t="s">
        <v>1704</v>
      </c>
      <c r="AE1147" s="1" t="s">
        <v>1704</v>
      </c>
      <c r="AF1147" s="1" t="s">
        <v>1705</v>
      </c>
    </row>
    <row r="1148" spans="1:32" ht="15" x14ac:dyDescent="0.35">
      <c r="A1148" s="5" t="s">
        <v>383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>LEFT($A1148,FIND("_",$A1148)-1)</f>
        <v>AVATAR</v>
      </c>
      <c r="P1148" s="13" t="str">
        <f>IF($O1148="ACS", "True Search", IF($O1148="Arja", "Evolutionary Search", IF($O1148="AVATAR", "True Pattern", IF($O1148="CapGen", "Search Like Pattern", IF($O1148="Cardumen", "True Semantic", IF($O1148="DynaMoth", "True Semantic", IF($O1148="FixMiner", "True Pattern", IF($O1148="GenProg-A", "Evolutionary Search", IF($O1148="Hercules", "Learning Pattern", IF($O1148="Jaid", "True Semantic",
IF($O1148="Kali-A", "True Search", IF($O1148="kPAR", "True Pattern", IF($O1148="Nopol", "True Semantic", IF($O1148="RSRepair-A", "Evolutionary Search", IF($O1148="SequenceR", "Deep Learning", IF($O1148="SimFix", "Search Like Pattern", IF($O1148="SketchFix", "True Pattern", IF($O1148="SOFix", "True Pattern", IF($O1148="ssFix", "Search Like Pattern", IF($O1148="TBar", "True Pattern", ""))))))))))))))))))))</f>
        <v>True Pattern</v>
      </c>
      <c r="Q1148" s="13" t="str">
        <f>IF(NOT(ISERR(SEARCH("*_Buggy",$A1148))), "Buggy", IF(NOT(ISERR(SEARCH("*_Fixed",$A1148))), "Fixed", IF(NOT(ISERR(SEARCH("*_Repaired",$A1148))), "Repaired", "")))</f>
        <v>Repaired</v>
      </c>
      <c r="R1148" s="13" t="s">
        <v>1669</v>
      </c>
      <c r="S1148" s="25">
        <v>1</v>
      </c>
      <c r="T1148" s="25">
        <v>1</v>
      </c>
      <c r="U1148" s="25">
        <v>1</v>
      </c>
      <c r="V1148" s="13">
        <v>1</v>
      </c>
      <c r="W1148" s="13" t="str">
        <f>MID(A1148, SEARCH("_", A1148) +1, SEARCH("_", A1148, SEARCH("_", A1148) +1) - SEARCH("_", A1148) -1)</f>
        <v>Closure-21</v>
      </c>
      <c r="Y1148" s="1" t="str">
        <f t="shared" si="54"/>
        <v>NO</v>
      </c>
      <c r="Z1148" s="1" t="str">
        <f t="shared" si="55"/>
        <v>NO</v>
      </c>
      <c r="AA1148" t="s">
        <v>1704</v>
      </c>
      <c r="AB1148" t="s">
        <v>1704</v>
      </c>
      <c r="AC1148" s="1" t="s">
        <v>1704</v>
      </c>
      <c r="AD1148" s="1" t="s">
        <v>1704</v>
      </c>
      <c r="AE1148" s="1" t="s">
        <v>1704</v>
      </c>
      <c r="AF1148" s="1" t="s">
        <v>1704</v>
      </c>
    </row>
    <row r="1149" spans="1:32" ht="15" x14ac:dyDescent="0.35">
      <c r="A1149" s="5" t="s">
        <v>588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>LEFT($A1149,FIND("_",$A1149)-1)</f>
        <v>AVATAR</v>
      </c>
      <c r="P1149" s="13" t="str">
        <f>IF($O1149="ACS", "True Search", IF($O1149="Arja", "Evolutionary Search", IF($O1149="AVATAR", "True Pattern", IF($O1149="CapGen", "Search Like Pattern", IF($O1149="Cardumen", "True Semantic", IF($O1149="DynaMoth", "True Semantic", IF($O1149="FixMiner", "True Pattern", IF($O1149="GenProg-A", "Evolutionary Search", IF($O1149="Hercules", "Learning Pattern", IF($O1149="Jaid", "True Semantic",
IF($O1149="Kali-A", "True Search", IF($O1149="kPAR", "True Pattern", IF($O1149="Nopol", "True Semantic", IF($O1149="RSRepair-A", "Evolutionary Search", IF($O1149="SequenceR", "Deep Learning", IF($O1149="SimFix", "Search Like Pattern", IF($O1149="SketchFix", "True Pattern", IF($O1149="SOFix", "True Pattern", IF($O1149="ssFix", "Search Like Pattern", IF($O1149="TBar", "True Pattern", ""))))))))))))))))))))</f>
        <v>True Pattern</v>
      </c>
      <c r="Q1149" s="13" t="str">
        <f>IF(NOT(ISERR(SEARCH("*_Buggy",$A1149))), "Buggy", IF(NOT(ISERR(SEARCH("*_Fixed",$A1149))), "Fixed", IF(NOT(ISERR(SEARCH("*_Repaired",$A1149))), "Repaired", "")))</f>
        <v>Repaired</v>
      </c>
      <c r="R1149" s="13" t="s">
        <v>1669</v>
      </c>
      <c r="S1149" s="25">
        <v>1</v>
      </c>
      <c r="T1149" s="25">
        <v>1</v>
      </c>
      <c r="U1149" s="25">
        <v>1</v>
      </c>
      <c r="V1149" s="13">
        <v>1</v>
      </c>
      <c r="W1149" s="13" t="str">
        <f>MID(A1149, SEARCH("_", A1149) +1, SEARCH("_", A1149, SEARCH("_", A1149) +1) - SEARCH("_", A1149) -1)</f>
        <v>Closure-22</v>
      </c>
      <c r="Y1149" s="1" t="str">
        <f t="shared" si="54"/>
        <v>NO</v>
      </c>
      <c r="Z1149" s="1" t="str">
        <f t="shared" si="55"/>
        <v>NO</v>
      </c>
      <c r="AA1149" t="s">
        <v>1704</v>
      </c>
      <c r="AB1149" t="s">
        <v>1704</v>
      </c>
      <c r="AC1149" s="1" t="s">
        <v>1704</v>
      </c>
      <c r="AD1149" s="1" t="s">
        <v>1704</v>
      </c>
      <c r="AE1149" s="1" t="s">
        <v>1704</v>
      </c>
      <c r="AF1149" s="1" t="s">
        <v>1704</v>
      </c>
    </row>
    <row r="1150" spans="1:32" ht="15" x14ac:dyDescent="0.35">
      <c r="A1150" s="7" t="s">
        <v>327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>LEFT($A1150,FIND("_",$A1150)-1)</f>
        <v>AVATAR</v>
      </c>
      <c r="P1150" s="13" t="str">
        <f>IF($O1150="ACS", "True Search", IF($O1150="Arja", "Evolutionary Search", IF($O1150="AVATAR", "True Pattern", IF($O1150="CapGen", "Search Like Pattern", IF($O1150="Cardumen", "True Semantic", IF($O1150="DynaMoth", "True Semantic", IF($O1150="FixMiner", "True Pattern", IF($O1150="GenProg-A", "Evolutionary Search", IF($O1150="Hercules", "Learning Pattern", IF($O1150="Jaid", "True Semantic",
IF($O1150="Kali-A", "True Search", IF($O1150="kPAR", "True Pattern", IF($O1150="Nopol", "True Semantic", IF($O1150="RSRepair-A", "Evolutionary Search", IF($O1150="SequenceR", "Deep Learning", IF($O1150="SimFix", "Search Like Pattern", IF($O1150="SketchFix", "True Pattern", IF($O1150="SOFix", "True Pattern", IF($O1150="ssFix", "Search Like Pattern", IF($O1150="TBar", "True Pattern", ""))))))))))))))))))))</f>
        <v>True Pattern</v>
      </c>
      <c r="Q1150" s="13" t="str">
        <f>IF(NOT(ISERR(SEARCH("*_Buggy",$A1150))), "Buggy", IF(NOT(ISERR(SEARCH("*_Fixed",$A1150))), "Fixed", IF(NOT(ISERR(SEARCH("*_Repaired",$A1150))), "Repaired", "")))</f>
        <v>Repaired</v>
      </c>
      <c r="R1150" s="13" t="s">
        <v>1668</v>
      </c>
      <c r="S1150" s="25">
        <v>1</v>
      </c>
      <c r="T1150" s="25">
        <v>1</v>
      </c>
      <c r="U1150" s="25">
        <v>1</v>
      </c>
      <c r="V1150" s="13">
        <v>1</v>
      </c>
      <c r="W1150" s="13" t="str">
        <f>MID(A1150, SEARCH("_", A1150) +1, SEARCH("_", A1150, SEARCH("_", A1150) +1) - SEARCH("_", A1150) -1)</f>
        <v>Closure-38</v>
      </c>
      <c r="Y1150" s="1" t="str">
        <f t="shared" si="54"/>
        <v>NO</v>
      </c>
      <c r="Z1150" s="1" t="str">
        <f t="shared" si="55"/>
        <v>NO</v>
      </c>
      <c r="AA1150" t="s">
        <v>1704</v>
      </c>
      <c r="AB1150" t="s">
        <v>1704</v>
      </c>
      <c r="AC1150" s="1" t="s">
        <v>1705</v>
      </c>
      <c r="AD1150" s="1" t="s">
        <v>1704</v>
      </c>
      <c r="AE1150" s="1" t="s">
        <v>1705</v>
      </c>
      <c r="AF1150" s="1" t="s">
        <v>1704</v>
      </c>
    </row>
    <row r="1151" spans="1:32" ht="15" x14ac:dyDescent="0.35">
      <c r="A1151" s="7" t="s">
        <v>1244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>LEFT($A1151,FIND("_",$A1151)-1)</f>
        <v>AVATAR</v>
      </c>
      <c r="P1151" s="13" t="str">
        <f>IF($O1151="ACS", "True Search", IF($O1151="Arja", "Evolutionary Search", IF($O1151="AVATAR", "True Pattern", IF($O1151="CapGen", "Search Like Pattern", IF($O1151="Cardumen", "True Semantic", IF($O1151="DynaMoth", "True Semantic", IF($O1151="FixMiner", "True Pattern", IF($O1151="GenProg-A", "Evolutionary Search", IF($O1151="Hercules", "Learning Pattern", IF($O1151="Jaid", "True Semantic",
IF($O1151="Kali-A", "True Search", IF($O1151="kPAR", "True Pattern", IF($O1151="Nopol", "True Semantic", IF($O1151="RSRepair-A", "Evolutionary Search", IF($O1151="SequenceR", "Deep Learning", IF($O1151="SimFix", "Search Like Pattern", IF($O1151="SketchFix", "True Pattern", IF($O1151="SOFix", "True Pattern", IF($O1151="ssFix", "Search Like Pattern", IF($O1151="TBar", "True Pattern", ""))))))))))))))))))))</f>
        <v>True Pattern</v>
      </c>
      <c r="Q1151" s="13" t="str">
        <f>IF(NOT(ISERR(SEARCH("*_Buggy",$A1151))), "Buggy", IF(NOT(ISERR(SEARCH("*_Fixed",$A1151))), "Fixed", IF(NOT(ISERR(SEARCH("*_Repaired",$A1151))), "Repaired", "")))</f>
        <v>Repaired</v>
      </c>
      <c r="R1151" s="13" t="s">
        <v>1669</v>
      </c>
      <c r="S1151" s="25">
        <v>1</v>
      </c>
      <c r="T1151" s="25">
        <v>1</v>
      </c>
      <c r="U1151" s="25">
        <v>4</v>
      </c>
      <c r="V1151" s="13">
        <v>4</v>
      </c>
      <c r="W1151" s="13" t="str">
        <f>MID(A1151, SEARCH("_", A1151) +1, SEARCH("_", A1151, SEARCH("_", A1151) +1) - SEARCH("_", A1151) -1)</f>
        <v>Closure-45</v>
      </c>
      <c r="Y1151" s="1" t="str">
        <f t="shared" si="54"/>
        <v>NO</v>
      </c>
      <c r="Z1151" s="1" t="str">
        <f t="shared" si="55"/>
        <v>NO</v>
      </c>
      <c r="AA1151" t="s">
        <v>1704</v>
      </c>
      <c r="AB1151" t="s">
        <v>1704</v>
      </c>
      <c r="AC1151" s="1" t="s">
        <v>1704</v>
      </c>
      <c r="AD1151" s="1" t="s">
        <v>1704</v>
      </c>
      <c r="AE1151" s="1" t="s">
        <v>1704</v>
      </c>
      <c r="AF1151" s="1" t="s">
        <v>1705</v>
      </c>
    </row>
    <row r="1152" spans="1:32" ht="15" x14ac:dyDescent="0.35">
      <c r="A1152" s="5" t="s">
        <v>667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>LEFT($A1152,FIND("_",$A1152)-1)</f>
        <v>AVATAR</v>
      </c>
      <c r="P1152" s="13" t="str">
        <f>IF($O1152="ACS", "True Search", IF($O1152="Arja", "Evolutionary Search", IF($O1152="AVATAR", "True Pattern", IF($O1152="CapGen", "Search Like Pattern", IF($O1152="Cardumen", "True Semantic", IF($O1152="DynaMoth", "True Semantic", IF($O1152="FixMiner", "True Pattern", IF($O1152="GenProg-A", "Evolutionary Search", IF($O1152="Hercules", "Learning Pattern", IF($O1152="Jaid", "True Semantic",
IF($O1152="Kali-A", "True Search", IF($O1152="kPAR", "True Pattern", IF($O1152="Nopol", "True Semantic", IF($O1152="RSRepair-A", "Evolutionary Search", IF($O1152="SequenceR", "Deep Learning", IF($O1152="SimFix", "Search Like Pattern", IF($O1152="SketchFix", "True Pattern", IF($O1152="SOFix", "True Pattern", IF($O1152="ssFix", "Search Like Pattern", IF($O1152="TBar", "True Pattern", ""))))))))))))))))))))</f>
        <v>True Pattern</v>
      </c>
      <c r="Q1152" s="13" t="str">
        <f>IF(NOT(ISERR(SEARCH("*_Buggy",$A1152))), "Buggy", IF(NOT(ISERR(SEARCH("*_Fixed",$A1152))), "Fixed", IF(NOT(ISERR(SEARCH("*_Repaired",$A1152))), "Repaired", "")))</f>
        <v>Repaired</v>
      </c>
      <c r="R1152" s="13" t="s">
        <v>1668</v>
      </c>
      <c r="S1152" s="25">
        <v>1</v>
      </c>
      <c r="T1152" s="25">
        <v>1</v>
      </c>
      <c r="U1152" s="25">
        <v>16</v>
      </c>
      <c r="V1152" s="13">
        <v>16</v>
      </c>
      <c r="W1152" s="13" t="str">
        <f>MID(A1152, SEARCH("_", A1152) +1, SEARCH("_", A1152, SEARCH("_", A1152) +1) - SEARCH("_", A1152) -1)</f>
        <v>Closure-46</v>
      </c>
      <c r="Y1152" s="1" t="str">
        <f t="shared" si="54"/>
        <v>NO</v>
      </c>
      <c r="Z1152" s="1" t="str">
        <f t="shared" si="55"/>
        <v>NO</v>
      </c>
      <c r="AA1152" t="s">
        <v>1704</v>
      </c>
      <c r="AB1152" t="s">
        <v>1704</v>
      </c>
      <c r="AC1152" s="1" t="s">
        <v>1704</v>
      </c>
      <c r="AD1152" s="1" t="s">
        <v>1705</v>
      </c>
      <c r="AE1152" s="1" t="s">
        <v>1704</v>
      </c>
      <c r="AF1152" s="1" t="s">
        <v>1705</v>
      </c>
    </row>
    <row r="1153" spans="1:32" ht="15" x14ac:dyDescent="0.35">
      <c r="A1153" s="5" t="s">
        <v>335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>LEFT($A1153,FIND("_",$A1153)-1)</f>
        <v>AVATAR</v>
      </c>
      <c r="P1153" s="13" t="str">
        <f>IF($O1153="ACS", "True Search", IF($O1153="Arja", "Evolutionary Search", IF($O1153="AVATAR", "True Pattern", IF($O1153="CapGen", "Search Like Pattern", IF($O1153="Cardumen", "True Semantic", IF($O1153="DynaMoth", "True Semantic", IF($O1153="FixMiner", "True Pattern", IF($O1153="GenProg-A", "Evolutionary Search", IF($O1153="Hercules", "Learning Pattern", IF($O1153="Jaid", "True Semantic",
IF($O1153="Kali-A", "True Search", IF($O1153="kPAR", "True Pattern", IF($O1153="Nopol", "True Semantic", IF($O1153="RSRepair-A", "Evolutionary Search", IF($O1153="SequenceR", "Deep Learning", IF($O1153="SimFix", "Search Like Pattern", IF($O1153="SketchFix", "True Pattern", IF($O1153="SOFix", "True Pattern", IF($O1153="ssFix", "Search Like Pattern", IF($O1153="TBar", "True Pattern", ""))))))))))))))))))))</f>
        <v>True Pattern</v>
      </c>
      <c r="Q1153" s="13" t="str">
        <f>IF(NOT(ISERR(SEARCH("*_Buggy",$A1153))), "Buggy", IF(NOT(ISERR(SEARCH("*_Fixed",$A1153))), "Fixed", IF(NOT(ISERR(SEARCH("*_Repaired",$A1153))), "Repaired", "")))</f>
        <v>Repaired</v>
      </c>
      <c r="R1153" s="13" t="s">
        <v>1669</v>
      </c>
      <c r="S1153" s="25">
        <v>1</v>
      </c>
      <c r="T1153" s="25">
        <v>1</v>
      </c>
      <c r="U1153" s="25">
        <v>1</v>
      </c>
      <c r="V1153" s="13">
        <v>1</v>
      </c>
      <c r="W1153" s="13" t="str">
        <f>MID(A1153, SEARCH("_", A1153) +1, SEARCH("_", A1153, SEARCH("_", A1153) +1) - SEARCH("_", A1153) -1)</f>
        <v>Closure-48</v>
      </c>
      <c r="Y1153" s="1" t="str">
        <f t="shared" si="54"/>
        <v>NO</v>
      </c>
      <c r="Z1153" s="1" t="str">
        <f t="shared" si="55"/>
        <v>NO</v>
      </c>
      <c r="AA1153" t="s">
        <v>1704</v>
      </c>
      <c r="AB1153" t="s">
        <v>1704</v>
      </c>
      <c r="AC1153" s="1" t="s">
        <v>1704</v>
      </c>
      <c r="AD1153" s="1" t="s">
        <v>1704</v>
      </c>
      <c r="AE1153" s="1" t="s">
        <v>1704</v>
      </c>
      <c r="AF1153" s="1" t="s">
        <v>1704</v>
      </c>
    </row>
    <row r="1154" spans="1:32" ht="15" x14ac:dyDescent="0.35">
      <c r="A1154" s="7" t="s">
        <v>1052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>LEFT($A1154,FIND("_",$A1154)-1)</f>
        <v>AVATAR</v>
      </c>
      <c r="P1154" s="13" t="str">
        <f>IF($O1154="ACS", "True Search", IF($O1154="Arja", "Evolutionary Search", IF($O1154="AVATAR", "True Pattern", IF($O1154="CapGen", "Search Like Pattern", IF($O1154="Cardumen", "True Semantic", IF($O1154="DynaMoth", "True Semantic", IF($O1154="FixMiner", "True Pattern", IF($O1154="GenProg-A", "Evolutionary Search", IF($O1154="Hercules", "Learning Pattern", IF($O1154="Jaid", "True Semantic",
IF($O1154="Kali-A", "True Search", IF($O1154="kPAR", "True Pattern", IF($O1154="Nopol", "True Semantic", IF($O1154="RSRepair-A", "Evolutionary Search", IF($O1154="SequenceR", "Deep Learning", IF($O1154="SimFix", "Search Like Pattern", IF($O1154="SketchFix", "True Pattern", IF($O1154="SOFix", "True Pattern", IF($O1154="ssFix", "Search Like Pattern", IF($O1154="TBar", "True Pattern", ""))))))))))))))))))))</f>
        <v>True Pattern</v>
      </c>
      <c r="Q1154" s="13" t="str">
        <f>IF(NOT(ISERR(SEARCH("*_Buggy",$A1154))), "Buggy", IF(NOT(ISERR(SEARCH("*_Fixed",$A1154))), "Fixed", IF(NOT(ISERR(SEARCH("*_Repaired",$A1154))), "Repaired", "")))</f>
        <v>Repaired</v>
      </c>
      <c r="R1154" s="13" t="s">
        <v>1668</v>
      </c>
      <c r="S1154" s="25">
        <v>1</v>
      </c>
      <c r="T1154" s="25">
        <v>1</v>
      </c>
      <c r="U1154" s="25">
        <v>1</v>
      </c>
      <c r="V1154" s="13">
        <v>1</v>
      </c>
      <c r="W1154" s="13" t="str">
        <f>MID(A1154, SEARCH("_", A1154) +1, SEARCH("_", A1154, SEARCH("_", A1154) +1) - SEARCH("_", A1154) -1)</f>
        <v>Closure-62</v>
      </c>
      <c r="Y1154" s="1" t="str">
        <f t="shared" si="54"/>
        <v>NO</v>
      </c>
      <c r="Z1154" s="1" t="str">
        <f t="shared" si="55"/>
        <v>NO</v>
      </c>
      <c r="AA1154" t="s">
        <v>1704</v>
      </c>
      <c r="AB1154" t="s">
        <v>1704</v>
      </c>
      <c r="AC1154" s="1" t="s">
        <v>1705</v>
      </c>
      <c r="AD1154" s="1" t="s">
        <v>1704</v>
      </c>
      <c r="AE1154" s="1" t="s">
        <v>1705</v>
      </c>
      <c r="AF1154" s="1" t="s">
        <v>1704</v>
      </c>
    </row>
    <row r="1155" spans="1:32" ht="15" x14ac:dyDescent="0.35">
      <c r="A1155" s="7" t="s">
        <v>751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>LEFT($A1155,FIND("_",$A1155)-1)</f>
        <v>AVATAR</v>
      </c>
      <c r="P1155" s="13" t="str">
        <f>IF($O1155="ACS", "True Search", IF($O1155="Arja", "Evolutionary Search", IF($O1155="AVATAR", "True Pattern", IF($O1155="CapGen", "Search Like Pattern", IF($O1155="Cardumen", "True Semantic", IF($O1155="DynaMoth", "True Semantic", IF($O1155="FixMiner", "True Pattern", IF($O1155="GenProg-A", "Evolutionary Search", IF($O1155="Hercules", "Learning Pattern", IF($O1155="Jaid", "True Semantic",
IF($O1155="Kali-A", "True Search", IF($O1155="kPAR", "True Pattern", IF($O1155="Nopol", "True Semantic", IF($O1155="RSRepair-A", "Evolutionary Search", IF($O1155="SequenceR", "Deep Learning", IF($O1155="SimFix", "Search Like Pattern", IF($O1155="SketchFix", "True Pattern", IF($O1155="SOFix", "True Pattern", IF($O1155="ssFix", "Search Like Pattern", IF($O1155="TBar", "True Pattern", ""))))))))))))))))))))</f>
        <v>True Pattern</v>
      </c>
      <c r="Q1155" s="13" t="str">
        <f>IF(NOT(ISERR(SEARCH("*_Buggy",$A1155))), "Buggy", IF(NOT(ISERR(SEARCH("*_Fixed",$A1155))), "Fixed", IF(NOT(ISERR(SEARCH("*_Repaired",$A1155))), "Repaired", "")))</f>
        <v>Repaired</v>
      </c>
      <c r="R1155" s="13" t="s">
        <v>1669</v>
      </c>
      <c r="S1155" s="25">
        <v>1</v>
      </c>
      <c r="T1155" s="25">
        <v>1</v>
      </c>
      <c r="U1155" s="25">
        <v>1</v>
      </c>
      <c r="V1155" s="13">
        <v>1</v>
      </c>
      <c r="W1155" s="13" t="str">
        <f>MID(A1155, SEARCH("_", A1155) +1, SEARCH("_", A1155, SEARCH("_", A1155) +1) - SEARCH("_", A1155) -1)</f>
        <v>Closure-66</v>
      </c>
      <c r="Y1155" s="1" t="str">
        <f t="shared" si="54"/>
        <v>NO</v>
      </c>
      <c r="Z1155" s="1" t="str">
        <f t="shared" si="55"/>
        <v>NO</v>
      </c>
      <c r="AA1155" t="s">
        <v>1704</v>
      </c>
      <c r="AB1155" t="s">
        <v>1704</v>
      </c>
      <c r="AC1155" s="1" t="s">
        <v>1704</v>
      </c>
      <c r="AD1155" s="1" t="s">
        <v>1704</v>
      </c>
      <c r="AE1155" s="1" t="s">
        <v>1704</v>
      </c>
      <c r="AF1155" s="1" t="s">
        <v>1704</v>
      </c>
    </row>
    <row r="1156" spans="1:32" ht="15" x14ac:dyDescent="0.35">
      <c r="A1156" s="5" t="s">
        <v>313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>LEFT($A1156,FIND("_",$A1156)-1)</f>
        <v>AVATAR</v>
      </c>
      <c r="P1156" s="13" t="str">
        <f>IF($O1156="ACS", "True Search", IF($O1156="Arja", "Evolutionary Search", IF($O1156="AVATAR", "True Pattern", IF($O1156="CapGen", "Search Like Pattern", IF($O1156="Cardumen", "True Semantic", IF($O1156="DynaMoth", "True Semantic", IF($O1156="FixMiner", "True Pattern", IF($O1156="GenProg-A", "Evolutionary Search", IF($O1156="Hercules", "Learning Pattern", IF($O1156="Jaid", "True Semantic",
IF($O1156="Kali-A", "True Search", IF($O1156="kPAR", "True Pattern", IF($O1156="Nopol", "True Semantic", IF($O1156="RSRepair-A", "Evolutionary Search", IF($O1156="SequenceR", "Deep Learning", IF($O1156="SimFix", "Search Like Pattern", IF($O1156="SketchFix", "True Pattern", IF($O1156="SOFix", "True Pattern", IF($O1156="ssFix", "Search Like Pattern", IF($O1156="TBar", "True Pattern", ""))))))))))))))))))))</f>
        <v>True Pattern</v>
      </c>
      <c r="Q1156" s="13" t="str">
        <f>IF(NOT(ISERR(SEARCH("*_Buggy",$A1156))), "Buggy", IF(NOT(ISERR(SEARCH("*_Fixed",$A1156))), "Fixed", IF(NOT(ISERR(SEARCH("*_Repaired",$A1156))), "Repaired", "")))</f>
        <v>Repaired</v>
      </c>
      <c r="R1156" s="13" t="s">
        <v>1668</v>
      </c>
      <c r="S1156" s="25">
        <v>1</v>
      </c>
      <c r="T1156" s="25">
        <v>1</v>
      </c>
      <c r="U1156" s="25">
        <v>1</v>
      </c>
      <c r="V1156" s="13">
        <v>1</v>
      </c>
      <c r="W1156" s="13" t="str">
        <f>MID(A1156, SEARCH("_", A1156) +1, SEARCH("_", A1156, SEARCH("_", A1156) +1) - SEARCH("_", A1156) -1)</f>
        <v>Closure-73</v>
      </c>
      <c r="Y1156" s="1" t="str">
        <f t="shared" si="54"/>
        <v>NO</v>
      </c>
      <c r="Z1156" s="1" t="str">
        <f t="shared" si="55"/>
        <v>NO</v>
      </c>
      <c r="AA1156" t="s">
        <v>1704</v>
      </c>
      <c r="AB1156" t="s">
        <v>1704</v>
      </c>
      <c r="AC1156" s="1" t="s">
        <v>1705</v>
      </c>
      <c r="AD1156" s="1" t="s">
        <v>1704</v>
      </c>
      <c r="AE1156" s="1" t="s">
        <v>1705</v>
      </c>
      <c r="AF1156" s="1" t="s">
        <v>1704</v>
      </c>
    </row>
    <row r="1157" spans="1:32" ht="15" x14ac:dyDescent="0.35">
      <c r="A1157" s="5" t="s">
        <v>1009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>LEFT($A1157,FIND("_",$A1157)-1)</f>
        <v>AVATAR</v>
      </c>
      <c r="P1157" s="13" t="str">
        <f>IF($O1157="ACS", "True Search", IF($O1157="Arja", "Evolutionary Search", IF($O1157="AVATAR", "True Pattern", IF($O1157="CapGen", "Search Like Pattern", IF($O1157="Cardumen", "True Semantic", IF($O1157="DynaMoth", "True Semantic", IF($O1157="FixMiner", "True Pattern", IF($O1157="GenProg-A", "Evolutionary Search", IF($O1157="Hercules", "Learning Pattern", IF($O1157="Jaid", "True Semantic",
IF($O1157="Kali-A", "True Search", IF($O1157="kPAR", "True Pattern", IF($O1157="Nopol", "True Semantic", IF($O1157="RSRepair-A", "Evolutionary Search", IF($O1157="SequenceR", "Deep Learning", IF($O1157="SimFix", "Search Like Pattern", IF($O1157="SketchFix", "True Pattern", IF($O1157="SOFix", "True Pattern", IF($O1157="ssFix", "Search Like Pattern", IF($O1157="TBar", "True Pattern", ""))))))))))))))))))))</f>
        <v>True Pattern</v>
      </c>
      <c r="Q1157" s="13" t="str">
        <f>IF(NOT(ISERR(SEARCH("*_Buggy",$A1157))), "Buggy", IF(NOT(ISERR(SEARCH("*_Fixed",$A1157))), "Fixed", IF(NOT(ISERR(SEARCH("*_Repaired",$A1157))), "Repaired", "")))</f>
        <v>Repaired</v>
      </c>
      <c r="R1157" s="13" t="s">
        <v>1668</v>
      </c>
      <c r="S1157" s="25">
        <v>1</v>
      </c>
      <c r="T1157" s="25">
        <v>1</v>
      </c>
      <c r="U1157" s="25">
        <v>7</v>
      </c>
      <c r="V1157" s="13">
        <v>7</v>
      </c>
      <c r="W1157" s="13" t="str">
        <f>MID(A1157, SEARCH("_", A1157) +1, SEARCH("_", A1157, SEARCH("_", A1157) +1) - SEARCH("_", A1157) -1)</f>
        <v>Lang-10</v>
      </c>
      <c r="Y1157" s="1" t="str">
        <f t="shared" si="54"/>
        <v>NO</v>
      </c>
      <c r="Z1157" s="1" t="str">
        <f t="shared" si="55"/>
        <v>NO</v>
      </c>
      <c r="AA1157" t="s">
        <v>1704</v>
      </c>
      <c r="AB1157" t="s">
        <v>1704</v>
      </c>
      <c r="AC1157" s="1" t="s">
        <v>1704</v>
      </c>
      <c r="AD1157" s="1" t="s">
        <v>1704</v>
      </c>
      <c r="AE1157" s="1" t="s">
        <v>1704</v>
      </c>
      <c r="AF1157" s="1" t="s">
        <v>1705</v>
      </c>
    </row>
    <row r="1158" spans="1:32" ht="15" x14ac:dyDescent="0.35">
      <c r="A1158" s="7" t="s">
        <v>1227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>LEFT($A1158,FIND("_",$A1158)-1)</f>
        <v>AVATAR</v>
      </c>
      <c r="P1158" s="13" t="str">
        <f>IF($O1158="ACS", "True Search", IF($O1158="Arja", "Evolutionary Search", IF($O1158="AVATAR", "True Pattern", IF($O1158="CapGen", "Search Like Pattern", IF($O1158="Cardumen", "True Semantic", IF($O1158="DynaMoth", "True Semantic", IF($O1158="FixMiner", "True Pattern", IF($O1158="GenProg-A", "Evolutionary Search", IF($O1158="Hercules", "Learning Pattern", IF($O1158="Jaid", "True Semantic",
IF($O1158="Kali-A", "True Search", IF($O1158="kPAR", "True Pattern", IF($O1158="Nopol", "True Semantic", IF($O1158="RSRepair-A", "Evolutionary Search", IF($O1158="SequenceR", "Deep Learning", IF($O1158="SimFix", "Search Like Pattern", IF($O1158="SketchFix", "True Pattern", IF($O1158="SOFix", "True Pattern", IF($O1158="ssFix", "Search Like Pattern", IF($O1158="TBar", "True Pattern", ""))))))))))))))))))))</f>
        <v>True Pattern</v>
      </c>
      <c r="Q1158" s="13" t="str">
        <f>IF(NOT(ISERR(SEARCH("*_Buggy",$A1158))), "Buggy", IF(NOT(ISERR(SEARCH("*_Fixed",$A1158))), "Fixed", IF(NOT(ISERR(SEARCH("*_Repaired",$A1158))), "Repaired", "")))</f>
        <v>Repaired</v>
      </c>
      <c r="R1158" s="13" t="s">
        <v>1669</v>
      </c>
      <c r="S1158" s="25">
        <v>1</v>
      </c>
      <c r="T1158" s="25">
        <v>1</v>
      </c>
      <c r="U1158" s="25">
        <v>17</v>
      </c>
      <c r="V1158" s="13">
        <v>17</v>
      </c>
      <c r="W1158" s="13" t="str">
        <f>MID(A1158, SEARCH("_", A1158) +1, SEARCH("_", A1158, SEARCH("_", A1158) +1) - SEARCH("_", A1158) -1)</f>
        <v>Lang-13</v>
      </c>
      <c r="Y1158" s="1" t="str">
        <f t="shared" si="54"/>
        <v>NO</v>
      </c>
      <c r="Z1158" s="1" t="str">
        <f t="shared" si="55"/>
        <v>NO</v>
      </c>
      <c r="AA1158" t="s">
        <v>1704</v>
      </c>
      <c r="AB1158" t="s">
        <v>1704</v>
      </c>
      <c r="AC1158" s="1" t="s">
        <v>1704</v>
      </c>
      <c r="AD1158" s="1" t="s">
        <v>1704</v>
      </c>
      <c r="AE1158" s="1" t="s">
        <v>1704</v>
      </c>
      <c r="AF1158" s="1" t="s">
        <v>1705</v>
      </c>
    </row>
    <row r="1159" spans="1:32" ht="15" x14ac:dyDescent="0.35">
      <c r="A1159" s="5" t="s">
        <v>1112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>LEFT($A1159,FIND("_",$A1159)-1)</f>
        <v>AVATAR</v>
      </c>
      <c r="P1159" s="13" t="str">
        <f>IF($O1159="ACS", "True Search", IF($O1159="Arja", "Evolutionary Search", IF($O1159="AVATAR", "True Pattern", IF($O1159="CapGen", "Search Like Pattern", IF($O1159="Cardumen", "True Semantic", IF($O1159="DynaMoth", "True Semantic", IF($O1159="FixMiner", "True Pattern", IF($O1159="GenProg-A", "Evolutionary Search", IF($O1159="Hercules", "Learning Pattern", IF($O1159="Jaid", "True Semantic",
IF($O1159="Kali-A", "True Search", IF($O1159="kPAR", "True Pattern", IF($O1159="Nopol", "True Semantic", IF($O1159="RSRepair-A", "Evolutionary Search", IF($O1159="SequenceR", "Deep Learning", IF($O1159="SimFix", "Search Like Pattern", IF($O1159="SketchFix", "True Pattern", IF($O1159="SOFix", "True Pattern", IF($O1159="ssFix", "Search Like Pattern", IF($O1159="TBar", "True Pattern", ""))))))))))))))))))))</f>
        <v>True Pattern</v>
      </c>
      <c r="Q1159" s="13" t="str">
        <f>IF(NOT(ISERR(SEARCH("*_Buggy",$A1159))), "Buggy", IF(NOT(ISERR(SEARCH("*_Fixed",$A1159))), "Fixed", IF(NOT(ISERR(SEARCH("*_Repaired",$A1159))), "Repaired", "")))</f>
        <v>Repaired</v>
      </c>
      <c r="R1159" s="13" t="s">
        <v>1669</v>
      </c>
      <c r="S1159" s="25">
        <v>1</v>
      </c>
      <c r="T1159" s="25">
        <v>1</v>
      </c>
      <c r="U1159" s="25">
        <v>1</v>
      </c>
      <c r="V1159" s="13">
        <v>1</v>
      </c>
      <c r="W1159" s="13" t="str">
        <f>MID(A1159, SEARCH("_", A1159) +1, SEARCH("_", A1159, SEARCH("_", A1159) +1) - SEARCH("_", A1159) -1)</f>
        <v>Lang-20</v>
      </c>
      <c r="Y1159" s="1" t="str">
        <f t="shared" si="54"/>
        <v>NO</v>
      </c>
      <c r="Z1159" s="1" t="str">
        <f t="shared" si="55"/>
        <v>NO</v>
      </c>
      <c r="AA1159" t="s">
        <v>1704</v>
      </c>
      <c r="AB1159" t="s">
        <v>1704</v>
      </c>
      <c r="AC1159" s="1" t="s">
        <v>1704</v>
      </c>
      <c r="AD1159" s="1" t="s">
        <v>1704</v>
      </c>
      <c r="AE1159" s="1" t="s">
        <v>1704</v>
      </c>
      <c r="AF1159" s="1" t="s">
        <v>1704</v>
      </c>
    </row>
    <row r="1160" spans="1:32" ht="15" x14ac:dyDescent="0.35">
      <c r="A1160" s="5" t="s">
        <v>331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>LEFT($A1160,FIND("_",$A1160)-1)</f>
        <v>AVATAR</v>
      </c>
      <c r="P1160" s="13" t="str">
        <f>IF($O1160="ACS", "True Search", IF($O1160="Arja", "Evolutionary Search", IF($O1160="AVATAR", "True Pattern", IF($O1160="CapGen", "Search Like Pattern", IF($O1160="Cardumen", "True Semantic", IF($O1160="DynaMoth", "True Semantic", IF($O1160="FixMiner", "True Pattern", IF($O1160="GenProg-A", "Evolutionary Search", IF($O1160="Hercules", "Learning Pattern", IF($O1160="Jaid", "True Semantic",
IF($O1160="Kali-A", "True Search", IF($O1160="kPAR", "True Pattern", IF($O1160="Nopol", "True Semantic", IF($O1160="RSRepair-A", "Evolutionary Search", IF($O1160="SequenceR", "Deep Learning", IF($O1160="SimFix", "Search Like Pattern", IF($O1160="SketchFix", "True Pattern", IF($O1160="SOFix", "True Pattern", IF($O1160="ssFix", "Search Like Pattern", IF($O1160="TBar", "True Pattern", ""))))))))))))))))))))</f>
        <v>True Pattern</v>
      </c>
      <c r="Q1160" s="13" t="str">
        <f>IF(NOT(ISERR(SEARCH("*_Buggy",$A1160))), "Buggy", IF(NOT(ISERR(SEARCH("*_Fixed",$A1160))), "Fixed", IF(NOT(ISERR(SEARCH("*_Repaired",$A1160))), "Repaired", "")))</f>
        <v>Repaired</v>
      </c>
      <c r="R1160" s="13" t="s">
        <v>1669</v>
      </c>
      <c r="S1160" s="25">
        <v>1</v>
      </c>
      <c r="T1160" s="25">
        <v>1</v>
      </c>
      <c r="U1160" s="25">
        <v>1</v>
      </c>
      <c r="V1160" s="13">
        <v>1</v>
      </c>
      <c r="W1160" s="13" t="str">
        <f>MID(A1160, SEARCH("_", A1160) +1, SEARCH("_", A1160, SEARCH("_", A1160) +1) - SEARCH("_", A1160) -1)</f>
        <v>Lang-22</v>
      </c>
      <c r="Y1160" s="1" t="str">
        <f t="shared" si="54"/>
        <v>NO</v>
      </c>
      <c r="Z1160" s="1" t="str">
        <f t="shared" si="55"/>
        <v>NO</v>
      </c>
      <c r="AA1160" t="s">
        <v>1704</v>
      </c>
      <c r="AB1160" t="s">
        <v>1704</v>
      </c>
      <c r="AC1160" s="1" t="s">
        <v>1704</v>
      </c>
      <c r="AD1160" s="1" t="s">
        <v>1704</v>
      </c>
      <c r="AE1160" s="1" t="s">
        <v>1704</v>
      </c>
      <c r="AF1160" s="1" t="s">
        <v>1704</v>
      </c>
    </row>
    <row r="1161" spans="1:32" ht="15" x14ac:dyDescent="0.35">
      <c r="A1161" s="7" t="s">
        <v>469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>LEFT($A1161,FIND("_",$A1161)-1)</f>
        <v>AVATAR</v>
      </c>
      <c r="P1161" s="13" t="str">
        <f>IF($O1161="ACS", "True Search", IF($O1161="Arja", "Evolutionary Search", IF($O1161="AVATAR", "True Pattern", IF($O1161="CapGen", "Search Like Pattern", IF($O1161="Cardumen", "True Semantic", IF($O1161="DynaMoth", "True Semantic", IF($O1161="FixMiner", "True Pattern", IF($O1161="GenProg-A", "Evolutionary Search", IF($O1161="Hercules", "Learning Pattern", IF($O1161="Jaid", "True Semantic",
IF($O1161="Kali-A", "True Search", IF($O1161="kPAR", "True Pattern", IF($O1161="Nopol", "True Semantic", IF($O1161="RSRepair-A", "Evolutionary Search", IF($O1161="SequenceR", "Deep Learning", IF($O1161="SimFix", "Search Like Pattern", IF($O1161="SketchFix", "True Pattern", IF($O1161="SOFix", "True Pattern", IF($O1161="ssFix", "Search Like Pattern", IF($O1161="TBar", "True Pattern", ""))))))))))))))))))))</f>
        <v>True Pattern</v>
      </c>
      <c r="Q1161" s="13" t="str">
        <f>IF(NOT(ISERR(SEARCH("*_Buggy",$A1161))), "Buggy", IF(NOT(ISERR(SEARCH("*_Fixed",$A1161))), "Fixed", IF(NOT(ISERR(SEARCH("*_Repaired",$A1161))), "Repaired", "")))</f>
        <v>Repaired</v>
      </c>
      <c r="R1161" s="13" t="s">
        <v>1669</v>
      </c>
      <c r="S1161" s="25">
        <v>1</v>
      </c>
      <c r="T1161" s="25">
        <v>1</v>
      </c>
      <c r="U1161" s="25">
        <v>1</v>
      </c>
      <c r="V1161" s="13">
        <v>1</v>
      </c>
      <c r="W1161" s="13" t="str">
        <f>MID(A1161, SEARCH("_", A1161) +1, SEARCH("_", A1161, SEARCH("_", A1161) +1) - SEARCH("_", A1161) -1)</f>
        <v>Lang-27</v>
      </c>
      <c r="Y1161" s="1" t="str">
        <f t="shared" si="54"/>
        <v>NO</v>
      </c>
      <c r="Z1161" s="1" t="str">
        <f t="shared" si="55"/>
        <v>NO</v>
      </c>
      <c r="AA1161" t="s">
        <v>1704</v>
      </c>
      <c r="AB1161" t="s">
        <v>1704</v>
      </c>
      <c r="AC1161" s="1" t="s">
        <v>1704</v>
      </c>
      <c r="AD1161" s="1" t="s">
        <v>1704</v>
      </c>
      <c r="AE1161" s="1" t="s">
        <v>1704</v>
      </c>
      <c r="AF1161" s="1" t="s">
        <v>1704</v>
      </c>
    </row>
    <row r="1162" spans="1:32" ht="15" x14ac:dyDescent="0.35">
      <c r="A1162" s="5" t="s">
        <v>204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>LEFT($A1162,FIND("_",$A1162)-1)</f>
        <v>AVATAR</v>
      </c>
      <c r="P1162" s="13" t="str">
        <f>IF($O1162="ACS", "True Search", IF($O1162="Arja", "Evolutionary Search", IF($O1162="AVATAR", "True Pattern", IF($O1162="CapGen", "Search Like Pattern", IF($O1162="Cardumen", "True Semantic", IF($O1162="DynaMoth", "True Semantic", IF($O1162="FixMiner", "True Pattern", IF($O1162="GenProg-A", "Evolutionary Search", IF($O1162="Hercules", "Learning Pattern", IF($O1162="Jaid", "True Semantic",
IF($O1162="Kali-A", "True Search", IF($O1162="kPAR", "True Pattern", IF($O1162="Nopol", "True Semantic", IF($O1162="RSRepair-A", "Evolutionary Search", IF($O1162="SequenceR", "Deep Learning", IF($O1162="SimFix", "Search Like Pattern", IF($O1162="SketchFix", "True Pattern", IF($O1162="SOFix", "True Pattern", IF($O1162="ssFix", "Search Like Pattern", IF($O1162="TBar", "True Pattern", ""))))))))))))))))))))</f>
        <v>True Pattern</v>
      </c>
      <c r="Q1162" s="13" t="str">
        <f>IF(NOT(ISERR(SEARCH("*_Buggy",$A1162))), "Buggy", IF(NOT(ISERR(SEARCH("*_Fixed",$A1162))), "Fixed", IF(NOT(ISERR(SEARCH("*_Repaired",$A1162))), "Repaired", "")))</f>
        <v>Repaired</v>
      </c>
      <c r="R1162" s="13" t="s">
        <v>1669</v>
      </c>
      <c r="S1162" s="25">
        <v>1</v>
      </c>
      <c r="T1162" s="25">
        <v>1</v>
      </c>
      <c r="U1162" s="25">
        <v>1</v>
      </c>
      <c r="V1162" s="13">
        <v>1</v>
      </c>
      <c r="W1162" s="13" t="str">
        <f>MID(A1162, SEARCH("_", A1162) +1, SEARCH("_", A1162, SEARCH("_", A1162) +1) - SEARCH("_", A1162) -1)</f>
        <v>Lang-39</v>
      </c>
      <c r="Y1162" s="1" t="str">
        <f t="shared" si="54"/>
        <v>NO</v>
      </c>
      <c r="Z1162" s="1" t="str">
        <f t="shared" si="55"/>
        <v>NO</v>
      </c>
      <c r="AA1162" t="s">
        <v>1704</v>
      </c>
      <c r="AB1162" t="s">
        <v>1704</v>
      </c>
      <c r="AC1162" s="1" t="s">
        <v>1704</v>
      </c>
      <c r="AD1162" s="1" t="s">
        <v>1704</v>
      </c>
      <c r="AE1162" s="1" t="s">
        <v>1704</v>
      </c>
      <c r="AF1162" s="1" t="s">
        <v>1704</v>
      </c>
    </row>
    <row r="1163" spans="1:32" ht="15" x14ac:dyDescent="0.35">
      <c r="A1163" s="7" t="s">
        <v>1002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>LEFT($A1163,FIND("_",$A1163)-1)</f>
        <v>AVATAR</v>
      </c>
      <c r="P1163" s="13" t="str">
        <f>IF($O1163="ACS", "True Search", IF($O1163="Arja", "Evolutionary Search", IF($O1163="AVATAR", "True Pattern", IF($O1163="CapGen", "Search Like Pattern", IF($O1163="Cardumen", "True Semantic", IF($O1163="DynaMoth", "True Semantic", IF($O1163="FixMiner", "True Pattern", IF($O1163="GenProg-A", "Evolutionary Search", IF($O1163="Hercules", "Learning Pattern", IF($O1163="Jaid", "True Semantic",
IF($O1163="Kali-A", "True Search", IF($O1163="kPAR", "True Pattern", IF($O1163="Nopol", "True Semantic", IF($O1163="RSRepair-A", "Evolutionary Search", IF($O1163="SequenceR", "Deep Learning", IF($O1163="SimFix", "Search Like Pattern", IF($O1163="SketchFix", "True Pattern", IF($O1163="SOFix", "True Pattern", IF($O1163="ssFix", "Search Like Pattern", IF($O1163="TBar", "True Pattern", ""))))))))))))))))))))</f>
        <v>True Pattern</v>
      </c>
      <c r="Q1163" s="13" t="str">
        <f>IF(NOT(ISERR(SEARCH("*_Buggy",$A1163))), "Buggy", IF(NOT(ISERR(SEARCH("*_Fixed",$A1163))), "Fixed", IF(NOT(ISERR(SEARCH("*_Repaired",$A1163))), "Repaired", "")))</f>
        <v>Repaired</v>
      </c>
      <c r="R1163" s="13" t="s">
        <v>1669</v>
      </c>
      <c r="S1163" s="25">
        <v>2</v>
      </c>
      <c r="T1163" s="25">
        <v>1</v>
      </c>
      <c r="U1163" s="25">
        <v>3</v>
      </c>
      <c r="V1163" s="13">
        <v>3</v>
      </c>
      <c r="W1163" s="13" t="str">
        <f>MID(A1163, SEARCH("_", A1163) +1, SEARCH("_", A1163, SEARCH("_", A1163) +1) - SEARCH("_", A1163) -1)</f>
        <v>Lang-51</v>
      </c>
      <c r="Y1163" s="1" t="str">
        <f t="shared" si="54"/>
        <v>NO</v>
      </c>
      <c r="Z1163" s="1" t="str">
        <f t="shared" si="55"/>
        <v>YES</v>
      </c>
      <c r="AA1163" t="s">
        <v>1704</v>
      </c>
      <c r="AB1163" t="s">
        <v>1704</v>
      </c>
      <c r="AC1163" s="1" t="s">
        <v>1704</v>
      </c>
      <c r="AD1163" s="1" t="s">
        <v>1704</v>
      </c>
      <c r="AE1163" s="1" t="s">
        <v>1704</v>
      </c>
      <c r="AF1163" s="1" t="s">
        <v>1704</v>
      </c>
    </row>
    <row r="1164" spans="1:32" ht="15" x14ac:dyDescent="0.35">
      <c r="A1164" s="5" t="s">
        <v>238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>LEFT($A1164,FIND("_",$A1164)-1)</f>
        <v>AVATAR</v>
      </c>
      <c r="P1164" s="13" t="str">
        <f>IF($O1164="ACS", "True Search", IF($O1164="Arja", "Evolutionary Search", IF($O1164="AVATAR", "True Pattern", IF($O1164="CapGen", "Search Like Pattern", IF($O1164="Cardumen", "True Semantic", IF($O1164="DynaMoth", "True Semantic", IF($O1164="FixMiner", "True Pattern", IF($O1164="GenProg-A", "Evolutionary Search", IF($O1164="Hercules", "Learning Pattern", IF($O1164="Jaid", "True Semantic",
IF($O1164="Kali-A", "True Search", IF($O1164="kPAR", "True Pattern", IF($O1164="Nopol", "True Semantic", IF($O1164="RSRepair-A", "Evolutionary Search", IF($O1164="SequenceR", "Deep Learning", IF($O1164="SimFix", "Search Like Pattern", IF($O1164="SketchFix", "True Pattern", IF($O1164="SOFix", "True Pattern", IF($O1164="ssFix", "Search Like Pattern", IF($O1164="TBar", "True Pattern", ""))))))))))))))))))))</f>
        <v>True Pattern</v>
      </c>
      <c r="Q1164" s="13" t="str">
        <f>IF(NOT(ISERR(SEARCH("*_Buggy",$A1164))), "Buggy", IF(NOT(ISERR(SEARCH("*_Fixed",$A1164))), "Fixed", IF(NOT(ISERR(SEARCH("*_Repaired",$A1164))), "Repaired", "")))</f>
        <v>Repaired</v>
      </c>
      <c r="R1164" s="13" t="s">
        <v>1668</v>
      </c>
      <c r="S1164" s="25">
        <v>1</v>
      </c>
      <c r="T1164" s="25">
        <v>1</v>
      </c>
      <c r="U1164" s="25">
        <v>1</v>
      </c>
      <c r="V1164" s="13">
        <v>1</v>
      </c>
      <c r="W1164" s="13" t="str">
        <f>MID(A1164, SEARCH("_", A1164) +1, SEARCH("_", A1164, SEARCH("_", A1164) +1) - SEARCH("_", A1164) -1)</f>
        <v>Lang-57</v>
      </c>
      <c r="Y1164" s="1" t="str">
        <f t="shared" si="54"/>
        <v>NO</v>
      </c>
      <c r="Z1164" s="1" t="str">
        <f t="shared" si="55"/>
        <v>NO</v>
      </c>
      <c r="AA1164" t="s">
        <v>1704</v>
      </c>
      <c r="AB1164" t="s">
        <v>1704</v>
      </c>
      <c r="AC1164" s="1" t="s">
        <v>1705</v>
      </c>
      <c r="AD1164" s="1" t="s">
        <v>1704</v>
      </c>
      <c r="AE1164" s="1" t="s">
        <v>1705</v>
      </c>
      <c r="AF1164" s="1" t="s">
        <v>1704</v>
      </c>
    </row>
    <row r="1165" spans="1:32" ht="15" x14ac:dyDescent="0.35">
      <c r="A1165" s="7" t="s">
        <v>1238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>LEFT($A1165,FIND("_",$A1165)-1)</f>
        <v>AVATAR</v>
      </c>
      <c r="P1165" s="13" t="str">
        <f>IF($O1165="ACS", "True Search", IF($O1165="Arja", "Evolutionary Search", IF($O1165="AVATAR", "True Pattern", IF($O1165="CapGen", "Search Like Pattern", IF($O1165="Cardumen", "True Semantic", IF($O1165="DynaMoth", "True Semantic", IF($O1165="FixMiner", "True Pattern", IF($O1165="GenProg-A", "Evolutionary Search", IF($O1165="Hercules", "Learning Pattern", IF($O1165="Jaid", "True Semantic",
IF($O1165="Kali-A", "True Search", IF($O1165="kPAR", "True Pattern", IF($O1165="Nopol", "True Semantic", IF($O1165="RSRepair-A", "Evolutionary Search", IF($O1165="SequenceR", "Deep Learning", IF($O1165="SimFix", "Search Like Pattern", IF($O1165="SketchFix", "True Pattern", IF($O1165="SOFix", "True Pattern", IF($O1165="ssFix", "Search Like Pattern", IF($O1165="TBar", "True Pattern", ""))))))))))))))))))))</f>
        <v>True Pattern</v>
      </c>
      <c r="Q1165" s="13" t="str">
        <f>IF(NOT(ISERR(SEARCH("*_Buggy",$A1165))), "Buggy", IF(NOT(ISERR(SEARCH("*_Fixed",$A1165))), "Fixed", IF(NOT(ISERR(SEARCH("*_Repaired",$A1165))), "Repaired", "")))</f>
        <v>Repaired</v>
      </c>
      <c r="R1165" s="13" t="s">
        <v>1669</v>
      </c>
      <c r="S1165" s="25">
        <v>1</v>
      </c>
      <c r="T1165" s="25">
        <v>0</v>
      </c>
      <c r="U1165" s="13">
        <v>1</v>
      </c>
      <c r="V1165" s="13">
        <v>1</v>
      </c>
      <c r="W1165" s="13" t="str">
        <f>MID(A1165, SEARCH("_", A1165) +1, SEARCH("_", A1165, SEARCH("_", A1165) +1) - SEARCH("_", A1165) -1)</f>
        <v>Lang-58</v>
      </c>
      <c r="Y1165" s="1" t="str">
        <f t="shared" si="54"/>
        <v>NO</v>
      </c>
      <c r="Z1165" s="1" t="str">
        <f t="shared" si="55"/>
        <v>NO</v>
      </c>
      <c r="AA1165" t="s">
        <v>1704</v>
      </c>
      <c r="AB1165" t="s">
        <v>1704</v>
      </c>
      <c r="AC1165" s="1" t="s">
        <v>1704</v>
      </c>
      <c r="AD1165" s="1" t="s">
        <v>1704</v>
      </c>
      <c r="AE1165" s="1" t="s">
        <v>1704</v>
      </c>
      <c r="AF1165" s="1" t="s">
        <v>1704</v>
      </c>
    </row>
    <row r="1166" spans="1:32" ht="15" x14ac:dyDescent="0.35">
      <c r="A1166" s="5" t="s">
        <v>814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>LEFT($A1166,FIND("_",$A1166)-1)</f>
        <v>AVATAR</v>
      </c>
      <c r="P1166" s="13" t="str">
        <f>IF($O1166="ACS", "True Search", IF($O1166="Arja", "Evolutionary Search", IF($O1166="AVATAR", "True Pattern", IF($O1166="CapGen", "Search Like Pattern", IF($O1166="Cardumen", "True Semantic", IF($O1166="DynaMoth", "True Semantic", IF($O1166="FixMiner", "True Pattern", IF($O1166="GenProg-A", "Evolutionary Search", IF($O1166="Hercules", "Learning Pattern", IF($O1166="Jaid", "True Semantic",
IF($O1166="Kali-A", "True Search", IF($O1166="kPAR", "True Pattern", IF($O1166="Nopol", "True Semantic", IF($O1166="RSRepair-A", "Evolutionary Search", IF($O1166="SequenceR", "Deep Learning", IF($O1166="SimFix", "Search Like Pattern", IF($O1166="SketchFix", "True Pattern", IF($O1166="SOFix", "True Pattern", IF($O1166="ssFix", "Search Like Pattern", IF($O1166="TBar", "True Pattern", ""))))))))))))))))))))</f>
        <v>True Pattern</v>
      </c>
      <c r="Q1166" s="13" t="str">
        <f>IF(NOT(ISERR(SEARCH("*_Buggy",$A1166))), "Buggy", IF(NOT(ISERR(SEARCH("*_Fixed",$A1166))), "Fixed", IF(NOT(ISERR(SEARCH("*_Repaired",$A1166))), "Repaired", "")))</f>
        <v>Repaired</v>
      </c>
      <c r="R1166" s="13" t="s">
        <v>1668</v>
      </c>
      <c r="S1166" s="25">
        <v>1</v>
      </c>
      <c r="T1166" s="25">
        <v>1</v>
      </c>
      <c r="U1166" s="25">
        <v>1</v>
      </c>
      <c r="V1166" s="13">
        <v>1</v>
      </c>
      <c r="W1166" s="13" t="str">
        <f>MID(A1166, SEARCH("_", A1166) +1, SEARCH("_", A1166, SEARCH("_", A1166) +1) - SEARCH("_", A1166) -1)</f>
        <v>Lang-59</v>
      </c>
      <c r="Y1166" s="1" t="str">
        <f t="shared" si="54"/>
        <v>NO</v>
      </c>
      <c r="Z1166" s="1" t="str">
        <f t="shared" si="55"/>
        <v>NO</v>
      </c>
      <c r="AA1166" t="s">
        <v>1704</v>
      </c>
      <c r="AB1166" t="s">
        <v>1704</v>
      </c>
      <c r="AC1166" s="1" t="s">
        <v>1705</v>
      </c>
      <c r="AD1166" s="1" t="s">
        <v>1704</v>
      </c>
      <c r="AE1166" s="1" t="s">
        <v>1705</v>
      </c>
      <c r="AF1166" s="1" t="s">
        <v>1704</v>
      </c>
    </row>
    <row r="1167" spans="1:32" ht="15" x14ac:dyDescent="0.35">
      <c r="A1167" s="7" t="s">
        <v>720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>LEFT($A1167,FIND("_",$A1167)-1)</f>
        <v>AVATAR</v>
      </c>
      <c r="P1167" s="13" t="str">
        <f>IF($O1167="ACS", "True Search", IF($O1167="Arja", "Evolutionary Search", IF($O1167="AVATAR", "True Pattern", IF($O1167="CapGen", "Search Like Pattern", IF($O1167="Cardumen", "True Semantic", IF($O1167="DynaMoth", "True Semantic", IF($O1167="FixMiner", "True Pattern", IF($O1167="GenProg-A", "Evolutionary Search", IF($O1167="Hercules", "Learning Pattern", IF($O1167="Jaid", "True Semantic",
IF($O1167="Kali-A", "True Search", IF($O1167="kPAR", "True Pattern", IF($O1167="Nopol", "True Semantic", IF($O1167="RSRepair-A", "Evolutionary Search", IF($O1167="SequenceR", "Deep Learning", IF($O1167="SimFix", "Search Like Pattern", IF($O1167="SketchFix", "True Pattern", IF($O1167="SOFix", "True Pattern", IF($O1167="ssFix", "Search Like Pattern", IF($O1167="TBar", "True Pattern", ""))))))))))))))))))))</f>
        <v>True Pattern</v>
      </c>
      <c r="Q1167" s="13" t="str">
        <f>IF(NOT(ISERR(SEARCH("*_Buggy",$A1167))), "Buggy", IF(NOT(ISERR(SEARCH("*_Fixed",$A1167))), "Fixed", IF(NOT(ISERR(SEARCH("*_Repaired",$A1167))), "Repaired", "")))</f>
        <v>Repaired</v>
      </c>
      <c r="R1167" s="13" t="s">
        <v>1668</v>
      </c>
      <c r="S1167" s="25">
        <v>1</v>
      </c>
      <c r="T1167" s="25">
        <v>1</v>
      </c>
      <c r="U1167" s="25">
        <v>1</v>
      </c>
      <c r="V1167" s="13">
        <v>1</v>
      </c>
      <c r="W1167" s="13" t="str">
        <f>MID(A1167, SEARCH("_", A1167) +1, SEARCH("_", A1167, SEARCH("_", A1167) +1) - SEARCH("_", A1167) -1)</f>
        <v>Lang-6</v>
      </c>
      <c r="Y1167" s="1" t="str">
        <f t="shared" si="54"/>
        <v>NO</v>
      </c>
      <c r="Z1167" s="1" t="str">
        <f t="shared" si="55"/>
        <v>NO</v>
      </c>
      <c r="AA1167" t="s">
        <v>1704</v>
      </c>
      <c r="AB1167" t="s">
        <v>1704</v>
      </c>
      <c r="AC1167" s="1" t="s">
        <v>1705</v>
      </c>
      <c r="AD1167" s="1" t="s">
        <v>1704</v>
      </c>
      <c r="AE1167" s="1" t="s">
        <v>1705</v>
      </c>
      <c r="AF1167" s="1" t="s">
        <v>1704</v>
      </c>
    </row>
    <row r="1168" spans="1:32" ht="15" x14ac:dyDescent="0.35">
      <c r="A1168" s="5" t="s">
        <v>857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>LEFT($A1168,FIND("_",$A1168)-1)</f>
        <v>AVATAR</v>
      </c>
      <c r="P1168" s="13" t="str">
        <f>IF($O1168="ACS", "True Search", IF($O1168="Arja", "Evolutionary Search", IF($O1168="AVATAR", "True Pattern", IF($O1168="CapGen", "Search Like Pattern", IF($O1168="Cardumen", "True Semantic", IF($O1168="DynaMoth", "True Semantic", IF($O1168="FixMiner", "True Pattern", IF($O1168="GenProg-A", "Evolutionary Search", IF($O1168="Hercules", "Learning Pattern", IF($O1168="Jaid", "True Semantic",
IF($O1168="Kali-A", "True Search", IF($O1168="kPAR", "True Pattern", IF($O1168="Nopol", "True Semantic", IF($O1168="RSRepair-A", "Evolutionary Search", IF($O1168="SequenceR", "Deep Learning", IF($O1168="SimFix", "Search Like Pattern", IF($O1168="SketchFix", "True Pattern", IF($O1168="SOFix", "True Pattern", IF($O1168="ssFix", "Search Like Pattern", IF($O1168="TBar", "True Pattern", ""))))))))))))))))))))</f>
        <v>True Pattern</v>
      </c>
      <c r="Q1168" s="13" t="str">
        <f>IF(NOT(ISERR(SEARCH("*_Buggy",$A1168))), "Buggy", IF(NOT(ISERR(SEARCH("*_Fixed",$A1168))), "Fixed", IF(NOT(ISERR(SEARCH("*_Repaired",$A1168))), "Repaired", "")))</f>
        <v>Repaired</v>
      </c>
      <c r="R1168" s="13" t="s">
        <v>1669</v>
      </c>
      <c r="S1168" s="25">
        <v>1</v>
      </c>
      <c r="T1168" s="25">
        <v>1</v>
      </c>
      <c r="U1168" s="25">
        <v>1</v>
      </c>
      <c r="V1168" s="13">
        <v>1</v>
      </c>
      <c r="W1168" s="13" t="str">
        <f>MID(A1168, SEARCH("_", A1168) +1, SEARCH("_", A1168, SEARCH("_", A1168) +1) - SEARCH("_", A1168) -1)</f>
        <v>Lang-63</v>
      </c>
      <c r="Y1168" s="1" t="str">
        <f t="shared" si="54"/>
        <v>NO</v>
      </c>
      <c r="Z1168" s="1" t="str">
        <f t="shared" si="55"/>
        <v>NO</v>
      </c>
      <c r="AA1168" t="s">
        <v>1704</v>
      </c>
      <c r="AB1168" t="s">
        <v>1704</v>
      </c>
      <c r="AC1168" s="1" t="s">
        <v>1704</v>
      </c>
      <c r="AD1168" s="1" t="s">
        <v>1704</v>
      </c>
      <c r="AE1168" s="1" t="s">
        <v>1704</v>
      </c>
      <c r="AF1168" s="1" t="s">
        <v>1704</v>
      </c>
    </row>
    <row r="1169" spans="1:32" ht="15" x14ac:dyDescent="0.35">
      <c r="A1169" s="5" t="s">
        <v>669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>LEFT($A1169,FIND("_",$A1169)-1)</f>
        <v>AVATAR</v>
      </c>
      <c r="P1169" s="13" t="str">
        <f>IF($O1169="ACS", "True Search", IF($O1169="Arja", "Evolutionary Search", IF($O1169="AVATAR", "True Pattern", IF($O1169="CapGen", "Search Like Pattern", IF($O1169="Cardumen", "True Semantic", IF($O1169="DynaMoth", "True Semantic", IF($O1169="FixMiner", "True Pattern", IF($O1169="GenProg-A", "Evolutionary Search", IF($O1169="Hercules", "Learning Pattern", IF($O1169="Jaid", "True Semantic",
IF($O1169="Kali-A", "True Search", IF($O1169="kPAR", "True Pattern", IF($O1169="Nopol", "True Semantic", IF($O1169="RSRepair-A", "Evolutionary Search", IF($O1169="SequenceR", "Deep Learning", IF($O1169="SimFix", "Search Like Pattern", IF($O1169="SketchFix", "True Pattern", IF($O1169="SOFix", "True Pattern", IF($O1169="ssFix", "Search Like Pattern", IF($O1169="TBar", "True Pattern", ""))))))))))))))))))))</f>
        <v>True Pattern</v>
      </c>
      <c r="Q1169" s="13" t="str">
        <f>IF(NOT(ISERR(SEARCH("*_Buggy",$A1169))), "Buggy", IF(NOT(ISERR(SEARCH("*_Fixed",$A1169))), "Fixed", IF(NOT(ISERR(SEARCH("*_Repaired",$A1169))), "Repaired", "")))</f>
        <v>Repaired</v>
      </c>
      <c r="R1169" s="13" t="s">
        <v>1668</v>
      </c>
      <c r="S1169" s="25">
        <v>1</v>
      </c>
      <c r="T1169" s="25">
        <v>1</v>
      </c>
      <c r="U1169" s="25">
        <v>3</v>
      </c>
      <c r="V1169" s="13">
        <v>3</v>
      </c>
      <c r="W1169" s="13" t="str">
        <f>MID(A1169, SEARCH("_", A1169) +1, SEARCH("_", A1169, SEARCH("_", A1169) +1) - SEARCH("_", A1169) -1)</f>
        <v>Lang-7</v>
      </c>
      <c r="Y1169" s="1" t="str">
        <f t="shared" si="54"/>
        <v>NO</v>
      </c>
      <c r="Z1169" s="1" t="str">
        <f t="shared" si="55"/>
        <v>NO</v>
      </c>
      <c r="AA1169" t="s">
        <v>1704</v>
      </c>
      <c r="AB1169" t="s">
        <v>1704</v>
      </c>
      <c r="AC1169" s="1" t="s">
        <v>1704</v>
      </c>
      <c r="AD1169" s="1" t="s">
        <v>1704</v>
      </c>
      <c r="AE1169" s="1" t="s">
        <v>1704</v>
      </c>
      <c r="AF1169" s="1" t="s">
        <v>1705</v>
      </c>
    </row>
    <row r="1170" spans="1:32" ht="15" x14ac:dyDescent="0.35">
      <c r="A1170" s="7" t="s">
        <v>996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>LEFT($A1170,FIND("_",$A1170)-1)</f>
        <v>AVATAR</v>
      </c>
      <c r="P1170" s="13" t="str">
        <f>IF($O1170="ACS", "True Search", IF($O1170="Arja", "Evolutionary Search", IF($O1170="AVATAR", "True Pattern", IF($O1170="CapGen", "Search Like Pattern", IF($O1170="Cardumen", "True Semantic", IF($O1170="DynaMoth", "True Semantic", IF($O1170="FixMiner", "True Pattern", IF($O1170="GenProg-A", "Evolutionary Search", IF($O1170="Hercules", "Learning Pattern", IF($O1170="Jaid", "True Semantic",
IF($O1170="Kali-A", "True Search", IF($O1170="kPAR", "True Pattern", IF($O1170="Nopol", "True Semantic", IF($O1170="RSRepair-A", "Evolutionary Search", IF($O1170="SequenceR", "Deep Learning", IF($O1170="SimFix", "Search Like Pattern", IF($O1170="SketchFix", "True Pattern", IF($O1170="SOFix", "True Pattern", IF($O1170="ssFix", "Search Like Pattern", IF($O1170="TBar", "True Pattern", ""))))))))))))))))))))</f>
        <v>True Pattern</v>
      </c>
      <c r="Q1170" s="13" t="str">
        <f>IF(NOT(ISERR(SEARCH("*_Buggy",$A1170))), "Buggy", IF(NOT(ISERR(SEARCH("*_Fixed",$A1170))), "Fixed", IF(NOT(ISERR(SEARCH("*_Repaired",$A1170))), "Repaired", "")))</f>
        <v>Repaired</v>
      </c>
      <c r="R1170" s="13" t="s">
        <v>1669</v>
      </c>
      <c r="S1170" s="25">
        <v>1</v>
      </c>
      <c r="T1170" s="25">
        <v>1</v>
      </c>
      <c r="U1170" s="25">
        <v>1</v>
      </c>
      <c r="V1170" s="13">
        <v>1</v>
      </c>
      <c r="W1170" s="13" t="str">
        <f>MID(A1170, SEARCH("_", A1170) +1, SEARCH("_", A1170, SEARCH("_", A1170) +1) - SEARCH("_", A1170) -1)</f>
        <v>Math-104</v>
      </c>
      <c r="Y1170" s="1" t="str">
        <f t="shared" si="54"/>
        <v>NO</v>
      </c>
      <c r="Z1170" s="1" t="str">
        <f t="shared" si="55"/>
        <v>NO</v>
      </c>
      <c r="AA1170" t="s">
        <v>1704</v>
      </c>
      <c r="AB1170" t="s">
        <v>1704</v>
      </c>
      <c r="AC1170" s="1" t="s">
        <v>1705</v>
      </c>
      <c r="AD1170" s="1" t="s">
        <v>1704</v>
      </c>
      <c r="AE1170" s="1" t="s">
        <v>1705</v>
      </c>
      <c r="AF1170" s="1" t="s">
        <v>1704</v>
      </c>
    </row>
    <row r="1171" spans="1:32" ht="15" x14ac:dyDescent="0.35">
      <c r="A1171" s="7" t="s">
        <v>1133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>LEFT($A1171,FIND("_",$A1171)-1)</f>
        <v>AVATAR</v>
      </c>
      <c r="P1171" s="13" t="str">
        <f>IF($O1171="ACS", "True Search", IF($O1171="Arja", "Evolutionary Search", IF($O1171="AVATAR", "True Pattern", IF($O1171="CapGen", "Search Like Pattern", IF($O1171="Cardumen", "True Semantic", IF($O1171="DynaMoth", "True Semantic", IF($O1171="FixMiner", "True Pattern", IF($O1171="GenProg-A", "Evolutionary Search", IF($O1171="Hercules", "Learning Pattern", IF($O1171="Jaid", "True Semantic",
IF($O1171="Kali-A", "True Search", IF($O1171="kPAR", "True Pattern", IF($O1171="Nopol", "True Semantic", IF($O1171="RSRepair-A", "Evolutionary Search", IF($O1171="SequenceR", "Deep Learning", IF($O1171="SimFix", "Search Like Pattern", IF($O1171="SketchFix", "True Pattern", IF($O1171="SOFix", "True Pattern", IF($O1171="ssFix", "Search Like Pattern", IF($O1171="TBar", "True Pattern", ""))))))))))))))))))))</f>
        <v>True Pattern</v>
      </c>
      <c r="Q1171" s="13" t="str">
        <f>IF(NOT(ISERR(SEARCH("*_Buggy",$A1171))), "Buggy", IF(NOT(ISERR(SEARCH("*_Fixed",$A1171))), "Fixed", IF(NOT(ISERR(SEARCH("*_Repaired",$A1171))), "Repaired", "")))</f>
        <v>Repaired</v>
      </c>
      <c r="R1171" s="13" t="s">
        <v>1669</v>
      </c>
      <c r="S1171" s="25">
        <v>1</v>
      </c>
      <c r="T1171" s="25">
        <v>1</v>
      </c>
      <c r="U1171" s="25">
        <v>14</v>
      </c>
      <c r="V1171" s="13">
        <v>14</v>
      </c>
      <c r="W1171" s="13" t="str">
        <f>MID(A1171, SEARCH("_", A1171) +1, SEARCH("_", A1171, SEARCH("_", A1171) +1) - SEARCH("_", A1171) -1)</f>
        <v>Math-28</v>
      </c>
      <c r="Y1171" s="1" t="str">
        <f t="shared" si="54"/>
        <v>NO</v>
      </c>
      <c r="Z1171" s="1" t="str">
        <f t="shared" si="55"/>
        <v>NO</v>
      </c>
      <c r="AA1171" t="s">
        <v>1704</v>
      </c>
      <c r="AB1171" t="s">
        <v>1704</v>
      </c>
      <c r="AC1171" s="1" t="s">
        <v>1704</v>
      </c>
      <c r="AD1171" s="1" t="s">
        <v>1704</v>
      </c>
      <c r="AE1171" s="1" t="s">
        <v>1704</v>
      </c>
      <c r="AF1171" s="1" t="s">
        <v>1705</v>
      </c>
    </row>
    <row r="1172" spans="1:32" ht="15" x14ac:dyDescent="0.35">
      <c r="A1172" s="7" t="s">
        <v>650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>LEFT($A1172,FIND("_",$A1172)-1)</f>
        <v>AVATAR</v>
      </c>
      <c r="P1172" s="13" t="str">
        <f>IF($O1172="ACS", "True Search", IF($O1172="Arja", "Evolutionary Search", IF($O1172="AVATAR", "True Pattern", IF($O1172="CapGen", "Search Like Pattern", IF($O1172="Cardumen", "True Semantic", IF($O1172="DynaMoth", "True Semantic", IF($O1172="FixMiner", "True Pattern", IF($O1172="GenProg-A", "Evolutionary Search", IF($O1172="Hercules", "Learning Pattern", IF($O1172="Jaid", "True Semantic",
IF($O1172="Kali-A", "True Search", IF($O1172="kPAR", "True Pattern", IF($O1172="Nopol", "True Semantic", IF($O1172="RSRepair-A", "Evolutionary Search", IF($O1172="SequenceR", "Deep Learning", IF($O1172="SimFix", "Search Like Pattern", IF($O1172="SketchFix", "True Pattern", IF($O1172="SOFix", "True Pattern", IF($O1172="ssFix", "Search Like Pattern", IF($O1172="TBar", "True Pattern", ""))))))))))))))))))))</f>
        <v>True Pattern</v>
      </c>
      <c r="Q1172" s="13" t="str">
        <f>IF(NOT(ISERR(SEARCH("*_Buggy",$A1172))), "Buggy", IF(NOT(ISERR(SEARCH("*_Fixed",$A1172))), "Fixed", IF(NOT(ISERR(SEARCH("*_Repaired",$A1172))), "Repaired", "")))</f>
        <v>Repaired</v>
      </c>
      <c r="R1172" s="13" t="s">
        <v>1668</v>
      </c>
      <c r="S1172" s="25">
        <v>1</v>
      </c>
      <c r="T1172" s="25">
        <v>1</v>
      </c>
      <c r="U1172" s="25">
        <v>1</v>
      </c>
      <c r="V1172" s="13">
        <v>1</v>
      </c>
      <c r="W1172" s="13" t="str">
        <f>MID(A1172, SEARCH("_", A1172) +1, SEARCH("_", A1172, SEARCH("_", A1172) +1) - SEARCH("_", A1172) -1)</f>
        <v>Math-33</v>
      </c>
      <c r="Y1172" s="1" t="str">
        <f t="shared" si="54"/>
        <v>NO</v>
      </c>
      <c r="Z1172" s="1" t="str">
        <f t="shared" si="55"/>
        <v>NO</v>
      </c>
      <c r="AA1172" t="s">
        <v>1704</v>
      </c>
      <c r="AB1172" t="s">
        <v>1704</v>
      </c>
      <c r="AC1172" s="1" t="s">
        <v>1705</v>
      </c>
      <c r="AD1172" s="1" t="s">
        <v>1704</v>
      </c>
      <c r="AE1172" s="1" t="s">
        <v>1705</v>
      </c>
      <c r="AF1172" s="1" t="s">
        <v>1704</v>
      </c>
    </row>
    <row r="1173" spans="1:32" ht="15" x14ac:dyDescent="0.35">
      <c r="A1173" s="5" t="s">
        <v>634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>LEFT($A1173,FIND("_",$A1173)-1)</f>
        <v>AVATAR</v>
      </c>
      <c r="P1173" s="13" t="str">
        <f>IF($O1173="ACS", "True Search", IF($O1173="Arja", "Evolutionary Search", IF($O1173="AVATAR", "True Pattern", IF($O1173="CapGen", "Search Like Pattern", IF($O1173="Cardumen", "True Semantic", IF($O1173="DynaMoth", "True Semantic", IF($O1173="FixMiner", "True Pattern", IF($O1173="GenProg-A", "Evolutionary Search", IF($O1173="Hercules", "Learning Pattern", IF($O1173="Jaid", "True Semantic",
IF($O1173="Kali-A", "True Search", IF($O1173="kPAR", "True Pattern", IF($O1173="Nopol", "True Semantic", IF($O1173="RSRepair-A", "Evolutionary Search", IF($O1173="SequenceR", "Deep Learning", IF($O1173="SimFix", "Search Like Pattern", IF($O1173="SketchFix", "True Pattern", IF($O1173="SOFix", "True Pattern", IF($O1173="ssFix", "Search Like Pattern", IF($O1173="TBar", "True Pattern", ""))))))))))))))))))))</f>
        <v>True Pattern</v>
      </c>
      <c r="Q1173" s="13" t="str">
        <f>IF(NOT(ISERR(SEARCH("*_Buggy",$A1173))), "Buggy", IF(NOT(ISERR(SEARCH("*_Fixed",$A1173))), "Fixed", IF(NOT(ISERR(SEARCH("*_Repaired",$A1173))), "Repaired", "")))</f>
        <v>Repaired</v>
      </c>
      <c r="R1173" s="13" t="s">
        <v>1669</v>
      </c>
      <c r="S1173" s="25">
        <v>1</v>
      </c>
      <c r="T1173" s="25">
        <v>1</v>
      </c>
      <c r="U1173" s="25">
        <v>1</v>
      </c>
      <c r="V1173" s="13">
        <v>1</v>
      </c>
      <c r="W1173" s="13" t="str">
        <f>MID(A1173, SEARCH("_", A1173) +1, SEARCH("_", A1173, SEARCH("_", A1173) +1) - SEARCH("_", A1173) -1)</f>
        <v>Math-50</v>
      </c>
      <c r="Y1173" s="1" t="str">
        <f t="shared" si="54"/>
        <v>NO</v>
      </c>
      <c r="Z1173" s="1" t="str">
        <f t="shared" si="55"/>
        <v>NO</v>
      </c>
      <c r="AA1173" t="s">
        <v>1704</v>
      </c>
      <c r="AB1173" t="s">
        <v>1704</v>
      </c>
      <c r="AC1173" s="1" t="s">
        <v>1704</v>
      </c>
      <c r="AD1173" s="1" t="s">
        <v>1704</v>
      </c>
      <c r="AE1173" s="1" t="s">
        <v>1704</v>
      </c>
      <c r="AF1173" s="1" t="s">
        <v>1704</v>
      </c>
    </row>
    <row r="1174" spans="1:32" ht="15" x14ac:dyDescent="0.35">
      <c r="A1174" s="5" t="s">
        <v>980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>LEFT($A1174,FIND("_",$A1174)-1)</f>
        <v>AVATAR</v>
      </c>
      <c r="P1174" s="13" t="str">
        <f>IF($O1174="ACS", "True Search", IF($O1174="Arja", "Evolutionary Search", IF($O1174="AVATAR", "True Pattern", IF($O1174="CapGen", "Search Like Pattern", IF($O1174="Cardumen", "True Semantic", IF($O1174="DynaMoth", "True Semantic", IF($O1174="FixMiner", "True Pattern", IF($O1174="GenProg-A", "Evolutionary Search", IF($O1174="Hercules", "Learning Pattern", IF($O1174="Jaid", "True Semantic",
IF($O1174="Kali-A", "True Search", IF($O1174="kPAR", "True Pattern", IF($O1174="Nopol", "True Semantic", IF($O1174="RSRepair-A", "Evolutionary Search", IF($O1174="SequenceR", "Deep Learning", IF($O1174="SimFix", "Search Like Pattern", IF($O1174="SketchFix", "True Pattern", IF($O1174="SOFix", "True Pattern", IF($O1174="ssFix", "Search Like Pattern", IF($O1174="TBar", "True Pattern", ""))))))))))))))))))))</f>
        <v>True Pattern</v>
      </c>
      <c r="Q1174" s="13" t="str">
        <f>IF(NOT(ISERR(SEARCH("*_Buggy",$A1174))), "Buggy", IF(NOT(ISERR(SEARCH("*_Fixed",$A1174))), "Fixed", IF(NOT(ISERR(SEARCH("*_Repaired",$A1174))), "Repaired", "")))</f>
        <v>Repaired</v>
      </c>
      <c r="R1174" s="13" t="s">
        <v>1669</v>
      </c>
      <c r="S1174" s="25">
        <v>1</v>
      </c>
      <c r="T1174" s="25">
        <v>1</v>
      </c>
      <c r="U1174" s="25">
        <v>1</v>
      </c>
      <c r="V1174" s="13">
        <v>1</v>
      </c>
      <c r="W1174" s="13" t="str">
        <f>MID(A1174, SEARCH("_", A1174) +1, SEARCH("_", A1174, SEARCH("_", A1174) +1) - SEARCH("_", A1174) -1)</f>
        <v>Math-57</v>
      </c>
      <c r="Y1174" s="1" t="str">
        <f t="shared" si="54"/>
        <v>NO</v>
      </c>
      <c r="Z1174" s="1" t="str">
        <f t="shared" si="55"/>
        <v>NO</v>
      </c>
      <c r="AA1174" t="s">
        <v>1704</v>
      </c>
      <c r="AB1174" t="s">
        <v>1704</v>
      </c>
      <c r="AC1174" s="1" t="s">
        <v>1705</v>
      </c>
      <c r="AD1174" s="1" t="s">
        <v>1704</v>
      </c>
      <c r="AE1174" s="1" t="s">
        <v>1705</v>
      </c>
      <c r="AF1174" s="1" t="s">
        <v>1704</v>
      </c>
    </row>
    <row r="1175" spans="1:32" ht="15" x14ac:dyDescent="0.35">
      <c r="A1175" s="5" t="s">
        <v>841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>LEFT($A1175,FIND("_",$A1175)-1)</f>
        <v>AVATAR</v>
      </c>
      <c r="P1175" s="13" t="str">
        <f>IF($O1175="ACS", "True Search", IF($O1175="Arja", "Evolutionary Search", IF($O1175="AVATAR", "True Pattern", IF($O1175="CapGen", "Search Like Pattern", IF($O1175="Cardumen", "True Semantic", IF($O1175="DynaMoth", "True Semantic", IF($O1175="FixMiner", "True Pattern", IF($O1175="GenProg-A", "Evolutionary Search", IF($O1175="Hercules", "Learning Pattern", IF($O1175="Jaid", "True Semantic",
IF($O1175="Kali-A", "True Search", IF($O1175="kPAR", "True Pattern", IF($O1175="Nopol", "True Semantic", IF($O1175="RSRepair-A", "Evolutionary Search", IF($O1175="SequenceR", "Deep Learning", IF($O1175="SimFix", "Search Like Pattern", IF($O1175="SketchFix", "True Pattern", IF($O1175="SOFix", "True Pattern", IF($O1175="ssFix", "Search Like Pattern", IF($O1175="TBar", "True Pattern", ""))))))))))))))))))))</f>
        <v>True Pattern</v>
      </c>
      <c r="Q1175" s="13" t="str">
        <f>IF(NOT(ISERR(SEARCH("*_Buggy",$A1175))), "Buggy", IF(NOT(ISERR(SEARCH("*_Fixed",$A1175))), "Fixed", IF(NOT(ISERR(SEARCH("*_Repaired",$A1175))), "Repaired", "")))</f>
        <v>Repaired</v>
      </c>
      <c r="R1175" s="13" t="s">
        <v>1669</v>
      </c>
      <c r="S1175" s="25">
        <v>1</v>
      </c>
      <c r="T1175" s="25">
        <v>1</v>
      </c>
      <c r="U1175" s="25">
        <v>1</v>
      </c>
      <c r="V1175" s="13">
        <v>1</v>
      </c>
      <c r="W1175" s="13" t="str">
        <f>MID(A1175, SEARCH("_", A1175) +1, SEARCH("_", A1175, SEARCH("_", A1175) +1) - SEARCH("_", A1175) -1)</f>
        <v>Math-62</v>
      </c>
      <c r="Y1175" s="1" t="str">
        <f t="shared" si="54"/>
        <v>NO</v>
      </c>
      <c r="Z1175" s="1" t="str">
        <f t="shared" si="55"/>
        <v>NO</v>
      </c>
      <c r="AA1175" t="s">
        <v>1704</v>
      </c>
      <c r="AB1175" t="s">
        <v>1704</v>
      </c>
      <c r="AC1175" s="1" t="s">
        <v>1704</v>
      </c>
      <c r="AD1175" s="1" t="s">
        <v>1704</v>
      </c>
      <c r="AE1175" s="1" t="s">
        <v>1704</v>
      </c>
      <c r="AF1175" s="1" t="s">
        <v>1704</v>
      </c>
    </row>
    <row r="1176" spans="1:32" ht="15" x14ac:dyDescent="0.35">
      <c r="A1176" s="7" t="s">
        <v>1190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>LEFT($A1176,FIND("_",$A1176)-1)</f>
        <v>AVATAR</v>
      </c>
      <c r="P1176" s="13" t="str">
        <f>IF($O1176="ACS", "True Search", IF($O1176="Arja", "Evolutionary Search", IF($O1176="AVATAR", "True Pattern", IF($O1176="CapGen", "Search Like Pattern", IF($O1176="Cardumen", "True Semantic", IF($O1176="DynaMoth", "True Semantic", IF($O1176="FixMiner", "True Pattern", IF($O1176="GenProg-A", "Evolutionary Search", IF($O1176="Hercules", "Learning Pattern", IF($O1176="Jaid", "True Semantic",
IF($O1176="Kali-A", "True Search", IF($O1176="kPAR", "True Pattern", IF($O1176="Nopol", "True Semantic", IF($O1176="RSRepair-A", "Evolutionary Search", IF($O1176="SequenceR", "Deep Learning", IF($O1176="SimFix", "Search Like Pattern", IF($O1176="SketchFix", "True Pattern", IF($O1176="SOFix", "True Pattern", IF($O1176="ssFix", "Search Like Pattern", IF($O1176="TBar", "True Pattern", ""))))))))))))))))))))</f>
        <v>True Pattern</v>
      </c>
      <c r="Q1176" s="13" t="str">
        <f>IF(NOT(ISERR(SEARCH("*_Buggy",$A1176))), "Buggy", IF(NOT(ISERR(SEARCH("*_Fixed",$A1176))), "Fixed", IF(NOT(ISERR(SEARCH("*_Repaired",$A1176))), "Repaired", "")))</f>
        <v>Repaired</v>
      </c>
      <c r="R1176" s="13" t="s">
        <v>1669</v>
      </c>
      <c r="S1176" s="25">
        <v>1</v>
      </c>
      <c r="T1176" s="25">
        <v>1</v>
      </c>
      <c r="U1176" s="25">
        <v>1</v>
      </c>
      <c r="V1176" s="13">
        <v>1</v>
      </c>
      <c r="W1176" s="13" t="str">
        <f>MID(A1176, SEARCH("_", A1176) +1, SEARCH("_", A1176, SEARCH("_", A1176) +1) - SEARCH("_", A1176) -1)</f>
        <v>Math-80</v>
      </c>
      <c r="Y1176" s="1" t="str">
        <f t="shared" si="54"/>
        <v>NO</v>
      </c>
      <c r="Z1176" s="1" t="str">
        <f t="shared" si="55"/>
        <v>NO</v>
      </c>
      <c r="AA1176" t="s">
        <v>1704</v>
      </c>
      <c r="AB1176" t="s">
        <v>1704</v>
      </c>
      <c r="AC1176" s="1" t="s">
        <v>1705</v>
      </c>
      <c r="AD1176" s="1" t="s">
        <v>1704</v>
      </c>
      <c r="AE1176" s="1" t="s">
        <v>1705</v>
      </c>
      <c r="AF1176" s="1" t="s">
        <v>1704</v>
      </c>
    </row>
    <row r="1177" spans="1:32" ht="15" x14ac:dyDescent="0.35">
      <c r="A1177" s="7" t="s">
        <v>1213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>LEFT($A1177,FIND("_",$A1177)-1)</f>
        <v>AVATAR</v>
      </c>
      <c r="P1177" s="13" t="str">
        <f>IF($O1177="ACS", "True Search", IF($O1177="Arja", "Evolutionary Search", IF($O1177="AVATAR", "True Pattern", IF($O1177="CapGen", "Search Like Pattern", IF($O1177="Cardumen", "True Semantic", IF($O1177="DynaMoth", "True Semantic", IF($O1177="FixMiner", "True Pattern", IF($O1177="GenProg-A", "Evolutionary Search", IF($O1177="Hercules", "Learning Pattern", IF($O1177="Jaid", "True Semantic",
IF($O1177="Kali-A", "True Search", IF($O1177="kPAR", "True Pattern", IF($O1177="Nopol", "True Semantic", IF($O1177="RSRepair-A", "Evolutionary Search", IF($O1177="SequenceR", "Deep Learning", IF($O1177="SimFix", "Search Like Pattern", IF($O1177="SketchFix", "True Pattern", IF($O1177="SOFix", "True Pattern", IF($O1177="ssFix", "Search Like Pattern", IF($O1177="TBar", "True Pattern", ""))))))))))))))))))))</f>
        <v>True Pattern</v>
      </c>
      <c r="Q1177" s="13" t="str">
        <f>IF(NOT(ISERR(SEARCH("*_Buggy",$A1177))), "Buggy", IF(NOT(ISERR(SEARCH("*_Fixed",$A1177))), "Fixed", IF(NOT(ISERR(SEARCH("*_Repaired",$A1177))), "Repaired", "")))</f>
        <v>Repaired</v>
      </c>
      <c r="R1177" s="13" t="s">
        <v>1669</v>
      </c>
      <c r="S1177" s="25">
        <v>1</v>
      </c>
      <c r="T1177" s="25">
        <v>1</v>
      </c>
      <c r="U1177" s="25">
        <v>1</v>
      </c>
      <c r="V1177" s="13">
        <v>1</v>
      </c>
      <c r="W1177" s="13" t="str">
        <f>MID(A1177, SEARCH("_", A1177) +1, SEARCH("_", A1177, SEARCH("_", A1177) +1) - SEARCH("_", A1177) -1)</f>
        <v>Math-81</v>
      </c>
      <c r="Y1177" s="1" t="str">
        <f t="shared" si="54"/>
        <v>NO</v>
      </c>
      <c r="Z1177" s="1" t="str">
        <f t="shared" si="55"/>
        <v>NO</v>
      </c>
      <c r="AA1177" t="s">
        <v>1704</v>
      </c>
      <c r="AB1177" t="s">
        <v>1704</v>
      </c>
      <c r="AC1177" s="1" t="s">
        <v>1704</v>
      </c>
      <c r="AD1177" s="1" t="s">
        <v>1704</v>
      </c>
      <c r="AE1177" s="1" t="s">
        <v>1704</v>
      </c>
      <c r="AF1177" s="1" t="s">
        <v>1704</v>
      </c>
    </row>
    <row r="1178" spans="1:32" ht="15" x14ac:dyDescent="0.35">
      <c r="A1178" s="7" t="s">
        <v>986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>LEFT($A1178,FIND("_",$A1178)-1)</f>
        <v>AVATAR</v>
      </c>
      <c r="P1178" s="13" t="str">
        <f>IF($O1178="ACS", "True Search", IF($O1178="Arja", "Evolutionary Search", IF($O1178="AVATAR", "True Pattern", IF($O1178="CapGen", "Search Like Pattern", IF($O1178="Cardumen", "True Semantic", IF($O1178="DynaMoth", "True Semantic", IF($O1178="FixMiner", "True Pattern", IF($O1178="GenProg-A", "Evolutionary Search", IF($O1178="Hercules", "Learning Pattern", IF($O1178="Jaid", "True Semantic",
IF($O1178="Kali-A", "True Search", IF($O1178="kPAR", "True Pattern", IF($O1178="Nopol", "True Semantic", IF($O1178="RSRepair-A", "Evolutionary Search", IF($O1178="SequenceR", "Deep Learning", IF($O1178="SimFix", "Search Like Pattern", IF($O1178="SketchFix", "True Pattern", IF($O1178="SOFix", "True Pattern", IF($O1178="ssFix", "Search Like Pattern", IF($O1178="TBar", "True Pattern", ""))))))))))))))))))))</f>
        <v>True Pattern</v>
      </c>
      <c r="Q1178" s="13" t="str">
        <f>IF(NOT(ISERR(SEARCH("*_Buggy",$A1178))), "Buggy", IF(NOT(ISERR(SEARCH("*_Fixed",$A1178))), "Fixed", IF(NOT(ISERR(SEARCH("*_Repaired",$A1178))), "Repaired", "")))</f>
        <v>Repaired</v>
      </c>
      <c r="R1178" s="13" t="s">
        <v>1668</v>
      </c>
      <c r="S1178" s="25">
        <v>1</v>
      </c>
      <c r="T1178" s="25">
        <v>1</v>
      </c>
      <c r="U1178" s="25">
        <v>1</v>
      </c>
      <c r="V1178" s="13">
        <v>1</v>
      </c>
      <c r="W1178" s="13" t="str">
        <f>MID(A1178, SEARCH("_", A1178) +1, SEARCH("_", A1178, SEARCH("_", A1178) +1) - SEARCH("_", A1178) -1)</f>
        <v>Math-82</v>
      </c>
      <c r="Y1178" s="1" t="str">
        <f t="shared" si="54"/>
        <v>NO</v>
      </c>
      <c r="Z1178" s="1" t="str">
        <f t="shared" si="55"/>
        <v>NO</v>
      </c>
      <c r="AA1178" t="s">
        <v>1704</v>
      </c>
      <c r="AB1178" t="s">
        <v>1704</v>
      </c>
      <c r="AC1178" s="1" t="s">
        <v>1705</v>
      </c>
      <c r="AD1178" s="1" t="s">
        <v>1704</v>
      </c>
      <c r="AE1178" s="1" t="s">
        <v>1705</v>
      </c>
      <c r="AF1178" s="1" t="s">
        <v>1704</v>
      </c>
    </row>
    <row r="1179" spans="1:32" ht="15" x14ac:dyDescent="0.35">
      <c r="A1179" s="5" t="s">
        <v>801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>LEFT($A1179,FIND("_",$A1179)-1)</f>
        <v>AVATAR</v>
      </c>
      <c r="P1179" s="13" t="str">
        <f>IF($O1179="ACS", "True Search", IF($O1179="Arja", "Evolutionary Search", IF($O1179="AVATAR", "True Pattern", IF($O1179="CapGen", "Search Like Pattern", IF($O1179="Cardumen", "True Semantic", IF($O1179="DynaMoth", "True Semantic", IF($O1179="FixMiner", "True Pattern", IF($O1179="GenProg-A", "Evolutionary Search", IF($O1179="Hercules", "Learning Pattern", IF($O1179="Jaid", "True Semantic",
IF($O1179="Kali-A", "True Search", IF($O1179="kPAR", "True Pattern", IF($O1179="Nopol", "True Semantic", IF($O1179="RSRepair-A", "Evolutionary Search", IF($O1179="SequenceR", "Deep Learning", IF($O1179="SimFix", "Search Like Pattern", IF($O1179="SketchFix", "True Pattern", IF($O1179="SOFix", "True Pattern", IF($O1179="ssFix", "Search Like Pattern", IF($O1179="TBar", "True Pattern", ""))))))))))))))))))))</f>
        <v>True Pattern</v>
      </c>
      <c r="Q1179" s="13" t="str">
        <f>IF(NOT(ISERR(SEARCH("*_Buggy",$A1179))), "Buggy", IF(NOT(ISERR(SEARCH("*_Fixed",$A1179))), "Fixed", IF(NOT(ISERR(SEARCH("*_Repaired",$A1179))), "Repaired", "")))</f>
        <v>Repaired</v>
      </c>
      <c r="R1179" s="13" t="s">
        <v>1669</v>
      </c>
      <c r="S1179" s="25">
        <v>1</v>
      </c>
      <c r="T1179" s="25">
        <v>1</v>
      </c>
      <c r="U1179" s="25">
        <v>1</v>
      </c>
      <c r="V1179" s="13">
        <v>1</v>
      </c>
      <c r="W1179" s="13" t="str">
        <f>MID(A1179, SEARCH("_", A1179) +1, SEARCH("_", A1179, SEARCH("_", A1179) +1) - SEARCH("_", A1179) -1)</f>
        <v>Math-84</v>
      </c>
      <c r="Y1179" s="1" t="str">
        <f t="shared" si="54"/>
        <v>NO</v>
      </c>
      <c r="Z1179" s="1" t="str">
        <f t="shared" si="55"/>
        <v>NO</v>
      </c>
      <c r="AA1179" t="s">
        <v>1704</v>
      </c>
      <c r="AB1179" t="s">
        <v>1704</v>
      </c>
      <c r="AC1179" s="1" t="s">
        <v>1704</v>
      </c>
      <c r="AD1179" s="1" t="s">
        <v>1704</v>
      </c>
      <c r="AE1179" s="1" t="s">
        <v>1704</v>
      </c>
      <c r="AF1179" s="1" t="s">
        <v>1704</v>
      </c>
    </row>
    <row r="1180" spans="1:32" ht="15" x14ac:dyDescent="0.35">
      <c r="A1180" s="5" t="s">
        <v>1257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>LEFT($A1180,FIND("_",$A1180)-1)</f>
        <v>AVATAR</v>
      </c>
      <c r="P1180" s="13" t="str">
        <f>IF($O1180="ACS", "True Search", IF($O1180="Arja", "Evolutionary Search", IF($O1180="AVATAR", "True Pattern", IF($O1180="CapGen", "Search Like Pattern", IF($O1180="Cardumen", "True Semantic", IF($O1180="DynaMoth", "True Semantic", IF($O1180="FixMiner", "True Pattern", IF($O1180="GenProg-A", "Evolutionary Search", IF($O1180="Hercules", "Learning Pattern", IF($O1180="Jaid", "True Semantic",
IF($O1180="Kali-A", "True Search", IF($O1180="kPAR", "True Pattern", IF($O1180="Nopol", "True Semantic", IF($O1180="RSRepair-A", "Evolutionary Search", IF($O1180="SequenceR", "Deep Learning", IF($O1180="SimFix", "Search Like Pattern", IF($O1180="SketchFix", "True Pattern", IF($O1180="SOFix", "True Pattern", IF($O1180="ssFix", "Search Like Pattern", IF($O1180="TBar", "True Pattern", ""))))))))))))))))))))</f>
        <v>True Pattern</v>
      </c>
      <c r="Q1180" s="13" t="str">
        <f>IF(NOT(ISERR(SEARCH("*_Buggy",$A1180))), "Buggy", IF(NOT(ISERR(SEARCH("*_Fixed",$A1180))), "Fixed", IF(NOT(ISERR(SEARCH("*_Repaired",$A1180))), "Repaired", "")))</f>
        <v>Repaired</v>
      </c>
      <c r="R1180" s="13" t="s">
        <v>1668</v>
      </c>
      <c r="S1180" s="25">
        <v>1</v>
      </c>
      <c r="T1180" s="25">
        <v>1</v>
      </c>
      <c r="U1180" s="25">
        <v>1</v>
      </c>
      <c r="V1180" s="13">
        <v>1</v>
      </c>
      <c r="W1180" s="13" t="str">
        <f>MID(A1180, SEARCH("_", A1180) +1, SEARCH("_", A1180, SEARCH("_", A1180) +1) - SEARCH("_", A1180) -1)</f>
        <v>Math-85</v>
      </c>
      <c r="Y1180" s="1" t="str">
        <f t="shared" si="54"/>
        <v>NO</v>
      </c>
      <c r="Z1180" s="1" t="str">
        <f t="shared" si="55"/>
        <v>NO</v>
      </c>
      <c r="AA1180" t="s">
        <v>1704</v>
      </c>
      <c r="AB1180" t="s">
        <v>1704</v>
      </c>
      <c r="AC1180" s="1" t="s">
        <v>1705</v>
      </c>
      <c r="AD1180" s="1" t="s">
        <v>1704</v>
      </c>
      <c r="AE1180" s="1" t="s">
        <v>1705</v>
      </c>
      <c r="AF1180" s="1" t="s">
        <v>1704</v>
      </c>
    </row>
    <row r="1181" spans="1:32" ht="15" x14ac:dyDescent="0.35">
      <c r="A1181" s="5" t="s">
        <v>587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>LEFT($A1181,FIND("_",$A1181)-1)</f>
        <v>AVATAR</v>
      </c>
      <c r="P1181" s="13" t="str">
        <f>IF($O1181="ACS", "True Search", IF($O1181="Arja", "Evolutionary Search", IF($O1181="AVATAR", "True Pattern", IF($O1181="CapGen", "Search Like Pattern", IF($O1181="Cardumen", "True Semantic", IF($O1181="DynaMoth", "True Semantic", IF($O1181="FixMiner", "True Pattern", IF($O1181="GenProg-A", "Evolutionary Search", IF($O1181="Hercules", "Learning Pattern", IF($O1181="Jaid", "True Semantic",
IF($O1181="Kali-A", "True Search", IF($O1181="kPAR", "True Pattern", IF($O1181="Nopol", "True Semantic", IF($O1181="RSRepair-A", "Evolutionary Search", IF($O1181="SequenceR", "Deep Learning", IF($O1181="SimFix", "Search Like Pattern", IF($O1181="SketchFix", "True Pattern", IF($O1181="SOFix", "True Pattern", IF($O1181="ssFix", "Search Like Pattern", IF($O1181="TBar", "True Pattern", ""))))))))))))))))))))</f>
        <v>True Pattern</v>
      </c>
      <c r="Q1181" s="13" t="str">
        <f>IF(NOT(ISERR(SEARCH("*_Buggy",$A1181))), "Buggy", IF(NOT(ISERR(SEARCH("*_Fixed",$A1181))), "Fixed", IF(NOT(ISERR(SEARCH("*_Repaired",$A1181))), "Repaired", "")))</f>
        <v>Repaired</v>
      </c>
      <c r="R1181" s="13" t="s">
        <v>1669</v>
      </c>
      <c r="S1181" s="25">
        <v>1</v>
      </c>
      <c r="T1181" s="25">
        <v>1</v>
      </c>
      <c r="U1181" s="25">
        <v>1</v>
      </c>
      <c r="V1181" s="13">
        <v>1</v>
      </c>
      <c r="W1181" s="13" t="str">
        <f>MID(A1181, SEARCH("_", A1181) +1, SEARCH("_", A1181, SEARCH("_", A1181) +1) - SEARCH("_", A1181) -1)</f>
        <v>Math-88</v>
      </c>
      <c r="Y1181" s="1" t="str">
        <f t="shared" si="54"/>
        <v>NO</v>
      </c>
      <c r="Z1181" s="1" t="str">
        <f t="shared" si="55"/>
        <v>NO</v>
      </c>
      <c r="AA1181" t="s">
        <v>1704</v>
      </c>
      <c r="AB1181" t="s">
        <v>1704</v>
      </c>
      <c r="AC1181" s="1" t="s">
        <v>1704</v>
      </c>
      <c r="AD1181" s="1" t="s">
        <v>1704</v>
      </c>
      <c r="AE1181" s="1" t="s">
        <v>1704</v>
      </c>
      <c r="AF1181" s="1" t="s">
        <v>1704</v>
      </c>
    </row>
    <row r="1182" spans="1:32" ht="15" x14ac:dyDescent="0.35">
      <c r="A1182" s="5" t="s">
        <v>444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>LEFT($A1182,FIND("_",$A1182)-1)</f>
        <v>AVATAR</v>
      </c>
      <c r="P1182" s="13" t="str">
        <f>IF($O1182="ACS", "True Search", IF($O1182="Arja", "Evolutionary Search", IF($O1182="AVATAR", "True Pattern", IF($O1182="CapGen", "Search Like Pattern", IF($O1182="Cardumen", "True Semantic", IF($O1182="DynaMoth", "True Semantic", IF($O1182="FixMiner", "True Pattern", IF($O1182="GenProg-A", "Evolutionary Search", IF($O1182="Hercules", "Learning Pattern", IF($O1182="Jaid", "True Semantic",
IF($O1182="Kali-A", "True Search", IF($O1182="kPAR", "True Pattern", IF($O1182="Nopol", "True Semantic", IF($O1182="RSRepair-A", "Evolutionary Search", IF($O1182="SequenceR", "Deep Learning", IF($O1182="SimFix", "Search Like Pattern", IF($O1182="SketchFix", "True Pattern", IF($O1182="SOFix", "True Pattern", IF($O1182="ssFix", "Search Like Pattern", IF($O1182="TBar", "True Pattern", ""))))))))))))))))))))</f>
        <v>True Pattern</v>
      </c>
      <c r="Q1182" s="13" t="str">
        <f>IF(NOT(ISERR(SEARCH("*_Buggy",$A1182))), "Buggy", IF(NOT(ISERR(SEARCH("*_Fixed",$A1182))), "Fixed", IF(NOT(ISERR(SEARCH("*_Repaired",$A1182))), "Repaired", "")))</f>
        <v>Repaired</v>
      </c>
      <c r="R1182" s="13" t="s">
        <v>1668</v>
      </c>
      <c r="S1182" s="25">
        <v>1</v>
      </c>
      <c r="T1182" s="25">
        <v>6</v>
      </c>
      <c r="U1182" s="25">
        <v>1</v>
      </c>
      <c r="V1182" s="13">
        <v>6</v>
      </c>
      <c r="W1182" s="13" t="str">
        <f>MID(A1182, SEARCH("_", A1182) +1, SEARCH("_", A1182, SEARCH("_", A1182) +1) - SEARCH("_", A1182) -1)</f>
        <v>Math-89</v>
      </c>
      <c r="Y1182" s="1" t="str">
        <f t="shared" si="54"/>
        <v>NO</v>
      </c>
      <c r="Z1182" s="1" t="str">
        <f t="shared" si="55"/>
        <v>NO</v>
      </c>
      <c r="AA1182" t="s">
        <v>1704</v>
      </c>
      <c r="AB1182" t="s">
        <v>1704</v>
      </c>
      <c r="AC1182" s="1" t="s">
        <v>1704</v>
      </c>
      <c r="AD1182" s="1" t="s">
        <v>1704</v>
      </c>
      <c r="AE1182" s="1" t="s">
        <v>1704</v>
      </c>
      <c r="AF1182" s="1" t="s">
        <v>1705</v>
      </c>
    </row>
    <row r="1183" spans="1:32" ht="15" x14ac:dyDescent="0.35">
      <c r="A1183" s="5" t="s">
        <v>111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>LEFT($A1183,FIND("_",$A1183)-1)</f>
        <v>AVATAR</v>
      </c>
      <c r="P1183" s="13" t="str">
        <f>IF($O1183="ACS", "True Search", IF($O1183="Arja", "Evolutionary Search", IF($O1183="AVATAR", "True Pattern", IF($O1183="CapGen", "Search Like Pattern", IF($O1183="Cardumen", "True Semantic", IF($O1183="DynaMoth", "True Semantic", IF($O1183="FixMiner", "True Pattern", IF($O1183="GenProg-A", "Evolutionary Search", IF($O1183="Hercules", "Learning Pattern", IF($O1183="Jaid", "True Semantic",
IF($O1183="Kali-A", "True Search", IF($O1183="kPAR", "True Pattern", IF($O1183="Nopol", "True Semantic", IF($O1183="RSRepair-A", "Evolutionary Search", IF($O1183="SequenceR", "Deep Learning", IF($O1183="SimFix", "Search Like Pattern", IF($O1183="SketchFix", "True Pattern", IF($O1183="SOFix", "True Pattern", IF($O1183="ssFix", "Search Like Pattern", IF($O1183="TBar", "True Pattern", ""))))))))))))))))))))</f>
        <v>True Pattern</v>
      </c>
      <c r="Q1183" s="13" t="str">
        <f>IF(NOT(ISERR(SEARCH("*_Buggy",$A1183))), "Buggy", IF(NOT(ISERR(SEARCH("*_Fixed",$A1183))), "Fixed", IF(NOT(ISERR(SEARCH("*_Repaired",$A1183))), "Repaired", "")))</f>
        <v>Repaired</v>
      </c>
      <c r="R1183" s="13" t="s">
        <v>1669</v>
      </c>
      <c r="S1183" s="25">
        <v>1</v>
      </c>
      <c r="T1183" s="25">
        <v>1</v>
      </c>
      <c r="U1183" s="25">
        <v>1</v>
      </c>
      <c r="V1183" s="13">
        <v>1</v>
      </c>
      <c r="W1183" s="13" t="str">
        <f>MID(A1183, SEARCH("_", A1183) +1, SEARCH("_", A1183, SEARCH("_", A1183) +1) - SEARCH("_", A1183) -1)</f>
        <v>Math-95</v>
      </c>
      <c r="Y1183" s="1" t="str">
        <f t="shared" si="54"/>
        <v>NO</v>
      </c>
      <c r="Z1183" s="1" t="str">
        <f t="shared" si="55"/>
        <v>NO</v>
      </c>
      <c r="AA1183" t="s">
        <v>1704</v>
      </c>
      <c r="AB1183" t="s">
        <v>1704</v>
      </c>
      <c r="AC1183" s="1" t="s">
        <v>1704</v>
      </c>
      <c r="AD1183" s="1" t="s">
        <v>1704</v>
      </c>
      <c r="AE1183" s="1" t="s">
        <v>1704</v>
      </c>
      <c r="AF1183" s="1" t="s">
        <v>1704</v>
      </c>
    </row>
    <row r="1184" spans="1:32" ht="15" x14ac:dyDescent="0.35">
      <c r="A1184" s="5" t="s">
        <v>121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>LEFT($A1184,FIND("_",$A1184)-1)</f>
        <v>AVATAR</v>
      </c>
      <c r="P1184" s="13" t="str">
        <f>IF($O1184="ACS", "True Search", IF($O1184="Arja", "Evolutionary Search", IF($O1184="AVATAR", "True Pattern", IF($O1184="CapGen", "Search Like Pattern", IF($O1184="Cardumen", "True Semantic", IF($O1184="DynaMoth", "True Semantic", IF($O1184="FixMiner", "True Pattern", IF($O1184="GenProg-A", "Evolutionary Search", IF($O1184="Hercules", "Learning Pattern", IF($O1184="Jaid", "True Semantic",
IF($O1184="Kali-A", "True Search", IF($O1184="kPAR", "True Pattern", IF($O1184="Nopol", "True Semantic", IF($O1184="RSRepair-A", "Evolutionary Search", IF($O1184="SequenceR", "Deep Learning", IF($O1184="SimFix", "Search Like Pattern", IF($O1184="SketchFix", "True Pattern", IF($O1184="SOFix", "True Pattern", IF($O1184="ssFix", "Search Like Pattern", IF($O1184="TBar", "True Pattern", ""))))))))))))))))))))</f>
        <v>True Pattern</v>
      </c>
      <c r="Q1184" s="13" t="str">
        <f>IF(NOT(ISERR(SEARCH("*_Buggy",$A1184))), "Buggy", IF(NOT(ISERR(SEARCH("*_Fixed",$A1184))), "Fixed", IF(NOT(ISERR(SEARCH("*_Repaired",$A1184))), "Repaired", "")))</f>
        <v>Repaired</v>
      </c>
      <c r="R1184" s="13" t="s">
        <v>1668</v>
      </c>
      <c r="S1184" s="25">
        <v>1</v>
      </c>
      <c r="T1184" s="25">
        <v>4</v>
      </c>
      <c r="U1184" s="25">
        <v>1</v>
      </c>
      <c r="V1184" s="13">
        <v>4</v>
      </c>
      <c r="W1184" s="13" t="str">
        <f>MID(A1184, SEARCH("_", A1184) +1, SEARCH("_", A1184, SEARCH("_", A1184) +1) - SEARCH("_", A1184) -1)</f>
        <v>Mockito-29</v>
      </c>
      <c r="Y1184" s="1" t="str">
        <f t="shared" si="54"/>
        <v>NO</v>
      </c>
      <c r="Z1184" s="1" t="str">
        <f t="shared" si="55"/>
        <v>NO</v>
      </c>
      <c r="AA1184" t="s">
        <v>1704</v>
      </c>
      <c r="AB1184" t="s">
        <v>1704</v>
      </c>
      <c r="AC1184" s="1" t="s">
        <v>1704</v>
      </c>
      <c r="AD1184" s="1" t="s">
        <v>1704</v>
      </c>
      <c r="AE1184" s="1" t="s">
        <v>1704</v>
      </c>
      <c r="AF1184" s="1" t="s">
        <v>1704</v>
      </c>
    </row>
    <row r="1185" spans="1:32" ht="15" x14ac:dyDescent="0.35">
      <c r="A1185" s="5" t="s">
        <v>889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>LEFT($A1185,FIND("_",$A1185)-1)</f>
        <v>AVATAR</v>
      </c>
      <c r="P1185" s="13" t="str">
        <f>IF($O1185="ACS", "True Search", IF($O1185="Arja", "Evolutionary Search", IF($O1185="AVATAR", "True Pattern", IF($O1185="CapGen", "Search Like Pattern", IF($O1185="Cardumen", "True Semantic", IF($O1185="DynaMoth", "True Semantic", IF($O1185="FixMiner", "True Pattern", IF($O1185="GenProg-A", "Evolutionary Search", IF($O1185="Hercules", "Learning Pattern", IF($O1185="Jaid", "True Semantic",
IF($O1185="Kali-A", "True Search", IF($O1185="kPAR", "True Pattern", IF($O1185="Nopol", "True Semantic", IF($O1185="RSRepair-A", "Evolutionary Search", IF($O1185="SequenceR", "Deep Learning", IF($O1185="SimFix", "Search Like Pattern", IF($O1185="SketchFix", "True Pattern", IF($O1185="SOFix", "True Pattern", IF($O1185="ssFix", "Search Like Pattern", IF($O1185="TBar", "True Pattern", ""))))))))))))))))))))</f>
        <v>True Pattern</v>
      </c>
      <c r="Q1185" s="13" t="str">
        <f>IF(NOT(ISERR(SEARCH("*_Buggy",$A1185))), "Buggy", IF(NOT(ISERR(SEARCH("*_Fixed",$A1185))), "Fixed", IF(NOT(ISERR(SEARCH("*_Repaired",$A1185))), "Repaired", "")))</f>
        <v>Repaired</v>
      </c>
      <c r="R1185" s="13" t="s">
        <v>1668</v>
      </c>
      <c r="S1185" s="25">
        <v>1</v>
      </c>
      <c r="T1185" s="25">
        <v>4</v>
      </c>
      <c r="U1185" s="25">
        <v>1</v>
      </c>
      <c r="V1185" s="13">
        <v>4</v>
      </c>
      <c r="W1185" s="13" t="str">
        <f>MID(A1185, SEARCH("_", A1185) +1, SEARCH("_", A1185, SEARCH("_", A1185) +1) - SEARCH("_", A1185) -1)</f>
        <v>Mockito-38</v>
      </c>
      <c r="Y1185" s="1" t="str">
        <f t="shared" si="54"/>
        <v>NO</v>
      </c>
      <c r="Z1185" s="1" t="str">
        <f t="shared" si="55"/>
        <v>NO</v>
      </c>
      <c r="AA1185" t="s">
        <v>1704</v>
      </c>
      <c r="AB1185" t="s">
        <v>1704</v>
      </c>
      <c r="AC1185" s="1" t="s">
        <v>1704</v>
      </c>
      <c r="AD1185" s="1" t="s">
        <v>1704</v>
      </c>
      <c r="AE1185" s="1" t="s">
        <v>1704</v>
      </c>
      <c r="AF1185" s="1" t="s">
        <v>1704</v>
      </c>
    </row>
    <row r="1186" spans="1:32" ht="15" x14ac:dyDescent="0.35">
      <c r="A1186" s="7" t="s">
        <v>305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>LEFT($A1186,FIND("_",$A1186)-1)</f>
        <v>AVATAR</v>
      </c>
      <c r="P1186" s="13" t="str">
        <f>IF($O1186="ACS", "True Search", IF($O1186="Arja", "Evolutionary Search", IF($O1186="AVATAR", "True Pattern", IF($O1186="CapGen", "Search Like Pattern", IF($O1186="Cardumen", "True Semantic", IF($O1186="DynaMoth", "True Semantic", IF($O1186="FixMiner", "True Pattern", IF($O1186="GenProg-A", "Evolutionary Search", IF($O1186="Hercules", "Learning Pattern", IF($O1186="Jaid", "True Semantic",
IF($O1186="Kali-A", "True Search", IF($O1186="kPAR", "True Pattern", IF($O1186="Nopol", "True Semantic", IF($O1186="RSRepair-A", "Evolutionary Search", IF($O1186="SequenceR", "Deep Learning", IF($O1186="SimFix", "Search Like Pattern", IF($O1186="SketchFix", "True Pattern", IF($O1186="SOFix", "True Pattern", IF($O1186="ssFix", "Search Like Pattern", IF($O1186="TBar", "True Pattern", ""))))))))))))))))))))</f>
        <v>True Pattern</v>
      </c>
      <c r="Q1186" s="13" t="str">
        <f>IF(NOT(ISERR(SEARCH("*_Buggy",$A1186))), "Buggy", IF(NOT(ISERR(SEARCH("*_Fixed",$A1186))), "Fixed", IF(NOT(ISERR(SEARCH("*_Repaired",$A1186))), "Repaired", "")))</f>
        <v>Repaired</v>
      </c>
      <c r="R1186" s="13" t="s">
        <v>1669</v>
      </c>
      <c r="S1186" s="25">
        <v>1</v>
      </c>
      <c r="T1186" s="25">
        <v>1</v>
      </c>
      <c r="U1186" s="25">
        <v>29</v>
      </c>
      <c r="V1186" s="13">
        <v>29</v>
      </c>
      <c r="W1186" s="13" t="str">
        <f>MID(A1186, SEARCH("_", A1186) +1, SEARCH("_", A1186, SEARCH("_", A1186) +1) - SEARCH("_", A1186) -1)</f>
        <v>Time-18</v>
      </c>
      <c r="Y1186" s="1" t="str">
        <f t="shared" si="54"/>
        <v>NO</v>
      </c>
      <c r="Z1186" s="1" t="str">
        <f t="shared" si="55"/>
        <v>NO</v>
      </c>
      <c r="AA1186" t="s">
        <v>1704</v>
      </c>
      <c r="AB1186" t="s">
        <v>1704</v>
      </c>
      <c r="AC1186" s="1" t="s">
        <v>1704</v>
      </c>
      <c r="AD1186" s="1" t="s">
        <v>1704</v>
      </c>
      <c r="AE1186" s="1" t="s">
        <v>1704</v>
      </c>
      <c r="AF1186" s="1" t="s">
        <v>1705</v>
      </c>
    </row>
    <row r="1187" spans="1:32" ht="15" x14ac:dyDescent="0.35">
      <c r="A1187" s="5" t="s">
        <v>66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>LEFT($A1187,FIND("_",$A1187)-1)</f>
        <v>DynaMoth</v>
      </c>
      <c r="P1187" s="13" t="str">
        <f>IF($O1187="ACS", "True Search", IF($O1187="Arja", "Evolutionary Search", IF($O1187="AVATAR", "True Pattern", IF($O1187="CapGen", "Search Like Pattern", IF($O1187="Cardumen", "True Semantic", IF($O1187="DynaMoth", "True Semantic", IF($O1187="FixMiner", "True Pattern", IF($O1187="GenProg-A", "Evolutionary Search", IF($O1187="Hercules", "Learning Pattern", IF($O1187="Jaid", "True Semantic",
IF($O1187="Kali-A", "True Search", IF($O1187="kPAR", "True Pattern", IF($O1187="Nopol", "True Semantic", IF($O1187="RSRepair-A", "Evolutionary Search", IF($O1187="SequenceR", "Deep Learning", IF($O1187="SimFix", "Search Like Pattern", IF($O1187="SketchFix", "True Pattern", IF($O1187="SOFix", "True Pattern", IF($O1187="ssFix", "Search Like Pattern", IF($O1187="TBar", "True Pattern", ""))))))))))))))))))))</f>
        <v>True Semantic</v>
      </c>
      <c r="Q1187" s="13" t="str">
        <f>IF(NOT(ISERR(SEARCH("*_Buggy",$A1187))), "Buggy", IF(NOT(ISERR(SEARCH("*_Fixed",$A1187))), "Fixed", IF(NOT(ISERR(SEARCH("*_Repaired",$A1187))), "Repaired", "")))</f>
        <v>Repaired</v>
      </c>
      <c r="R1187" s="13" t="s">
        <v>1669</v>
      </c>
      <c r="S1187" s="25">
        <v>1</v>
      </c>
      <c r="T1187" s="25">
        <v>4</v>
      </c>
      <c r="U1187" s="25">
        <v>2</v>
      </c>
      <c r="V1187" s="13">
        <v>4</v>
      </c>
      <c r="W1187" s="13" t="str">
        <f>MID(A1187, SEARCH("_", A1187) +1, SEARCH("_", A1187, SEARCH("_", A1187) +1) - SEARCH("_", A1187) -1)</f>
        <v>Chart-1</v>
      </c>
      <c r="Y1187" s="1" t="str">
        <f t="shared" si="54"/>
        <v>NO</v>
      </c>
      <c r="Z1187" s="1" t="str">
        <f t="shared" si="55"/>
        <v>NO</v>
      </c>
      <c r="AA1187" t="s">
        <v>1704</v>
      </c>
      <c r="AB1187" t="s">
        <v>1704</v>
      </c>
      <c r="AC1187" s="1" t="s">
        <v>1704</v>
      </c>
      <c r="AD1187" s="1" t="s">
        <v>1704</v>
      </c>
      <c r="AE1187" s="1" t="s">
        <v>1704</v>
      </c>
      <c r="AF1187" s="1" t="s">
        <v>1704</v>
      </c>
    </row>
    <row r="1188" spans="1:32" ht="15" x14ac:dyDescent="0.35">
      <c r="A1188" s="7" t="s">
        <v>642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>LEFT($A1188,FIND("_",$A1188)-1)</f>
        <v>DynaMoth</v>
      </c>
      <c r="P1188" s="13" t="str">
        <f>IF($O1188="ACS", "True Search", IF($O1188="Arja", "Evolutionary Search", IF($O1188="AVATAR", "True Pattern", IF($O1188="CapGen", "Search Like Pattern", IF($O1188="Cardumen", "True Semantic", IF($O1188="DynaMoth", "True Semantic", IF($O1188="FixMiner", "True Pattern", IF($O1188="GenProg-A", "Evolutionary Search", IF($O1188="Hercules", "Learning Pattern", IF($O1188="Jaid", "True Semantic",
IF($O1188="Kali-A", "True Search", IF($O1188="kPAR", "True Pattern", IF($O1188="Nopol", "True Semantic", IF($O1188="RSRepair-A", "Evolutionary Search", IF($O1188="SequenceR", "Deep Learning", IF($O1188="SimFix", "Search Like Pattern", IF($O1188="SketchFix", "True Pattern", IF($O1188="SOFix", "True Pattern", IF($O1188="ssFix", "Search Like Pattern", IF($O1188="TBar", "True Pattern", ""))))))))))))))))))))</f>
        <v>True Semantic</v>
      </c>
      <c r="Q1188" s="13" t="str">
        <f>IF(NOT(ISERR(SEARCH("*_Buggy",$A1188))), "Buggy", IF(NOT(ISERR(SEARCH("*_Fixed",$A1188))), "Fixed", IF(NOT(ISERR(SEARCH("*_Repaired",$A1188))), "Repaired", "")))</f>
        <v>Repaired</v>
      </c>
      <c r="R1188" s="13" t="s">
        <v>1669</v>
      </c>
      <c r="S1188" s="25">
        <v>1</v>
      </c>
      <c r="T1188" s="25">
        <v>9</v>
      </c>
      <c r="U1188" s="25">
        <v>7</v>
      </c>
      <c r="V1188" s="13">
        <v>9</v>
      </c>
      <c r="W1188" s="13" t="str">
        <f>MID(A1188, SEARCH("_", A1188) +1, SEARCH("_", A1188, SEARCH("_", A1188) +1) - SEARCH("_", A1188) -1)</f>
        <v>Chart-13</v>
      </c>
      <c r="Y1188" s="1" t="str">
        <f t="shared" si="54"/>
        <v>NO</v>
      </c>
      <c r="Z1188" s="1" t="str">
        <f t="shared" si="55"/>
        <v>NO</v>
      </c>
      <c r="AA1188" t="s">
        <v>1704</v>
      </c>
      <c r="AB1188" t="s">
        <v>1704</v>
      </c>
      <c r="AC1188" s="1" t="s">
        <v>1704</v>
      </c>
      <c r="AD1188" s="1" t="s">
        <v>1704</v>
      </c>
      <c r="AE1188" s="1" t="s">
        <v>1704</v>
      </c>
      <c r="AF1188" s="1" t="s">
        <v>1704</v>
      </c>
    </row>
    <row r="1189" spans="1:32" ht="15" x14ac:dyDescent="0.35">
      <c r="A1189" s="5" t="s">
        <v>1100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>LEFT($A1189,FIND("_",$A1189)-1)</f>
        <v>DynaMoth</v>
      </c>
      <c r="P1189" s="13" t="str">
        <f>IF($O1189="ACS", "True Search", IF($O1189="Arja", "Evolutionary Search", IF($O1189="AVATAR", "True Pattern", IF($O1189="CapGen", "Search Like Pattern", IF($O1189="Cardumen", "True Semantic", IF($O1189="DynaMoth", "True Semantic", IF($O1189="FixMiner", "True Pattern", IF($O1189="GenProg-A", "Evolutionary Search", IF($O1189="Hercules", "Learning Pattern", IF($O1189="Jaid", "True Semantic",
IF($O1189="Kali-A", "True Search", IF($O1189="kPAR", "True Pattern", IF($O1189="Nopol", "True Semantic", IF($O1189="RSRepair-A", "Evolutionary Search", IF($O1189="SequenceR", "Deep Learning", IF($O1189="SimFix", "Search Like Pattern", IF($O1189="SketchFix", "True Pattern", IF($O1189="SOFix", "True Pattern", IF($O1189="ssFix", "Search Like Pattern", IF($O1189="TBar", "True Pattern", ""))))))))))))))))))))</f>
        <v>True Semantic</v>
      </c>
      <c r="Q1189" s="13" t="str">
        <f>IF(NOT(ISERR(SEARCH("*_Buggy",$A1189))), "Buggy", IF(NOT(ISERR(SEARCH("*_Fixed",$A1189))), "Fixed", IF(NOT(ISERR(SEARCH("*_Repaired",$A1189))), "Repaired", "")))</f>
        <v>Repaired</v>
      </c>
      <c r="R1189" s="13" t="s">
        <v>1669</v>
      </c>
      <c r="S1189" s="25">
        <v>1</v>
      </c>
      <c r="T1189" s="25">
        <v>9</v>
      </c>
      <c r="U1189" s="25">
        <v>7</v>
      </c>
      <c r="V1189" s="13">
        <v>9</v>
      </c>
      <c r="W1189" s="13" t="str">
        <f>MID(A1189, SEARCH("_", A1189) +1, SEARCH("_", A1189, SEARCH("_", A1189) +1) - SEARCH("_", A1189) -1)</f>
        <v>Chart-25</v>
      </c>
      <c r="Y1189" s="1" t="str">
        <f t="shared" si="54"/>
        <v>NO</v>
      </c>
      <c r="Z1189" s="1" t="str">
        <f t="shared" si="55"/>
        <v>NO</v>
      </c>
      <c r="AA1189" t="s">
        <v>1704</v>
      </c>
      <c r="AB1189" t="s">
        <v>1704</v>
      </c>
      <c r="AC1189" s="1" t="s">
        <v>1704</v>
      </c>
      <c r="AD1189" s="1" t="s">
        <v>1704</v>
      </c>
      <c r="AE1189" s="1" t="s">
        <v>1704</v>
      </c>
      <c r="AF1189" s="1" t="s">
        <v>1705</v>
      </c>
    </row>
    <row r="1190" spans="1:32" ht="15" x14ac:dyDescent="0.35">
      <c r="A1190" s="7" t="s">
        <v>816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>LEFT($A1190,FIND("_",$A1190)-1)</f>
        <v>DynaMoth</v>
      </c>
      <c r="P1190" s="13" t="str">
        <f>IF($O1190="ACS", "True Search", IF($O1190="Arja", "Evolutionary Search", IF($O1190="AVATAR", "True Pattern", IF($O1190="CapGen", "Search Like Pattern", IF($O1190="Cardumen", "True Semantic", IF($O1190="DynaMoth", "True Semantic", IF($O1190="FixMiner", "True Pattern", IF($O1190="GenProg-A", "Evolutionary Search", IF($O1190="Hercules", "Learning Pattern", IF($O1190="Jaid", "True Semantic",
IF($O1190="Kali-A", "True Search", IF($O1190="kPAR", "True Pattern", IF($O1190="Nopol", "True Semantic", IF($O1190="RSRepair-A", "Evolutionary Search", IF($O1190="SequenceR", "Deep Learning", IF($O1190="SimFix", "Search Like Pattern", IF($O1190="SketchFix", "True Pattern", IF($O1190="SOFix", "True Pattern", IF($O1190="ssFix", "Search Like Pattern", IF($O1190="TBar", "True Pattern", ""))))))))))))))))))))</f>
        <v>True Semantic</v>
      </c>
      <c r="Q1190" s="13" t="str">
        <f>IF(NOT(ISERR(SEARCH("*_Buggy",$A1190))), "Buggy", IF(NOT(ISERR(SEARCH("*_Fixed",$A1190))), "Fixed", IF(NOT(ISERR(SEARCH("*_Repaired",$A1190))), "Repaired", "")))</f>
        <v>Repaired</v>
      </c>
      <c r="R1190" s="13" t="s">
        <v>1669</v>
      </c>
      <c r="S1190" s="25">
        <v>1</v>
      </c>
      <c r="T1190" s="25">
        <v>1</v>
      </c>
      <c r="U1190" s="25">
        <v>1</v>
      </c>
      <c r="V1190" s="13">
        <v>1</v>
      </c>
      <c r="W1190" s="13" t="str">
        <f>MID(A1190, SEARCH("_", A1190) +1, SEARCH("_", A1190, SEARCH("_", A1190) +1) - SEARCH("_", A1190) -1)</f>
        <v>Chart-5</v>
      </c>
      <c r="Y1190" s="1" t="str">
        <f t="shared" ref="Y1190:Y1253" si="56">IF(AND(S1190&gt;1,S1190=V1190), "YES", "NO")</f>
        <v>NO</v>
      </c>
      <c r="Z1190" s="1" t="str">
        <f t="shared" ref="Z1190:Z1253" si="57">IF(AND(S1190&gt;1,S1190&lt;V1190), "YES", "NO")</f>
        <v>NO</v>
      </c>
      <c r="AA1190" t="s">
        <v>1704</v>
      </c>
      <c r="AB1190" t="s">
        <v>1704</v>
      </c>
      <c r="AC1190" s="1" t="s">
        <v>1704</v>
      </c>
      <c r="AD1190" s="1" t="s">
        <v>1704</v>
      </c>
      <c r="AE1190" s="1" t="s">
        <v>1704</v>
      </c>
      <c r="AF1190" s="1" t="s">
        <v>1704</v>
      </c>
    </row>
    <row r="1191" spans="1:32" ht="15" x14ac:dyDescent="0.35">
      <c r="A1191" s="5" t="s">
        <v>253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>LEFT($A1191,FIND("_",$A1191)-1)</f>
        <v>DynaMoth</v>
      </c>
      <c r="P1191" s="13" t="str">
        <f>IF($O1191="ACS", "True Search", IF($O1191="Arja", "Evolutionary Search", IF($O1191="AVATAR", "True Pattern", IF($O1191="CapGen", "Search Like Pattern", IF($O1191="Cardumen", "True Semantic", IF($O1191="DynaMoth", "True Semantic", IF($O1191="FixMiner", "True Pattern", IF($O1191="GenProg-A", "Evolutionary Search", IF($O1191="Hercules", "Learning Pattern", IF($O1191="Jaid", "True Semantic",
IF($O1191="Kali-A", "True Search", IF($O1191="kPAR", "True Pattern", IF($O1191="Nopol", "True Semantic", IF($O1191="RSRepair-A", "Evolutionary Search", IF($O1191="SequenceR", "Deep Learning", IF($O1191="SimFix", "Search Like Pattern", IF($O1191="SketchFix", "True Pattern", IF($O1191="SOFix", "True Pattern", IF($O1191="ssFix", "Search Like Pattern", IF($O1191="TBar", "True Pattern", ""))))))))))))))))))))</f>
        <v>True Semantic</v>
      </c>
      <c r="Q1191" s="13" t="str">
        <f>IF(NOT(ISERR(SEARCH("*_Buggy",$A1191))), "Buggy", IF(NOT(ISERR(SEARCH("*_Fixed",$A1191))), "Fixed", IF(NOT(ISERR(SEARCH("*_Repaired",$A1191))), "Repaired", "")))</f>
        <v>Repaired</v>
      </c>
      <c r="R1191" s="13" t="s">
        <v>1668</v>
      </c>
      <c r="S1191" s="25">
        <v>1</v>
      </c>
      <c r="T1191" s="25">
        <v>3</v>
      </c>
      <c r="U1191" s="25">
        <v>1</v>
      </c>
      <c r="V1191" s="13">
        <v>3</v>
      </c>
      <c r="W1191" s="13" t="str">
        <f>MID(A1191, SEARCH("_", A1191) +1, SEARCH("_", A1191, SEARCH("_", A1191) +1) - SEARCH("_", A1191) -1)</f>
        <v>Lang-46</v>
      </c>
      <c r="Y1191" s="1" t="str">
        <f t="shared" si="56"/>
        <v>NO</v>
      </c>
      <c r="Z1191" s="1" t="str">
        <f t="shared" si="57"/>
        <v>NO</v>
      </c>
      <c r="AA1191" t="s">
        <v>1704</v>
      </c>
      <c r="AB1191" t="s">
        <v>1704</v>
      </c>
      <c r="AC1191" s="1" t="s">
        <v>1704</v>
      </c>
      <c r="AD1191" s="1" t="s">
        <v>1704</v>
      </c>
      <c r="AE1191" s="1" t="s">
        <v>1704</v>
      </c>
      <c r="AF1191" s="1" t="s">
        <v>1705</v>
      </c>
    </row>
    <row r="1192" spans="1:32" ht="15" x14ac:dyDescent="0.35">
      <c r="A1192" s="5" t="s">
        <v>272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>LEFT($A1192,FIND("_",$A1192)-1)</f>
        <v>DynaMoth</v>
      </c>
      <c r="P1192" s="13" t="str">
        <f>IF($O1192="ACS", "True Search", IF($O1192="Arja", "Evolutionary Search", IF($O1192="AVATAR", "True Pattern", IF($O1192="CapGen", "Search Like Pattern", IF($O1192="Cardumen", "True Semantic", IF($O1192="DynaMoth", "True Semantic", IF($O1192="FixMiner", "True Pattern", IF($O1192="GenProg-A", "Evolutionary Search", IF($O1192="Hercules", "Learning Pattern", IF($O1192="Jaid", "True Semantic",
IF($O1192="Kali-A", "True Search", IF($O1192="kPAR", "True Pattern", IF($O1192="Nopol", "True Semantic", IF($O1192="RSRepair-A", "Evolutionary Search", IF($O1192="SequenceR", "Deep Learning", IF($O1192="SimFix", "Search Like Pattern", IF($O1192="SketchFix", "True Pattern", IF($O1192="SOFix", "True Pattern", IF($O1192="ssFix", "Search Like Pattern", IF($O1192="TBar", "True Pattern", ""))))))))))))))))))))</f>
        <v>True Semantic</v>
      </c>
      <c r="Q1192" s="13" t="str">
        <f>IF(NOT(ISERR(SEARCH("*_Buggy",$A1192))), "Buggy", IF(NOT(ISERR(SEARCH("*_Fixed",$A1192))), "Fixed", IF(NOT(ISERR(SEARCH("*_Repaired",$A1192))), "Repaired", "")))</f>
        <v>Repaired</v>
      </c>
      <c r="R1192" s="13" t="s">
        <v>1669</v>
      </c>
      <c r="S1192" s="25">
        <v>1</v>
      </c>
      <c r="T1192" s="25">
        <v>4</v>
      </c>
      <c r="U1192" s="25">
        <v>4</v>
      </c>
      <c r="V1192" s="13">
        <v>4</v>
      </c>
      <c r="W1192" s="13" t="str">
        <f>MID(A1192, SEARCH("_", A1192) +1, SEARCH("_", A1192, SEARCH("_", A1192) +1) - SEARCH("_", A1192) -1)</f>
        <v>Lang-51</v>
      </c>
      <c r="Y1192" s="1" t="str">
        <f t="shared" si="56"/>
        <v>NO</v>
      </c>
      <c r="Z1192" s="1" t="str">
        <f t="shared" si="57"/>
        <v>NO</v>
      </c>
      <c r="AA1192" t="s">
        <v>1704</v>
      </c>
      <c r="AB1192" t="s">
        <v>1704</v>
      </c>
      <c r="AC1192" s="1" t="s">
        <v>1704</v>
      </c>
      <c r="AD1192" s="1" t="s">
        <v>1704</v>
      </c>
      <c r="AE1192" s="1" t="s">
        <v>1704</v>
      </c>
      <c r="AF1192" s="1" t="s">
        <v>1704</v>
      </c>
    </row>
    <row r="1193" spans="1:32" ht="15" x14ac:dyDescent="0.35">
      <c r="A1193" s="5" t="s">
        <v>515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>LEFT($A1193,FIND("_",$A1193)-1)</f>
        <v>DynaMoth</v>
      </c>
      <c r="P1193" s="13" t="str">
        <f>IF($O1193="ACS", "True Search", IF($O1193="Arja", "Evolutionary Search", IF($O1193="AVATAR", "True Pattern", IF($O1193="CapGen", "Search Like Pattern", IF($O1193="Cardumen", "True Semantic", IF($O1193="DynaMoth", "True Semantic", IF($O1193="FixMiner", "True Pattern", IF($O1193="GenProg-A", "Evolutionary Search", IF($O1193="Hercules", "Learning Pattern", IF($O1193="Jaid", "True Semantic",
IF($O1193="Kali-A", "True Search", IF($O1193="kPAR", "True Pattern", IF($O1193="Nopol", "True Semantic", IF($O1193="RSRepair-A", "Evolutionary Search", IF($O1193="SequenceR", "Deep Learning", IF($O1193="SimFix", "Search Like Pattern", IF($O1193="SketchFix", "True Pattern", IF($O1193="SOFix", "True Pattern", IF($O1193="ssFix", "Search Like Pattern", IF($O1193="TBar", "True Pattern", ""))))))))))))))))))))</f>
        <v>True Semantic</v>
      </c>
      <c r="Q1193" s="13" t="str">
        <f>IF(NOT(ISERR(SEARCH("*_Buggy",$A1193))), "Buggy", IF(NOT(ISERR(SEARCH("*_Fixed",$A1193))), "Fixed", IF(NOT(ISERR(SEARCH("*_Repaired",$A1193))), "Repaired", "")))</f>
        <v>Repaired</v>
      </c>
      <c r="R1193" s="13" t="s">
        <v>1668</v>
      </c>
      <c r="S1193" s="25">
        <v>1</v>
      </c>
      <c r="T1193" s="25">
        <v>3</v>
      </c>
      <c r="U1193" s="25">
        <v>1</v>
      </c>
      <c r="V1193" s="13">
        <v>3</v>
      </c>
      <c r="W1193" s="13" t="str">
        <f>MID(A1193, SEARCH("_", A1193) +1, SEARCH("_", A1193, SEARCH("_", A1193) +1) - SEARCH("_", A1193) -1)</f>
        <v>Lang-55</v>
      </c>
      <c r="Y1193" s="1" t="str">
        <f t="shared" si="56"/>
        <v>NO</v>
      </c>
      <c r="Z1193" s="1" t="str">
        <f t="shared" si="57"/>
        <v>NO</v>
      </c>
      <c r="AA1193" t="s">
        <v>1704</v>
      </c>
      <c r="AB1193" t="s">
        <v>1704</v>
      </c>
      <c r="AC1193" s="1" t="s">
        <v>1704</v>
      </c>
      <c r="AD1193" s="1" t="s">
        <v>1704</v>
      </c>
      <c r="AE1193" s="1" t="s">
        <v>1704</v>
      </c>
      <c r="AF1193" s="1" t="s">
        <v>1705</v>
      </c>
    </row>
    <row r="1194" spans="1:32" ht="15" x14ac:dyDescent="0.35">
      <c r="A1194" s="5" t="s">
        <v>803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>LEFT($A1194,FIND("_",$A1194)-1)</f>
        <v>DynaMoth</v>
      </c>
      <c r="P1194" s="13" t="str">
        <f>IF($O1194="ACS", "True Search", IF($O1194="Arja", "Evolutionary Search", IF($O1194="AVATAR", "True Pattern", IF($O1194="CapGen", "Search Like Pattern", IF($O1194="Cardumen", "True Semantic", IF($O1194="DynaMoth", "True Semantic", IF($O1194="FixMiner", "True Pattern", IF($O1194="GenProg-A", "Evolutionary Search", IF($O1194="Hercules", "Learning Pattern", IF($O1194="Jaid", "True Semantic",
IF($O1194="Kali-A", "True Search", IF($O1194="kPAR", "True Pattern", IF($O1194="Nopol", "True Semantic", IF($O1194="RSRepair-A", "Evolutionary Search", IF($O1194="SequenceR", "Deep Learning", IF($O1194="SimFix", "Search Like Pattern", IF($O1194="SketchFix", "True Pattern", IF($O1194="SOFix", "True Pattern", IF($O1194="ssFix", "Search Like Pattern", IF($O1194="TBar", "True Pattern", ""))))))))))))))))))))</f>
        <v>True Semantic</v>
      </c>
      <c r="Q1194" s="13" t="str">
        <f>IF(NOT(ISERR(SEARCH("*_Buggy",$A1194))), "Buggy", IF(NOT(ISERR(SEARCH("*_Fixed",$A1194))), "Fixed", IF(NOT(ISERR(SEARCH("*_Repaired",$A1194))), "Repaired", "")))</f>
        <v>Repaired</v>
      </c>
      <c r="R1194" s="13" t="s">
        <v>1669</v>
      </c>
      <c r="S1194" s="25">
        <v>2</v>
      </c>
      <c r="T1194" s="25">
        <v>2</v>
      </c>
      <c r="U1194" s="25">
        <v>5</v>
      </c>
      <c r="V1194" s="13">
        <v>5</v>
      </c>
      <c r="W1194" s="13" t="str">
        <f>MID(A1194, SEARCH("_", A1194) +1, SEARCH("_", A1194, SEARCH("_", A1194) +1) - SEARCH("_", A1194) -1)</f>
        <v>Lang-58</v>
      </c>
      <c r="Y1194" s="1" t="str">
        <f t="shared" si="56"/>
        <v>NO</v>
      </c>
      <c r="Z1194" s="1" t="str">
        <f t="shared" si="57"/>
        <v>YES</v>
      </c>
      <c r="AA1194" t="s">
        <v>1704</v>
      </c>
      <c r="AB1194" t="s">
        <v>1704</v>
      </c>
      <c r="AC1194" s="1" t="s">
        <v>1704</v>
      </c>
      <c r="AD1194" s="1" t="s">
        <v>1704</v>
      </c>
      <c r="AE1194" s="1" t="s">
        <v>1704</v>
      </c>
      <c r="AF1194" s="1" t="s">
        <v>1705</v>
      </c>
    </row>
    <row r="1195" spans="1:32" ht="15" x14ac:dyDescent="0.35">
      <c r="A1195" s="7" t="s">
        <v>1184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>LEFT($A1195,FIND("_",$A1195)-1)</f>
        <v>DynaMoth</v>
      </c>
      <c r="P1195" s="13" t="str">
        <f>IF($O1195="ACS", "True Search", IF($O1195="Arja", "Evolutionary Search", IF($O1195="AVATAR", "True Pattern", IF($O1195="CapGen", "Search Like Pattern", IF($O1195="Cardumen", "True Semantic", IF($O1195="DynaMoth", "True Semantic", IF($O1195="FixMiner", "True Pattern", IF($O1195="GenProg-A", "Evolutionary Search", IF($O1195="Hercules", "Learning Pattern", IF($O1195="Jaid", "True Semantic",
IF($O1195="Kali-A", "True Search", IF($O1195="kPAR", "True Pattern", IF($O1195="Nopol", "True Semantic", IF($O1195="RSRepair-A", "Evolutionary Search", IF($O1195="SequenceR", "Deep Learning", IF($O1195="SimFix", "Search Like Pattern", IF($O1195="SketchFix", "True Pattern", IF($O1195="SOFix", "True Pattern", IF($O1195="ssFix", "Search Like Pattern", IF($O1195="TBar", "True Pattern", ""))))))))))))))))))))</f>
        <v>True Semantic</v>
      </c>
      <c r="Q1195" s="13" t="str">
        <f>IF(NOT(ISERR(SEARCH("*_Buggy",$A1195))), "Buggy", IF(NOT(ISERR(SEARCH("*_Fixed",$A1195))), "Fixed", IF(NOT(ISERR(SEARCH("*_Repaired",$A1195))), "Repaired", "")))</f>
        <v>Repaired</v>
      </c>
      <c r="R1195" s="13" t="s">
        <v>1669</v>
      </c>
      <c r="S1195" s="25">
        <v>1</v>
      </c>
      <c r="T1195" s="25">
        <v>3</v>
      </c>
      <c r="U1195" s="25">
        <v>1</v>
      </c>
      <c r="V1195" s="13">
        <v>3</v>
      </c>
      <c r="W1195" s="13" t="str">
        <f>MID(A1195, SEARCH("_", A1195) +1, SEARCH("_", A1195, SEARCH("_", A1195) +1) - SEARCH("_", A1195) -1)</f>
        <v>Lang-63</v>
      </c>
      <c r="Y1195" s="1" t="str">
        <f t="shared" si="56"/>
        <v>NO</v>
      </c>
      <c r="Z1195" s="1" t="str">
        <f t="shared" si="57"/>
        <v>NO</v>
      </c>
      <c r="AA1195" t="s">
        <v>1704</v>
      </c>
      <c r="AB1195" t="s">
        <v>1704</v>
      </c>
      <c r="AC1195" s="1" t="s">
        <v>1704</v>
      </c>
      <c r="AD1195" s="1" t="s">
        <v>1704</v>
      </c>
      <c r="AE1195" s="1" t="s">
        <v>1704</v>
      </c>
      <c r="AF1195" s="1" t="s">
        <v>1705</v>
      </c>
    </row>
    <row r="1196" spans="1:32" ht="15" x14ac:dyDescent="0.35">
      <c r="A1196" s="5" t="s">
        <v>400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>LEFT($A1196,FIND("_",$A1196)-1)</f>
        <v>DynaMoth</v>
      </c>
      <c r="P1196" s="13" t="str">
        <f>IF($O1196="ACS", "True Search", IF($O1196="Arja", "Evolutionary Search", IF($O1196="AVATAR", "True Pattern", IF($O1196="CapGen", "Search Like Pattern", IF($O1196="Cardumen", "True Semantic", IF($O1196="DynaMoth", "True Semantic", IF($O1196="FixMiner", "True Pattern", IF($O1196="GenProg-A", "Evolutionary Search", IF($O1196="Hercules", "Learning Pattern", IF($O1196="Jaid", "True Semantic",
IF($O1196="Kali-A", "True Search", IF($O1196="kPAR", "True Pattern", IF($O1196="Nopol", "True Semantic", IF($O1196="RSRepair-A", "Evolutionary Search", IF($O1196="SequenceR", "Deep Learning", IF($O1196="SimFix", "Search Like Pattern", IF($O1196="SketchFix", "True Pattern", IF($O1196="SOFix", "True Pattern", IF($O1196="ssFix", "Search Like Pattern", IF($O1196="TBar", "True Pattern", ""))))))))))))))))))))</f>
        <v>True Semantic</v>
      </c>
      <c r="Q1196" s="13" t="str">
        <f>IF(NOT(ISERR(SEARCH("*_Buggy",$A1196))), "Buggy", IF(NOT(ISERR(SEARCH("*_Fixed",$A1196))), "Fixed", IF(NOT(ISERR(SEARCH("*_Repaired",$A1196))), "Repaired", "")))</f>
        <v>Repaired</v>
      </c>
      <c r="R1196" s="13" t="s">
        <v>1669</v>
      </c>
      <c r="S1196" s="25">
        <v>1</v>
      </c>
      <c r="T1196" s="25">
        <v>1</v>
      </c>
      <c r="U1196" s="25">
        <v>2</v>
      </c>
      <c r="V1196" s="13">
        <v>2</v>
      </c>
      <c r="W1196" s="13" t="str">
        <f>MID(A1196, SEARCH("_", A1196) +1, SEARCH("_", A1196, SEARCH("_", A1196) +1) - SEARCH("_", A1196) -1)</f>
        <v>Math-101</v>
      </c>
      <c r="Y1196" s="1" t="str">
        <f t="shared" si="56"/>
        <v>NO</v>
      </c>
      <c r="Z1196" s="1" t="str">
        <f t="shared" si="57"/>
        <v>NO</v>
      </c>
      <c r="AA1196" t="s">
        <v>1704</v>
      </c>
      <c r="AB1196" t="s">
        <v>1704</v>
      </c>
      <c r="AC1196" s="1" t="s">
        <v>1704</v>
      </c>
      <c r="AD1196" s="1" t="s">
        <v>1705</v>
      </c>
      <c r="AE1196" s="1" t="s">
        <v>1704</v>
      </c>
      <c r="AF1196" s="1" t="s">
        <v>1705</v>
      </c>
    </row>
    <row r="1197" spans="1:32" ht="15" x14ac:dyDescent="0.35">
      <c r="A1197" s="5" t="s">
        <v>1035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>LEFT($A1197,FIND("_",$A1197)-1)</f>
        <v>DynaMoth</v>
      </c>
      <c r="P1197" s="13" t="str">
        <f>IF($O1197="ACS", "True Search", IF($O1197="Arja", "Evolutionary Search", IF($O1197="AVATAR", "True Pattern", IF($O1197="CapGen", "Search Like Pattern", IF($O1197="Cardumen", "True Semantic", IF($O1197="DynaMoth", "True Semantic", IF($O1197="FixMiner", "True Pattern", IF($O1197="GenProg-A", "Evolutionary Search", IF($O1197="Hercules", "Learning Pattern", IF($O1197="Jaid", "True Semantic",
IF($O1197="Kali-A", "True Search", IF($O1197="kPAR", "True Pattern", IF($O1197="Nopol", "True Semantic", IF($O1197="RSRepair-A", "Evolutionary Search", IF($O1197="SequenceR", "Deep Learning", IF($O1197="SimFix", "Search Like Pattern", IF($O1197="SketchFix", "True Pattern", IF($O1197="SOFix", "True Pattern", IF($O1197="ssFix", "Search Like Pattern", IF($O1197="TBar", "True Pattern", ""))))))))))))))))))))</f>
        <v>True Semantic</v>
      </c>
      <c r="Q1197" s="13" t="str">
        <f>IF(NOT(ISERR(SEARCH("*_Buggy",$A1197))), "Buggy", IF(NOT(ISERR(SEARCH("*_Fixed",$A1197))), "Fixed", IF(NOT(ISERR(SEARCH("*_Repaired",$A1197))), "Repaired", "")))</f>
        <v>Repaired</v>
      </c>
      <c r="R1197" s="13" t="s">
        <v>1669</v>
      </c>
      <c r="S1197" s="25">
        <v>1</v>
      </c>
      <c r="T1197" s="25">
        <v>3</v>
      </c>
      <c r="U1197" s="25">
        <v>1</v>
      </c>
      <c r="V1197" s="13">
        <v>3</v>
      </c>
      <c r="W1197" s="13" t="str">
        <f>MID(A1197, SEARCH("_", A1197) +1, SEARCH("_", A1197, SEARCH("_", A1197) +1) - SEARCH("_", A1197) -1)</f>
        <v>Math-105</v>
      </c>
      <c r="Y1197" s="1" t="str">
        <f t="shared" si="56"/>
        <v>NO</v>
      </c>
      <c r="Z1197" s="1" t="str">
        <f t="shared" si="57"/>
        <v>NO</v>
      </c>
      <c r="AA1197" t="s">
        <v>1704</v>
      </c>
      <c r="AB1197" t="s">
        <v>1704</v>
      </c>
      <c r="AC1197" s="1" t="s">
        <v>1704</v>
      </c>
      <c r="AD1197" s="1" t="s">
        <v>1704</v>
      </c>
      <c r="AE1197" s="1" t="s">
        <v>1704</v>
      </c>
      <c r="AF1197" s="1" t="s">
        <v>1704</v>
      </c>
    </row>
    <row r="1198" spans="1:32" ht="15" x14ac:dyDescent="0.35">
      <c r="A1198" s="7" t="s">
        <v>342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>LEFT($A1198,FIND("_",$A1198)-1)</f>
        <v>DynaMoth</v>
      </c>
      <c r="P1198" s="13" t="str">
        <f>IF($O1198="ACS", "True Search", IF($O1198="Arja", "Evolutionary Search", IF($O1198="AVATAR", "True Pattern", IF($O1198="CapGen", "Search Like Pattern", IF($O1198="Cardumen", "True Semantic", IF($O1198="DynaMoth", "True Semantic", IF($O1198="FixMiner", "True Pattern", IF($O1198="GenProg-A", "Evolutionary Search", IF($O1198="Hercules", "Learning Pattern", IF($O1198="Jaid", "True Semantic",
IF($O1198="Kali-A", "True Search", IF($O1198="kPAR", "True Pattern", IF($O1198="Nopol", "True Semantic", IF($O1198="RSRepair-A", "Evolutionary Search", IF($O1198="SequenceR", "Deep Learning", IF($O1198="SimFix", "Search Like Pattern", IF($O1198="SketchFix", "True Pattern", IF($O1198="SOFix", "True Pattern", IF($O1198="ssFix", "Search Like Pattern", IF($O1198="TBar", "True Pattern", ""))))))))))))))))))))</f>
        <v>True Semantic</v>
      </c>
      <c r="Q1198" s="13" t="str">
        <f>IF(NOT(ISERR(SEARCH("*_Buggy",$A1198))), "Buggy", IF(NOT(ISERR(SEARCH("*_Fixed",$A1198))), "Fixed", IF(NOT(ISERR(SEARCH("*_Repaired",$A1198))), "Repaired", "")))</f>
        <v>Repaired</v>
      </c>
      <c r="R1198" s="13" t="s">
        <v>1669</v>
      </c>
      <c r="S1198" s="25">
        <v>1</v>
      </c>
      <c r="T1198" s="25">
        <v>1</v>
      </c>
      <c r="U1198" s="25">
        <v>1</v>
      </c>
      <c r="V1198" s="13">
        <v>1</v>
      </c>
      <c r="W1198" s="13" t="str">
        <f>MID(A1198, SEARCH("_", A1198) +1, SEARCH("_", A1198, SEARCH("_", A1198) +1) - SEARCH("_", A1198) -1)</f>
        <v>Math-20</v>
      </c>
      <c r="Y1198" s="1" t="str">
        <f t="shared" si="56"/>
        <v>NO</v>
      </c>
      <c r="Z1198" s="1" t="str">
        <f t="shared" si="57"/>
        <v>NO</v>
      </c>
      <c r="AA1198" t="s">
        <v>1704</v>
      </c>
      <c r="AB1198" t="s">
        <v>1704</v>
      </c>
      <c r="AC1198" s="1" t="s">
        <v>1704</v>
      </c>
      <c r="AD1198" s="1" t="s">
        <v>1704</v>
      </c>
      <c r="AE1198" s="1" t="s">
        <v>1704</v>
      </c>
      <c r="AF1198" s="1" t="s">
        <v>1704</v>
      </c>
    </row>
    <row r="1199" spans="1:32" ht="15" x14ac:dyDescent="0.35">
      <c r="A1199" s="5" t="s">
        <v>960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>LEFT($A1199,FIND("_",$A1199)-1)</f>
        <v>DynaMoth</v>
      </c>
      <c r="P1199" s="13" t="str">
        <f>IF($O1199="ACS", "True Search", IF($O1199="Arja", "Evolutionary Search", IF($O1199="AVATAR", "True Pattern", IF($O1199="CapGen", "Search Like Pattern", IF($O1199="Cardumen", "True Semantic", IF($O1199="DynaMoth", "True Semantic", IF($O1199="FixMiner", "True Pattern", IF($O1199="GenProg-A", "Evolutionary Search", IF($O1199="Hercules", "Learning Pattern", IF($O1199="Jaid", "True Semantic",
IF($O1199="Kali-A", "True Search", IF($O1199="kPAR", "True Pattern", IF($O1199="Nopol", "True Semantic", IF($O1199="RSRepair-A", "Evolutionary Search", IF($O1199="SequenceR", "Deep Learning", IF($O1199="SimFix", "Search Like Pattern", IF($O1199="SketchFix", "True Pattern", IF($O1199="SOFix", "True Pattern", IF($O1199="ssFix", "Search Like Pattern", IF($O1199="TBar", "True Pattern", ""))))))))))))))))))))</f>
        <v>True Semantic</v>
      </c>
      <c r="Q1199" s="13" t="str">
        <f>IF(NOT(ISERR(SEARCH("*_Buggy",$A1199))), "Buggy", IF(NOT(ISERR(SEARCH("*_Fixed",$A1199))), "Fixed", IF(NOT(ISERR(SEARCH("*_Repaired",$A1199))), "Repaired", "")))</f>
        <v>Repaired</v>
      </c>
      <c r="R1199" s="13" t="s">
        <v>1669</v>
      </c>
      <c r="S1199" s="25">
        <v>1</v>
      </c>
      <c r="T1199" s="25">
        <v>3</v>
      </c>
      <c r="U1199" s="25">
        <v>1</v>
      </c>
      <c r="V1199" s="13">
        <v>3</v>
      </c>
      <c r="W1199" s="13" t="str">
        <f>MID(A1199, SEARCH("_", A1199) +1, SEARCH("_", A1199, SEARCH("_", A1199) +1) - SEARCH("_", A1199) -1)</f>
        <v>Math-28</v>
      </c>
      <c r="Y1199" s="1" t="str">
        <f t="shared" si="56"/>
        <v>NO</v>
      </c>
      <c r="Z1199" s="1" t="str">
        <f t="shared" si="57"/>
        <v>NO</v>
      </c>
      <c r="AA1199" t="s">
        <v>1704</v>
      </c>
      <c r="AB1199" t="s">
        <v>1704</v>
      </c>
      <c r="AC1199" s="1" t="s">
        <v>1704</v>
      </c>
      <c r="AD1199" s="1" t="s">
        <v>1704</v>
      </c>
      <c r="AE1199" s="1" t="s">
        <v>1704</v>
      </c>
      <c r="AF1199" s="1" t="s">
        <v>1705</v>
      </c>
    </row>
    <row r="1200" spans="1:32" ht="15" x14ac:dyDescent="0.35">
      <c r="A1200" s="7" t="s">
        <v>674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>LEFT($A1200,FIND("_",$A1200)-1)</f>
        <v>DynaMoth</v>
      </c>
      <c r="P1200" s="13" t="str">
        <f>IF($O1200="ACS", "True Search", IF($O1200="Arja", "Evolutionary Search", IF($O1200="AVATAR", "True Pattern", IF($O1200="CapGen", "Search Like Pattern", IF($O1200="Cardumen", "True Semantic", IF($O1200="DynaMoth", "True Semantic", IF($O1200="FixMiner", "True Pattern", IF($O1200="GenProg-A", "Evolutionary Search", IF($O1200="Hercules", "Learning Pattern", IF($O1200="Jaid", "True Semantic",
IF($O1200="Kali-A", "True Search", IF($O1200="kPAR", "True Pattern", IF($O1200="Nopol", "True Semantic", IF($O1200="RSRepair-A", "Evolutionary Search", IF($O1200="SequenceR", "Deep Learning", IF($O1200="SimFix", "Search Like Pattern", IF($O1200="SketchFix", "True Pattern", IF($O1200="SOFix", "True Pattern", IF($O1200="ssFix", "Search Like Pattern", IF($O1200="TBar", "True Pattern", ""))))))))))))))))))))</f>
        <v>True Semantic</v>
      </c>
      <c r="Q1200" s="13" t="str">
        <f>IF(NOT(ISERR(SEARCH("*_Buggy",$A1200))), "Buggy", IF(NOT(ISERR(SEARCH("*_Fixed",$A1200))), "Fixed", IF(NOT(ISERR(SEARCH("*_Repaired",$A1200))), "Repaired", "")))</f>
        <v>Repaired</v>
      </c>
      <c r="R1200" s="13" t="s">
        <v>1669</v>
      </c>
      <c r="S1200" s="25">
        <v>1</v>
      </c>
      <c r="T1200" s="25">
        <v>1</v>
      </c>
      <c r="U1200" s="25">
        <v>1</v>
      </c>
      <c r="V1200" s="13">
        <v>1</v>
      </c>
      <c r="W1200" s="13" t="str">
        <f>MID(A1200, SEARCH("_", A1200) +1, SEARCH("_", A1200, SEARCH("_", A1200) +1) - SEARCH("_", A1200) -1)</f>
        <v>Math-32</v>
      </c>
      <c r="Y1200" s="1" t="str">
        <f t="shared" si="56"/>
        <v>NO</v>
      </c>
      <c r="Z1200" s="1" t="str">
        <f t="shared" si="57"/>
        <v>NO</v>
      </c>
      <c r="AA1200" t="s">
        <v>1704</v>
      </c>
      <c r="AB1200" t="s">
        <v>1704</v>
      </c>
      <c r="AC1200" s="1" t="s">
        <v>1705</v>
      </c>
      <c r="AD1200" s="1" t="s">
        <v>1704</v>
      </c>
      <c r="AE1200" s="1" t="s">
        <v>1705</v>
      </c>
      <c r="AF1200" s="1" t="s">
        <v>1704</v>
      </c>
    </row>
    <row r="1201" spans="1:32" ht="15" x14ac:dyDescent="0.35">
      <c r="A1201" s="7" t="s">
        <v>1013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>LEFT($A1201,FIND("_",$A1201)-1)</f>
        <v>DynaMoth</v>
      </c>
      <c r="P1201" s="13" t="str">
        <f>IF($O1201="ACS", "True Search", IF($O1201="Arja", "Evolutionary Search", IF($O1201="AVATAR", "True Pattern", IF($O1201="CapGen", "Search Like Pattern", IF($O1201="Cardumen", "True Semantic", IF($O1201="DynaMoth", "True Semantic", IF($O1201="FixMiner", "True Pattern", IF($O1201="GenProg-A", "Evolutionary Search", IF($O1201="Hercules", "Learning Pattern", IF($O1201="Jaid", "True Semantic",
IF($O1201="Kali-A", "True Search", IF($O1201="kPAR", "True Pattern", IF($O1201="Nopol", "True Semantic", IF($O1201="RSRepair-A", "Evolutionary Search", IF($O1201="SequenceR", "Deep Learning", IF($O1201="SimFix", "Search Like Pattern", IF($O1201="SketchFix", "True Pattern", IF($O1201="SOFix", "True Pattern", IF($O1201="ssFix", "Search Like Pattern", IF($O1201="TBar", "True Pattern", ""))))))))))))))))))))</f>
        <v>True Semantic</v>
      </c>
      <c r="Q1201" s="13" t="str">
        <f>IF(NOT(ISERR(SEARCH("*_Buggy",$A1201))), "Buggy", IF(NOT(ISERR(SEARCH("*_Fixed",$A1201))), "Fixed", IF(NOT(ISERR(SEARCH("*_Repaired",$A1201))), "Repaired", "")))</f>
        <v>Repaired</v>
      </c>
      <c r="R1201" s="13" t="s">
        <v>1669</v>
      </c>
      <c r="S1201" s="25">
        <v>1</v>
      </c>
      <c r="T1201" s="25">
        <v>10</v>
      </c>
      <c r="U1201" s="25">
        <v>8</v>
      </c>
      <c r="V1201" s="13">
        <v>10</v>
      </c>
      <c r="W1201" s="13" t="str">
        <f>MID(A1201, SEARCH("_", A1201) +1, SEARCH("_", A1201, SEARCH("_", A1201) +1) - SEARCH("_", A1201) -1)</f>
        <v>Math-41</v>
      </c>
      <c r="Y1201" s="1" t="str">
        <f t="shared" si="56"/>
        <v>NO</v>
      </c>
      <c r="Z1201" s="1" t="str">
        <f t="shared" si="57"/>
        <v>NO</v>
      </c>
      <c r="AA1201" t="s">
        <v>1704</v>
      </c>
      <c r="AB1201" t="s">
        <v>1704</v>
      </c>
      <c r="AC1201" s="1" t="s">
        <v>1704</v>
      </c>
      <c r="AD1201" s="1" t="s">
        <v>1704</v>
      </c>
      <c r="AE1201" s="1" t="s">
        <v>1704</v>
      </c>
      <c r="AF1201" s="1" t="s">
        <v>1704</v>
      </c>
    </row>
    <row r="1202" spans="1:32" ht="15" x14ac:dyDescent="0.35">
      <c r="A1202" s="5" t="s">
        <v>58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>LEFT($A1202,FIND("_",$A1202)-1)</f>
        <v>DynaMoth</v>
      </c>
      <c r="P1202" s="13" t="str">
        <f>IF($O1202="ACS", "True Search", IF($O1202="Arja", "Evolutionary Search", IF($O1202="AVATAR", "True Pattern", IF($O1202="CapGen", "Search Like Pattern", IF($O1202="Cardumen", "True Semantic", IF($O1202="DynaMoth", "True Semantic", IF($O1202="FixMiner", "True Pattern", IF($O1202="GenProg-A", "Evolutionary Search", IF($O1202="Hercules", "Learning Pattern", IF($O1202="Jaid", "True Semantic",
IF($O1202="Kali-A", "True Search", IF($O1202="kPAR", "True Pattern", IF($O1202="Nopol", "True Semantic", IF($O1202="RSRepair-A", "Evolutionary Search", IF($O1202="SequenceR", "Deep Learning", IF($O1202="SimFix", "Search Like Pattern", IF($O1202="SketchFix", "True Pattern", IF($O1202="SOFix", "True Pattern", IF($O1202="ssFix", "Search Like Pattern", IF($O1202="TBar", "True Pattern", ""))))))))))))))))))))</f>
        <v>True Semantic</v>
      </c>
      <c r="Q1202" s="13" t="str">
        <f>IF(NOT(ISERR(SEARCH("*_Buggy",$A1202))), "Buggy", IF(NOT(ISERR(SEARCH("*_Fixed",$A1202))), "Fixed", IF(NOT(ISERR(SEARCH("*_Repaired",$A1202))), "Repaired", "")))</f>
        <v>Repaired</v>
      </c>
      <c r="R1202" s="13" t="s">
        <v>1669</v>
      </c>
      <c r="S1202" s="25">
        <v>1</v>
      </c>
      <c r="T1202" s="25">
        <v>6</v>
      </c>
      <c r="U1202" s="25">
        <v>2</v>
      </c>
      <c r="V1202" s="13">
        <v>6</v>
      </c>
      <c r="W1202" s="13" t="str">
        <f>MID(A1202, SEARCH("_", A1202) +1, SEARCH("_", A1202, SEARCH("_", A1202) +1) - SEARCH("_", A1202) -1)</f>
        <v>Math-49</v>
      </c>
      <c r="Y1202" s="1" t="str">
        <f t="shared" si="56"/>
        <v>NO</v>
      </c>
      <c r="Z1202" s="1" t="str">
        <f t="shared" si="57"/>
        <v>NO</v>
      </c>
      <c r="AA1202" t="s">
        <v>1704</v>
      </c>
      <c r="AB1202" t="s">
        <v>1704</v>
      </c>
      <c r="AC1202" s="1" t="s">
        <v>1704</v>
      </c>
      <c r="AD1202" s="1" t="s">
        <v>1704</v>
      </c>
      <c r="AE1202" s="1" t="s">
        <v>1704</v>
      </c>
      <c r="AF1202" s="1" t="s">
        <v>1705</v>
      </c>
    </row>
    <row r="1203" spans="1:32" ht="15" x14ac:dyDescent="0.35">
      <c r="A1203" s="7" t="s">
        <v>1202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>LEFT($A1203,FIND("_",$A1203)-1)</f>
        <v>DynaMoth</v>
      </c>
      <c r="P1203" s="13" t="str">
        <f>IF($O1203="ACS", "True Search", IF($O1203="Arja", "Evolutionary Search", IF($O1203="AVATAR", "True Pattern", IF($O1203="CapGen", "Search Like Pattern", IF($O1203="Cardumen", "True Semantic", IF($O1203="DynaMoth", "True Semantic", IF($O1203="FixMiner", "True Pattern", IF($O1203="GenProg-A", "Evolutionary Search", IF($O1203="Hercules", "Learning Pattern", IF($O1203="Jaid", "True Semantic",
IF($O1203="Kali-A", "True Search", IF($O1203="kPAR", "True Pattern", IF($O1203="Nopol", "True Semantic", IF($O1203="RSRepair-A", "Evolutionary Search", IF($O1203="SequenceR", "Deep Learning", IF($O1203="SimFix", "Search Like Pattern", IF($O1203="SketchFix", "True Pattern", IF($O1203="SOFix", "True Pattern", IF($O1203="ssFix", "Search Like Pattern", IF($O1203="TBar", "True Pattern", ""))))))))))))))))))))</f>
        <v>True Semantic</v>
      </c>
      <c r="Q1203" s="13" t="str">
        <f>IF(NOT(ISERR(SEARCH("*_Buggy",$A1203))), "Buggy", IF(NOT(ISERR(SEARCH("*_Fixed",$A1203))), "Fixed", IF(NOT(ISERR(SEARCH("*_Repaired",$A1203))), "Repaired", "")))</f>
        <v>Repaired</v>
      </c>
      <c r="R1203" s="13" t="s">
        <v>1668</v>
      </c>
      <c r="S1203" s="25">
        <v>1</v>
      </c>
      <c r="T1203" s="25">
        <v>3</v>
      </c>
      <c r="U1203" s="25">
        <v>1</v>
      </c>
      <c r="V1203" s="13">
        <v>3</v>
      </c>
      <c r="W1203" s="13" t="str">
        <f>MID(A1203, SEARCH("_", A1203) +1, SEARCH("_", A1203, SEARCH("_", A1203) +1) - SEARCH("_", A1203) -1)</f>
        <v>Math-50</v>
      </c>
      <c r="Y1203" s="1" t="str">
        <f t="shared" si="56"/>
        <v>NO</v>
      </c>
      <c r="Z1203" s="1" t="str">
        <f t="shared" si="57"/>
        <v>NO</v>
      </c>
      <c r="AA1203" t="s">
        <v>1704</v>
      </c>
      <c r="AB1203" t="s">
        <v>1704</v>
      </c>
      <c r="AC1203" s="1" t="s">
        <v>1704</v>
      </c>
      <c r="AD1203" s="1" t="s">
        <v>1705</v>
      </c>
      <c r="AE1203" s="1" t="s">
        <v>1704</v>
      </c>
      <c r="AF1203" s="1" t="s">
        <v>1705</v>
      </c>
    </row>
    <row r="1204" spans="1:32" ht="15" x14ac:dyDescent="0.35">
      <c r="A1204" s="7" t="s">
        <v>1077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>LEFT($A1204,FIND("_",$A1204)-1)</f>
        <v>DynaMoth</v>
      </c>
      <c r="P1204" s="13" t="str">
        <f>IF($O1204="ACS", "True Search", IF($O1204="Arja", "Evolutionary Search", IF($O1204="AVATAR", "True Pattern", IF($O1204="CapGen", "Search Like Pattern", IF($O1204="Cardumen", "True Semantic", IF($O1204="DynaMoth", "True Semantic", IF($O1204="FixMiner", "True Pattern", IF($O1204="GenProg-A", "Evolutionary Search", IF($O1204="Hercules", "Learning Pattern", IF($O1204="Jaid", "True Semantic",
IF($O1204="Kali-A", "True Search", IF($O1204="kPAR", "True Pattern", IF($O1204="Nopol", "True Semantic", IF($O1204="RSRepair-A", "Evolutionary Search", IF($O1204="SequenceR", "Deep Learning", IF($O1204="SimFix", "Search Like Pattern", IF($O1204="SketchFix", "True Pattern", IF($O1204="SOFix", "True Pattern", IF($O1204="ssFix", "Search Like Pattern", IF($O1204="TBar", "True Pattern", ""))))))))))))))))))))</f>
        <v>True Semantic</v>
      </c>
      <c r="Q1204" s="13" t="str">
        <f>IF(NOT(ISERR(SEARCH("*_Buggy",$A1204))), "Buggy", IF(NOT(ISERR(SEARCH("*_Fixed",$A1204))), "Fixed", IF(NOT(ISERR(SEARCH("*_Repaired",$A1204))), "Repaired", "")))</f>
        <v>Repaired</v>
      </c>
      <c r="R1204" s="13" t="s">
        <v>1669</v>
      </c>
      <c r="S1204" s="25">
        <v>1</v>
      </c>
      <c r="T1204" s="25">
        <v>4</v>
      </c>
      <c r="U1204" s="25">
        <v>2</v>
      </c>
      <c r="V1204" s="13">
        <v>4</v>
      </c>
      <c r="W1204" s="13" t="str">
        <f>MID(A1204, SEARCH("_", A1204) +1, SEARCH("_", A1204, SEARCH("_", A1204) +1) - SEARCH("_", A1204) -1)</f>
        <v>Math-8</v>
      </c>
      <c r="Y1204" s="1" t="str">
        <f t="shared" si="56"/>
        <v>NO</v>
      </c>
      <c r="Z1204" s="1" t="str">
        <f t="shared" si="57"/>
        <v>NO</v>
      </c>
      <c r="AA1204" t="s">
        <v>1704</v>
      </c>
      <c r="AB1204" t="s">
        <v>1704</v>
      </c>
      <c r="AC1204" s="1" t="s">
        <v>1704</v>
      </c>
      <c r="AD1204" s="1" t="s">
        <v>1704</v>
      </c>
      <c r="AE1204" s="1" t="s">
        <v>1704</v>
      </c>
      <c r="AF1204" s="1" t="s">
        <v>1705</v>
      </c>
    </row>
    <row r="1205" spans="1:32" ht="15" x14ac:dyDescent="0.35">
      <c r="A1205" s="5" t="s">
        <v>671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>LEFT($A1205,FIND("_",$A1205)-1)</f>
        <v>DynaMoth</v>
      </c>
      <c r="P1205" s="13" t="str">
        <f>IF($O1205="ACS", "True Search", IF($O1205="Arja", "Evolutionary Search", IF($O1205="AVATAR", "True Pattern", IF($O1205="CapGen", "Search Like Pattern", IF($O1205="Cardumen", "True Semantic", IF($O1205="DynaMoth", "True Semantic", IF($O1205="FixMiner", "True Pattern", IF($O1205="GenProg-A", "Evolutionary Search", IF($O1205="Hercules", "Learning Pattern", IF($O1205="Jaid", "True Semantic",
IF($O1205="Kali-A", "True Search", IF($O1205="kPAR", "True Pattern", IF($O1205="Nopol", "True Semantic", IF($O1205="RSRepair-A", "Evolutionary Search", IF($O1205="SequenceR", "Deep Learning", IF($O1205="SimFix", "Search Like Pattern", IF($O1205="SketchFix", "True Pattern", IF($O1205="SOFix", "True Pattern", IF($O1205="ssFix", "Search Like Pattern", IF($O1205="TBar", "True Pattern", ""))))))))))))))))))))</f>
        <v>True Semantic</v>
      </c>
      <c r="Q1205" s="13" t="str">
        <f>IF(NOT(ISERR(SEARCH("*_Buggy",$A1205))), "Buggy", IF(NOT(ISERR(SEARCH("*_Fixed",$A1205))), "Fixed", IF(NOT(ISERR(SEARCH("*_Repaired",$A1205))), "Repaired", "")))</f>
        <v>Repaired</v>
      </c>
      <c r="R1205" s="13" t="s">
        <v>1669</v>
      </c>
      <c r="S1205" s="25">
        <v>2</v>
      </c>
      <c r="T1205" s="25">
        <v>8</v>
      </c>
      <c r="U1205" s="25">
        <v>6</v>
      </c>
      <c r="V1205" s="13">
        <v>9</v>
      </c>
      <c r="W1205" s="13" t="str">
        <f>MID(A1205, SEARCH("_", A1205) +1, SEARCH("_", A1205, SEARCH("_", A1205) +1) - SEARCH("_", A1205) -1)</f>
        <v>Math-80</v>
      </c>
      <c r="Y1205" s="1" t="str">
        <f t="shared" si="56"/>
        <v>NO</v>
      </c>
      <c r="Z1205" s="1" t="str">
        <f t="shared" si="57"/>
        <v>YES</v>
      </c>
      <c r="AA1205" t="s">
        <v>1704</v>
      </c>
      <c r="AB1205" t="s">
        <v>1704</v>
      </c>
      <c r="AC1205" s="1" t="s">
        <v>1704</v>
      </c>
      <c r="AD1205" s="1" t="s">
        <v>1704</v>
      </c>
      <c r="AE1205" s="1" t="s">
        <v>1704</v>
      </c>
      <c r="AF1205" s="1" t="s">
        <v>1704</v>
      </c>
    </row>
    <row r="1206" spans="1:32" ht="15" x14ac:dyDescent="0.35">
      <c r="A1206" s="5" t="s">
        <v>1163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>LEFT($A1206,FIND("_",$A1206)-1)</f>
        <v>DynaMoth</v>
      </c>
      <c r="P1206" s="13" t="str">
        <f>IF($O1206="ACS", "True Search", IF($O1206="Arja", "Evolutionary Search", IF($O1206="AVATAR", "True Pattern", IF($O1206="CapGen", "Search Like Pattern", IF($O1206="Cardumen", "True Semantic", IF($O1206="DynaMoth", "True Semantic", IF($O1206="FixMiner", "True Pattern", IF($O1206="GenProg-A", "Evolutionary Search", IF($O1206="Hercules", "Learning Pattern", IF($O1206="Jaid", "True Semantic",
IF($O1206="Kali-A", "True Search", IF($O1206="kPAR", "True Pattern", IF($O1206="Nopol", "True Semantic", IF($O1206="RSRepair-A", "Evolutionary Search", IF($O1206="SequenceR", "Deep Learning", IF($O1206="SimFix", "Search Like Pattern", IF($O1206="SketchFix", "True Pattern", IF($O1206="SOFix", "True Pattern", IF($O1206="ssFix", "Search Like Pattern", IF($O1206="TBar", "True Pattern", ""))))))))))))))))))))</f>
        <v>True Semantic</v>
      </c>
      <c r="Q1206" s="13" t="str">
        <f>IF(NOT(ISERR(SEARCH("*_Buggy",$A1206))), "Buggy", IF(NOT(ISERR(SEARCH("*_Fixed",$A1206))), "Fixed", IF(NOT(ISERR(SEARCH("*_Repaired",$A1206))), "Repaired", "")))</f>
        <v>Repaired</v>
      </c>
      <c r="R1206" s="13" t="s">
        <v>1669</v>
      </c>
      <c r="S1206" s="25">
        <v>4</v>
      </c>
      <c r="T1206" s="25">
        <v>17</v>
      </c>
      <c r="U1206" s="25">
        <v>15</v>
      </c>
      <c r="V1206" s="13">
        <v>27</v>
      </c>
      <c r="W1206" s="13" t="str">
        <f>MID(A1206, SEARCH("_", A1206) +1, SEARCH("_", A1206, SEARCH("_", A1206) +1) - SEARCH("_", A1206) -1)</f>
        <v>Math-81</v>
      </c>
      <c r="Y1206" s="1" t="str">
        <f t="shared" si="56"/>
        <v>NO</v>
      </c>
      <c r="Z1206" s="1" t="str">
        <f t="shared" si="57"/>
        <v>YES</v>
      </c>
      <c r="AA1206" t="s">
        <v>1704</v>
      </c>
      <c r="AB1206" t="s">
        <v>1705</v>
      </c>
      <c r="AC1206" s="1" t="s">
        <v>1704</v>
      </c>
      <c r="AD1206" s="1" t="s">
        <v>1704</v>
      </c>
      <c r="AE1206" s="1" t="s">
        <v>1704</v>
      </c>
      <c r="AF1206" s="1" t="s">
        <v>1705</v>
      </c>
    </row>
    <row r="1207" spans="1:32" ht="15" x14ac:dyDescent="0.35">
      <c r="A1207" s="5" t="s">
        <v>892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>LEFT($A1207,FIND("_",$A1207)-1)</f>
        <v>DynaMoth</v>
      </c>
      <c r="P1207" s="13" t="str">
        <f>IF($O1207="ACS", "True Search", IF($O1207="Arja", "Evolutionary Search", IF($O1207="AVATAR", "True Pattern", IF($O1207="CapGen", "Search Like Pattern", IF($O1207="Cardumen", "True Semantic", IF($O1207="DynaMoth", "True Semantic", IF($O1207="FixMiner", "True Pattern", IF($O1207="GenProg-A", "Evolutionary Search", IF($O1207="Hercules", "Learning Pattern", IF($O1207="Jaid", "True Semantic",
IF($O1207="Kali-A", "True Search", IF($O1207="kPAR", "True Pattern", IF($O1207="Nopol", "True Semantic", IF($O1207="RSRepair-A", "Evolutionary Search", IF($O1207="SequenceR", "Deep Learning", IF($O1207="SimFix", "Search Like Pattern", IF($O1207="SketchFix", "True Pattern", IF($O1207="SOFix", "True Pattern", IF($O1207="ssFix", "Search Like Pattern", IF($O1207="TBar", "True Pattern", ""))))))))))))))))))))</f>
        <v>True Semantic</v>
      </c>
      <c r="Q1207" s="13" t="str">
        <f>IF(NOT(ISERR(SEARCH("*_Buggy",$A1207))), "Buggy", IF(NOT(ISERR(SEARCH("*_Fixed",$A1207))), "Fixed", IF(NOT(ISERR(SEARCH("*_Repaired",$A1207))), "Repaired", "")))</f>
        <v>Repaired</v>
      </c>
      <c r="R1207" s="13" t="s">
        <v>1669</v>
      </c>
      <c r="S1207" s="25">
        <v>1</v>
      </c>
      <c r="T1207" s="25">
        <v>3</v>
      </c>
      <c r="U1207" s="25">
        <v>1</v>
      </c>
      <c r="V1207" s="13">
        <v>3</v>
      </c>
      <c r="W1207" s="13" t="str">
        <f>MID(A1207, SEARCH("_", A1207) +1, SEARCH("_", A1207, SEARCH("_", A1207) +1) - SEARCH("_", A1207) -1)</f>
        <v>Math-82</v>
      </c>
      <c r="Y1207" s="1" t="str">
        <f t="shared" si="56"/>
        <v>NO</v>
      </c>
      <c r="Z1207" s="1" t="str">
        <f t="shared" si="57"/>
        <v>NO</v>
      </c>
      <c r="AA1207" t="s">
        <v>1704</v>
      </c>
      <c r="AB1207" t="s">
        <v>1704</v>
      </c>
      <c r="AC1207" s="1" t="s">
        <v>1704</v>
      </c>
      <c r="AD1207" s="1" t="s">
        <v>1704</v>
      </c>
      <c r="AE1207" s="1" t="s">
        <v>1704</v>
      </c>
      <c r="AF1207" s="1" t="s">
        <v>1704</v>
      </c>
    </row>
    <row r="1208" spans="1:32" ht="15" x14ac:dyDescent="0.35">
      <c r="A1208" s="7" t="s">
        <v>493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>LEFT($A1208,FIND("_",$A1208)-1)</f>
        <v>DynaMoth</v>
      </c>
      <c r="P1208" s="13" t="str">
        <f>IF($O1208="ACS", "True Search", IF($O1208="Arja", "Evolutionary Search", IF($O1208="AVATAR", "True Pattern", IF($O1208="CapGen", "Search Like Pattern", IF($O1208="Cardumen", "True Semantic", IF($O1208="DynaMoth", "True Semantic", IF($O1208="FixMiner", "True Pattern", IF($O1208="GenProg-A", "Evolutionary Search", IF($O1208="Hercules", "Learning Pattern", IF($O1208="Jaid", "True Semantic",
IF($O1208="Kali-A", "True Search", IF($O1208="kPAR", "True Pattern", IF($O1208="Nopol", "True Semantic", IF($O1208="RSRepair-A", "Evolutionary Search", IF($O1208="SequenceR", "Deep Learning", IF($O1208="SimFix", "Search Like Pattern", IF($O1208="SketchFix", "True Pattern", IF($O1208="SOFix", "True Pattern", IF($O1208="ssFix", "Search Like Pattern", IF($O1208="TBar", "True Pattern", ""))))))))))))))))))))</f>
        <v>True Semantic</v>
      </c>
      <c r="Q1208" s="13" t="str">
        <f>IF(NOT(ISERR(SEARCH("*_Buggy",$A1208))), "Buggy", IF(NOT(ISERR(SEARCH("*_Fixed",$A1208))), "Fixed", IF(NOT(ISERR(SEARCH("*_Repaired",$A1208))), "Repaired", "")))</f>
        <v>Repaired</v>
      </c>
      <c r="R1208" s="13" t="s">
        <v>1669</v>
      </c>
      <c r="S1208" s="25">
        <v>1</v>
      </c>
      <c r="T1208" s="25">
        <v>9</v>
      </c>
      <c r="U1208" s="25">
        <v>7</v>
      </c>
      <c r="V1208" s="13">
        <v>9</v>
      </c>
      <c r="W1208" s="13" t="str">
        <f>MID(A1208, SEARCH("_", A1208) +1, SEARCH("_", A1208, SEARCH("_", A1208) +1) - SEARCH("_", A1208) -1)</f>
        <v>Math-85</v>
      </c>
      <c r="Y1208" s="1" t="str">
        <f t="shared" si="56"/>
        <v>NO</v>
      </c>
      <c r="Z1208" s="1" t="str">
        <f t="shared" si="57"/>
        <v>NO</v>
      </c>
      <c r="AA1208" t="s">
        <v>1704</v>
      </c>
      <c r="AB1208" t="s">
        <v>1704</v>
      </c>
      <c r="AC1208" s="1" t="s">
        <v>1704</v>
      </c>
      <c r="AD1208" s="1" t="s">
        <v>1704</v>
      </c>
      <c r="AE1208" s="1" t="s">
        <v>1704</v>
      </c>
      <c r="AF1208" s="1" t="s">
        <v>1704</v>
      </c>
    </row>
    <row r="1209" spans="1:32" ht="15" x14ac:dyDescent="0.35">
      <c r="A1209" s="7" t="s">
        <v>490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>LEFT($A1209,FIND("_",$A1209)-1)</f>
        <v>DynaMoth</v>
      </c>
      <c r="P1209" s="13" t="str">
        <f>IF($O1209="ACS", "True Search", IF($O1209="Arja", "Evolutionary Search", IF($O1209="AVATAR", "True Pattern", IF($O1209="CapGen", "Search Like Pattern", IF($O1209="Cardumen", "True Semantic", IF($O1209="DynaMoth", "True Semantic", IF($O1209="FixMiner", "True Pattern", IF($O1209="GenProg-A", "Evolutionary Search", IF($O1209="Hercules", "Learning Pattern", IF($O1209="Jaid", "True Semantic",
IF($O1209="Kali-A", "True Search", IF($O1209="kPAR", "True Pattern", IF($O1209="Nopol", "True Semantic", IF($O1209="RSRepair-A", "Evolutionary Search", IF($O1209="SequenceR", "Deep Learning", IF($O1209="SimFix", "Search Like Pattern", IF($O1209="SketchFix", "True Pattern", IF($O1209="SOFix", "True Pattern", IF($O1209="ssFix", "Search Like Pattern", IF($O1209="TBar", "True Pattern", ""))))))))))))))))))))</f>
        <v>True Semantic</v>
      </c>
      <c r="Q1209" s="13" t="str">
        <f>IF(NOT(ISERR(SEARCH("*_Buggy",$A1209))), "Buggy", IF(NOT(ISERR(SEARCH("*_Fixed",$A1209))), "Fixed", IF(NOT(ISERR(SEARCH("*_Repaired",$A1209))), "Repaired", "")))</f>
        <v>Repaired</v>
      </c>
      <c r="R1209" s="13" t="s">
        <v>1669</v>
      </c>
      <c r="S1209" s="25">
        <v>1</v>
      </c>
      <c r="T1209" s="25">
        <v>3</v>
      </c>
      <c r="U1209" s="25">
        <v>1</v>
      </c>
      <c r="V1209" s="13">
        <v>3</v>
      </c>
      <c r="W1209" s="13" t="str">
        <f>MID(A1209, SEARCH("_", A1209) +1, SEARCH("_", A1209, SEARCH("_", A1209) +1) - SEARCH("_", A1209) -1)</f>
        <v>Math-88</v>
      </c>
      <c r="Y1209" s="1" t="str">
        <f t="shared" si="56"/>
        <v>NO</v>
      </c>
      <c r="Z1209" s="1" t="str">
        <f t="shared" si="57"/>
        <v>NO</v>
      </c>
      <c r="AA1209" t="s">
        <v>1704</v>
      </c>
      <c r="AB1209" t="s">
        <v>1704</v>
      </c>
      <c r="AC1209" s="1" t="s">
        <v>1704</v>
      </c>
      <c r="AD1209" s="1" t="s">
        <v>1704</v>
      </c>
      <c r="AE1209" s="1" t="s">
        <v>1704</v>
      </c>
      <c r="AF1209" s="1" t="s">
        <v>1705</v>
      </c>
    </row>
    <row r="1210" spans="1:32" ht="15" x14ac:dyDescent="0.35">
      <c r="A1210" s="5" t="s">
        <v>195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>LEFT($A1210,FIND("_",$A1210)-1)</f>
        <v>DynaMoth</v>
      </c>
      <c r="P1210" s="13" t="str">
        <f>IF($O1210="ACS", "True Search", IF($O1210="Arja", "Evolutionary Search", IF($O1210="AVATAR", "True Pattern", IF($O1210="CapGen", "Search Like Pattern", IF($O1210="Cardumen", "True Semantic", IF($O1210="DynaMoth", "True Semantic", IF($O1210="FixMiner", "True Pattern", IF($O1210="GenProg-A", "Evolutionary Search", IF($O1210="Hercules", "Learning Pattern", IF($O1210="Jaid", "True Semantic",
IF($O1210="Kali-A", "True Search", IF($O1210="kPAR", "True Pattern", IF($O1210="Nopol", "True Semantic", IF($O1210="RSRepair-A", "Evolutionary Search", IF($O1210="SequenceR", "Deep Learning", IF($O1210="SimFix", "Search Like Pattern", IF($O1210="SketchFix", "True Pattern", IF($O1210="SOFix", "True Pattern", IF($O1210="ssFix", "Search Like Pattern", IF($O1210="TBar", "True Pattern", ""))))))))))))))))))))</f>
        <v>True Semantic</v>
      </c>
      <c r="Q1210" s="13" t="str">
        <f>IF(NOT(ISERR(SEARCH("*_Buggy",$A1210))), "Buggy", IF(NOT(ISERR(SEARCH("*_Fixed",$A1210))), "Fixed", IF(NOT(ISERR(SEARCH("*_Repaired",$A1210))), "Repaired", "")))</f>
        <v>Repaired</v>
      </c>
      <c r="R1210" s="13" t="s">
        <v>1669</v>
      </c>
      <c r="S1210" s="25">
        <v>2</v>
      </c>
      <c r="T1210" s="25">
        <v>6</v>
      </c>
      <c r="U1210" s="25">
        <v>6</v>
      </c>
      <c r="V1210" s="13">
        <v>6</v>
      </c>
      <c r="W1210" s="13" t="str">
        <f>MID(A1210, SEARCH("_", A1210) +1, SEARCH("_", A1210, SEARCH("_", A1210) +1) - SEARCH("_", A1210) -1)</f>
        <v>Math-97</v>
      </c>
      <c r="Y1210" s="1" t="str">
        <f t="shared" si="56"/>
        <v>NO</v>
      </c>
      <c r="Z1210" s="1" t="str">
        <f t="shared" si="57"/>
        <v>YES</v>
      </c>
      <c r="AA1210" t="s">
        <v>1704</v>
      </c>
      <c r="AB1210" t="s">
        <v>1705</v>
      </c>
      <c r="AC1210" s="1" t="s">
        <v>1704</v>
      </c>
      <c r="AD1210" s="1" t="s">
        <v>1704</v>
      </c>
      <c r="AE1210" s="1" t="s">
        <v>1704</v>
      </c>
      <c r="AF1210" s="1" t="s">
        <v>1705</v>
      </c>
    </row>
    <row r="1211" spans="1:32" ht="15" x14ac:dyDescent="0.35">
      <c r="A1211" s="7" t="s">
        <v>807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>LEFT($A1211,FIND("_",$A1211)-1)</f>
        <v>FixMiner</v>
      </c>
      <c r="P1211" s="13" t="str">
        <f>IF($O1211="ACS", "True Search", IF($O1211="Arja", "Evolutionary Search", IF($O1211="AVATAR", "True Pattern", IF($O1211="CapGen", "Search Like Pattern", IF($O1211="Cardumen", "True Semantic", IF($O1211="DynaMoth", "True Semantic", IF($O1211="FixMiner", "True Pattern", IF($O1211="GenProg-A", "Evolutionary Search", IF($O1211="Hercules", "Learning Pattern", IF($O1211="Jaid", "True Semantic",
IF($O1211="Kali-A", "True Search", IF($O1211="kPAR", "True Pattern", IF($O1211="Nopol", "True Semantic", IF($O1211="RSRepair-A", "Evolutionary Search", IF($O1211="SequenceR", "Deep Learning", IF($O1211="SimFix", "Search Like Pattern", IF($O1211="SketchFix", "True Pattern", IF($O1211="SOFix", "True Pattern", IF($O1211="ssFix", "Search Like Pattern", IF($O1211="TBar", "True Pattern", ""))))))))))))))))))))</f>
        <v>True Pattern</v>
      </c>
      <c r="Q1211" s="13" t="str">
        <f>IF(NOT(ISERR(SEARCH("*_Buggy",$A1211))), "Buggy", IF(NOT(ISERR(SEARCH("*_Fixed",$A1211))), "Fixed", IF(NOT(ISERR(SEARCH("*_Repaired",$A1211))), "Repaired", "")))</f>
        <v>Repaired</v>
      </c>
      <c r="R1211" s="13" t="s">
        <v>1668</v>
      </c>
      <c r="S1211" s="25">
        <v>1</v>
      </c>
      <c r="T1211" s="25">
        <v>1</v>
      </c>
      <c r="U1211" s="25">
        <v>1</v>
      </c>
      <c r="V1211" s="13">
        <v>1</v>
      </c>
      <c r="W1211" s="13" t="str">
        <f>MID(A1211, SEARCH("_", A1211) +1, SEARCH("_", A1211, SEARCH("_", A1211) +1) - SEARCH("_", A1211) -1)</f>
        <v>Chart-1</v>
      </c>
      <c r="Y1211" s="1" t="str">
        <f t="shared" si="56"/>
        <v>NO</v>
      </c>
      <c r="Z1211" s="1" t="str">
        <f t="shared" si="57"/>
        <v>NO</v>
      </c>
      <c r="AA1211" t="s">
        <v>1704</v>
      </c>
      <c r="AB1211" t="s">
        <v>1704</v>
      </c>
      <c r="AC1211" s="1" t="s">
        <v>1705</v>
      </c>
      <c r="AD1211" s="1" t="s">
        <v>1704</v>
      </c>
      <c r="AE1211" s="1" t="s">
        <v>1705</v>
      </c>
      <c r="AF1211" s="1" t="s">
        <v>1704</v>
      </c>
    </row>
    <row r="1212" spans="1:32" ht="15" x14ac:dyDescent="0.35">
      <c r="A1212" s="7" t="s">
        <v>355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>LEFT($A1212,FIND("_",$A1212)-1)</f>
        <v>FixMiner</v>
      </c>
      <c r="P1212" s="13" t="str">
        <f>IF($O1212="ACS", "True Search", IF($O1212="Arja", "Evolutionary Search", IF($O1212="AVATAR", "True Pattern", IF($O1212="CapGen", "Search Like Pattern", IF($O1212="Cardumen", "True Semantic", IF($O1212="DynaMoth", "True Semantic", IF($O1212="FixMiner", "True Pattern", IF($O1212="GenProg-A", "Evolutionary Search", IF($O1212="Hercules", "Learning Pattern", IF($O1212="Jaid", "True Semantic",
IF($O1212="Kali-A", "True Search", IF($O1212="kPAR", "True Pattern", IF($O1212="Nopol", "True Semantic", IF($O1212="RSRepair-A", "Evolutionary Search", IF($O1212="SequenceR", "Deep Learning", IF($O1212="SimFix", "Search Like Pattern", IF($O1212="SketchFix", "True Pattern", IF($O1212="SOFix", "True Pattern", IF($O1212="ssFix", "Search Like Pattern", IF($O1212="TBar", "True Pattern", ""))))))))))))))))))))</f>
        <v>True Pattern</v>
      </c>
      <c r="Q1212" s="13" t="str">
        <f>IF(NOT(ISERR(SEARCH("*_Buggy",$A1212))), "Buggy", IF(NOT(ISERR(SEARCH("*_Fixed",$A1212))), "Fixed", IF(NOT(ISERR(SEARCH("*_Repaired",$A1212))), "Repaired", "")))</f>
        <v>Repaired</v>
      </c>
      <c r="R1212" s="13" t="s">
        <v>1668</v>
      </c>
      <c r="S1212" s="25">
        <v>1</v>
      </c>
      <c r="T1212" s="25">
        <v>1</v>
      </c>
      <c r="U1212" s="25">
        <v>1</v>
      </c>
      <c r="V1212" s="13">
        <v>1</v>
      </c>
      <c r="W1212" s="13" t="str">
        <f>MID(A1212, SEARCH("_", A1212) +1, SEARCH("_", A1212, SEARCH("_", A1212) +1) - SEARCH("_", A1212) -1)</f>
        <v>Chart-11</v>
      </c>
      <c r="Y1212" s="1" t="str">
        <f t="shared" si="56"/>
        <v>NO</v>
      </c>
      <c r="Z1212" s="1" t="str">
        <f t="shared" si="57"/>
        <v>NO</v>
      </c>
      <c r="AA1212" t="s">
        <v>1704</v>
      </c>
      <c r="AB1212" t="s">
        <v>1704</v>
      </c>
      <c r="AC1212" s="1" t="s">
        <v>1705</v>
      </c>
      <c r="AD1212" s="1" t="s">
        <v>1704</v>
      </c>
      <c r="AE1212" s="1" t="s">
        <v>1705</v>
      </c>
      <c r="AF1212" s="1" t="s">
        <v>1704</v>
      </c>
    </row>
    <row r="1213" spans="1:32" ht="15" x14ac:dyDescent="0.35">
      <c r="A1213" s="5" t="s">
        <v>697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>LEFT($A1213,FIND("_",$A1213)-1)</f>
        <v>FixMiner</v>
      </c>
      <c r="P1213" s="13" t="str">
        <f>IF($O1213="ACS", "True Search", IF($O1213="Arja", "Evolutionary Search", IF($O1213="AVATAR", "True Pattern", IF($O1213="CapGen", "Search Like Pattern", IF($O1213="Cardumen", "True Semantic", IF($O1213="DynaMoth", "True Semantic", IF($O1213="FixMiner", "True Pattern", IF($O1213="GenProg-A", "Evolutionary Search", IF($O1213="Hercules", "Learning Pattern", IF($O1213="Jaid", "True Semantic",
IF($O1213="Kali-A", "True Search", IF($O1213="kPAR", "True Pattern", IF($O1213="Nopol", "True Semantic", IF($O1213="RSRepair-A", "Evolutionary Search", IF($O1213="SequenceR", "Deep Learning", IF($O1213="SimFix", "Search Like Pattern", IF($O1213="SketchFix", "True Pattern", IF($O1213="SOFix", "True Pattern", IF($O1213="ssFix", "Search Like Pattern", IF($O1213="TBar", "True Pattern", ""))))))))))))))))))))</f>
        <v>True Pattern</v>
      </c>
      <c r="Q1213" s="13" t="str">
        <f>IF(NOT(ISERR(SEARCH("*_Buggy",$A1213))), "Buggy", IF(NOT(ISERR(SEARCH("*_Fixed",$A1213))), "Fixed", IF(NOT(ISERR(SEARCH("*_Repaired",$A1213))), "Repaired", "")))</f>
        <v>Repaired</v>
      </c>
      <c r="R1213" s="13" t="s">
        <v>1668</v>
      </c>
      <c r="S1213" s="25">
        <v>1</v>
      </c>
      <c r="T1213" s="25">
        <v>1</v>
      </c>
      <c r="U1213" s="25">
        <v>1</v>
      </c>
      <c r="V1213" s="13">
        <v>1</v>
      </c>
      <c r="W1213" s="13" t="str">
        <f>MID(A1213, SEARCH("_", A1213) +1, SEARCH("_", A1213, SEARCH("_", A1213) +1) - SEARCH("_", A1213) -1)</f>
        <v>Chart-12</v>
      </c>
      <c r="Y1213" s="1" t="str">
        <f t="shared" si="56"/>
        <v>NO</v>
      </c>
      <c r="Z1213" s="1" t="str">
        <f t="shared" si="57"/>
        <v>NO</v>
      </c>
      <c r="AA1213" t="s">
        <v>1704</v>
      </c>
      <c r="AB1213" t="s">
        <v>1704</v>
      </c>
      <c r="AC1213" s="1" t="s">
        <v>1705</v>
      </c>
      <c r="AD1213" s="1" t="s">
        <v>1704</v>
      </c>
      <c r="AE1213" s="1" t="s">
        <v>1705</v>
      </c>
      <c r="AF1213" s="1" t="s">
        <v>1704</v>
      </c>
    </row>
    <row r="1214" spans="1:32" ht="15" x14ac:dyDescent="0.35">
      <c r="A1214" s="7" t="s">
        <v>1262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>LEFT($A1214,FIND("_",$A1214)-1)</f>
        <v>FixMiner</v>
      </c>
      <c r="P1214" s="13" t="str">
        <f>IF($O1214="ACS", "True Search", IF($O1214="Arja", "Evolutionary Search", IF($O1214="AVATAR", "True Pattern", IF($O1214="CapGen", "Search Like Pattern", IF($O1214="Cardumen", "True Semantic", IF($O1214="DynaMoth", "True Semantic", IF($O1214="FixMiner", "True Pattern", IF($O1214="GenProg-A", "Evolutionary Search", IF($O1214="Hercules", "Learning Pattern", IF($O1214="Jaid", "True Semantic",
IF($O1214="Kali-A", "True Search", IF($O1214="kPAR", "True Pattern", IF($O1214="Nopol", "True Semantic", IF($O1214="RSRepair-A", "Evolutionary Search", IF($O1214="SequenceR", "Deep Learning", IF($O1214="SimFix", "Search Like Pattern", IF($O1214="SketchFix", "True Pattern", IF($O1214="SOFix", "True Pattern", IF($O1214="ssFix", "Search Like Pattern", IF($O1214="TBar", "True Pattern", ""))))))))))))))))))))</f>
        <v>True Pattern</v>
      </c>
      <c r="Q1214" s="13" t="str">
        <f>IF(NOT(ISERR(SEARCH("*_Buggy",$A1214))), "Buggy", IF(NOT(ISERR(SEARCH("*_Fixed",$A1214))), "Fixed", IF(NOT(ISERR(SEARCH("*_Repaired",$A1214))), "Repaired", "")))</f>
        <v>Repaired</v>
      </c>
      <c r="R1214" s="13" t="s">
        <v>1669</v>
      </c>
      <c r="S1214" s="25">
        <v>1</v>
      </c>
      <c r="T1214" s="25">
        <v>1</v>
      </c>
      <c r="U1214" s="25">
        <v>1</v>
      </c>
      <c r="V1214" s="13">
        <v>1</v>
      </c>
      <c r="W1214" s="13" t="str">
        <f>MID(A1214, SEARCH("_", A1214) +1, SEARCH("_", A1214, SEARCH("_", A1214) +1) - SEARCH("_", A1214) -1)</f>
        <v>Chart-13</v>
      </c>
      <c r="Y1214" s="1" t="str">
        <f t="shared" si="56"/>
        <v>NO</v>
      </c>
      <c r="Z1214" s="1" t="str">
        <f t="shared" si="57"/>
        <v>NO</v>
      </c>
      <c r="AA1214" t="s">
        <v>1704</v>
      </c>
      <c r="AB1214" t="s">
        <v>1704</v>
      </c>
      <c r="AC1214" s="1" t="s">
        <v>1705</v>
      </c>
      <c r="AD1214" s="1" t="s">
        <v>1704</v>
      </c>
      <c r="AE1214" s="1" t="s">
        <v>1705</v>
      </c>
      <c r="AF1214" s="1" t="s">
        <v>1704</v>
      </c>
    </row>
    <row r="1215" spans="1:32" ht="15" x14ac:dyDescent="0.35">
      <c r="A1215" s="7" t="s">
        <v>44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>LEFT($A1215,FIND("_",$A1215)-1)</f>
        <v>FixMiner</v>
      </c>
      <c r="P1215" s="13" t="str">
        <f>IF($O1215="ACS", "True Search", IF($O1215="Arja", "Evolutionary Search", IF($O1215="AVATAR", "True Pattern", IF($O1215="CapGen", "Search Like Pattern", IF($O1215="Cardumen", "True Semantic", IF($O1215="DynaMoth", "True Semantic", IF($O1215="FixMiner", "True Pattern", IF($O1215="GenProg-A", "Evolutionary Search", IF($O1215="Hercules", "Learning Pattern", IF($O1215="Jaid", "True Semantic",
IF($O1215="Kali-A", "True Search", IF($O1215="kPAR", "True Pattern", IF($O1215="Nopol", "True Semantic", IF($O1215="RSRepair-A", "Evolutionary Search", IF($O1215="SequenceR", "Deep Learning", IF($O1215="SimFix", "Search Like Pattern", IF($O1215="SketchFix", "True Pattern", IF($O1215="SOFix", "True Pattern", IF($O1215="ssFix", "Search Like Pattern", IF($O1215="TBar", "True Pattern", ""))))))))))))))))))))</f>
        <v>True Pattern</v>
      </c>
      <c r="Q1215" s="13" t="str">
        <f>IF(NOT(ISERR(SEARCH("*_Buggy",$A1215))), "Buggy", IF(NOT(ISERR(SEARCH("*_Fixed",$A1215))), "Fixed", IF(NOT(ISERR(SEARCH("*_Repaired",$A1215))), "Repaired", "")))</f>
        <v>Repaired</v>
      </c>
      <c r="R1215" s="13" t="s">
        <v>1669</v>
      </c>
      <c r="S1215" s="25">
        <v>1</v>
      </c>
      <c r="T1215" s="25">
        <v>1</v>
      </c>
      <c r="U1215" s="25">
        <v>1</v>
      </c>
      <c r="V1215" s="13">
        <v>1</v>
      </c>
      <c r="W1215" s="13" t="str">
        <f>MID(A1215, SEARCH("_", A1215) +1, SEARCH("_", A1215, SEARCH("_", A1215) +1) - SEARCH("_", A1215) -1)</f>
        <v>Chart-17</v>
      </c>
      <c r="Y1215" s="1" t="str">
        <f t="shared" si="56"/>
        <v>NO</v>
      </c>
      <c r="Z1215" s="1" t="str">
        <f t="shared" si="57"/>
        <v>NO</v>
      </c>
      <c r="AA1215" t="s">
        <v>1704</v>
      </c>
      <c r="AB1215" t="s">
        <v>1704</v>
      </c>
      <c r="AC1215" s="1" t="s">
        <v>1704</v>
      </c>
      <c r="AD1215" s="1" t="s">
        <v>1704</v>
      </c>
      <c r="AE1215" s="1" t="s">
        <v>1704</v>
      </c>
      <c r="AF1215" s="1" t="s">
        <v>1704</v>
      </c>
    </row>
    <row r="1216" spans="1:32" ht="15" x14ac:dyDescent="0.35">
      <c r="A1216" s="5" t="s">
        <v>422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>LEFT($A1216,FIND("_",$A1216)-1)</f>
        <v>FixMiner</v>
      </c>
      <c r="P1216" s="13" t="str">
        <f>IF($O1216="ACS", "True Search", IF($O1216="Arja", "Evolutionary Search", IF($O1216="AVATAR", "True Pattern", IF($O1216="CapGen", "Search Like Pattern", IF($O1216="Cardumen", "True Semantic", IF($O1216="DynaMoth", "True Semantic", IF($O1216="FixMiner", "True Pattern", IF($O1216="GenProg-A", "Evolutionary Search", IF($O1216="Hercules", "Learning Pattern", IF($O1216="Jaid", "True Semantic",
IF($O1216="Kali-A", "True Search", IF($O1216="kPAR", "True Pattern", IF($O1216="Nopol", "True Semantic", IF($O1216="RSRepair-A", "Evolutionary Search", IF($O1216="SequenceR", "Deep Learning", IF($O1216="SimFix", "Search Like Pattern", IF($O1216="SketchFix", "True Pattern", IF($O1216="SOFix", "True Pattern", IF($O1216="ssFix", "Search Like Pattern", IF($O1216="TBar", "True Pattern", ""))))))))))))))))))))</f>
        <v>True Pattern</v>
      </c>
      <c r="Q1216" s="13" t="str">
        <f>IF(NOT(ISERR(SEARCH("*_Buggy",$A1216))), "Buggy", IF(NOT(ISERR(SEARCH("*_Fixed",$A1216))), "Fixed", IF(NOT(ISERR(SEARCH("*_Repaired",$A1216))), "Repaired", "")))</f>
        <v>Repaired</v>
      </c>
      <c r="R1216" s="13" t="s">
        <v>1668</v>
      </c>
      <c r="S1216" s="25">
        <v>1</v>
      </c>
      <c r="T1216" s="25">
        <v>4</v>
      </c>
      <c r="U1216" s="25">
        <v>1</v>
      </c>
      <c r="V1216" s="13">
        <v>4</v>
      </c>
      <c r="W1216" s="13" t="str">
        <f>MID(A1216, SEARCH("_", A1216) +1, SEARCH("_", A1216, SEARCH("_", A1216) +1) - SEARCH("_", A1216) -1)</f>
        <v>Chart-19</v>
      </c>
      <c r="Y1216" s="1" t="str">
        <f t="shared" si="56"/>
        <v>NO</v>
      </c>
      <c r="Z1216" s="1" t="str">
        <f t="shared" si="57"/>
        <v>NO</v>
      </c>
      <c r="AA1216" t="s">
        <v>1704</v>
      </c>
      <c r="AB1216" t="s">
        <v>1704</v>
      </c>
      <c r="AC1216" s="1" t="s">
        <v>1704</v>
      </c>
      <c r="AD1216" s="1" t="s">
        <v>1704</v>
      </c>
      <c r="AE1216" s="1" t="s">
        <v>1704</v>
      </c>
      <c r="AF1216" s="1" t="s">
        <v>1705</v>
      </c>
    </row>
    <row r="1217" spans="1:32" ht="15" x14ac:dyDescent="0.35">
      <c r="A1217" s="5" t="s">
        <v>205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>LEFT($A1217,FIND("_",$A1217)-1)</f>
        <v>FixMiner</v>
      </c>
      <c r="P1217" s="13" t="str">
        <f>IF($O1217="ACS", "True Search", IF($O1217="Arja", "Evolutionary Search", IF($O1217="AVATAR", "True Pattern", IF($O1217="CapGen", "Search Like Pattern", IF($O1217="Cardumen", "True Semantic", IF($O1217="DynaMoth", "True Semantic", IF($O1217="FixMiner", "True Pattern", IF($O1217="GenProg-A", "Evolutionary Search", IF($O1217="Hercules", "Learning Pattern", IF($O1217="Jaid", "True Semantic",
IF($O1217="Kali-A", "True Search", IF($O1217="kPAR", "True Pattern", IF($O1217="Nopol", "True Semantic", IF($O1217="RSRepair-A", "Evolutionary Search", IF($O1217="SequenceR", "Deep Learning", IF($O1217="SimFix", "Search Like Pattern", IF($O1217="SketchFix", "True Pattern", IF($O1217="SOFix", "True Pattern", IF($O1217="ssFix", "Search Like Pattern", IF($O1217="TBar", "True Pattern", ""))))))))))))))))))))</f>
        <v>True Pattern</v>
      </c>
      <c r="Q1217" s="13" t="str">
        <f>IF(NOT(ISERR(SEARCH("*_Buggy",$A1217))), "Buggy", IF(NOT(ISERR(SEARCH("*_Fixed",$A1217))), "Fixed", IF(NOT(ISERR(SEARCH("*_Repaired",$A1217))), "Repaired", "")))</f>
        <v>Repaired</v>
      </c>
      <c r="R1217" s="13" t="s">
        <v>1668</v>
      </c>
      <c r="S1217" s="25">
        <v>1</v>
      </c>
      <c r="T1217" s="25">
        <v>1</v>
      </c>
      <c r="U1217" s="25">
        <v>1</v>
      </c>
      <c r="V1217" s="13">
        <v>1</v>
      </c>
      <c r="W1217" s="13" t="str">
        <f>MID(A1217, SEARCH("_", A1217) +1, SEARCH("_", A1217, SEARCH("_", A1217) +1) - SEARCH("_", A1217) -1)</f>
        <v>Chart-24</v>
      </c>
      <c r="Y1217" s="1" t="str">
        <f t="shared" si="56"/>
        <v>NO</v>
      </c>
      <c r="Z1217" s="1" t="str">
        <f t="shared" si="57"/>
        <v>NO</v>
      </c>
      <c r="AA1217" t="s">
        <v>1704</v>
      </c>
      <c r="AB1217" t="s">
        <v>1704</v>
      </c>
      <c r="AC1217" s="1" t="s">
        <v>1705</v>
      </c>
      <c r="AD1217" s="1" t="s">
        <v>1704</v>
      </c>
      <c r="AE1217" s="1" t="s">
        <v>1705</v>
      </c>
      <c r="AF1217" s="1" t="s">
        <v>1704</v>
      </c>
    </row>
    <row r="1218" spans="1:32" ht="15" x14ac:dyDescent="0.35">
      <c r="A1218" s="7" t="s">
        <v>523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>LEFT($A1218,FIND("_",$A1218)-1)</f>
        <v>FixMiner</v>
      </c>
      <c r="P1218" s="13" t="str">
        <f>IF($O1218="ACS", "True Search", IF($O1218="Arja", "Evolutionary Search", IF($O1218="AVATAR", "True Pattern", IF($O1218="CapGen", "Search Like Pattern", IF($O1218="Cardumen", "True Semantic", IF($O1218="DynaMoth", "True Semantic", IF($O1218="FixMiner", "True Pattern", IF($O1218="GenProg-A", "Evolutionary Search", IF($O1218="Hercules", "Learning Pattern", IF($O1218="Jaid", "True Semantic",
IF($O1218="Kali-A", "True Search", IF($O1218="kPAR", "True Pattern", IF($O1218="Nopol", "True Semantic", IF($O1218="RSRepair-A", "Evolutionary Search", IF($O1218="SequenceR", "Deep Learning", IF($O1218="SimFix", "Search Like Pattern", IF($O1218="SketchFix", "True Pattern", IF($O1218="SOFix", "True Pattern", IF($O1218="ssFix", "Search Like Pattern", IF($O1218="TBar", "True Pattern", ""))))))))))))))))))))</f>
        <v>True Pattern</v>
      </c>
      <c r="Q1218" s="13" t="str">
        <f>IF(NOT(ISERR(SEARCH("*_Buggy",$A1218))), "Buggy", IF(NOT(ISERR(SEARCH("*_Fixed",$A1218))), "Fixed", IF(NOT(ISERR(SEARCH("*_Repaired",$A1218))), "Repaired", "")))</f>
        <v>Repaired</v>
      </c>
      <c r="R1218" s="13" t="s">
        <v>1668</v>
      </c>
      <c r="S1218" s="25">
        <v>2</v>
      </c>
      <c r="T1218" s="25">
        <v>4</v>
      </c>
      <c r="U1218" s="25">
        <v>1</v>
      </c>
      <c r="V1218" s="13">
        <v>4</v>
      </c>
      <c r="W1218" s="13" t="str">
        <f>MID(A1218, SEARCH("_", A1218) +1, SEARCH("_", A1218, SEARCH("_", A1218) +1) - SEARCH("_", A1218) -1)</f>
        <v>Chart-26</v>
      </c>
      <c r="Y1218" s="1" t="str">
        <f t="shared" si="56"/>
        <v>NO</v>
      </c>
      <c r="Z1218" s="1" t="str">
        <f t="shared" si="57"/>
        <v>YES</v>
      </c>
      <c r="AA1218" t="s">
        <v>1704</v>
      </c>
      <c r="AB1218" t="s">
        <v>1704</v>
      </c>
      <c r="AC1218" s="1" t="s">
        <v>1704</v>
      </c>
      <c r="AD1218" s="1" t="s">
        <v>1704</v>
      </c>
      <c r="AE1218" s="1" t="s">
        <v>1704</v>
      </c>
      <c r="AF1218" s="1" t="s">
        <v>1705</v>
      </c>
    </row>
    <row r="1219" spans="1:32" ht="15" x14ac:dyDescent="0.35">
      <c r="A1219" s="7" t="s">
        <v>1007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>LEFT($A1219,FIND("_",$A1219)-1)</f>
        <v>FixMiner</v>
      </c>
      <c r="P1219" s="13" t="str">
        <f>IF($O1219="ACS", "True Search", IF($O1219="Arja", "Evolutionary Search", IF($O1219="AVATAR", "True Pattern", IF($O1219="CapGen", "Search Like Pattern", IF($O1219="Cardumen", "True Semantic", IF($O1219="DynaMoth", "True Semantic", IF($O1219="FixMiner", "True Pattern", IF($O1219="GenProg-A", "Evolutionary Search", IF($O1219="Hercules", "Learning Pattern", IF($O1219="Jaid", "True Semantic",
IF($O1219="Kali-A", "True Search", IF($O1219="kPAR", "True Pattern", IF($O1219="Nopol", "True Semantic", IF($O1219="RSRepair-A", "Evolutionary Search", IF($O1219="SequenceR", "Deep Learning", IF($O1219="SimFix", "Search Like Pattern", IF($O1219="SketchFix", "True Pattern", IF($O1219="SOFix", "True Pattern", IF($O1219="ssFix", "Search Like Pattern", IF($O1219="TBar", "True Pattern", ""))))))))))))))))))))</f>
        <v>True Pattern</v>
      </c>
      <c r="Q1219" s="13" t="str">
        <f>IF(NOT(ISERR(SEARCH("*_Buggy",$A1219))), "Buggy", IF(NOT(ISERR(SEARCH("*_Fixed",$A1219))), "Fixed", IF(NOT(ISERR(SEARCH("*_Repaired",$A1219))), "Repaired", "")))</f>
        <v>Repaired</v>
      </c>
      <c r="R1219" s="13" t="s">
        <v>1669</v>
      </c>
      <c r="S1219" s="25">
        <v>1</v>
      </c>
      <c r="T1219" s="25">
        <v>1</v>
      </c>
      <c r="U1219" s="25">
        <v>1</v>
      </c>
      <c r="V1219" s="13">
        <v>1</v>
      </c>
      <c r="W1219" s="13" t="str">
        <f>MID(A1219, SEARCH("_", A1219) +1, SEARCH("_", A1219, SEARCH("_", A1219) +1) - SEARCH("_", A1219) -1)</f>
        <v>Chart-3</v>
      </c>
      <c r="Y1219" s="1" t="str">
        <f t="shared" si="56"/>
        <v>NO</v>
      </c>
      <c r="Z1219" s="1" t="str">
        <f t="shared" si="57"/>
        <v>NO</v>
      </c>
      <c r="AA1219" t="s">
        <v>1704</v>
      </c>
      <c r="AB1219" t="s">
        <v>1704</v>
      </c>
      <c r="AC1219" s="1" t="s">
        <v>1704</v>
      </c>
      <c r="AD1219" s="1" t="s">
        <v>1704</v>
      </c>
      <c r="AE1219" s="1" t="s">
        <v>1704</v>
      </c>
      <c r="AF1219" s="1" t="s">
        <v>1704</v>
      </c>
    </row>
    <row r="1220" spans="1:32" ht="15" x14ac:dyDescent="0.35">
      <c r="A1220" s="5" t="s">
        <v>33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>LEFT($A1220,FIND("_",$A1220)-1)</f>
        <v>FixMiner</v>
      </c>
      <c r="P1220" s="13" t="str">
        <f>IF($O1220="ACS", "True Search", IF($O1220="Arja", "Evolutionary Search", IF($O1220="AVATAR", "True Pattern", IF($O1220="CapGen", "Search Like Pattern", IF($O1220="Cardumen", "True Semantic", IF($O1220="DynaMoth", "True Semantic", IF($O1220="FixMiner", "True Pattern", IF($O1220="GenProg-A", "Evolutionary Search", IF($O1220="Hercules", "Learning Pattern", IF($O1220="Jaid", "True Semantic",
IF($O1220="Kali-A", "True Search", IF($O1220="kPAR", "True Pattern", IF($O1220="Nopol", "True Semantic", IF($O1220="RSRepair-A", "Evolutionary Search", IF($O1220="SequenceR", "Deep Learning", IF($O1220="SimFix", "Search Like Pattern", IF($O1220="SketchFix", "True Pattern", IF($O1220="SOFix", "True Pattern", IF($O1220="ssFix", "Search Like Pattern", IF($O1220="TBar", "True Pattern", ""))))))))))))))))))))</f>
        <v>True Pattern</v>
      </c>
      <c r="Q1220" s="13" t="str">
        <f>IF(NOT(ISERR(SEARCH("*_Buggy",$A1220))), "Buggy", IF(NOT(ISERR(SEARCH("*_Fixed",$A1220))), "Fixed", IF(NOT(ISERR(SEARCH("*_Repaired",$A1220))), "Repaired", "")))</f>
        <v>Repaired</v>
      </c>
      <c r="R1220" s="13" t="s">
        <v>1668</v>
      </c>
      <c r="S1220" s="25">
        <v>2</v>
      </c>
      <c r="T1220" s="25">
        <v>4</v>
      </c>
      <c r="U1220" s="25">
        <v>1</v>
      </c>
      <c r="V1220" s="13">
        <v>4</v>
      </c>
      <c r="W1220" s="13" t="str">
        <f>MID(A1220, SEARCH("_", A1220) +1, SEARCH("_", A1220, SEARCH("_", A1220) +1) - SEARCH("_", A1220) -1)</f>
        <v>Chart-4</v>
      </c>
      <c r="Y1220" s="1" t="str">
        <f t="shared" si="56"/>
        <v>NO</v>
      </c>
      <c r="Z1220" s="1" t="str">
        <f t="shared" si="57"/>
        <v>YES</v>
      </c>
      <c r="AA1220" t="s">
        <v>1704</v>
      </c>
      <c r="AB1220" t="s">
        <v>1704</v>
      </c>
      <c r="AC1220" s="1" t="s">
        <v>1704</v>
      </c>
      <c r="AD1220" s="1" t="s">
        <v>1704</v>
      </c>
      <c r="AE1220" s="1" t="s">
        <v>1704</v>
      </c>
      <c r="AF1220" s="1" t="s">
        <v>1705</v>
      </c>
    </row>
    <row r="1221" spans="1:32" ht="15" x14ac:dyDescent="0.35">
      <c r="A1221" s="5" t="s">
        <v>834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>LEFT($A1221,FIND("_",$A1221)-1)</f>
        <v>FixMiner</v>
      </c>
      <c r="P1221" s="13" t="str">
        <f>IF($O1221="ACS", "True Search", IF($O1221="Arja", "Evolutionary Search", IF($O1221="AVATAR", "True Pattern", IF($O1221="CapGen", "Search Like Pattern", IF($O1221="Cardumen", "True Semantic", IF($O1221="DynaMoth", "True Semantic", IF($O1221="FixMiner", "True Pattern", IF($O1221="GenProg-A", "Evolutionary Search", IF($O1221="Hercules", "Learning Pattern", IF($O1221="Jaid", "True Semantic",
IF($O1221="Kali-A", "True Search", IF($O1221="kPAR", "True Pattern", IF($O1221="Nopol", "True Semantic", IF($O1221="RSRepair-A", "Evolutionary Search", IF($O1221="SequenceR", "Deep Learning", IF($O1221="SimFix", "Search Like Pattern", IF($O1221="SketchFix", "True Pattern", IF($O1221="SOFix", "True Pattern", IF($O1221="ssFix", "Search Like Pattern", IF($O1221="TBar", "True Pattern", ""))))))))))))))))))))</f>
        <v>True Pattern</v>
      </c>
      <c r="Q1221" s="13" t="str">
        <f>IF(NOT(ISERR(SEARCH("*_Buggy",$A1221))), "Buggy", IF(NOT(ISERR(SEARCH("*_Fixed",$A1221))), "Fixed", IF(NOT(ISERR(SEARCH("*_Repaired",$A1221))), "Repaired", "")))</f>
        <v>Repaired</v>
      </c>
      <c r="R1221" s="13" t="s">
        <v>1669</v>
      </c>
      <c r="S1221" s="25">
        <v>1</v>
      </c>
      <c r="T1221" s="25">
        <v>1</v>
      </c>
      <c r="U1221" s="25">
        <v>1</v>
      </c>
      <c r="V1221" s="13">
        <v>1</v>
      </c>
      <c r="W1221" s="13" t="str">
        <f>MID(A1221, SEARCH("_", A1221) +1, SEARCH("_", A1221, SEARCH("_", A1221) +1) - SEARCH("_", A1221) -1)</f>
        <v>Chart-7</v>
      </c>
      <c r="Y1221" s="1" t="str">
        <f t="shared" si="56"/>
        <v>NO</v>
      </c>
      <c r="Z1221" s="1" t="str">
        <f t="shared" si="57"/>
        <v>NO</v>
      </c>
      <c r="AA1221" t="s">
        <v>1704</v>
      </c>
      <c r="AB1221" t="s">
        <v>1704</v>
      </c>
      <c r="AC1221" s="1" t="s">
        <v>1704</v>
      </c>
      <c r="AD1221" s="1" t="s">
        <v>1704</v>
      </c>
      <c r="AE1221" s="1" t="s">
        <v>1704</v>
      </c>
      <c r="AF1221" s="1" t="s">
        <v>1704</v>
      </c>
    </row>
    <row r="1222" spans="1:32" ht="15" x14ac:dyDescent="0.35">
      <c r="A1222" s="7" t="s">
        <v>865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>LEFT($A1222,FIND("_",$A1222)-1)</f>
        <v>FixMiner</v>
      </c>
      <c r="P1222" s="13" t="str">
        <f>IF($O1222="ACS", "True Search", IF($O1222="Arja", "Evolutionary Search", IF($O1222="AVATAR", "True Pattern", IF($O1222="CapGen", "Search Like Pattern", IF($O1222="Cardumen", "True Semantic", IF($O1222="DynaMoth", "True Semantic", IF($O1222="FixMiner", "True Pattern", IF($O1222="GenProg-A", "Evolutionary Search", IF($O1222="Hercules", "Learning Pattern", IF($O1222="Jaid", "True Semantic",
IF($O1222="Kali-A", "True Search", IF($O1222="kPAR", "True Pattern", IF($O1222="Nopol", "True Semantic", IF($O1222="RSRepair-A", "Evolutionary Search", IF($O1222="SequenceR", "Deep Learning", IF($O1222="SimFix", "Search Like Pattern", IF($O1222="SketchFix", "True Pattern", IF($O1222="SOFix", "True Pattern", IF($O1222="ssFix", "Search Like Pattern", IF($O1222="TBar", "True Pattern", ""))))))))))))))))))))</f>
        <v>True Pattern</v>
      </c>
      <c r="Q1222" s="13" t="str">
        <f>IF(NOT(ISERR(SEARCH("*_Buggy",$A1222))), "Buggy", IF(NOT(ISERR(SEARCH("*_Fixed",$A1222))), "Fixed", IF(NOT(ISERR(SEARCH("*_Repaired",$A1222))), "Repaired", "")))</f>
        <v>Repaired</v>
      </c>
      <c r="R1222" s="13" t="s">
        <v>1668</v>
      </c>
      <c r="S1222" s="25">
        <v>1</v>
      </c>
      <c r="T1222" s="25">
        <v>1</v>
      </c>
      <c r="U1222" s="25">
        <v>1</v>
      </c>
      <c r="V1222" s="13">
        <v>1</v>
      </c>
      <c r="W1222" s="13" t="str">
        <f>MID(A1222, SEARCH("_", A1222) +1, SEARCH("_", A1222, SEARCH("_", A1222) +1) - SEARCH("_", A1222) -1)</f>
        <v>Closure-10</v>
      </c>
      <c r="Y1222" s="1" t="str">
        <f t="shared" si="56"/>
        <v>NO</v>
      </c>
      <c r="Z1222" s="1" t="str">
        <f t="shared" si="57"/>
        <v>NO</v>
      </c>
      <c r="AA1222" t="s">
        <v>1704</v>
      </c>
      <c r="AB1222" t="s">
        <v>1704</v>
      </c>
      <c r="AC1222" s="1" t="s">
        <v>1705</v>
      </c>
      <c r="AD1222" s="1" t="s">
        <v>1704</v>
      </c>
      <c r="AE1222" s="1" t="s">
        <v>1705</v>
      </c>
      <c r="AF1222" s="1" t="s">
        <v>1704</v>
      </c>
    </row>
    <row r="1223" spans="1:32" ht="15" x14ac:dyDescent="0.35">
      <c r="A1223" s="5" t="s">
        <v>912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>LEFT($A1223,FIND("_",$A1223)-1)</f>
        <v>FixMiner</v>
      </c>
      <c r="P1223" s="13" t="str">
        <f>IF($O1223="ACS", "True Search", IF($O1223="Arja", "Evolutionary Search", IF($O1223="AVATAR", "True Pattern", IF($O1223="CapGen", "Search Like Pattern", IF($O1223="Cardumen", "True Semantic", IF($O1223="DynaMoth", "True Semantic", IF($O1223="FixMiner", "True Pattern", IF($O1223="GenProg-A", "Evolutionary Search", IF($O1223="Hercules", "Learning Pattern", IF($O1223="Jaid", "True Semantic",
IF($O1223="Kali-A", "True Search", IF($O1223="kPAR", "True Pattern", IF($O1223="Nopol", "True Semantic", IF($O1223="RSRepair-A", "Evolutionary Search", IF($O1223="SequenceR", "Deep Learning", IF($O1223="SimFix", "Search Like Pattern", IF($O1223="SketchFix", "True Pattern", IF($O1223="SOFix", "True Pattern", IF($O1223="ssFix", "Search Like Pattern", IF($O1223="TBar", "True Pattern", ""))))))))))))))))))))</f>
        <v>True Pattern</v>
      </c>
      <c r="Q1223" s="13" t="str">
        <f>IF(NOT(ISERR(SEARCH("*_Buggy",$A1223))), "Buggy", IF(NOT(ISERR(SEARCH("*_Fixed",$A1223))), "Fixed", IF(NOT(ISERR(SEARCH("*_Repaired",$A1223))), "Repaired", "")))</f>
        <v>Repaired</v>
      </c>
      <c r="R1223" s="13" t="s">
        <v>1669</v>
      </c>
      <c r="S1223" s="25">
        <v>1</v>
      </c>
      <c r="T1223" s="25">
        <v>1</v>
      </c>
      <c r="U1223" s="25">
        <v>1</v>
      </c>
      <c r="V1223" s="13">
        <v>1</v>
      </c>
      <c r="W1223" s="13" t="str">
        <f>MID(A1223, SEARCH("_", A1223) +1, SEARCH("_", A1223, SEARCH("_", A1223) +1) - SEARCH("_", A1223) -1)</f>
        <v>Closure-115</v>
      </c>
      <c r="Y1223" s="1" t="str">
        <f t="shared" si="56"/>
        <v>NO</v>
      </c>
      <c r="Z1223" s="1" t="str">
        <f t="shared" si="57"/>
        <v>NO</v>
      </c>
      <c r="AA1223" t="s">
        <v>1704</v>
      </c>
      <c r="AB1223" t="s">
        <v>1704</v>
      </c>
      <c r="AC1223" s="1" t="s">
        <v>1704</v>
      </c>
      <c r="AD1223" s="1" t="s">
        <v>1704</v>
      </c>
      <c r="AE1223" s="1" t="s">
        <v>1704</v>
      </c>
      <c r="AF1223" s="1" t="s">
        <v>1704</v>
      </c>
    </row>
    <row r="1224" spans="1:32" ht="15" x14ac:dyDescent="0.35">
      <c r="A1224" s="5" t="s">
        <v>864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>LEFT($A1224,FIND("_",$A1224)-1)</f>
        <v>FixMiner</v>
      </c>
      <c r="P1224" s="13" t="str">
        <f>IF($O1224="ACS", "True Search", IF($O1224="Arja", "Evolutionary Search", IF($O1224="AVATAR", "True Pattern", IF($O1224="CapGen", "Search Like Pattern", IF($O1224="Cardumen", "True Semantic", IF($O1224="DynaMoth", "True Semantic", IF($O1224="FixMiner", "True Pattern", IF($O1224="GenProg-A", "Evolutionary Search", IF($O1224="Hercules", "Learning Pattern", IF($O1224="Jaid", "True Semantic",
IF($O1224="Kali-A", "True Search", IF($O1224="kPAR", "True Pattern", IF($O1224="Nopol", "True Semantic", IF($O1224="RSRepair-A", "Evolutionary Search", IF($O1224="SequenceR", "Deep Learning", IF($O1224="SimFix", "Search Like Pattern", IF($O1224="SketchFix", "True Pattern", IF($O1224="SOFix", "True Pattern", IF($O1224="ssFix", "Search Like Pattern", IF($O1224="TBar", "True Pattern", ""))))))))))))))))))))</f>
        <v>True Pattern</v>
      </c>
      <c r="Q1224" s="13" t="str">
        <f>IF(NOT(ISERR(SEARCH("*_Buggy",$A1224))), "Buggy", IF(NOT(ISERR(SEARCH("*_Fixed",$A1224))), "Fixed", IF(NOT(ISERR(SEARCH("*_Repaired",$A1224))), "Repaired", "")))</f>
        <v>Repaired</v>
      </c>
      <c r="R1224" s="13" t="s">
        <v>1668</v>
      </c>
      <c r="S1224" s="25">
        <v>2</v>
      </c>
      <c r="T1224" s="25">
        <v>3</v>
      </c>
      <c r="U1224" s="25">
        <v>1</v>
      </c>
      <c r="V1224" s="13">
        <v>3</v>
      </c>
      <c r="W1224" s="13" t="str">
        <f>MID(A1224, SEARCH("_", A1224) +1, SEARCH("_", A1224, SEARCH("_", A1224) +1) - SEARCH("_", A1224) -1)</f>
        <v>Closure-13</v>
      </c>
      <c r="Y1224" s="1" t="str">
        <f t="shared" si="56"/>
        <v>NO</v>
      </c>
      <c r="Z1224" s="1" t="str">
        <f t="shared" si="57"/>
        <v>YES</v>
      </c>
      <c r="AA1224" t="s">
        <v>1704</v>
      </c>
      <c r="AB1224" t="s">
        <v>1704</v>
      </c>
      <c r="AC1224" s="1" t="s">
        <v>1704</v>
      </c>
      <c r="AD1224" s="1" t="s">
        <v>1704</v>
      </c>
      <c r="AE1224" s="1" t="s">
        <v>1704</v>
      </c>
      <c r="AF1224" s="1" t="s">
        <v>1705</v>
      </c>
    </row>
    <row r="1225" spans="1:32" ht="15" x14ac:dyDescent="0.35">
      <c r="A1225" s="7" t="s">
        <v>581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>LEFT($A1225,FIND("_",$A1225)-1)</f>
        <v>FixMiner</v>
      </c>
      <c r="P1225" s="13" t="str">
        <f>IF($O1225="ACS", "True Search", IF($O1225="Arja", "Evolutionary Search", IF($O1225="AVATAR", "True Pattern", IF($O1225="CapGen", "Search Like Pattern", IF($O1225="Cardumen", "True Semantic", IF($O1225="DynaMoth", "True Semantic", IF($O1225="FixMiner", "True Pattern", IF($O1225="GenProg-A", "Evolutionary Search", IF($O1225="Hercules", "Learning Pattern", IF($O1225="Jaid", "True Semantic",
IF($O1225="Kali-A", "True Search", IF($O1225="kPAR", "True Pattern", IF($O1225="Nopol", "True Semantic", IF($O1225="RSRepair-A", "Evolutionary Search", IF($O1225="SequenceR", "Deep Learning", IF($O1225="SimFix", "Search Like Pattern", IF($O1225="SketchFix", "True Pattern", IF($O1225="SOFix", "True Pattern", IF($O1225="ssFix", "Search Like Pattern", IF($O1225="TBar", "True Pattern", ""))))))))))))))))))))</f>
        <v>True Pattern</v>
      </c>
      <c r="Q1225" s="13" t="str">
        <f>IF(NOT(ISERR(SEARCH("*_Buggy",$A1225))), "Buggy", IF(NOT(ISERR(SEARCH("*_Fixed",$A1225))), "Fixed", IF(NOT(ISERR(SEARCH("*_Repaired",$A1225))), "Repaired", "")))</f>
        <v>Repaired</v>
      </c>
      <c r="R1225" s="13" t="s">
        <v>1669</v>
      </c>
      <c r="S1225" s="25">
        <v>1</v>
      </c>
      <c r="T1225" s="25">
        <v>1</v>
      </c>
      <c r="U1225" s="25">
        <v>2</v>
      </c>
      <c r="V1225" s="13">
        <v>2</v>
      </c>
      <c r="W1225" s="13" t="str">
        <f>MID(A1225, SEARCH("_", A1225) +1, SEARCH("_", A1225, SEARCH("_", A1225) +1) - SEARCH("_", A1225) -1)</f>
        <v>Closure-19</v>
      </c>
      <c r="Y1225" s="1" t="str">
        <f t="shared" si="56"/>
        <v>NO</v>
      </c>
      <c r="Z1225" s="1" t="str">
        <f t="shared" si="57"/>
        <v>NO</v>
      </c>
      <c r="AA1225" t="s">
        <v>1704</v>
      </c>
      <c r="AB1225" t="s">
        <v>1704</v>
      </c>
      <c r="AC1225" s="1" t="s">
        <v>1704</v>
      </c>
      <c r="AD1225" s="1" t="s">
        <v>1704</v>
      </c>
      <c r="AE1225" s="1" t="s">
        <v>1704</v>
      </c>
      <c r="AF1225" s="1" t="s">
        <v>1705</v>
      </c>
    </row>
    <row r="1226" spans="1:32" ht="15" x14ac:dyDescent="0.35">
      <c r="A1226" s="7" t="s">
        <v>1086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>LEFT($A1226,FIND("_",$A1226)-1)</f>
        <v>FixMiner</v>
      </c>
      <c r="P1226" s="13" t="str">
        <f>IF($O1226="ACS", "True Search", IF($O1226="Arja", "Evolutionary Search", IF($O1226="AVATAR", "True Pattern", IF($O1226="CapGen", "Search Like Pattern", IF($O1226="Cardumen", "True Semantic", IF($O1226="DynaMoth", "True Semantic", IF($O1226="FixMiner", "True Pattern", IF($O1226="GenProg-A", "Evolutionary Search", IF($O1226="Hercules", "Learning Pattern", IF($O1226="Jaid", "True Semantic",
IF($O1226="Kali-A", "True Search", IF($O1226="kPAR", "True Pattern", IF($O1226="Nopol", "True Semantic", IF($O1226="RSRepair-A", "Evolutionary Search", IF($O1226="SequenceR", "Deep Learning", IF($O1226="SimFix", "Search Like Pattern", IF($O1226="SketchFix", "True Pattern", IF($O1226="SOFix", "True Pattern", IF($O1226="ssFix", "Search Like Pattern", IF($O1226="TBar", "True Pattern", ""))))))))))))))))))))</f>
        <v>True Pattern</v>
      </c>
      <c r="Q1226" s="13" t="str">
        <f>IF(NOT(ISERR(SEARCH("*_Buggy",$A1226))), "Buggy", IF(NOT(ISERR(SEARCH("*_Fixed",$A1226))), "Fixed", IF(NOT(ISERR(SEARCH("*_Repaired",$A1226))), "Repaired", "")))</f>
        <v>Repaired</v>
      </c>
      <c r="R1226" s="13" t="s">
        <v>1668</v>
      </c>
      <c r="S1226" s="25">
        <v>2</v>
      </c>
      <c r="T1226" s="13">
        <v>2</v>
      </c>
      <c r="U1226" s="25">
        <v>0</v>
      </c>
      <c r="V1226" s="13">
        <v>2</v>
      </c>
      <c r="W1226" s="13" t="str">
        <f>MID(A1226, SEARCH("_", A1226) +1, SEARCH("_", A1226, SEARCH("_", A1226) +1) - SEARCH("_", A1226) -1)</f>
        <v>Closure-2</v>
      </c>
      <c r="Y1226" s="1" t="str">
        <f t="shared" si="56"/>
        <v>YES</v>
      </c>
      <c r="Z1226" s="1" t="str">
        <f t="shared" si="57"/>
        <v>NO</v>
      </c>
      <c r="AA1226" t="s">
        <v>1704</v>
      </c>
      <c r="AB1226" t="s">
        <v>1704</v>
      </c>
      <c r="AC1226" s="1" t="s">
        <v>1704</v>
      </c>
      <c r="AD1226" s="1" t="s">
        <v>1704</v>
      </c>
      <c r="AE1226" s="1" t="s">
        <v>1704</v>
      </c>
      <c r="AF1226" s="1" t="s">
        <v>1705</v>
      </c>
    </row>
    <row r="1227" spans="1:32" ht="15" x14ac:dyDescent="0.35">
      <c r="A1227" s="5" t="s">
        <v>1091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>LEFT($A1227,FIND("_",$A1227)-1)</f>
        <v>FixMiner</v>
      </c>
      <c r="P1227" s="13" t="str">
        <f>IF($O1227="ACS", "True Search", IF($O1227="Arja", "Evolutionary Search", IF($O1227="AVATAR", "True Pattern", IF($O1227="CapGen", "Search Like Pattern", IF($O1227="Cardumen", "True Semantic", IF($O1227="DynaMoth", "True Semantic", IF($O1227="FixMiner", "True Pattern", IF($O1227="GenProg-A", "Evolutionary Search", IF($O1227="Hercules", "Learning Pattern", IF($O1227="Jaid", "True Semantic",
IF($O1227="Kali-A", "True Search", IF($O1227="kPAR", "True Pattern", IF($O1227="Nopol", "True Semantic", IF($O1227="RSRepair-A", "Evolutionary Search", IF($O1227="SequenceR", "Deep Learning", IF($O1227="SimFix", "Search Like Pattern", IF($O1227="SketchFix", "True Pattern", IF($O1227="SOFix", "True Pattern", IF($O1227="ssFix", "Search Like Pattern", IF($O1227="TBar", "True Pattern", ""))))))))))))))))))))</f>
        <v>True Pattern</v>
      </c>
      <c r="Q1227" s="13" t="str">
        <f>IF(NOT(ISERR(SEARCH("*_Buggy",$A1227))), "Buggy", IF(NOT(ISERR(SEARCH("*_Fixed",$A1227))), "Fixed", IF(NOT(ISERR(SEARCH("*_Repaired",$A1227))), "Repaired", "")))</f>
        <v>Repaired</v>
      </c>
      <c r="R1227" s="13" t="s">
        <v>1668</v>
      </c>
      <c r="S1227" s="25">
        <v>1</v>
      </c>
      <c r="T1227" s="25">
        <v>1</v>
      </c>
      <c r="U1227" s="25">
        <v>1</v>
      </c>
      <c r="V1227" s="13">
        <v>1</v>
      </c>
      <c r="W1227" s="13" t="str">
        <f>MID(A1227, SEARCH("_", A1227) +1, SEARCH("_", A1227, SEARCH("_", A1227) +1) - SEARCH("_", A1227) -1)</f>
        <v>Closure-38</v>
      </c>
      <c r="Y1227" s="1" t="str">
        <f t="shared" si="56"/>
        <v>NO</v>
      </c>
      <c r="Z1227" s="1" t="str">
        <f t="shared" si="57"/>
        <v>NO</v>
      </c>
      <c r="AA1227" t="s">
        <v>1704</v>
      </c>
      <c r="AB1227" t="s">
        <v>1704</v>
      </c>
      <c r="AC1227" s="1" t="s">
        <v>1705</v>
      </c>
      <c r="AD1227" s="1" t="s">
        <v>1704</v>
      </c>
      <c r="AE1227" s="1" t="s">
        <v>1705</v>
      </c>
      <c r="AF1227" s="1" t="s">
        <v>1704</v>
      </c>
    </row>
    <row r="1228" spans="1:32" ht="15" x14ac:dyDescent="0.35">
      <c r="A1228" s="5" t="s">
        <v>1272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>LEFT($A1228,FIND("_",$A1228)-1)</f>
        <v>FixMiner</v>
      </c>
      <c r="P1228" s="13" t="str">
        <f>IF($O1228="ACS", "True Search", IF($O1228="Arja", "Evolutionary Search", IF($O1228="AVATAR", "True Pattern", IF($O1228="CapGen", "Search Like Pattern", IF($O1228="Cardumen", "True Semantic", IF($O1228="DynaMoth", "True Semantic", IF($O1228="FixMiner", "True Pattern", IF($O1228="GenProg-A", "Evolutionary Search", IF($O1228="Hercules", "Learning Pattern", IF($O1228="Jaid", "True Semantic",
IF($O1228="Kali-A", "True Search", IF($O1228="kPAR", "True Pattern", IF($O1228="Nopol", "True Semantic", IF($O1228="RSRepair-A", "Evolutionary Search", IF($O1228="SequenceR", "Deep Learning", IF($O1228="SimFix", "Search Like Pattern", IF($O1228="SketchFix", "True Pattern", IF($O1228="SOFix", "True Pattern", IF($O1228="ssFix", "Search Like Pattern", IF($O1228="TBar", "True Pattern", ""))))))))))))))))))))</f>
        <v>True Pattern</v>
      </c>
      <c r="Q1228" s="13" t="str">
        <f>IF(NOT(ISERR(SEARCH("*_Buggy",$A1228))), "Buggy", IF(NOT(ISERR(SEARCH("*_Fixed",$A1228))), "Fixed", IF(NOT(ISERR(SEARCH("*_Repaired",$A1228))), "Repaired", "")))</f>
        <v>Repaired</v>
      </c>
      <c r="R1228" s="13" t="s">
        <v>1668</v>
      </c>
      <c r="S1228" s="25">
        <v>1</v>
      </c>
      <c r="T1228" s="25">
        <v>1</v>
      </c>
      <c r="U1228" s="25">
        <v>16</v>
      </c>
      <c r="V1228" s="13">
        <v>16</v>
      </c>
      <c r="W1228" s="13" t="str">
        <f>MID(A1228, SEARCH("_", A1228) +1, SEARCH("_", A1228, SEARCH("_", A1228) +1) - SEARCH("_", A1228) -1)</f>
        <v>Closure-46</v>
      </c>
      <c r="Y1228" s="1" t="str">
        <f t="shared" si="56"/>
        <v>NO</v>
      </c>
      <c r="Z1228" s="1" t="str">
        <f t="shared" si="57"/>
        <v>NO</v>
      </c>
      <c r="AA1228" t="s">
        <v>1704</v>
      </c>
      <c r="AB1228" t="s">
        <v>1704</v>
      </c>
      <c r="AC1228" s="1" t="s">
        <v>1704</v>
      </c>
      <c r="AD1228" s="1" t="s">
        <v>1705</v>
      </c>
      <c r="AE1228" s="1" t="s">
        <v>1704</v>
      </c>
      <c r="AF1228" s="1" t="s">
        <v>1705</v>
      </c>
    </row>
    <row r="1229" spans="1:32" ht="15" x14ac:dyDescent="0.35">
      <c r="A1229" s="5" t="s">
        <v>844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>LEFT($A1229,FIND("_",$A1229)-1)</f>
        <v>FixMiner</v>
      </c>
      <c r="P1229" s="13" t="str">
        <f>IF($O1229="ACS", "True Search", IF($O1229="Arja", "Evolutionary Search", IF($O1229="AVATAR", "True Pattern", IF($O1229="CapGen", "Search Like Pattern", IF($O1229="Cardumen", "True Semantic", IF($O1229="DynaMoth", "True Semantic", IF($O1229="FixMiner", "True Pattern", IF($O1229="GenProg-A", "Evolutionary Search", IF($O1229="Hercules", "Learning Pattern", IF($O1229="Jaid", "True Semantic",
IF($O1229="Kali-A", "True Search", IF($O1229="kPAR", "True Pattern", IF($O1229="Nopol", "True Semantic", IF($O1229="RSRepair-A", "Evolutionary Search", IF($O1229="SequenceR", "Deep Learning", IF($O1229="SimFix", "Search Like Pattern", IF($O1229="SketchFix", "True Pattern", IF($O1229="SOFix", "True Pattern", IF($O1229="ssFix", "Search Like Pattern", IF($O1229="TBar", "True Pattern", ""))))))))))))))))))))</f>
        <v>True Pattern</v>
      </c>
      <c r="Q1229" s="13" t="str">
        <f>IF(NOT(ISERR(SEARCH("*_Buggy",$A1229))), "Buggy", IF(NOT(ISERR(SEARCH("*_Fixed",$A1229))), "Fixed", IF(NOT(ISERR(SEARCH("*_Repaired",$A1229))), "Repaired", "")))</f>
        <v>Repaired</v>
      </c>
      <c r="R1229" s="13" t="s">
        <v>1669</v>
      </c>
      <c r="S1229" s="25">
        <v>1</v>
      </c>
      <c r="T1229" s="25">
        <v>1</v>
      </c>
      <c r="U1229" s="25">
        <v>1</v>
      </c>
      <c r="V1229" s="13">
        <v>1</v>
      </c>
      <c r="W1229" s="13" t="str">
        <f>MID(A1229, SEARCH("_", A1229) +1, SEARCH("_", A1229, SEARCH("_", A1229) +1) - SEARCH("_", A1229) -1)</f>
        <v>Closure-62</v>
      </c>
      <c r="Y1229" s="1" t="str">
        <f t="shared" si="56"/>
        <v>NO</v>
      </c>
      <c r="Z1229" s="1" t="str">
        <f t="shared" si="57"/>
        <v>NO</v>
      </c>
      <c r="AA1229" t="s">
        <v>1704</v>
      </c>
      <c r="AB1229" t="s">
        <v>1704</v>
      </c>
      <c r="AC1229" s="1" t="s">
        <v>1705</v>
      </c>
      <c r="AD1229" s="1" t="s">
        <v>1704</v>
      </c>
      <c r="AE1229" s="1" t="s">
        <v>1705</v>
      </c>
      <c r="AF1229" s="1" t="s">
        <v>1704</v>
      </c>
    </row>
    <row r="1230" spans="1:32" ht="15" x14ac:dyDescent="0.35">
      <c r="A1230" s="5" t="s">
        <v>225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>LEFT($A1230,FIND("_",$A1230)-1)</f>
        <v>FixMiner</v>
      </c>
      <c r="P1230" s="13" t="str">
        <f>IF($O1230="ACS", "True Search", IF($O1230="Arja", "Evolutionary Search", IF($O1230="AVATAR", "True Pattern", IF($O1230="CapGen", "Search Like Pattern", IF($O1230="Cardumen", "True Semantic", IF($O1230="DynaMoth", "True Semantic", IF($O1230="FixMiner", "True Pattern", IF($O1230="GenProg-A", "Evolutionary Search", IF($O1230="Hercules", "Learning Pattern", IF($O1230="Jaid", "True Semantic",
IF($O1230="Kali-A", "True Search", IF($O1230="kPAR", "True Pattern", IF($O1230="Nopol", "True Semantic", IF($O1230="RSRepair-A", "Evolutionary Search", IF($O1230="SequenceR", "Deep Learning", IF($O1230="SimFix", "Search Like Pattern", IF($O1230="SketchFix", "True Pattern", IF($O1230="SOFix", "True Pattern", IF($O1230="ssFix", "Search Like Pattern", IF($O1230="TBar", "True Pattern", ""))))))))))))))))))))</f>
        <v>True Pattern</v>
      </c>
      <c r="Q1230" s="13" t="str">
        <f>IF(NOT(ISERR(SEARCH("*_Buggy",$A1230))), "Buggy", IF(NOT(ISERR(SEARCH("*_Fixed",$A1230))), "Fixed", IF(NOT(ISERR(SEARCH("*_Repaired",$A1230))), "Repaired", "")))</f>
        <v>Repaired</v>
      </c>
      <c r="R1230" s="13" t="s">
        <v>1668</v>
      </c>
      <c r="S1230" s="25">
        <v>1</v>
      </c>
      <c r="T1230" s="25">
        <v>1</v>
      </c>
      <c r="U1230" s="25">
        <v>1</v>
      </c>
      <c r="V1230" s="13">
        <v>1</v>
      </c>
      <c r="W1230" s="13" t="str">
        <f>MID(A1230, SEARCH("_", A1230) +1, SEARCH("_", A1230, SEARCH("_", A1230) +1) - SEARCH("_", A1230) -1)</f>
        <v>Closure-73</v>
      </c>
      <c r="Y1230" s="1" t="str">
        <f t="shared" si="56"/>
        <v>NO</v>
      </c>
      <c r="Z1230" s="1" t="str">
        <f t="shared" si="57"/>
        <v>NO</v>
      </c>
      <c r="AA1230" t="s">
        <v>1704</v>
      </c>
      <c r="AB1230" t="s">
        <v>1704</v>
      </c>
      <c r="AC1230" s="1" t="s">
        <v>1705</v>
      </c>
      <c r="AD1230" s="1" t="s">
        <v>1704</v>
      </c>
      <c r="AE1230" s="1" t="s">
        <v>1705</v>
      </c>
      <c r="AF1230" s="1" t="s">
        <v>1704</v>
      </c>
    </row>
    <row r="1231" spans="1:32" ht="15" x14ac:dyDescent="0.35">
      <c r="A1231" s="7" t="s">
        <v>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>LEFT($A1231,FIND("_",$A1231)-1)</f>
        <v>FixMiner</v>
      </c>
      <c r="P1231" s="13" t="str">
        <f>IF($O1231="ACS", "True Search", IF($O1231="Arja", "Evolutionary Search", IF($O1231="AVATAR", "True Pattern", IF($O1231="CapGen", "Search Like Pattern", IF($O1231="Cardumen", "True Semantic", IF($O1231="DynaMoth", "True Semantic", IF($O1231="FixMiner", "True Pattern", IF($O1231="GenProg-A", "Evolutionary Search", IF($O1231="Hercules", "Learning Pattern", IF($O1231="Jaid", "True Semantic",
IF($O1231="Kali-A", "True Search", IF($O1231="kPAR", "True Pattern", IF($O1231="Nopol", "True Semantic", IF($O1231="RSRepair-A", "Evolutionary Search", IF($O1231="SequenceR", "Deep Learning", IF($O1231="SimFix", "Search Like Pattern", IF($O1231="SketchFix", "True Pattern", IF($O1231="SOFix", "True Pattern", IF($O1231="ssFix", "Search Like Pattern", IF($O1231="TBar", "True Pattern", ""))))))))))))))))))))</f>
        <v>True Pattern</v>
      </c>
      <c r="Q1231" s="13" t="str">
        <f>IF(NOT(ISERR(SEARCH("*_Buggy",$A1231))), "Buggy", IF(NOT(ISERR(SEARCH("*_Fixed",$A1231))), "Fixed", IF(NOT(ISERR(SEARCH("*_Repaired",$A1231))), "Repaired", "")))</f>
        <v>Repaired</v>
      </c>
      <c r="R1231" s="13" t="s">
        <v>1668</v>
      </c>
      <c r="S1231" s="25">
        <v>1</v>
      </c>
      <c r="T1231" s="25">
        <v>1</v>
      </c>
      <c r="U1231" s="25">
        <v>7</v>
      </c>
      <c r="V1231" s="13">
        <v>7</v>
      </c>
      <c r="W1231" s="13" t="str">
        <f>MID(A1231, SEARCH("_", A1231) +1, SEARCH("_", A1231, SEARCH("_", A1231) +1) - SEARCH("_", A1231) -1)</f>
        <v>Lang-10</v>
      </c>
      <c r="Y1231" s="1" t="str">
        <f t="shared" si="56"/>
        <v>NO</v>
      </c>
      <c r="Z1231" s="1" t="str">
        <f t="shared" si="57"/>
        <v>NO</v>
      </c>
      <c r="AA1231" t="s">
        <v>1704</v>
      </c>
      <c r="AB1231" t="s">
        <v>1704</v>
      </c>
      <c r="AC1231" s="1" t="s">
        <v>1704</v>
      </c>
      <c r="AD1231" s="1" t="s">
        <v>1704</v>
      </c>
      <c r="AE1231" s="1" t="s">
        <v>1704</v>
      </c>
      <c r="AF1231" s="1" t="s">
        <v>1705</v>
      </c>
    </row>
    <row r="1232" spans="1:32" ht="15" x14ac:dyDescent="0.35">
      <c r="A1232" s="7" t="s">
        <v>395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>LEFT($A1232,FIND("_",$A1232)-1)</f>
        <v>FixMiner</v>
      </c>
      <c r="P1232" s="13" t="str">
        <f>IF($O1232="ACS", "True Search", IF($O1232="Arja", "Evolutionary Search", IF($O1232="AVATAR", "True Pattern", IF($O1232="CapGen", "Search Like Pattern", IF($O1232="Cardumen", "True Semantic", IF($O1232="DynaMoth", "True Semantic", IF($O1232="FixMiner", "True Pattern", IF($O1232="GenProg-A", "Evolutionary Search", IF($O1232="Hercules", "Learning Pattern", IF($O1232="Jaid", "True Semantic",
IF($O1232="Kali-A", "True Search", IF($O1232="kPAR", "True Pattern", IF($O1232="Nopol", "True Semantic", IF($O1232="RSRepair-A", "Evolutionary Search", IF($O1232="SequenceR", "Deep Learning", IF($O1232="SimFix", "Search Like Pattern", IF($O1232="SketchFix", "True Pattern", IF($O1232="SOFix", "True Pattern", IF($O1232="ssFix", "Search Like Pattern", IF($O1232="TBar", "True Pattern", ""))))))))))))))))))))</f>
        <v>True Pattern</v>
      </c>
      <c r="Q1232" s="13" t="str">
        <f>IF(NOT(ISERR(SEARCH("*_Buggy",$A1232))), "Buggy", IF(NOT(ISERR(SEARCH("*_Fixed",$A1232))), "Fixed", IF(NOT(ISERR(SEARCH("*_Repaired",$A1232))), "Repaired", "")))</f>
        <v>Repaired</v>
      </c>
      <c r="R1232" s="13" t="s">
        <v>1669</v>
      </c>
      <c r="S1232" s="25">
        <v>1</v>
      </c>
      <c r="T1232" s="25">
        <v>1</v>
      </c>
      <c r="U1232" s="25">
        <v>1</v>
      </c>
      <c r="V1232" s="13">
        <v>1</v>
      </c>
      <c r="W1232" s="13" t="str">
        <f>MID(A1232, SEARCH("_", A1232) +1, SEARCH("_", A1232, SEARCH("_", A1232) +1) - SEARCH("_", A1232) -1)</f>
        <v>Lang-19</v>
      </c>
      <c r="Y1232" s="1" t="str">
        <f t="shared" si="56"/>
        <v>NO</v>
      </c>
      <c r="Z1232" s="1" t="str">
        <f t="shared" si="57"/>
        <v>NO</v>
      </c>
      <c r="AA1232" t="s">
        <v>1704</v>
      </c>
      <c r="AB1232" t="s">
        <v>1704</v>
      </c>
      <c r="AC1232" s="1" t="s">
        <v>1704</v>
      </c>
      <c r="AD1232" s="1" t="s">
        <v>1704</v>
      </c>
      <c r="AE1232" s="1" t="s">
        <v>1704</v>
      </c>
      <c r="AF1232" s="1" t="s">
        <v>1704</v>
      </c>
    </row>
    <row r="1233" spans="1:32" ht="15" x14ac:dyDescent="0.35">
      <c r="A1233" s="5" t="s">
        <v>167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>LEFT($A1233,FIND("_",$A1233)-1)</f>
        <v>FixMiner</v>
      </c>
      <c r="P1233" s="13" t="str">
        <f>IF($O1233="ACS", "True Search", IF($O1233="Arja", "Evolutionary Search", IF($O1233="AVATAR", "True Pattern", IF($O1233="CapGen", "Search Like Pattern", IF($O1233="Cardumen", "True Semantic", IF($O1233="DynaMoth", "True Semantic", IF($O1233="FixMiner", "True Pattern", IF($O1233="GenProg-A", "Evolutionary Search", IF($O1233="Hercules", "Learning Pattern", IF($O1233="Jaid", "True Semantic",
IF($O1233="Kali-A", "True Search", IF($O1233="kPAR", "True Pattern", IF($O1233="Nopol", "True Semantic", IF($O1233="RSRepair-A", "Evolutionary Search", IF($O1233="SequenceR", "Deep Learning", IF($O1233="SimFix", "Search Like Pattern", IF($O1233="SketchFix", "True Pattern", IF($O1233="SOFix", "True Pattern", IF($O1233="ssFix", "Search Like Pattern", IF($O1233="TBar", "True Pattern", ""))))))))))))))))))))</f>
        <v>True Pattern</v>
      </c>
      <c r="Q1233" s="13" t="str">
        <f>IF(NOT(ISERR(SEARCH("*_Buggy",$A1233))), "Buggy", IF(NOT(ISERR(SEARCH("*_Fixed",$A1233))), "Fixed", IF(NOT(ISERR(SEARCH("*_Repaired",$A1233))), "Repaired", "")))</f>
        <v>Repaired</v>
      </c>
      <c r="R1233" s="13" t="s">
        <v>1669</v>
      </c>
      <c r="S1233" s="25">
        <v>1</v>
      </c>
      <c r="T1233" s="25">
        <v>1</v>
      </c>
      <c r="U1233" s="25">
        <v>1</v>
      </c>
      <c r="V1233" s="13">
        <v>1</v>
      </c>
      <c r="W1233" s="13" t="str">
        <f>MID(A1233, SEARCH("_", A1233) +1, SEARCH("_", A1233, SEARCH("_", A1233) +1) - SEARCH("_", A1233) -1)</f>
        <v>Lang-22</v>
      </c>
      <c r="Y1233" s="1" t="str">
        <f t="shared" si="56"/>
        <v>NO</v>
      </c>
      <c r="Z1233" s="1" t="str">
        <f t="shared" si="57"/>
        <v>NO</v>
      </c>
      <c r="AA1233" t="s">
        <v>1704</v>
      </c>
      <c r="AB1233" t="s">
        <v>1704</v>
      </c>
      <c r="AC1233" s="1" t="s">
        <v>1704</v>
      </c>
      <c r="AD1233" s="1" t="s">
        <v>1704</v>
      </c>
      <c r="AE1233" s="1" t="s">
        <v>1704</v>
      </c>
      <c r="AF1233" s="1" t="s">
        <v>1704</v>
      </c>
    </row>
    <row r="1234" spans="1:32" ht="15" x14ac:dyDescent="0.35">
      <c r="A1234" s="5" t="s">
        <v>598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>LEFT($A1234,FIND("_",$A1234)-1)</f>
        <v>FixMiner</v>
      </c>
      <c r="P1234" s="13" t="str">
        <f>IF($O1234="ACS", "True Search", IF($O1234="Arja", "Evolutionary Search", IF($O1234="AVATAR", "True Pattern", IF($O1234="CapGen", "Search Like Pattern", IF($O1234="Cardumen", "True Semantic", IF($O1234="DynaMoth", "True Semantic", IF($O1234="FixMiner", "True Pattern", IF($O1234="GenProg-A", "Evolutionary Search", IF($O1234="Hercules", "Learning Pattern", IF($O1234="Jaid", "True Semantic",
IF($O1234="Kali-A", "True Search", IF($O1234="kPAR", "True Pattern", IF($O1234="Nopol", "True Semantic", IF($O1234="RSRepair-A", "Evolutionary Search", IF($O1234="SequenceR", "Deep Learning", IF($O1234="SimFix", "Search Like Pattern", IF($O1234="SketchFix", "True Pattern", IF($O1234="SOFix", "True Pattern", IF($O1234="ssFix", "Search Like Pattern", IF($O1234="TBar", "True Pattern", ""))))))))))))))))))))</f>
        <v>True Pattern</v>
      </c>
      <c r="Q1234" s="13" t="str">
        <f>IF(NOT(ISERR(SEARCH("*_Buggy",$A1234))), "Buggy", IF(NOT(ISERR(SEARCH("*_Fixed",$A1234))), "Fixed", IF(NOT(ISERR(SEARCH("*_Repaired",$A1234))), "Repaired", "")))</f>
        <v>Repaired</v>
      </c>
      <c r="R1234" s="13" t="s">
        <v>1668</v>
      </c>
      <c r="S1234" s="25">
        <v>1</v>
      </c>
      <c r="T1234" s="25">
        <v>1</v>
      </c>
      <c r="U1234" s="25">
        <v>1</v>
      </c>
      <c r="V1234" s="13">
        <v>1</v>
      </c>
      <c r="W1234" s="13" t="str">
        <f>MID(A1234, SEARCH("_", A1234) +1, SEARCH("_", A1234, SEARCH("_", A1234) +1) - SEARCH("_", A1234) -1)</f>
        <v>Lang-56</v>
      </c>
      <c r="Y1234" s="1" t="str">
        <f t="shared" si="56"/>
        <v>NO</v>
      </c>
      <c r="Z1234" s="1" t="str">
        <f t="shared" si="57"/>
        <v>NO</v>
      </c>
      <c r="AA1234" t="s">
        <v>1704</v>
      </c>
      <c r="AB1234" t="s">
        <v>1704</v>
      </c>
      <c r="AC1234" s="1" t="s">
        <v>1704</v>
      </c>
      <c r="AD1234" s="1" t="s">
        <v>1704</v>
      </c>
      <c r="AE1234" s="1" t="s">
        <v>1704</v>
      </c>
      <c r="AF1234" s="1" t="s">
        <v>1704</v>
      </c>
    </row>
    <row r="1235" spans="1:32" ht="15" x14ac:dyDescent="0.35">
      <c r="A1235" s="7" t="s">
        <v>893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>LEFT($A1235,FIND("_",$A1235)-1)</f>
        <v>FixMiner</v>
      </c>
      <c r="P1235" s="13" t="str">
        <f>IF($O1235="ACS", "True Search", IF($O1235="Arja", "Evolutionary Search", IF($O1235="AVATAR", "True Pattern", IF($O1235="CapGen", "Search Like Pattern", IF($O1235="Cardumen", "True Semantic", IF($O1235="DynaMoth", "True Semantic", IF($O1235="FixMiner", "True Pattern", IF($O1235="GenProg-A", "Evolutionary Search", IF($O1235="Hercules", "Learning Pattern", IF($O1235="Jaid", "True Semantic",
IF($O1235="Kali-A", "True Search", IF($O1235="kPAR", "True Pattern", IF($O1235="Nopol", "True Semantic", IF($O1235="RSRepair-A", "Evolutionary Search", IF($O1235="SequenceR", "Deep Learning", IF($O1235="SimFix", "Search Like Pattern", IF($O1235="SketchFix", "True Pattern", IF($O1235="SOFix", "True Pattern", IF($O1235="ssFix", "Search Like Pattern", IF($O1235="TBar", "True Pattern", ""))))))))))))))))))))</f>
        <v>True Pattern</v>
      </c>
      <c r="Q1235" s="13" t="str">
        <f>IF(NOT(ISERR(SEARCH("*_Buggy",$A1235))), "Buggy", IF(NOT(ISERR(SEARCH("*_Fixed",$A1235))), "Fixed", IF(NOT(ISERR(SEARCH("*_Repaired",$A1235))), "Repaired", "")))</f>
        <v>Repaired</v>
      </c>
      <c r="R1235" s="13" t="s">
        <v>1668</v>
      </c>
      <c r="S1235" s="25">
        <v>1</v>
      </c>
      <c r="T1235" s="25">
        <v>1</v>
      </c>
      <c r="U1235" s="25">
        <v>1</v>
      </c>
      <c r="V1235" s="13">
        <v>1</v>
      </c>
      <c r="W1235" s="13" t="str">
        <f>MID(A1235, SEARCH("_", A1235) +1, SEARCH("_", A1235, SEARCH("_", A1235) +1) - SEARCH("_", A1235) -1)</f>
        <v>Lang-57</v>
      </c>
      <c r="Y1235" s="1" t="str">
        <f t="shared" si="56"/>
        <v>NO</v>
      </c>
      <c r="Z1235" s="1" t="str">
        <f t="shared" si="57"/>
        <v>NO</v>
      </c>
      <c r="AA1235" t="s">
        <v>1704</v>
      </c>
      <c r="AB1235" t="s">
        <v>1704</v>
      </c>
      <c r="AC1235" s="1" t="s">
        <v>1705</v>
      </c>
      <c r="AD1235" s="1" t="s">
        <v>1704</v>
      </c>
      <c r="AE1235" s="1" t="s">
        <v>1705</v>
      </c>
      <c r="AF1235" s="1" t="s">
        <v>1704</v>
      </c>
    </row>
    <row r="1236" spans="1:32" ht="15" x14ac:dyDescent="0.35">
      <c r="A1236" s="7" t="s">
        <v>61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>LEFT($A1236,FIND("_",$A1236)-1)</f>
        <v>FixMiner</v>
      </c>
      <c r="P1236" s="13" t="str">
        <f>IF($O1236="ACS", "True Search", IF($O1236="Arja", "Evolutionary Search", IF($O1236="AVATAR", "True Pattern", IF($O1236="CapGen", "Search Like Pattern", IF($O1236="Cardumen", "True Semantic", IF($O1236="DynaMoth", "True Semantic", IF($O1236="FixMiner", "True Pattern", IF($O1236="GenProg-A", "Evolutionary Search", IF($O1236="Hercules", "Learning Pattern", IF($O1236="Jaid", "True Semantic",
IF($O1236="Kali-A", "True Search", IF($O1236="kPAR", "True Pattern", IF($O1236="Nopol", "True Semantic", IF($O1236="RSRepair-A", "Evolutionary Search", IF($O1236="SequenceR", "Deep Learning", IF($O1236="SimFix", "Search Like Pattern", IF($O1236="SketchFix", "True Pattern", IF($O1236="SOFix", "True Pattern", IF($O1236="ssFix", "Search Like Pattern", IF($O1236="TBar", "True Pattern", ""))))))))))))))))))))</f>
        <v>True Pattern</v>
      </c>
      <c r="Q1236" s="13" t="str">
        <f>IF(NOT(ISERR(SEARCH("*_Buggy",$A1236))), "Buggy", IF(NOT(ISERR(SEARCH("*_Fixed",$A1236))), "Fixed", IF(NOT(ISERR(SEARCH("*_Repaired",$A1236))), "Repaired", "")))</f>
        <v>Repaired</v>
      </c>
      <c r="R1236" s="13" t="s">
        <v>1669</v>
      </c>
      <c r="S1236" s="25">
        <v>1</v>
      </c>
      <c r="T1236" s="25">
        <v>1</v>
      </c>
      <c r="U1236" s="25">
        <v>2</v>
      </c>
      <c r="V1236" s="13">
        <v>2</v>
      </c>
      <c r="W1236" s="13" t="str">
        <f>MID(A1236, SEARCH("_", A1236) +1, SEARCH("_", A1236, SEARCH("_", A1236) +1) - SEARCH("_", A1236) -1)</f>
        <v>Lang-58</v>
      </c>
      <c r="Y1236" s="1" t="str">
        <f t="shared" si="56"/>
        <v>NO</v>
      </c>
      <c r="Z1236" s="1" t="str">
        <f t="shared" si="57"/>
        <v>NO</v>
      </c>
      <c r="AA1236" t="s">
        <v>1704</v>
      </c>
      <c r="AB1236" t="s">
        <v>1704</v>
      </c>
      <c r="AC1236" s="1" t="s">
        <v>1704</v>
      </c>
      <c r="AD1236" s="1" t="s">
        <v>1705</v>
      </c>
      <c r="AE1236" s="1" t="s">
        <v>1704</v>
      </c>
      <c r="AF1236" s="1" t="s">
        <v>1705</v>
      </c>
    </row>
    <row r="1237" spans="1:32" ht="15" x14ac:dyDescent="0.35">
      <c r="A1237" s="7" t="s">
        <v>1146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>LEFT($A1237,FIND("_",$A1237)-1)</f>
        <v>FixMiner</v>
      </c>
      <c r="P1237" s="13" t="str">
        <f>IF($O1237="ACS", "True Search", IF($O1237="Arja", "Evolutionary Search", IF($O1237="AVATAR", "True Pattern", IF($O1237="CapGen", "Search Like Pattern", IF($O1237="Cardumen", "True Semantic", IF($O1237="DynaMoth", "True Semantic", IF($O1237="FixMiner", "True Pattern", IF($O1237="GenProg-A", "Evolutionary Search", IF($O1237="Hercules", "Learning Pattern", IF($O1237="Jaid", "True Semantic",
IF($O1237="Kali-A", "True Search", IF($O1237="kPAR", "True Pattern", IF($O1237="Nopol", "True Semantic", IF($O1237="RSRepair-A", "Evolutionary Search", IF($O1237="SequenceR", "Deep Learning", IF($O1237="SimFix", "Search Like Pattern", IF($O1237="SketchFix", "True Pattern", IF($O1237="SOFix", "True Pattern", IF($O1237="ssFix", "Search Like Pattern", IF($O1237="TBar", "True Pattern", ""))))))))))))))))))))</f>
        <v>True Pattern</v>
      </c>
      <c r="Q1237" s="13" t="str">
        <f>IF(NOT(ISERR(SEARCH("*_Buggy",$A1237))), "Buggy", IF(NOT(ISERR(SEARCH("*_Fixed",$A1237))), "Fixed", IF(NOT(ISERR(SEARCH("*_Repaired",$A1237))), "Repaired", "")))</f>
        <v>Repaired</v>
      </c>
      <c r="R1237" s="13" t="s">
        <v>1668</v>
      </c>
      <c r="S1237" s="25">
        <v>1</v>
      </c>
      <c r="T1237" s="25">
        <v>1</v>
      </c>
      <c r="U1237" s="25">
        <v>1</v>
      </c>
      <c r="V1237" s="13">
        <v>1</v>
      </c>
      <c r="W1237" s="13" t="str">
        <f>MID(A1237, SEARCH("_", A1237) +1, SEARCH("_", A1237, SEARCH("_", A1237) +1) - SEARCH("_", A1237) -1)</f>
        <v>Lang-59</v>
      </c>
      <c r="Y1237" s="1" t="str">
        <f t="shared" si="56"/>
        <v>NO</v>
      </c>
      <c r="Z1237" s="1" t="str">
        <f t="shared" si="57"/>
        <v>NO</v>
      </c>
      <c r="AA1237" t="s">
        <v>1704</v>
      </c>
      <c r="AB1237" t="s">
        <v>1704</v>
      </c>
      <c r="AC1237" s="1" t="s">
        <v>1705</v>
      </c>
      <c r="AD1237" s="1" t="s">
        <v>1704</v>
      </c>
      <c r="AE1237" s="1" t="s">
        <v>1705</v>
      </c>
      <c r="AF1237" s="1" t="s">
        <v>1704</v>
      </c>
    </row>
    <row r="1238" spans="1:32" ht="15" x14ac:dyDescent="0.35">
      <c r="A1238" s="5" t="s">
        <v>519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>LEFT($A1238,FIND("_",$A1238)-1)</f>
        <v>FixMiner</v>
      </c>
      <c r="P1238" s="13" t="str">
        <f>IF($O1238="ACS", "True Search", IF($O1238="Arja", "Evolutionary Search", IF($O1238="AVATAR", "True Pattern", IF($O1238="CapGen", "Search Like Pattern", IF($O1238="Cardumen", "True Semantic", IF($O1238="DynaMoth", "True Semantic", IF($O1238="FixMiner", "True Pattern", IF($O1238="GenProg-A", "Evolutionary Search", IF($O1238="Hercules", "Learning Pattern", IF($O1238="Jaid", "True Semantic",
IF($O1238="Kali-A", "True Search", IF($O1238="kPAR", "True Pattern", IF($O1238="Nopol", "True Semantic", IF($O1238="RSRepair-A", "Evolutionary Search", IF($O1238="SequenceR", "Deep Learning", IF($O1238="SimFix", "Search Like Pattern", IF($O1238="SketchFix", "True Pattern", IF($O1238="SOFix", "True Pattern", IF($O1238="ssFix", "Search Like Pattern", IF($O1238="TBar", "True Pattern", ""))))))))))))))))))))</f>
        <v>True Pattern</v>
      </c>
      <c r="Q1238" s="13" t="str">
        <f>IF(NOT(ISERR(SEARCH("*_Buggy",$A1238))), "Buggy", IF(NOT(ISERR(SEARCH("*_Fixed",$A1238))), "Fixed", IF(NOT(ISERR(SEARCH("*_Repaired",$A1238))), "Repaired", "")))</f>
        <v>Repaired</v>
      </c>
      <c r="R1238" s="13" t="s">
        <v>1669</v>
      </c>
      <c r="S1238" s="25">
        <v>2</v>
      </c>
      <c r="T1238" s="25">
        <v>3</v>
      </c>
      <c r="U1238" s="25">
        <v>2</v>
      </c>
      <c r="V1238" s="13">
        <v>3</v>
      </c>
      <c r="W1238" s="13" t="str">
        <f>MID(A1238, SEARCH("_", A1238) +1, SEARCH("_", A1238, SEARCH("_", A1238) +1) - SEARCH("_", A1238) -1)</f>
        <v>Lang-63</v>
      </c>
      <c r="Y1238" s="1" t="str">
        <f t="shared" si="56"/>
        <v>NO</v>
      </c>
      <c r="Z1238" s="1" t="str">
        <f t="shared" si="57"/>
        <v>YES</v>
      </c>
      <c r="AA1238" t="s">
        <v>1704</v>
      </c>
      <c r="AB1238" t="s">
        <v>1705</v>
      </c>
      <c r="AC1238" s="1" t="s">
        <v>1704</v>
      </c>
      <c r="AD1238" s="1" t="s">
        <v>1704</v>
      </c>
      <c r="AE1238" s="1" t="s">
        <v>1704</v>
      </c>
      <c r="AF1238" s="1" t="s">
        <v>1705</v>
      </c>
    </row>
    <row r="1239" spans="1:32" ht="15" x14ac:dyDescent="0.35">
      <c r="A1239" s="7" t="s">
        <v>858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>LEFT($A1239,FIND("_",$A1239)-1)</f>
        <v>FixMiner</v>
      </c>
      <c r="P1239" s="13" t="str">
        <f>IF($O1239="ACS", "True Search", IF($O1239="Arja", "Evolutionary Search", IF($O1239="AVATAR", "True Pattern", IF($O1239="CapGen", "Search Like Pattern", IF($O1239="Cardumen", "True Semantic", IF($O1239="DynaMoth", "True Semantic", IF($O1239="FixMiner", "True Pattern", IF($O1239="GenProg-A", "Evolutionary Search", IF($O1239="Hercules", "Learning Pattern", IF($O1239="Jaid", "True Semantic",
IF($O1239="Kali-A", "True Search", IF($O1239="kPAR", "True Pattern", IF($O1239="Nopol", "True Semantic", IF($O1239="RSRepair-A", "Evolutionary Search", IF($O1239="SequenceR", "Deep Learning", IF($O1239="SimFix", "Search Like Pattern", IF($O1239="SketchFix", "True Pattern", IF($O1239="SOFix", "True Pattern", IF($O1239="ssFix", "Search Like Pattern", IF($O1239="TBar", "True Pattern", ""))))))))))))))))))))</f>
        <v>True Pattern</v>
      </c>
      <c r="Q1239" s="13" t="str">
        <f>IF(NOT(ISERR(SEARCH("*_Buggy",$A1239))), "Buggy", IF(NOT(ISERR(SEARCH("*_Fixed",$A1239))), "Fixed", IF(NOT(ISERR(SEARCH("*_Repaired",$A1239))), "Repaired", "")))</f>
        <v>Repaired</v>
      </c>
      <c r="R1239" s="13" t="s">
        <v>1669</v>
      </c>
      <c r="S1239" s="25">
        <v>1</v>
      </c>
      <c r="T1239" s="25">
        <v>1</v>
      </c>
      <c r="U1239" s="25">
        <v>1</v>
      </c>
      <c r="V1239" s="13">
        <v>1</v>
      </c>
      <c r="W1239" s="13" t="str">
        <f>MID(A1239, SEARCH("_", A1239) +1, SEARCH("_", A1239, SEARCH("_", A1239) +1) - SEARCH("_", A1239) -1)</f>
        <v>Lang-7</v>
      </c>
      <c r="Y1239" s="1" t="str">
        <f t="shared" si="56"/>
        <v>NO</v>
      </c>
      <c r="Z1239" s="1" t="str">
        <f t="shared" si="57"/>
        <v>NO</v>
      </c>
      <c r="AA1239" t="s">
        <v>1704</v>
      </c>
      <c r="AB1239" t="s">
        <v>1704</v>
      </c>
      <c r="AC1239" s="1" t="s">
        <v>1704</v>
      </c>
      <c r="AD1239" s="1" t="s">
        <v>1704</v>
      </c>
      <c r="AE1239" s="1" t="s">
        <v>1704</v>
      </c>
      <c r="AF1239" s="1" t="s">
        <v>1704</v>
      </c>
    </row>
    <row r="1240" spans="1:32" ht="15" x14ac:dyDescent="0.35">
      <c r="A1240" s="7" t="s">
        <v>726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>LEFT($A1240,FIND("_",$A1240)-1)</f>
        <v>FixMiner</v>
      </c>
      <c r="P1240" s="13" t="str">
        <f>IF($O1240="ACS", "True Search", IF($O1240="Arja", "Evolutionary Search", IF($O1240="AVATAR", "True Pattern", IF($O1240="CapGen", "Search Like Pattern", IF($O1240="Cardumen", "True Semantic", IF($O1240="DynaMoth", "True Semantic", IF($O1240="FixMiner", "True Pattern", IF($O1240="GenProg-A", "Evolutionary Search", IF($O1240="Hercules", "Learning Pattern", IF($O1240="Jaid", "True Semantic",
IF($O1240="Kali-A", "True Search", IF($O1240="kPAR", "True Pattern", IF($O1240="Nopol", "True Semantic", IF($O1240="RSRepair-A", "Evolutionary Search", IF($O1240="SequenceR", "Deep Learning", IF($O1240="SimFix", "Search Like Pattern", IF($O1240="SketchFix", "True Pattern", IF($O1240="SOFix", "True Pattern", IF($O1240="ssFix", "Search Like Pattern", IF($O1240="TBar", "True Pattern", ""))))))))))))))))))))</f>
        <v>True Pattern</v>
      </c>
      <c r="Q1240" s="13" t="str">
        <f>IF(NOT(ISERR(SEARCH("*_Buggy",$A1240))), "Buggy", IF(NOT(ISERR(SEARCH("*_Fixed",$A1240))), "Fixed", IF(NOT(ISERR(SEARCH("*_Repaired",$A1240))), "Repaired", "")))</f>
        <v>Repaired</v>
      </c>
      <c r="R1240" s="13" t="s">
        <v>1669</v>
      </c>
      <c r="S1240" s="25">
        <v>1</v>
      </c>
      <c r="T1240" s="25">
        <v>1</v>
      </c>
      <c r="U1240" s="25">
        <v>1</v>
      </c>
      <c r="V1240" s="13">
        <v>1</v>
      </c>
      <c r="W1240" s="13" t="str">
        <f>MID(A1240, SEARCH("_", A1240) +1, SEARCH("_", A1240, SEARCH("_", A1240) +1) - SEARCH("_", A1240) -1)</f>
        <v>Math-20</v>
      </c>
      <c r="Y1240" s="1" t="str">
        <f t="shared" si="56"/>
        <v>NO</v>
      </c>
      <c r="Z1240" s="1" t="str">
        <f t="shared" si="57"/>
        <v>NO</v>
      </c>
      <c r="AA1240" t="s">
        <v>1704</v>
      </c>
      <c r="AB1240" t="s">
        <v>1704</v>
      </c>
      <c r="AC1240" s="1" t="s">
        <v>1704</v>
      </c>
      <c r="AD1240" s="1" t="s">
        <v>1704</v>
      </c>
      <c r="AE1240" s="1" t="s">
        <v>1704</v>
      </c>
      <c r="AF1240" s="1" t="s">
        <v>1704</v>
      </c>
    </row>
    <row r="1241" spans="1:32" ht="15" x14ac:dyDescent="0.35">
      <c r="A1241" s="5" t="s">
        <v>1078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>LEFT($A1241,FIND("_",$A1241)-1)</f>
        <v>FixMiner</v>
      </c>
      <c r="P1241" s="13" t="str">
        <f>IF($O1241="ACS", "True Search", IF($O1241="Arja", "Evolutionary Search", IF($O1241="AVATAR", "True Pattern", IF($O1241="CapGen", "Search Like Pattern", IF($O1241="Cardumen", "True Semantic", IF($O1241="DynaMoth", "True Semantic", IF($O1241="FixMiner", "True Pattern", IF($O1241="GenProg-A", "Evolutionary Search", IF($O1241="Hercules", "Learning Pattern", IF($O1241="Jaid", "True Semantic",
IF($O1241="Kali-A", "True Search", IF($O1241="kPAR", "True Pattern", IF($O1241="Nopol", "True Semantic", IF($O1241="RSRepair-A", "Evolutionary Search", IF($O1241="SequenceR", "Deep Learning", IF($O1241="SimFix", "Search Like Pattern", IF($O1241="SketchFix", "True Pattern", IF($O1241="SOFix", "True Pattern", IF($O1241="ssFix", "Search Like Pattern", IF($O1241="TBar", "True Pattern", ""))))))))))))))))))))</f>
        <v>True Pattern</v>
      </c>
      <c r="Q1241" s="13" t="str">
        <f>IF(NOT(ISERR(SEARCH("*_Buggy",$A1241))), "Buggy", IF(NOT(ISERR(SEARCH("*_Fixed",$A1241))), "Fixed", IF(NOT(ISERR(SEARCH("*_Repaired",$A1241))), "Repaired", "")))</f>
        <v>Repaired</v>
      </c>
      <c r="R1241" s="13" t="s">
        <v>1669</v>
      </c>
      <c r="S1241" s="25">
        <v>1</v>
      </c>
      <c r="T1241" s="25">
        <v>1</v>
      </c>
      <c r="U1241" s="25">
        <v>9</v>
      </c>
      <c r="V1241" s="13">
        <v>9</v>
      </c>
      <c r="W1241" s="13" t="str">
        <f>MID(A1241, SEARCH("_", A1241) +1, SEARCH("_", A1241, SEARCH("_", A1241) +1) - SEARCH("_", A1241) -1)</f>
        <v>Math-28</v>
      </c>
      <c r="Y1241" s="1" t="str">
        <f t="shared" si="56"/>
        <v>NO</v>
      </c>
      <c r="Z1241" s="1" t="str">
        <f t="shared" si="57"/>
        <v>NO</v>
      </c>
      <c r="AA1241" t="s">
        <v>1704</v>
      </c>
      <c r="AB1241" t="s">
        <v>1704</v>
      </c>
      <c r="AC1241" s="1" t="s">
        <v>1704</v>
      </c>
      <c r="AD1241" s="1" t="s">
        <v>1704</v>
      </c>
      <c r="AE1241" s="1" t="s">
        <v>1704</v>
      </c>
      <c r="AF1241" s="1" t="s">
        <v>1705</v>
      </c>
    </row>
    <row r="1242" spans="1:32" ht="15" x14ac:dyDescent="0.35">
      <c r="A1242" s="7" t="s">
        <v>483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>LEFT($A1242,FIND("_",$A1242)-1)</f>
        <v>FixMiner</v>
      </c>
      <c r="P1242" s="13" t="str">
        <f>IF($O1242="ACS", "True Search", IF($O1242="Arja", "Evolutionary Search", IF($O1242="AVATAR", "True Pattern", IF($O1242="CapGen", "Search Like Pattern", IF($O1242="Cardumen", "True Semantic", IF($O1242="DynaMoth", "True Semantic", IF($O1242="FixMiner", "True Pattern", IF($O1242="GenProg-A", "Evolutionary Search", IF($O1242="Hercules", "Learning Pattern", IF($O1242="Jaid", "True Semantic",
IF($O1242="Kali-A", "True Search", IF($O1242="kPAR", "True Pattern", IF($O1242="Nopol", "True Semantic", IF($O1242="RSRepair-A", "Evolutionary Search", IF($O1242="SequenceR", "Deep Learning", IF($O1242="SimFix", "Search Like Pattern", IF($O1242="SketchFix", "True Pattern", IF($O1242="SOFix", "True Pattern", IF($O1242="ssFix", "Search Like Pattern", IF($O1242="TBar", "True Pattern", ""))))))))))))))))))))</f>
        <v>True Pattern</v>
      </c>
      <c r="Q1242" s="13" t="str">
        <f>IF(NOT(ISERR(SEARCH("*_Buggy",$A1242))), "Buggy", IF(NOT(ISERR(SEARCH("*_Fixed",$A1242))), "Fixed", IF(NOT(ISERR(SEARCH("*_Repaired",$A1242))), "Repaired", "")))</f>
        <v>Repaired</v>
      </c>
      <c r="R1242" s="13" t="s">
        <v>1668</v>
      </c>
      <c r="S1242" s="25">
        <v>1</v>
      </c>
      <c r="T1242" s="25">
        <v>1</v>
      </c>
      <c r="U1242" s="25">
        <v>1</v>
      </c>
      <c r="V1242" s="13">
        <v>1</v>
      </c>
      <c r="W1242" s="13" t="str">
        <f>MID(A1242, SEARCH("_", A1242) +1, SEARCH("_", A1242, SEARCH("_", A1242) +1) - SEARCH("_", A1242) -1)</f>
        <v>Math-30</v>
      </c>
      <c r="Y1242" s="1" t="str">
        <f t="shared" si="56"/>
        <v>NO</v>
      </c>
      <c r="Z1242" s="1" t="str">
        <f t="shared" si="57"/>
        <v>NO</v>
      </c>
      <c r="AA1242" t="s">
        <v>1704</v>
      </c>
      <c r="AB1242" t="s">
        <v>1704</v>
      </c>
      <c r="AC1242" s="1" t="s">
        <v>1705</v>
      </c>
      <c r="AD1242" s="1" t="s">
        <v>1704</v>
      </c>
      <c r="AE1242" s="1" t="s">
        <v>1705</v>
      </c>
      <c r="AF1242" s="1" t="s">
        <v>1704</v>
      </c>
    </row>
    <row r="1243" spans="1:32" ht="15" x14ac:dyDescent="0.35">
      <c r="A1243" s="7" t="s">
        <v>1150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>LEFT($A1243,FIND("_",$A1243)-1)</f>
        <v>FixMiner</v>
      </c>
      <c r="P1243" s="13" t="str">
        <f>IF($O1243="ACS", "True Search", IF($O1243="Arja", "Evolutionary Search", IF($O1243="AVATAR", "True Pattern", IF($O1243="CapGen", "Search Like Pattern", IF($O1243="Cardumen", "True Semantic", IF($O1243="DynaMoth", "True Semantic", IF($O1243="FixMiner", "True Pattern", IF($O1243="GenProg-A", "Evolutionary Search", IF($O1243="Hercules", "Learning Pattern", IF($O1243="Jaid", "True Semantic",
IF($O1243="Kali-A", "True Search", IF($O1243="kPAR", "True Pattern", IF($O1243="Nopol", "True Semantic", IF($O1243="RSRepair-A", "Evolutionary Search", IF($O1243="SequenceR", "Deep Learning", IF($O1243="SimFix", "Search Like Pattern", IF($O1243="SketchFix", "True Pattern", IF($O1243="SOFix", "True Pattern", IF($O1243="ssFix", "Search Like Pattern", IF($O1243="TBar", "True Pattern", ""))))))))))))))))))))</f>
        <v>True Pattern</v>
      </c>
      <c r="Q1243" s="13" t="str">
        <f>IF(NOT(ISERR(SEARCH("*_Buggy",$A1243))), "Buggy", IF(NOT(ISERR(SEARCH("*_Fixed",$A1243))), "Fixed", IF(NOT(ISERR(SEARCH("*_Repaired",$A1243))), "Repaired", "")))</f>
        <v>Repaired</v>
      </c>
      <c r="R1243" s="13" t="s">
        <v>1668</v>
      </c>
      <c r="S1243" s="25">
        <v>1</v>
      </c>
      <c r="T1243" s="25">
        <v>1</v>
      </c>
      <c r="U1243" s="25">
        <v>1</v>
      </c>
      <c r="V1243" s="13">
        <v>1</v>
      </c>
      <c r="W1243" s="13" t="str">
        <f>MID(A1243, SEARCH("_", A1243) +1, SEARCH("_", A1243, SEARCH("_", A1243) +1) - SEARCH("_", A1243) -1)</f>
        <v>Math-33</v>
      </c>
      <c r="Y1243" s="1" t="str">
        <f t="shared" si="56"/>
        <v>NO</v>
      </c>
      <c r="Z1243" s="1" t="str">
        <f t="shared" si="57"/>
        <v>NO</v>
      </c>
      <c r="AA1243" t="s">
        <v>1704</v>
      </c>
      <c r="AB1243" t="s">
        <v>1704</v>
      </c>
      <c r="AC1243" s="1" t="s">
        <v>1705</v>
      </c>
      <c r="AD1243" s="1" t="s">
        <v>1704</v>
      </c>
      <c r="AE1243" s="1" t="s">
        <v>1705</v>
      </c>
      <c r="AF1243" s="1" t="s">
        <v>1704</v>
      </c>
    </row>
    <row r="1244" spans="1:32" ht="15" x14ac:dyDescent="0.35">
      <c r="A1244" s="5" t="s">
        <v>39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>LEFT($A1244,FIND("_",$A1244)-1)</f>
        <v>FixMiner</v>
      </c>
      <c r="P1244" s="13" t="str">
        <f>IF($O1244="ACS", "True Search", IF($O1244="Arja", "Evolutionary Search", IF($O1244="AVATAR", "True Pattern", IF($O1244="CapGen", "Search Like Pattern", IF($O1244="Cardumen", "True Semantic", IF($O1244="DynaMoth", "True Semantic", IF($O1244="FixMiner", "True Pattern", IF($O1244="GenProg-A", "Evolutionary Search", IF($O1244="Hercules", "Learning Pattern", IF($O1244="Jaid", "True Semantic",
IF($O1244="Kali-A", "True Search", IF($O1244="kPAR", "True Pattern", IF($O1244="Nopol", "True Semantic", IF($O1244="RSRepair-A", "Evolutionary Search", IF($O1244="SequenceR", "Deep Learning", IF($O1244="SimFix", "Search Like Pattern", IF($O1244="SketchFix", "True Pattern", IF($O1244="SOFix", "True Pattern", IF($O1244="ssFix", "Search Like Pattern", IF($O1244="TBar", "True Pattern", ""))))))))))))))))))))</f>
        <v>True Pattern</v>
      </c>
      <c r="Q1244" s="13" t="str">
        <f>IF(NOT(ISERR(SEARCH("*_Buggy",$A1244))), "Buggy", IF(NOT(ISERR(SEARCH("*_Fixed",$A1244))), "Fixed", IF(NOT(ISERR(SEARCH("*_Repaired",$A1244))), "Repaired", "")))</f>
        <v>Repaired</v>
      </c>
      <c r="R1244" s="13" t="s">
        <v>1668</v>
      </c>
      <c r="S1244" s="25">
        <v>1</v>
      </c>
      <c r="T1244" s="25">
        <v>1</v>
      </c>
      <c r="U1244" s="25">
        <v>1</v>
      </c>
      <c r="V1244" s="13">
        <v>1</v>
      </c>
      <c r="W1244" s="13" t="str">
        <f>MID(A1244, SEARCH("_", A1244) +1, SEARCH("_", A1244, SEARCH("_", A1244) +1) - SEARCH("_", A1244) -1)</f>
        <v>Math-34</v>
      </c>
      <c r="Y1244" s="1" t="str">
        <f t="shared" si="56"/>
        <v>NO</v>
      </c>
      <c r="Z1244" s="1" t="str">
        <f t="shared" si="57"/>
        <v>NO</v>
      </c>
      <c r="AA1244" t="s">
        <v>1704</v>
      </c>
      <c r="AB1244" t="s">
        <v>1704</v>
      </c>
      <c r="AC1244" s="1" t="s">
        <v>1705</v>
      </c>
      <c r="AD1244" s="1" t="s">
        <v>1704</v>
      </c>
      <c r="AE1244" s="1" t="s">
        <v>1705</v>
      </c>
      <c r="AF1244" s="1" t="s">
        <v>1704</v>
      </c>
    </row>
    <row r="1245" spans="1:32" ht="15" x14ac:dyDescent="0.35">
      <c r="A1245" s="5" t="s">
        <v>975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>LEFT($A1245,FIND("_",$A1245)-1)</f>
        <v>FixMiner</v>
      </c>
      <c r="P1245" s="13" t="str">
        <f>IF($O1245="ACS", "True Search", IF($O1245="Arja", "Evolutionary Search", IF($O1245="AVATAR", "True Pattern", IF($O1245="CapGen", "Search Like Pattern", IF($O1245="Cardumen", "True Semantic", IF($O1245="DynaMoth", "True Semantic", IF($O1245="FixMiner", "True Pattern", IF($O1245="GenProg-A", "Evolutionary Search", IF($O1245="Hercules", "Learning Pattern", IF($O1245="Jaid", "True Semantic",
IF($O1245="Kali-A", "True Search", IF($O1245="kPAR", "True Pattern", IF($O1245="Nopol", "True Semantic", IF($O1245="RSRepair-A", "Evolutionary Search", IF($O1245="SequenceR", "Deep Learning", IF($O1245="SimFix", "Search Like Pattern", IF($O1245="SketchFix", "True Pattern", IF($O1245="SOFix", "True Pattern", IF($O1245="ssFix", "Search Like Pattern", IF($O1245="TBar", "True Pattern", ""))))))))))))))))))))</f>
        <v>True Pattern</v>
      </c>
      <c r="Q1245" s="13" t="str">
        <f>IF(NOT(ISERR(SEARCH("*_Buggy",$A1245))), "Buggy", IF(NOT(ISERR(SEARCH("*_Fixed",$A1245))), "Fixed", IF(NOT(ISERR(SEARCH("*_Repaired",$A1245))), "Repaired", "")))</f>
        <v>Repaired</v>
      </c>
      <c r="R1245" s="13" t="s">
        <v>1668</v>
      </c>
      <c r="S1245" s="25">
        <v>1</v>
      </c>
      <c r="T1245" s="25">
        <v>1</v>
      </c>
      <c r="U1245" s="25">
        <v>1</v>
      </c>
      <c r="V1245" s="13">
        <v>1</v>
      </c>
      <c r="W1245" s="13" t="str">
        <f>MID(A1245, SEARCH("_", A1245) +1, SEARCH("_", A1245, SEARCH("_", A1245) +1) - SEARCH("_", A1245) -1)</f>
        <v>Math-35</v>
      </c>
      <c r="Y1245" s="1" t="str">
        <f t="shared" si="56"/>
        <v>NO</v>
      </c>
      <c r="Z1245" s="1" t="str">
        <f t="shared" si="57"/>
        <v>NO</v>
      </c>
      <c r="AA1245" t="s">
        <v>1704</v>
      </c>
      <c r="AB1245" t="s">
        <v>1704</v>
      </c>
      <c r="AC1245" s="1" t="s">
        <v>1704</v>
      </c>
      <c r="AD1245" s="1" t="s">
        <v>1704</v>
      </c>
      <c r="AE1245" s="1" t="s">
        <v>1704</v>
      </c>
      <c r="AF1245" s="1" t="s">
        <v>1704</v>
      </c>
    </row>
    <row r="1246" spans="1:32" ht="15" x14ac:dyDescent="0.35">
      <c r="A1246" s="5" t="s">
        <v>1053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>LEFT($A1246,FIND("_",$A1246)-1)</f>
        <v>FixMiner</v>
      </c>
      <c r="P1246" s="13" t="str">
        <f>IF($O1246="ACS", "True Search", IF($O1246="Arja", "Evolutionary Search", IF($O1246="AVATAR", "True Pattern", IF($O1246="CapGen", "Search Like Pattern", IF($O1246="Cardumen", "True Semantic", IF($O1246="DynaMoth", "True Semantic", IF($O1246="FixMiner", "True Pattern", IF($O1246="GenProg-A", "Evolutionary Search", IF($O1246="Hercules", "Learning Pattern", IF($O1246="Jaid", "True Semantic",
IF($O1246="Kali-A", "True Search", IF($O1246="kPAR", "True Pattern", IF($O1246="Nopol", "True Semantic", IF($O1246="RSRepair-A", "Evolutionary Search", IF($O1246="SequenceR", "Deep Learning", IF($O1246="SimFix", "Search Like Pattern", IF($O1246="SketchFix", "True Pattern", IF($O1246="SOFix", "True Pattern", IF($O1246="ssFix", "Search Like Pattern", IF($O1246="TBar", "True Pattern", ""))))))))))))))))))))</f>
        <v>True Pattern</v>
      </c>
      <c r="Q1246" s="13" t="str">
        <f>IF(NOT(ISERR(SEARCH("*_Buggy",$A1246))), "Buggy", IF(NOT(ISERR(SEARCH("*_Fixed",$A1246))), "Fixed", IF(NOT(ISERR(SEARCH("*_Repaired",$A1246))), "Repaired", "")))</f>
        <v>Repaired</v>
      </c>
      <c r="R1246" s="13" t="s">
        <v>1669</v>
      </c>
      <c r="S1246" s="25">
        <v>1</v>
      </c>
      <c r="T1246" s="25">
        <v>1</v>
      </c>
      <c r="U1246" s="25">
        <v>1</v>
      </c>
      <c r="V1246" s="13">
        <v>1</v>
      </c>
      <c r="W1246" s="13" t="str">
        <f>MID(A1246, SEARCH("_", A1246) +1, SEARCH("_", A1246, SEARCH("_", A1246) +1) - SEARCH("_", A1246) -1)</f>
        <v>Math-50</v>
      </c>
      <c r="Y1246" s="1" t="str">
        <f t="shared" si="56"/>
        <v>NO</v>
      </c>
      <c r="Z1246" s="1" t="str">
        <f t="shared" si="57"/>
        <v>NO</v>
      </c>
      <c r="AA1246" t="s">
        <v>1704</v>
      </c>
      <c r="AB1246" t="s">
        <v>1704</v>
      </c>
      <c r="AC1246" s="1" t="s">
        <v>1704</v>
      </c>
      <c r="AD1246" s="1" t="s">
        <v>1704</v>
      </c>
      <c r="AE1246" s="1" t="s">
        <v>1704</v>
      </c>
      <c r="AF1246" s="1" t="s">
        <v>1704</v>
      </c>
    </row>
    <row r="1247" spans="1:32" ht="15" x14ac:dyDescent="0.35">
      <c r="A1247" s="5" t="s">
        <v>740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>LEFT($A1247,FIND("_",$A1247)-1)</f>
        <v>FixMiner</v>
      </c>
      <c r="P1247" s="13" t="str">
        <f>IF($O1247="ACS", "True Search", IF($O1247="Arja", "Evolutionary Search", IF($O1247="AVATAR", "True Pattern", IF($O1247="CapGen", "Search Like Pattern", IF($O1247="Cardumen", "True Semantic", IF($O1247="DynaMoth", "True Semantic", IF($O1247="FixMiner", "True Pattern", IF($O1247="GenProg-A", "Evolutionary Search", IF($O1247="Hercules", "Learning Pattern", IF($O1247="Jaid", "True Semantic",
IF($O1247="Kali-A", "True Search", IF($O1247="kPAR", "True Pattern", IF($O1247="Nopol", "True Semantic", IF($O1247="RSRepair-A", "Evolutionary Search", IF($O1247="SequenceR", "Deep Learning", IF($O1247="SimFix", "Search Like Pattern", IF($O1247="SketchFix", "True Pattern", IF($O1247="SOFix", "True Pattern", IF($O1247="ssFix", "Search Like Pattern", IF($O1247="TBar", "True Pattern", ""))))))))))))))))))))</f>
        <v>True Pattern</v>
      </c>
      <c r="Q1247" s="13" t="str">
        <f>IF(NOT(ISERR(SEARCH("*_Buggy",$A1247))), "Buggy", IF(NOT(ISERR(SEARCH("*_Fixed",$A1247))), "Fixed", IF(NOT(ISERR(SEARCH("*_Repaired",$A1247))), "Repaired", "")))</f>
        <v>Repaired</v>
      </c>
      <c r="R1247" s="13" t="s">
        <v>1668</v>
      </c>
      <c r="S1247" s="25">
        <v>1</v>
      </c>
      <c r="T1247" s="25">
        <v>1</v>
      </c>
      <c r="U1247" s="25">
        <v>1</v>
      </c>
      <c r="V1247" s="13">
        <v>1</v>
      </c>
      <c r="W1247" s="13" t="str">
        <f>MID(A1247, SEARCH("_", A1247) +1, SEARCH("_", A1247, SEARCH("_", A1247) +1) - SEARCH("_", A1247) -1)</f>
        <v>Math-57</v>
      </c>
      <c r="Y1247" s="1" t="str">
        <f t="shared" si="56"/>
        <v>NO</v>
      </c>
      <c r="Z1247" s="1" t="str">
        <f t="shared" si="57"/>
        <v>NO</v>
      </c>
      <c r="AA1247" t="s">
        <v>1704</v>
      </c>
      <c r="AB1247" t="s">
        <v>1704</v>
      </c>
      <c r="AC1247" s="1" t="s">
        <v>1705</v>
      </c>
      <c r="AD1247" s="1" t="s">
        <v>1704</v>
      </c>
      <c r="AE1247" s="1" t="s">
        <v>1705</v>
      </c>
      <c r="AF1247" s="1" t="s">
        <v>1704</v>
      </c>
    </row>
    <row r="1248" spans="1:32" ht="15" x14ac:dyDescent="0.35">
      <c r="A1248" s="5" t="s">
        <v>1057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>LEFT($A1248,FIND("_",$A1248)-1)</f>
        <v>FixMiner</v>
      </c>
      <c r="P1248" s="13" t="str">
        <f>IF($O1248="ACS", "True Search", IF($O1248="Arja", "Evolutionary Search", IF($O1248="AVATAR", "True Pattern", IF($O1248="CapGen", "Search Like Pattern", IF($O1248="Cardumen", "True Semantic", IF($O1248="DynaMoth", "True Semantic", IF($O1248="FixMiner", "True Pattern", IF($O1248="GenProg-A", "Evolutionary Search", IF($O1248="Hercules", "Learning Pattern", IF($O1248="Jaid", "True Semantic",
IF($O1248="Kali-A", "True Search", IF($O1248="kPAR", "True Pattern", IF($O1248="Nopol", "True Semantic", IF($O1248="RSRepair-A", "Evolutionary Search", IF($O1248="SequenceR", "Deep Learning", IF($O1248="SimFix", "Search Like Pattern", IF($O1248="SketchFix", "True Pattern", IF($O1248="SOFix", "True Pattern", IF($O1248="ssFix", "Search Like Pattern", IF($O1248="TBar", "True Pattern", ""))))))))))))))))))))</f>
        <v>True Pattern</v>
      </c>
      <c r="Q1248" s="13" t="str">
        <f>IF(NOT(ISERR(SEARCH("*_Buggy",$A1248))), "Buggy", IF(NOT(ISERR(SEARCH("*_Fixed",$A1248))), "Fixed", IF(NOT(ISERR(SEARCH("*_Repaired",$A1248))), "Repaired", "")))</f>
        <v>Repaired</v>
      </c>
      <c r="R1248" s="13" t="s">
        <v>1669</v>
      </c>
      <c r="S1248" s="25">
        <v>1</v>
      </c>
      <c r="T1248" s="25">
        <v>1</v>
      </c>
      <c r="U1248" s="25">
        <v>1</v>
      </c>
      <c r="V1248" s="13">
        <v>1</v>
      </c>
      <c r="W1248" s="13" t="str">
        <f>MID(A1248, SEARCH("_", A1248) +1, SEARCH("_", A1248, SEARCH("_", A1248) +1) - SEARCH("_", A1248) -1)</f>
        <v>Math-63</v>
      </c>
      <c r="Y1248" s="1" t="str">
        <f t="shared" si="56"/>
        <v>NO</v>
      </c>
      <c r="Z1248" s="1" t="str">
        <f t="shared" si="57"/>
        <v>NO</v>
      </c>
      <c r="AA1248" t="s">
        <v>1704</v>
      </c>
      <c r="AB1248" t="s">
        <v>1704</v>
      </c>
      <c r="AC1248" s="1" t="s">
        <v>1705</v>
      </c>
      <c r="AD1248" s="1" t="s">
        <v>1704</v>
      </c>
      <c r="AE1248" s="1" t="s">
        <v>1705</v>
      </c>
      <c r="AF1248" s="1" t="s">
        <v>1704</v>
      </c>
    </row>
    <row r="1249" spans="1:32" ht="15" x14ac:dyDescent="0.35">
      <c r="A1249" s="5" t="s">
        <v>241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>LEFT($A1249,FIND("_",$A1249)-1)</f>
        <v>FixMiner</v>
      </c>
      <c r="P1249" s="13" t="str">
        <f>IF($O1249="ACS", "True Search", IF($O1249="Arja", "Evolutionary Search", IF($O1249="AVATAR", "True Pattern", IF($O1249="CapGen", "Search Like Pattern", IF($O1249="Cardumen", "True Semantic", IF($O1249="DynaMoth", "True Semantic", IF($O1249="FixMiner", "True Pattern", IF($O1249="GenProg-A", "Evolutionary Search", IF($O1249="Hercules", "Learning Pattern", IF($O1249="Jaid", "True Semantic",
IF($O1249="Kali-A", "True Search", IF($O1249="kPAR", "True Pattern", IF($O1249="Nopol", "True Semantic", IF($O1249="RSRepair-A", "Evolutionary Search", IF($O1249="SequenceR", "Deep Learning", IF($O1249="SimFix", "Search Like Pattern", IF($O1249="SketchFix", "True Pattern", IF($O1249="SOFix", "True Pattern", IF($O1249="ssFix", "Search Like Pattern", IF($O1249="TBar", "True Pattern", ""))))))))))))))))))))</f>
        <v>True Pattern</v>
      </c>
      <c r="Q1249" s="13" t="str">
        <f>IF(NOT(ISERR(SEARCH("*_Buggy",$A1249))), "Buggy", IF(NOT(ISERR(SEARCH("*_Fixed",$A1249))), "Fixed", IF(NOT(ISERR(SEARCH("*_Repaired",$A1249))), "Repaired", "")))</f>
        <v>Repaired</v>
      </c>
      <c r="R1249" s="13" t="s">
        <v>1669</v>
      </c>
      <c r="S1249" s="25">
        <v>2</v>
      </c>
      <c r="T1249" s="25">
        <v>3</v>
      </c>
      <c r="U1249" s="25">
        <v>1</v>
      </c>
      <c r="V1249" s="13">
        <v>3</v>
      </c>
      <c r="W1249" s="13" t="str">
        <f>MID(A1249, SEARCH("_", A1249) +1, SEARCH("_", A1249, SEARCH("_", A1249) +1) - SEARCH("_", A1249) -1)</f>
        <v>Math-64</v>
      </c>
      <c r="Y1249" s="1" t="str">
        <f t="shared" si="56"/>
        <v>NO</v>
      </c>
      <c r="Z1249" s="1" t="str">
        <f t="shared" si="57"/>
        <v>YES</v>
      </c>
      <c r="AA1249" t="s">
        <v>1704</v>
      </c>
      <c r="AB1249" t="s">
        <v>1705</v>
      </c>
      <c r="AC1249" s="1" t="s">
        <v>1704</v>
      </c>
      <c r="AD1249" s="1" t="s">
        <v>1704</v>
      </c>
      <c r="AE1249" s="1" t="s">
        <v>1704</v>
      </c>
      <c r="AF1249" s="1" t="s">
        <v>1705</v>
      </c>
    </row>
    <row r="1250" spans="1:32" ht="15" x14ac:dyDescent="0.35">
      <c r="A1250" s="5" t="s">
        <v>1178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>LEFT($A1250,FIND("_",$A1250)-1)</f>
        <v>FixMiner</v>
      </c>
      <c r="P1250" s="13" t="str">
        <f>IF($O1250="ACS", "True Search", IF($O1250="Arja", "Evolutionary Search", IF($O1250="AVATAR", "True Pattern", IF($O1250="CapGen", "Search Like Pattern", IF($O1250="Cardumen", "True Semantic", IF($O1250="DynaMoth", "True Semantic", IF($O1250="FixMiner", "True Pattern", IF($O1250="GenProg-A", "Evolutionary Search", IF($O1250="Hercules", "Learning Pattern", IF($O1250="Jaid", "True Semantic",
IF($O1250="Kali-A", "True Search", IF($O1250="kPAR", "True Pattern", IF($O1250="Nopol", "True Semantic", IF($O1250="RSRepair-A", "Evolutionary Search", IF($O1250="SequenceR", "Deep Learning", IF($O1250="SimFix", "Search Like Pattern", IF($O1250="SketchFix", "True Pattern", IF($O1250="SOFix", "True Pattern", IF($O1250="ssFix", "Search Like Pattern", IF($O1250="TBar", "True Pattern", ""))))))))))))))))))))</f>
        <v>True Pattern</v>
      </c>
      <c r="Q1250" s="13" t="str">
        <f>IF(NOT(ISERR(SEARCH("*_Buggy",$A1250))), "Buggy", IF(NOT(ISERR(SEARCH("*_Fixed",$A1250))), "Fixed", IF(NOT(ISERR(SEARCH("*_Repaired",$A1250))), "Repaired", "")))</f>
        <v>Repaired</v>
      </c>
      <c r="R1250" s="13" t="s">
        <v>1669</v>
      </c>
      <c r="S1250" s="25">
        <v>2</v>
      </c>
      <c r="T1250" s="25">
        <v>8</v>
      </c>
      <c r="U1250" s="25">
        <v>7</v>
      </c>
      <c r="V1250" s="13">
        <v>13</v>
      </c>
      <c r="W1250" s="13" t="str">
        <f>MID(A1250, SEARCH("_", A1250) +1, SEARCH("_", A1250, SEARCH("_", A1250) +1) - SEARCH("_", A1250) -1)</f>
        <v>Math-68</v>
      </c>
      <c r="Y1250" s="1" t="str">
        <f t="shared" si="56"/>
        <v>NO</v>
      </c>
      <c r="Z1250" s="1" t="str">
        <f t="shared" si="57"/>
        <v>YES</v>
      </c>
      <c r="AA1250" t="s">
        <v>1704</v>
      </c>
      <c r="AB1250" t="s">
        <v>1705</v>
      </c>
      <c r="AC1250" s="1" t="s">
        <v>1704</v>
      </c>
      <c r="AD1250" s="1" t="s">
        <v>1704</v>
      </c>
      <c r="AE1250" s="1" t="s">
        <v>1704</v>
      </c>
      <c r="AF1250" s="1" t="s">
        <v>1705</v>
      </c>
    </row>
    <row r="1251" spans="1:32" ht="15" x14ac:dyDescent="0.35">
      <c r="A1251" s="7" t="s">
        <v>544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>LEFT($A1251,FIND("_",$A1251)-1)</f>
        <v>FixMiner</v>
      </c>
      <c r="P1251" s="13" t="str">
        <f>IF($O1251="ACS", "True Search", IF($O1251="Arja", "Evolutionary Search", IF($O1251="AVATAR", "True Pattern", IF($O1251="CapGen", "Search Like Pattern", IF($O1251="Cardumen", "True Semantic", IF($O1251="DynaMoth", "True Semantic", IF($O1251="FixMiner", "True Pattern", IF($O1251="GenProg-A", "Evolutionary Search", IF($O1251="Hercules", "Learning Pattern", IF($O1251="Jaid", "True Semantic",
IF($O1251="Kali-A", "True Search", IF($O1251="kPAR", "True Pattern", IF($O1251="Nopol", "True Semantic", IF($O1251="RSRepair-A", "Evolutionary Search", IF($O1251="SequenceR", "Deep Learning", IF($O1251="SimFix", "Search Like Pattern", IF($O1251="SketchFix", "True Pattern", IF($O1251="SOFix", "True Pattern", IF($O1251="ssFix", "Search Like Pattern", IF($O1251="TBar", "True Pattern", ""))))))))))))))))))))</f>
        <v>True Pattern</v>
      </c>
      <c r="Q1251" s="13" t="str">
        <f>IF(NOT(ISERR(SEARCH("*_Buggy",$A1251))), "Buggy", IF(NOT(ISERR(SEARCH("*_Fixed",$A1251))), "Fixed", IF(NOT(ISERR(SEARCH("*_Repaired",$A1251))), "Repaired", "")))</f>
        <v>Repaired</v>
      </c>
      <c r="R1251" s="13" t="s">
        <v>1668</v>
      </c>
      <c r="S1251" s="25">
        <v>1</v>
      </c>
      <c r="T1251" s="25">
        <v>1</v>
      </c>
      <c r="U1251" s="25">
        <v>1</v>
      </c>
      <c r="V1251" s="13">
        <v>1</v>
      </c>
      <c r="W1251" s="13" t="str">
        <f>MID(A1251, SEARCH("_", A1251) +1, SEARCH("_", A1251, SEARCH("_", A1251) +1) - SEARCH("_", A1251) -1)</f>
        <v>Math-70</v>
      </c>
      <c r="Y1251" s="1" t="str">
        <f t="shared" si="56"/>
        <v>NO</v>
      </c>
      <c r="Z1251" s="1" t="str">
        <f t="shared" si="57"/>
        <v>NO</v>
      </c>
      <c r="AA1251" t="s">
        <v>1704</v>
      </c>
      <c r="AB1251" t="s">
        <v>1704</v>
      </c>
      <c r="AC1251" s="1" t="s">
        <v>1705</v>
      </c>
      <c r="AD1251" s="1" t="s">
        <v>1704</v>
      </c>
      <c r="AE1251" s="1" t="s">
        <v>1705</v>
      </c>
      <c r="AF1251" s="1" t="s">
        <v>1704</v>
      </c>
    </row>
    <row r="1252" spans="1:32" ht="15" x14ac:dyDescent="0.35">
      <c r="A1252" s="5" t="s">
        <v>329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>LEFT($A1252,FIND("_",$A1252)-1)</f>
        <v>FixMiner</v>
      </c>
      <c r="P1252" s="13" t="str">
        <f>IF($O1252="ACS", "True Search", IF($O1252="Arja", "Evolutionary Search", IF($O1252="AVATAR", "True Pattern", IF($O1252="CapGen", "Search Like Pattern", IF($O1252="Cardumen", "True Semantic", IF($O1252="DynaMoth", "True Semantic", IF($O1252="FixMiner", "True Pattern", IF($O1252="GenProg-A", "Evolutionary Search", IF($O1252="Hercules", "Learning Pattern", IF($O1252="Jaid", "True Semantic",
IF($O1252="Kali-A", "True Search", IF($O1252="kPAR", "True Pattern", IF($O1252="Nopol", "True Semantic", IF($O1252="RSRepair-A", "Evolutionary Search", IF($O1252="SequenceR", "Deep Learning", IF($O1252="SimFix", "Search Like Pattern", IF($O1252="SketchFix", "True Pattern", IF($O1252="SOFix", "True Pattern", IF($O1252="ssFix", "Search Like Pattern", IF($O1252="TBar", "True Pattern", ""))))))))))))))))))))</f>
        <v>True Pattern</v>
      </c>
      <c r="Q1252" s="13" t="str">
        <f>IF(NOT(ISERR(SEARCH("*_Buggy",$A1252))), "Buggy", IF(NOT(ISERR(SEARCH("*_Fixed",$A1252))), "Fixed", IF(NOT(ISERR(SEARCH("*_Repaired",$A1252))), "Repaired", "")))</f>
        <v>Repaired</v>
      </c>
      <c r="R1252" s="13" t="s">
        <v>1668</v>
      </c>
      <c r="S1252" s="25">
        <v>1</v>
      </c>
      <c r="T1252" s="25">
        <v>1</v>
      </c>
      <c r="U1252" s="25">
        <v>1</v>
      </c>
      <c r="V1252" s="13">
        <v>1</v>
      </c>
      <c r="W1252" s="13" t="str">
        <f>MID(A1252, SEARCH("_", A1252) +1, SEARCH("_", A1252, SEARCH("_", A1252) +1) - SEARCH("_", A1252) -1)</f>
        <v>Math-75</v>
      </c>
      <c r="Y1252" s="1" t="str">
        <f t="shared" si="56"/>
        <v>NO</v>
      </c>
      <c r="Z1252" s="1" t="str">
        <f t="shared" si="57"/>
        <v>NO</v>
      </c>
      <c r="AA1252" t="s">
        <v>1704</v>
      </c>
      <c r="AB1252" t="s">
        <v>1704</v>
      </c>
      <c r="AC1252" s="1" t="s">
        <v>1705</v>
      </c>
      <c r="AD1252" s="1" t="s">
        <v>1704</v>
      </c>
      <c r="AE1252" s="1" t="s">
        <v>1705</v>
      </c>
      <c r="AF1252" s="1" t="s">
        <v>1704</v>
      </c>
    </row>
    <row r="1253" spans="1:32" ht="15" x14ac:dyDescent="0.35">
      <c r="A1253" s="5" t="s">
        <v>931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>LEFT($A1253,FIND("_",$A1253)-1)</f>
        <v>FixMiner</v>
      </c>
      <c r="P1253" s="13" t="str">
        <f>IF($O1253="ACS", "True Search", IF($O1253="Arja", "Evolutionary Search", IF($O1253="AVATAR", "True Pattern", IF($O1253="CapGen", "Search Like Pattern", IF($O1253="Cardumen", "True Semantic", IF($O1253="DynaMoth", "True Semantic", IF($O1253="FixMiner", "True Pattern", IF($O1253="GenProg-A", "Evolutionary Search", IF($O1253="Hercules", "Learning Pattern", IF($O1253="Jaid", "True Semantic",
IF($O1253="Kali-A", "True Search", IF($O1253="kPAR", "True Pattern", IF($O1253="Nopol", "True Semantic", IF($O1253="RSRepair-A", "Evolutionary Search", IF($O1253="SequenceR", "Deep Learning", IF($O1253="SimFix", "Search Like Pattern", IF($O1253="SketchFix", "True Pattern", IF($O1253="SOFix", "True Pattern", IF($O1253="ssFix", "Search Like Pattern", IF($O1253="TBar", "True Pattern", ""))))))))))))))))))))</f>
        <v>True Pattern</v>
      </c>
      <c r="Q1253" s="13" t="str">
        <f>IF(NOT(ISERR(SEARCH("*_Buggy",$A1253))), "Buggy", IF(NOT(ISERR(SEARCH("*_Fixed",$A1253))), "Fixed", IF(NOT(ISERR(SEARCH("*_Repaired",$A1253))), "Repaired", "")))</f>
        <v>Repaired</v>
      </c>
      <c r="R1253" s="13" t="s">
        <v>1668</v>
      </c>
      <c r="S1253" s="25">
        <v>2</v>
      </c>
      <c r="T1253" s="25">
        <v>2</v>
      </c>
      <c r="U1253" s="25">
        <v>2</v>
      </c>
      <c r="V1253" s="13">
        <v>2</v>
      </c>
      <c r="W1253" s="13" t="str">
        <f>MID(A1253, SEARCH("_", A1253) +1, SEARCH("_", A1253, SEARCH("_", A1253) +1) - SEARCH("_", A1253) -1)</f>
        <v>Math-79</v>
      </c>
      <c r="Y1253" s="1" t="str">
        <f t="shared" si="56"/>
        <v>YES</v>
      </c>
      <c r="Z1253" s="1" t="str">
        <f t="shared" si="57"/>
        <v>NO</v>
      </c>
      <c r="AA1253" t="s">
        <v>1705</v>
      </c>
      <c r="AB1253" t="s">
        <v>1704</v>
      </c>
      <c r="AC1253" s="1" t="s">
        <v>1704</v>
      </c>
      <c r="AD1253" s="1" t="s">
        <v>1704</v>
      </c>
      <c r="AE1253" s="1" t="s">
        <v>1704</v>
      </c>
      <c r="AF1253" s="1" t="s">
        <v>1705</v>
      </c>
    </row>
    <row r="1254" spans="1:32" ht="15" x14ac:dyDescent="0.35">
      <c r="A1254" s="7" t="s">
        <v>148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>LEFT($A1254,FIND("_",$A1254)-1)</f>
        <v>FixMiner</v>
      </c>
      <c r="P1254" s="13" t="str">
        <f>IF($O1254="ACS", "True Search", IF($O1254="Arja", "Evolutionary Search", IF($O1254="AVATAR", "True Pattern", IF($O1254="CapGen", "Search Like Pattern", IF($O1254="Cardumen", "True Semantic", IF($O1254="DynaMoth", "True Semantic", IF($O1254="FixMiner", "True Pattern", IF($O1254="GenProg-A", "Evolutionary Search", IF($O1254="Hercules", "Learning Pattern", IF($O1254="Jaid", "True Semantic",
IF($O1254="Kali-A", "True Search", IF($O1254="kPAR", "True Pattern", IF($O1254="Nopol", "True Semantic", IF($O1254="RSRepair-A", "Evolutionary Search", IF($O1254="SequenceR", "Deep Learning", IF($O1254="SimFix", "Search Like Pattern", IF($O1254="SketchFix", "True Pattern", IF($O1254="SOFix", "True Pattern", IF($O1254="ssFix", "Search Like Pattern", IF($O1254="TBar", "True Pattern", ""))))))))))))))))))))</f>
        <v>True Pattern</v>
      </c>
      <c r="Q1254" s="13" t="str">
        <f>IF(NOT(ISERR(SEARCH("*_Buggy",$A1254))), "Buggy", IF(NOT(ISERR(SEARCH("*_Fixed",$A1254))), "Fixed", IF(NOT(ISERR(SEARCH("*_Repaired",$A1254))), "Repaired", "")))</f>
        <v>Repaired</v>
      </c>
      <c r="R1254" s="13" t="s">
        <v>1669</v>
      </c>
      <c r="S1254" s="25">
        <v>1</v>
      </c>
      <c r="T1254" s="25">
        <v>1</v>
      </c>
      <c r="U1254" s="25">
        <v>1</v>
      </c>
      <c r="V1254" s="13">
        <v>1</v>
      </c>
      <c r="W1254" s="13" t="str">
        <f>MID(A1254, SEARCH("_", A1254) +1, SEARCH("_", A1254, SEARCH("_", A1254) +1) - SEARCH("_", A1254) -1)</f>
        <v>Math-80</v>
      </c>
      <c r="Y1254" s="1" t="str">
        <f t="shared" ref="Y1254:Y1317" si="58">IF(AND(S1254&gt;1,S1254=V1254), "YES", "NO")</f>
        <v>NO</v>
      </c>
      <c r="Z1254" s="1" t="str">
        <f t="shared" ref="Z1254:Z1317" si="59">IF(AND(S1254&gt;1,S1254&lt;V1254), "YES", "NO")</f>
        <v>NO</v>
      </c>
      <c r="AA1254" t="s">
        <v>1704</v>
      </c>
      <c r="AB1254" t="s">
        <v>1704</v>
      </c>
      <c r="AC1254" s="1" t="s">
        <v>1705</v>
      </c>
      <c r="AD1254" s="1" t="s">
        <v>1704</v>
      </c>
      <c r="AE1254" s="1" t="s">
        <v>1705</v>
      </c>
      <c r="AF1254" s="1" t="s">
        <v>1704</v>
      </c>
    </row>
    <row r="1255" spans="1:32" ht="15" x14ac:dyDescent="0.35">
      <c r="A1255" s="7" t="s">
        <v>94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>LEFT($A1255,FIND("_",$A1255)-1)</f>
        <v>FixMiner</v>
      </c>
      <c r="P1255" s="13" t="str">
        <f>IF($O1255="ACS", "True Search", IF($O1255="Arja", "Evolutionary Search", IF($O1255="AVATAR", "True Pattern", IF($O1255="CapGen", "Search Like Pattern", IF($O1255="Cardumen", "True Semantic", IF($O1255="DynaMoth", "True Semantic", IF($O1255="FixMiner", "True Pattern", IF($O1255="GenProg-A", "Evolutionary Search", IF($O1255="Hercules", "Learning Pattern", IF($O1255="Jaid", "True Semantic",
IF($O1255="Kali-A", "True Search", IF($O1255="kPAR", "True Pattern", IF($O1255="Nopol", "True Semantic", IF($O1255="RSRepair-A", "Evolutionary Search", IF($O1255="SequenceR", "Deep Learning", IF($O1255="SimFix", "Search Like Pattern", IF($O1255="SketchFix", "True Pattern", IF($O1255="SOFix", "True Pattern", IF($O1255="ssFix", "Search Like Pattern", IF($O1255="TBar", "True Pattern", ""))))))))))))))))))))</f>
        <v>True Pattern</v>
      </c>
      <c r="Q1255" s="13" t="str">
        <f>IF(NOT(ISERR(SEARCH("*_Buggy",$A1255))), "Buggy", IF(NOT(ISERR(SEARCH("*_Fixed",$A1255))), "Fixed", IF(NOT(ISERR(SEARCH("*_Repaired",$A1255))), "Repaired", "")))</f>
        <v>Repaired</v>
      </c>
      <c r="R1255" s="13" t="s">
        <v>1669</v>
      </c>
      <c r="S1255" s="25">
        <v>1</v>
      </c>
      <c r="T1255" s="25">
        <v>1</v>
      </c>
      <c r="U1255" s="25">
        <v>1</v>
      </c>
      <c r="V1255" s="13">
        <v>1</v>
      </c>
      <c r="W1255" s="13" t="str">
        <f>MID(A1255, SEARCH("_", A1255) +1, SEARCH("_", A1255, SEARCH("_", A1255) +1) - SEARCH("_", A1255) -1)</f>
        <v>Math-81</v>
      </c>
      <c r="Y1255" s="1" t="str">
        <f t="shared" si="58"/>
        <v>NO</v>
      </c>
      <c r="Z1255" s="1" t="str">
        <f t="shared" si="59"/>
        <v>NO</v>
      </c>
      <c r="AA1255" t="s">
        <v>1704</v>
      </c>
      <c r="AB1255" t="s">
        <v>1704</v>
      </c>
      <c r="AC1255" s="1" t="s">
        <v>1704</v>
      </c>
      <c r="AD1255" s="1" t="s">
        <v>1704</v>
      </c>
      <c r="AE1255" s="1" t="s">
        <v>1704</v>
      </c>
      <c r="AF1255" s="1" t="s">
        <v>1704</v>
      </c>
    </row>
    <row r="1256" spans="1:32" ht="15" x14ac:dyDescent="0.35">
      <c r="A1256" s="5" t="s">
        <v>220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>LEFT($A1256,FIND("_",$A1256)-1)</f>
        <v>FixMiner</v>
      </c>
      <c r="P1256" s="13" t="str">
        <f>IF($O1256="ACS", "True Search", IF($O1256="Arja", "Evolutionary Search", IF($O1256="AVATAR", "True Pattern", IF($O1256="CapGen", "Search Like Pattern", IF($O1256="Cardumen", "True Semantic", IF($O1256="DynaMoth", "True Semantic", IF($O1256="FixMiner", "True Pattern", IF($O1256="GenProg-A", "Evolutionary Search", IF($O1256="Hercules", "Learning Pattern", IF($O1256="Jaid", "True Semantic",
IF($O1256="Kali-A", "True Search", IF($O1256="kPAR", "True Pattern", IF($O1256="Nopol", "True Semantic", IF($O1256="RSRepair-A", "Evolutionary Search", IF($O1256="SequenceR", "Deep Learning", IF($O1256="SimFix", "Search Like Pattern", IF($O1256="SketchFix", "True Pattern", IF($O1256="SOFix", "True Pattern", IF($O1256="ssFix", "Search Like Pattern", IF($O1256="TBar", "True Pattern", ""))))))))))))))))))))</f>
        <v>True Pattern</v>
      </c>
      <c r="Q1256" s="13" t="str">
        <f>IF(NOT(ISERR(SEARCH("*_Buggy",$A1256))), "Buggy", IF(NOT(ISERR(SEARCH("*_Fixed",$A1256))), "Fixed", IF(NOT(ISERR(SEARCH("*_Repaired",$A1256))), "Repaired", "")))</f>
        <v>Repaired</v>
      </c>
      <c r="R1256" s="13" t="s">
        <v>1668</v>
      </c>
      <c r="S1256" s="25">
        <v>1</v>
      </c>
      <c r="T1256" s="25">
        <v>1</v>
      </c>
      <c r="U1256" s="25">
        <v>1</v>
      </c>
      <c r="V1256" s="13">
        <v>1</v>
      </c>
      <c r="W1256" s="13" t="str">
        <f>MID(A1256, SEARCH("_", A1256) +1, SEARCH("_", A1256, SEARCH("_", A1256) +1) - SEARCH("_", A1256) -1)</f>
        <v>Math-82</v>
      </c>
      <c r="Y1256" s="1" t="str">
        <f t="shared" si="58"/>
        <v>NO</v>
      </c>
      <c r="Z1256" s="1" t="str">
        <f t="shared" si="59"/>
        <v>NO</v>
      </c>
      <c r="AA1256" t="s">
        <v>1704</v>
      </c>
      <c r="AB1256" t="s">
        <v>1704</v>
      </c>
      <c r="AC1256" s="1" t="s">
        <v>1705</v>
      </c>
      <c r="AD1256" s="1" t="s">
        <v>1704</v>
      </c>
      <c r="AE1256" s="1" t="s">
        <v>1705</v>
      </c>
      <c r="AF1256" s="1" t="s">
        <v>1704</v>
      </c>
    </row>
    <row r="1257" spans="1:32" ht="15" x14ac:dyDescent="0.35">
      <c r="A1257" s="7" t="s">
        <v>531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>LEFT($A1257,FIND("_",$A1257)-1)</f>
        <v>FixMiner</v>
      </c>
      <c r="P1257" s="13" t="str">
        <f>IF($O1257="ACS", "True Search", IF($O1257="Arja", "Evolutionary Search", IF($O1257="AVATAR", "True Pattern", IF($O1257="CapGen", "Search Like Pattern", IF($O1257="Cardumen", "True Semantic", IF($O1257="DynaMoth", "True Semantic", IF($O1257="FixMiner", "True Pattern", IF($O1257="GenProg-A", "Evolutionary Search", IF($O1257="Hercules", "Learning Pattern", IF($O1257="Jaid", "True Semantic",
IF($O1257="Kali-A", "True Search", IF($O1257="kPAR", "True Pattern", IF($O1257="Nopol", "True Semantic", IF($O1257="RSRepair-A", "Evolutionary Search", IF($O1257="SequenceR", "Deep Learning", IF($O1257="SimFix", "Search Like Pattern", IF($O1257="SketchFix", "True Pattern", IF($O1257="SOFix", "True Pattern", IF($O1257="ssFix", "Search Like Pattern", IF($O1257="TBar", "True Pattern", ""))))))))))))))))))))</f>
        <v>True Pattern</v>
      </c>
      <c r="Q1257" s="13" t="str">
        <f>IF(NOT(ISERR(SEARCH("*_Buggy",$A1257))), "Buggy", IF(NOT(ISERR(SEARCH("*_Fixed",$A1257))), "Fixed", IF(NOT(ISERR(SEARCH("*_Repaired",$A1257))), "Repaired", "")))</f>
        <v>Repaired</v>
      </c>
      <c r="R1257" s="13" t="s">
        <v>1669</v>
      </c>
      <c r="S1257" s="25">
        <v>1</v>
      </c>
      <c r="T1257" s="25">
        <v>1</v>
      </c>
      <c r="U1257" s="25">
        <v>1</v>
      </c>
      <c r="V1257" s="13">
        <v>1</v>
      </c>
      <c r="W1257" s="13" t="str">
        <f>MID(A1257, SEARCH("_", A1257) +1, SEARCH("_", A1257, SEARCH("_", A1257) +1) - SEARCH("_", A1257) -1)</f>
        <v>Math-84</v>
      </c>
      <c r="Y1257" s="1" t="str">
        <f t="shared" si="58"/>
        <v>NO</v>
      </c>
      <c r="Z1257" s="1" t="str">
        <f t="shared" si="59"/>
        <v>NO</v>
      </c>
      <c r="AA1257" t="s">
        <v>1704</v>
      </c>
      <c r="AB1257" t="s">
        <v>1704</v>
      </c>
      <c r="AC1257" s="1" t="s">
        <v>1704</v>
      </c>
      <c r="AD1257" s="1" t="s">
        <v>1704</v>
      </c>
      <c r="AE1257" s="1" t="s">
        <v>1704</v>
      </c>
      <c r="AF1257" s="1" t="s">
        <v>1704</v>
      </c>
    </row>
    <row r="1258" spans="1:32" ht="15" x14ac:dyDescent="0.35">
      <c r="A1258" s="7" t="s">
        <v>228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>LEFT($A1258,FIND("_",$A1258)-1)</f>
        <v>FixMiner</v>
      </c>
      <c r="P1258" s="13" t="str">
        <f>IF($O1258="ACS", "True Search", IF($O1258="Arja", "Evolutionary Search", IF($O1258="AVATAR", "True Pattern", IF($O1258="CapGen", "Search Like Pattern", IF($O1258="Cardumen", "True Semantic", IF($O1258="DynaMoth", "True Semantic", IF($O1258="FixMiner", "True Pattern", IF($O1258="GenProg-A", "Evolutionary Search", IF($O1258="Hercules", "Learning Pattern", IF($O1258="Jaid", "True Semantic",
IF($O1258="Kali-A", "True Search", IF($O1258="kPAR", "True Pattern", IF($O1258="Nopol", "True Semantic", IF($O1258="RSRepair-A", "Evolutionary Search", IF($O1258="SequenceR", "Deep Learning", IF($O1258="SimFix", "Search Like Pattern", IF($O1258="SketchFix", "True Pattern", IF($O1258="SOFix", "True Pattern", IF($O1258="ssFix", "Search Like Pattern", IF($O1258="TBar", "True Pattern", ""))))))))))))))))))))</f>
        <v>True Pattern</v>
      </c>
      <c r="Q1258" s="13" t="str">
        <f>IF(NOT(ISERR(SEARCH("*_Buggy",$A1258))), "Buggy", IF(NOT(ISERR(SEARCH("*_Fixed",$A1258))), "Fixed", IF(NOT(ISERR(SEARCH("*_Repaired",$A1258))), "Repaired", "")))</f>
        <v>Repaired</v>
      </c>
      <c r="R1258" s="13" t="s">
        <v>1668</v>
      </c>
      <c r="S1258" s="25">
        <v>1</v>
      </c>
      <c r="T1258" s="25">
        <v>1</v>
      </c>
      <c r="U1258" s="25">
        <v>1</v>
      </c>
      <c r="V1258" s="13">
        <v>1</v>
      </c>
      <c r="W1258" s="13" t="str">
        <f>MID(A1258, SEARCH("_", A1258) +1, SEARCH("_", A1258, SEARCH("_", A1258) +1) - SEARCH("_", A1258) -1)</f>
        <v>Math-85</v>
      </c>
      <c r="Y1258" s="1" t="str">
        <f t="shared" si="58"/>
        <v>NO</v>
      </c>
      <c r="Z1258" s="1" t="str">
        <f t="shared" si="59"/>
        <v>NO</v>
      </c>
      <c r="AA1258" t="s">
        <v>1704</v>
      </c>
      <c r="AB1258" t="s">
        <v>1704</v>
      </c>
      <c r="AC1258" s="1" t="s">
        <v>1705</v>
      </c>
      <c r="AD1258" s="1" t="s">
        <v>1704</v>
      </c>
      <c r="AE1258" s="1" t="s">
        <v>1705</v>
      </c>
      <c r="AF1258" s="1" t="s">
        <v>1704</v>
      </c>
    </row>
    <row r="1259" spans="1:32" ht="15" x14ac:dyDescent="0.35">
      <c r="A1259" s="7" t="s">
        <v>591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>LEFT($A1259,FIND("_",$A1259)-1)</f>
        <v>FixMiner</v>
      </c>
      <c r="P1259" s="13" t="str">
        <f>IF($O1259="ACS", "True Search", IF($O1259="Arja", "Evolutionary Search", IF($O1259="AVATAR", "True Pattern", IF($O1259="CapGen", "Search Like Pattern", IF($O1259="Cardumen", "True Semantic", IF($O1259="DynaMoth", "True Semantic", IF($O1259="FixMiner", "True Pattern", IF($O1259="GenProg-A", "Evolutionary Search", IF($O1259="Hercules", "Learning Pattern", IF($O1259="Jaid", "True Semantic",
IF($O1259="Kali-A", "True Search", IF($O1259="kPAR", "True Pattern", IF($O1259="Nopol", "True Semantic", IF($O1259="RSRepair-A", "Evolutionary Search", IF($O1259="SequenceR", "Deep Learning", IF($O1259="SimFix", "Search Like Pattern", IF($O1259="SketchFix", "True Pattern", IF($O1259="SOFix", "True Pattern", IF($O1259="ssFix", "Search Like Pattern", IF($O1259="TBar", "True Pattern", ""))))))))))))))))))))</f>
        <v>True Pattern</v>
      </c>
      <c r="Q1259" s="13" t="str">
        <f>IF(NOT(ISERR(SEARCH("*_Buggy",$A1259))), "Buggy", IF(NOT(ISERR(SEARCH("*_Fixed",$A1259))), "Fixed", IF(NOT(ISERR(SEARCH("*_Repaired",$A1259))), "Repaired", "")))</f>
        <v>Repaired</v>
      </c>
      <c r="R1259" s="13" t="s">
        <v>1669</v>
      </c>
      <c r="S1259" s="25">
        <v>1</v>
      </c>
      <c r="T1259" s="25">
        <v>1</v>
      </c>
      <c r="U1259" s="25">
        <v>1</v>
      </c>
      <c r="V1259" s="13">
        <v>1</v>
      </c>
      <c r="W1259" s="13" t="str">
        <f>MID(A1259, SEARCH("_", A1259) +1, SEARCH("_", A1259, SEARCH("_", A1259) +1) - SEARCH("_", A1259) -1)</f>
        <v>Math-88</v>
      </c>
      <c r="Y1259" s="1" t="str">
        <f t="shared" si="58"/>
        <v>NO</v>
      </c>
      <c r="Z1259" s="1" t="str">
        <f t="shared" si="59"/>
        <v>NO</v>
      </c>
      <c r="AA1259" t="s">
        <v>1704</v>
      </c>
      <c r="AB1259" t="s">
        <v>1704</v>
      </c>
      <c r="AC1259" s="1" t="s">
        <v>1704</v>
      </c>
      <c r="AD1259" s="1" t="s">
        <v>1704</v>
      </c>
      <c r="AE1259" s="1" t="s">
        <v>1704</v>
      </c>
      <c r="AF1259" s="1" t="s">
        <v>1704</v>
      </c>
    </row>
    <row r="1260" spans="1:32" ht="15" x14ac:dyDescent="0.35">
      <c r="A1260" s="5" t="s">
        <v>92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>LEFT($A1260,FIND("_",$A1260)-1)</f>
        <v>FixMiner</v>
      </c>
      <c r="P1260" s="13" t="str">
        <f>IF($O1260="ACS", "True Search", IF($O1260="Arja", "Evolutionary Search", IF($O1260="AVATAR", "True Pattern", IF($O1260="CapGen", "Search Like Pattern", IF($O1260="Cardumen", "True Semantic", IF($O1260="DynaMoth", "True Semantic", IF($O1260="FixMiner", "True Pattern", IF($O1260="GenProg-A", "Evolutionary Search", IF($O1260="Hercules", "Learning Pattern", IF($O1260="Jaid", "True Semantic",
IF($O1260="Kali-A", "True Search", IF($O1260="kPAR", "True Pattern", IF($O1260="Nopol", "True Semantic", IF($O1260="RSRepair-A", "Evolutionary Search", IF($O1260="SequenceR", "Deep Learning", IF($O1260="SimFix", "Search Like Pattern", IF($O1260="SketchFix", "True Pattern", IF($O1260="SOFix", "True Pattern", IF($O1260="ssFix", "Search Like Pattern", IF($O1260="TBar", "True Pattern", ""))))))))))))))))))))</f>
        <v>True Pattern</v>
      </c>
      <c r="Q1260" s="13" t="str">
        <f>IF(NOT(ISERR(SEARCH("*_Buggy",$A1260))), "Buggy", IF(NOT(ISERR(SEARCH("*_Fixed",$A1260))), "Fixed", IF(NOT(ISERR(SEARCH("*_Repaired",$A1260))), "Repaired", "")))</f>
        <v>Repaired</v>
      </c>
      <c r="R1260" s="13" t="s">
        <v>1669</v>
      </c>
      <c r="S1260" s="25">
        <v>1</v>
      </c>
      <c r="T1260" s="25">
        <v>1</v>
      </c>
      <c r="U1260" s="25">
        <v>1</v>
      </c>
      <c r="V1260" s="13">
        <v>1</v>
      </c>
      <c r="W1260" s="13" t="str">
        <f>MID(A1260, SEARCH("_", A1260) +1, SEARCH("_", A1260, SEARCH("_", A1260) +1) - SEARCH("_", A1260) -1)</f>
        <v>Math-95</v>
      </c>
      <c r="Y1260" s="1" t="str">
        <f t="shared" si="58"/>
        <v>NO</v>
      </c>
      <c r="Z1260" s="1" t="str">
        <f t="shared" si="59"/>
        <v>NO</v>
      </c>
      <c r="AA1260" t="s">
        <v>1704</v>
      </c>
      <c r="AB1260" t="s">
        <v>1704</v>
      </c>
      <c r="AC1260" s="1" t="s">
        <v>1704</v>
      </c>
      <c r="AD1260" s="1" t="s">
        <v>1704</v>
      </c>
      <c r="AE1260" s="1" t="s">
        <v>1704</v>
      </c>
      <c r="AF1260" s="1" t="s">
        <v>1704</v>
      </c>
    </row>
    <row r="1261" spans="1:32" ht="15" x14ac:dyDescent="0.35">
      <c r="A1261" s="7" t="s">
        <v>627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>LEFT($A1261,FIND("_",$A1261)-1)</f>
        <v>FixMiner</v>
      </c>
      <c r="P1261" s="13" t="str">
        <f>IF($O1261="ACS", "True Search", IF($O1261="Arja", "Evolutionary Search", IF($O1261="AVATAR", "True Pattern", IF($O1261="CapGen", "Search Like Pattern", IF($O1261="Cardumen", "True Semantic", IF($O1261="DynaMoth", "True Semantic", IF($O1261="FixMiner", "True Pattern", IF($O1261="GenProg-A", "Evolutionary Search", IF($O1261="Hercules", "Learning Pattern", IF($O1261="Jaid", "True Semantic",
IF($O1261="Kali-A", "True Search", IF($O1261="kPAR", "True Pattern", IF($O1261="Nopol", "True Semantic", IF($O1261="RSRepair-A", "Evolutionary Search", IF($O1261="SequenceR", "Deep Learning", IF($O1261="SimFix", "Search Like Pattern", IF($O1261="SketchFix", "True Pattern", IF($O1261="SOFix", "True Pattern", IF($O1261="ssFix", "Search Like Pattern", IF($O1261="TBar", "True Pattern", ""))))))))))))))))))))</f>
        <v>True Pattern</v>
      </c>
      <c r="Q1261" s="13" t="str">
        <f>IF(NOT(ISERR(SEARCH("*_Buggy",$A1261))), "Buggy", IF(NOT(ISERR(SEARCH("*_Fixed",$A1261))), "Fixed", IF(NOT(ISERR(SEARCH("*_Repaired",$A1261))), "Repaired", "")))</f>
        <v>Repaired</v>
      </c>
      <c r="R1261" s="13" t="s">
        <v>1669</v>
      </c>
      <c r="S1261" s="25">
        <v>1</v>
      </c>
      <c r="T1261" s="25">
        <v>1</v>
      </c>
      <c r="U1261" s="25">
        <v>1</v>
      </c>
      <c r="V1261" s="13">
        <v>1</v>
      </c>
      <c r="W1261" s="13" t="str">
        <f>MID(A1261, SEARCH("_", A1261) +1, SEARCH("_", A1261, SEARCH("_", A1261) +1) - SEARCH("_", A1261) -1)</f>
        <v>Math-97</v>
      </c>
      <c r="Y1261" s="1" t="str">
        <f t="shared" si="58"/>
        <v>NO</v>
      </c>
      <c r="Z1261" s="1" t="str">
        <f t="shared" si="59"/>
        <v>NO</v>
      </c>
      <c r="AA1261" t="s">
        <v>1704</v>
      </c>
      <c r="AB1261" t="s">
        <v>1704</v>
      </c>
      <c r="AC1261" s="1" t="s">
        <v>1704</v>
      </c>
      <c r="AD1261" s="1" t="s">
        <v>1704</v>
      </c>
      <c r="AE1261" s="1" t="s">
        <v>1704</v>
      </c>
      <c r="AF1261" s="1" t="s">
        <v>1704</v>
      </c>
    </row>
    <row r="1262" spans="1:32" ht="15" x14ac:dyDescent="0.35">
      <c r="A1262" s="5" t="s">
        <v>394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>LEFT($A1262,FIND("_",$A1262)-1)</f>
        <v>FixMiner</v>
      </c>
      <c r="P1262" s="13" t="str">
        <f>IF($O1262="ACS", "True Search", IF($O1262="Arja", "Evolutionary Search", IF($O1262="AVATAR", "True Pattern", IF($O1262="CapGen", "Search Like Pattern", IF($O1262="Cardumen", "True Semantic", IF($O1262="DynaMoth", "True Semantic", IF($O1262="FixMiner", "True Pattern", IF($O1262="GenProg-A", "Evolutionary Search", IF($O1262="Hercules", "Learning Pattern", IF($O1262="Jaid", "True Semantic",
IF($O1262="Kali-A", "True Search", IF($O1262="kPAR", "True Pattern", IF($O1262="Nopol", "True Semantic", IF($O1262="RSRepair-A", "Evolutionary Search", IF($O1262="SequenceR", "Deep Learning", IF($O1262="SimFix", "Search Like Pattern", IF($O1262="SketchFix", "True Pattern", IF($O1262="SOFix", "True Pattern", IF($O1262="ssFix", "Search Like Pattern", IF($O1262="TBar", "True Pattern", ""))))))))))))))))))))</f>
        <v>True Pattern</v>
      </c>
      <c r="Q1262" s="13" t="str">
        <f>IF(NOT(ISERR(SEARCH("*_Buggy",$A1262))), "Buggy", IF(NOT(ISERR(SEARCH("*_Fixed",$A1262))), "Fixed", IF(NOT(ISERR(SEARCH("*_Repaired",$A1262))), "Repaired", "")))</f>
        <v>Repaired</v>
      </c>
      <c r="R1262" s="13" t="s">
        <v>1668</v>
      </c>
      <c r="S1262" s="25">
        <v>1</v>
      </c>
      <c r="T1262" s="25">
        <v>4</v>
      </c>
      <c r="U1262" s="25">
        <v>1</v>
      </c>
      <c r="V1262" s="13">
        <v>4</v>
      </c>
      <c r="W1262" s="13" t="str">
        <f>MID(A1262, SEARCH("_", A1262) +1, SEARCH("_", A1262, SEARCH("_", A1262) +1) - SEARCH("_", A1262) -1)</f>
        <v>Mockito-29</v>
      </c>
      <c r="Y1262" s="1" t="str">
        <f t="shared" si="58"/>
        <v>NO</v>
      </c>
      <c r="Z1262" s="1" t="str">
        <f t="shared" si="59"/>
        <v>NO</v>
      </c>
      <c r="AA1262" t="s">
        <v>1704</v>
      </c>
      <c r="AB1262" t="s">
        <v>1704</v>
      </c>
      <c r="AC1262" s="1" t="s">
        <v>1704</v>
      </c>
      <c r="AD1262" s="1" t="s">
        <v>1704</v>
      </c>
      <c r="AE1262" s="1" t="s">
        <v>1704</v>
      </c>
      <c r="AF1262" s="1" t="s">
        <v>1704</v>
      </c>
    </row>
    <row r="1263" spans="1:32" ht="15" x14ac:dyDescent="0.35">
      <c r="A1263" s="7" t="s">
        <v>736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>LEFT($A1263,FIND("_",$A1263)-1)</f>
        <v>FixMiner</v>
      </c>
      <c r="P1263" s="13" t="str">
        <f>IF($O1263="ACS", "True Search", IF($O1263="Arja", "Evolutionary Search", IF($O1263="AVATAR", "True Pattern", IF($O1263="CapGen", "Search Like Pattern", IF($O1263="Cardumen", "True Semantic", IF($O1263="DynaMoth", "True Semantic", IF($O1263="FixMiner", "True Pattern", IF($O1263="GenProg-A", "Evolutionary Search", IF($O1263="Hercules", "Learning Pattern", IF($O1263="Jaid", "True Semantic",
IF($O1263="Kali-A", "True Search", IF($O1263="kPAR", "True Pattern", IF($O1263="Nopol", "True Semantic", IF($O1263="RSRepair-A", "Evolutionary Search", IF($O1263="SequenceR", "Deep Learning", IF($O1263="SimFix", "Search Like Pattern", IF($O1263="SketchFix", "True Pattern", IF($O1263="SOFix", "True Pattern", IF($O1263="ssFix", "Search Like Pattern", IF($O1263="TBar", "True Pattern", ""))))))))))))))))))))</f>
        <v>True Pattern</v>
      </c>
      <c r="Q1263" s="13" t="str">
        <f>IF(NOT(ISERR(SEARCH("*_Buggy",$A1263))), "Buggy", IF(NOT(ISERR(SEARCH("*_Fixed",$A1263))), "Fixed", IF(NOT(ISERR(SEARCH("*_Repaired",$A1263))), "Repaired", "")))</f>
        <v>Repaired</v>
      </c>
      <c r="R1263" s="13" t="s">
        <v>1668</v>
      </c>
      <c r="S1263" s="25">
        <v>1</v>
      </c>
      <c r="T1263" s="25">
        <v>4</v>
      </c>
      <c r="U1263" s="25">
        <v>1</v>
      </c>
      <c r="V1263" s="13">
        <v>4</v>
      </c>
      <c r="W1263" s="13" t="str">
        <f>MID(A1263, SEARCH("_", A1263) +1, SEARCH("_", A1263, SEARCH("_", A1263) +1) - SEARCH("_", A1263) -1)</f>
        <v>Mockito-38</v>
      </c>
      <c r="Y1263" s="1" t="str">
        <f t="shared" si="58"/>
        <v>NO</v>
      </c>
      <c r="Z1263" s="1" t="str">
        <f t="shared" si="59"/>
        <v>NO</v>
      </c>
      <c r="AA1263" t="s">
        <v>1704</v>
      </c>
      <c r="AB1263" t="s">
        <v>1704</v>
      </c>
      <c r="AC1263" s="1" t="s">
        <v>1704</v>
      </c>
      <c r="AD1263" s="1" t="s">
        <v>1704</v>
      </c>
      <c r="AE1263" s="1" t="s">
        <v>1704</v>
      </c>
      <c r="AF1263" s="1" t="s">
        <v>1704</v>
      </c>
    </row>
    <row r="1264" spans="1:32" ht="15" x14ac:dyDescent="0.35">
      <c r="A1264" s="7" t="s">
        <v>1548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>LEFT($A1264,FIND("_",$A1264)-1)</f>
        <v>GenProg-A</v>
      </c>
      <c r="P1264" s="13" t="str">
        <f>IF($O1264="ACS", "True Search", IF($O1264="Arja", "Evolutionary Search", IF($O1264="AVATAR", "True Pattern", IF($O1264="CapGen", "Search Like Pattern", IF($O1264="Cardumen", "True Semantic", IF($O1264="DynaMoth", "True Semantic", IF($O1264="FixMiner", "True Pattern", IF($O1264="GenProg-A", "Evolutionary Search", IF($O1264="Hercules", "Learning Pattern", IF($O1264="Jaid", "True Semantic",
IF($O1264="Kali-A", "True Search", IF($O1264="kPAR", "True Pattern", IF($O1264="Nopol", "True Semantic", IF($O1264="RSRepair-A", "Evolutionary Search", IF($O1264="SequenceR", "Deep Learning", IF($O1264="SimFix", "Search Like Pattern", IF($O1264="SketchFix", "True Pattern", IF($O1264="SOFix", "True Pattern", IF($O1264="ssFix", "Search Like Pattern", IF($O1264="TBar", "True Pattern", ""))))))))))))))))))))</f>
        <v>Evolutionary Search</v>
      </c>
      <c r="Q1264" s="13" t="str">
        <f>IF(NOT(ISERR(SEARCH("*_Buggy",$A1264))), "Buggy", IF(NOT(ISERR(SEARCH("*_Fixed",$A1264))), "Fixed", IF(NOT(ISERR(SEARCH("*_Repaired",$A1264))), "Repaired", "")))</f>
        <v>Repaired</v>
      </c>
      <c r="R1264" s="13" t="s">
        <v>1669</v>
      </c>
      <c r="S1264" s="25">
        <v>1</v>
      </c>
      <c r="T1264" s="25">
        <v>0</v>
      </c>
      <c r="U1264" s="13">
        <v>3</v>
      </c>
      <c r="V1264" s="13">
        <v>3</v>
      </c>
      <c r="W1264" s="13" t="str">
        <f>MID(A1264, SEARCH("_", A1264) +1, SEARCH("_", A1264, SEARCH("_", A1264) +1) - SEARCH("_", A1264) -1)</f>
        <v>Chart-1</v>
      </c>
      <c r="Y1264" s="1" t="str">
        <f t="shared" si="58"/>
        <v>NO</v>
      </c>
      <c r="Z1264" s="1" t="str">
        <f t="shared" si="59"/>
        <v>NO</v>
      </c>
      <c r="AA1264" t="s">
        <v>1704</v>
      </c>
      <c r="AB1264" t="s">
        <v>1704</v>
      </c>
      <c r="AC1264" s="1" t="s">
        <v>1704</v>
      </c>
      <c r="AD1264" s="1" t="s">
        <v>1704</v>
      </c>
      <c r="AE1264" s="1" t="s">
        <v>1704</v>
      </c>
      <c r="AF1264" s="1" t="s">
        <v>1704</v>
      </c>
    </row>
    <row r="1265" spans="1:32" ht="15" x14ac:dyDescent="0.35">
      <c r="A1265" s="5" t="s">
        <v>1549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>LEFT($A1265,FIND("_",$A1265)-1)</f>
        <v>GenProg-A</v>
      </c>
      <c r="P1265" s="13" t="str">
        <f>IF($O1265="ACS", "True Search", IF($O1265="Arja", "Evolutionary Search", IF($O1265="AVATAR", "True Pattern", IF($O1265="CapGen", "Search Like Pattern", IF($O1265="Cardumen", "True Semantic", IF($O1265="DynaMoth", "True Semantic", IF($O1265="FixMiner", "True Pattern", IF($O1265="GenProg-A", "Evolutionary Search", IF($O1265="Hercules", "Learning Pattern", IF($O1265="Jaid", "True Semantic",
IF($O1265="Kali-A", "True Search", IF($O1265="kPAR", "True Pattern", IF($O1265="Nopol", "True Semantic", IF($O1265="RSRepair-A", "Evolutionary Search", IF($O1265="SequenceR", "Deep Learning", IF($O1265="SimFix", "Search Like Pattern", IF($O1265="SketchFix", "True Pattern", IF($O1265="SOFix", "True Pattern", IF($O1265="ssFix", "Search Like Pattern", IF($O1265="TBar", "True Pattern", ""))))))))))))))))))))</f>
        <v>Evolutionary Search</v>
      </c>
      <c r="Q1265" s="13" t="str">
        <f>IF(NOT(ISERR(SEARCH("*_Buggy",$A1265))), "Buggy", IF(NOT(ISERR(SEARCH("*_Fixed",$A1265))), "Fixed", IF(NOT(ISERR(SEARCH("*_Repaired",$A1265))), "Repaired", "")))</f>
        <v>Repaired</v>
      </c>
      <c r="R1265" s="13" t="s">
        <v>1669</v>
      </c>
      <c r="S1265" s="25">
        <v>1</v>
      </c>
      <c r="T1265" s="25">
        <v>5</v>
      </c>
      <c r="U1265" s="25">
        <v>1</v>
      </c>
      <c r="V1265" s="13">
        <v>5</v>
      </c>
      <c r="W1265" s="13" t="str">
        <f>MID(A1265, SEARCH("_", A1265) +1, SEARCH("_", A1265, SEARCH("_", A1265) +1) - SEARCH("_", A1265) -1)</f>
        <v>Chart-12</v>
      </c>
      <c r="Y1265" s="1" t="str">
        <f t="shared" si="58"/>
        <v>NO</v>
      </c>
      <c r="Z1265" s="1" t="str">
        <f t="shared" si="59"/>
        <v>NO</v>
      </c>
      <c r="AA1265" t="s">
        <v>1704</v>
      </c>
      <c r="AB1265" t="s">
        <v>1704</v>
      </c>
      <c r="AC1265" s="1" t="s">
        <v>1704</v>
      </c>
      <c r="AD1265" s="1" t="s">
        <v>1704</v>
      </c>
      <c r="AE1265" s="1" t="s">
        <v>1704</v>
      </c>
      <c r="AF1265" s="1" t="s">
        <v>1704</v>
      </c>
    </row>
    <row r="1266" spans="1:32" ht="15" x14ac:dyDescent="0.35">
      <c r="A1266" s="5" t="s">
        <v>1550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>LEFT($A1266,FIND("_",$A1266)-1)</f>
        <v>GenProg-A</v>
      </c>
      <c r="P1266" s="13" t="str">
        <f>IF($O1266="ACS", "True Search", IF($O1266="Arja", "Evolutionary Search", IF($O1266="AVATAR", "True Pattern", IF($O1266="CapGen", "Search Like Pattern", IF($O1266="Cardumen", "True Semantic", IF($O1266="DynaMoth", "True Semantic", IF($O1266="FixMiner", "True Pattern", IF($O1266="GenProg-A", "Evolutionary Search", IF($O1266="Hercules", "Learning Pattern", IF($O1266="Jaid", "True Semantic",
IF($O1266="Kali-A", "True Search", IF($O1266="kPAR", "True Pattern", IF($O1266="Nopol", "True Semantic", IF($O1266="RSRepair-A", "Evolutionary Search", IF($O1266="SequenceR", "Deep Learning", IF($O1266="SimFix", "Search Like Pattern", IF($O1266="SketchFix", "True Pattern", IF($O1266="SOFix", "True Pattern", IF($O1266="ssFix", "Search Like Pattern", IF($O1266="TBar", "True Pattern", ""))))))))))))))))))))</f>
        <v>Evolutionary Search</v>
      </c>
      <c r="Q1266" s="13" t="str">
        <f>IF(NOT(ISERR(SEARCH("*_Buggy",$A1266))), "Buggy", IF(NOT(ISERR(SEARCH("*_Fixed",$A1266))), "Fixed", IF(NOT(ISERR(SEARCH("*_Repaired",$A1266))), "Repaired", "")))</f>
        <v>Repaired</v>
      </c>
      <c r="R1266" s="13" t="s">
        <v>1669</v>
      </c>
      <c r="S1266" s="25">
        <v>2</v>
      </c>
      <c r="T1266" s="25">
        <v>5</v>
      </c>
      <c r="U1266" s="25">
        <v>9</v>
      </c>
      <c r="V1266" s="13">
        <v>10</v>
      </c>
      <c r="W1266" s="13" t="str">
        <f>MID(A1266, SEARCH("_", A1266) +1, SEARCH("_", A1266, SEARCH("_", A1266) +1) - SEARCH("_", A1266) -1)</f>
        <v>Chart-13</v>
      </c>
      <c r="Y1266" s="1" t="str">
        <f t="shared" si="58"/>
        <v>NO</v>
      </c>
      <c r="Z1266" s="1" t="str">
        <f t="shared" si="59"/>
        <v>YES</v>
      </c>
      <c r="AA1266" t="s">
        <v>1704</v>
      </c>
      <c r="AB1266" t="s">
        <v>1704</v>
      </c>
      <c r="AC1266" s="1" t="s">
        <v>1704</v>
      </c>
      <c r="AD1266" s="1" t="s">
        <v>1704</v>
      </c>
      <c r="AE1266" s="1" t="s">
        <v>1704</v>
      </c>
      <c r="AF1266" s="1" t="s">
        <v>1704</v>
      </c>
    </row>
    <row r="1267" spans="1:32" ht="15" x14ac:dyDescent="0.35">
      <c r="A1267" s="5" t="s">
        <v>1551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>LEFT($A1267,FIND("_",$A1267)-1)</f>
        <v>GenProg-A</v>
      </c>
      <c r="P1267" s="13" t="str">
        <f>IF($O1267="ACS", "True Search", IF($O1267="Arja", "Evolutionary Search", IF($O1267="AVATAR", "True Pattern", IF($O1267="CapGen", "Search Like Pattern", IF($O1267="Cardumen", "True Semantic", IF($O1267="DynaMoth", "True Semantic", IF($O1267="FixMiner", "True Pattern", IF($O1267="GenProg-A", "Evolutionary Search", IF($O1267="Hercules", "Learning Pattern", IF($O1267="Jaid", "True Semantic",
IF($O1267="Kali-A", "True Search", IF($O1267="kPAR", "True Pattern", IF($O1267="Nopol", "True Semantic", IF($O1267="RSRepair-A", "Evolutionary Search", IF($O1267="SequenceR", "Deep Learning", IF($O1267="SimFix", "Search Like Pattern", IF($O1267="SketchFix", "True Pattern", IF($O1267="SOFix", "True Pattern", IF($O1267="ssFix", "Search Like Pattern", IF($O1267="TBar", "True Pattern", ""))))))))))))))))))))</f>
        <v>Evolutionary Search</v>
      </c>
      <c r="Q1267" s="13" t="str">
        <f>IF(NOT(ISERR(SEARCH("*_Buggy",$A1267))), "Buggy", IF(NOT(ISERR(SEARCH("*_Fixed",$A1267))), "Fixed", IF(NOT(ISERR(SEARCH("*_Repaired",$A1267))), "Repaired", "")))</f>
        <v>Repaired</v>
      </c>
      <c r="R1267" s="13" t="s">
        <v>1669</v>
      </c>
      <c r="S1267" s="25">
        <v>1</v>
      </c>
      <c r="T1267" s="25">
        <v>1</v>
      </c>
      <c r="U1267" s="25">
        <v>3</v>
      </c>
      <c r="V1267" s="13">
        <v>3</v>
      </c>
      <c r="W1267" s="13" t="str">
        <f>MID(A1267, SEARCH("_", A1267) +1, SEARCH("_", A1267, SEARCH("_", A1267) +1) - SEARCH("_", A1267) -1)</f>
        <v>Chart-3</v>
      </c>
      <c r="Y1267" s="1" t="str">
        <f t="shared" si="58"/>
        <v>NO</v>
      </c>
      <c r="Z1267" s="1" t="str">
        <f t="shared" si="59"/>
        <v>NO</v>
      </c>
      <c r="AA1267" t="s">
        <v>1704</v>
      </c>
      <c r="AB1267" t="s">
        <v>1704</v>
      </c>
      <c r="AC1267" s="1" t="s">
        <v>1704</v>
      </c>
      <c r="AD1267" s="1" t="s">
        <v>1705</v>
      </c>
      <c r="AE1267" s="1" t="s">
        <v>1704</v>
      </c>
      <c r="AF1267" s="1" t="s">
        <v>1705</v>
      </c>
    </row>
    <row r="1268" spans="1:32" ht="15" x14ac:dyDescent="0.35">
      <c r="A1268" s="7" t="s">
        <v>1552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>LEFT($A1268,FIND("_",$A1268)-1)</f>
        <v>GenProg-A</v>
      </c>
      <c r="P1268" s="13" t="str">
        <f>IF($O1268="ACS", "True Search", IF($O1268="Arja", "Evolutionary Search", IF($O1268="AVATAR", "True Pattern", IF($O1268="CapGen", "Search Like Pattern", IF($O1268="Cardumen", "True Semantic", IF($O1268="DynaMoth", "True Semantic", IF($O1268="FixMiner", "True Pattern", IF($O1268="GenProg-A", "Evolutionary Search", IF($O1268="Hercules", "Learning Pattern", IF($O1268="Jaid", "True Semantic",
IF($O1268="Kali-A", "True Search", IF($O1268="kPAR", "True Pattern", IF($O1268="Nopol", "True Semantic", IF($O1268="RSRepair-A", "Evolutionary Search", IF($O1268="SequenceR", "Deep Learning", IF($O1268="SimFix", "Search Like Pattern", IF($O1268="SketchFix", "True Pattern", IF($O1268="SOFix", "True Pattern", IF($O1268="ssFix", "Search Like Pattern", IF($O1268="TBar", "True Pattern", ""))))))))))))))))))))</f>
        <v>Evolutionary Search</v>
      </c>
      <c r="Q1268" s="13" t="str">
        <f>IF(NOT(ISERR(SEARCH("*_Buggy",$A1268))), "Buggy", IF(NOT(ISERR(SEARCH("*_Fixed",$A1268))), "Fixed", IF(NOT(ISERR(SEARCH("*_Repaired",$A1268))), "Repaired", "")))</f>
        <v>Repaired</v>
      </c>
      <c r="R1268" s="13" t="s">
        <v>1669</v>
      </c>
      <c r="S1268" s="25">
        <v>1</v>
      </c>
      <c r="T1268" s="25">
        <v>0</v>
      </c>
      <c r="U1268" s="13">
        <v>3</v>
      </c>
      <c r="V1268" s="13">
        <v>3</v>
      </c>
      <c r="W1268" s="13" t="str">
        <f>MID(A1268, SEARCH("_", A1268) +1, SEARCH("_", A1268, SEARCH("_", A1268) +1) - SEARCH("_", A1268) -1)</f>
        <v>Closure-112</v>
      </c>
      <c r="Y1268" s="1" t="str">
        <f t="shared" si="58"/>
        <v>NO</v>
      </c>
      <c r="Z1268" s="1" t="str">
        <f t="shared" si="59"/>
        <v>NO</v>
      </c>
      <c r="AA1268" t="s">
        <v>1704</v>
      </c>
      <c r="AB1268" t="s">
        <v>1704</v>
      </c>
      <c r="AC1268" s="1" t="s">
        <v>1704</v>
      </c>
      <c r="AD1268" s="1" t="s">
        <v>1705</v>
      </c>
      <c r="AE1268" s="1" t="s">
        <v>1704</v>
      </c>
      <c r="AF1268" s="1" t="s">
        <v>1705</v>
      </c>
    </row>
    <row r="1269" spans="1:32" ht="15" x14ac:dyDescent="0.35">
      <c r="A1269" s="5" t="s">
        <v>1553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>LEFT($A1269,FIND("_",$A1269)-1)</f>
        <v>GenProg-A</v>
      </c>
      <c r="P1269" s="13" t="str">
        <f>IF($O1269="ACS", "True Search", IF($O1269="Arja", "Evolutionary Search", IF($O1269="AVATAR", "True Pattern", IF($O1269="CapGen", "Search Like Pattern", IF($O1269="Cardumen", "True Semantic", IF($O1269="DynaMoth", "True Semantic", IF($O1269="FixMiner", "True Pattern", IF($O1269="GenProg-A", "Evolutionary Search", IF($O1269="Hercules", "Learning Pattern", IF($O1269="Jaid", "True Semantic",
IF($O1269="Kali-A", "True Search", IF($O1269="kPAR", "True Pattern", IF($O1269="Nopol", "True Semantic", IF($O1269="RSRepair-A", "Evolutionary Search", IF($O1269="SequenceR", "Deep Learning", IF($O1269="SimFix", "Search Like Pattern", IF($O1269="SketchFix", "True Pattern", IF($O1269="SOFix", "True Pattern", IF($O1269="ssFix", "Search Like Pattern", IF($O1269="TBar", "True Pattern", ""))))))))))))))))))))</f>
        <v>Evolutionary Search</v>
      </c>
      <c r="Q1269" s="13" t="str">
        <f>IF(NOT(ISERR(SEARCH("*_Buggy",$A1269))), "Buggy", IF(NOT(ISERR(SEARCH("*_Fixed",$A1269))), "Fixed", IF(NOT(ISERR(SEARCH("*_Repaired",$A1269))), "Repaired", "")))</f>
        <v>Repaired</v>
      </c>
      <c r="R1269" s="13" t="s">
        <v>1668</v>
      </c>
      <c r="S1269" s="25">
        <v>1</v>
      </c>
      <c r="T1269" s="25">
        <v>0</v>
      </c>
      <c r="U1269" s="13">
        <v>7</v>
      </c>
      <c r="V1269" s="13">
        <v>7</v>
      </c>
      <c r="W1269" s="13" t="str">
        <f>MID(A1269, SEARCH("_", A1269) +1, SEARCH("_", A1269, SEARCH("_", A1269) +1) - SEARCH("_", A1269) -1)</f>
        <v>Closure-115</v>
      </c>
      <c r="Y1269" s="1" t="str">
        <f t="shared" si="58"/>
        <v>NO</v>
      </c>
      <c r="Z1269" s="1" t="str">
        <f t="shared" si="59"/>
        <v>NO</v>
      </c>
      <c r="AA1269" t="s">
        <v>1704</v>
      </c>
      <c r="AB1269" t="s">
        <v>1704</v>
      </c>
      <c r="AC1269" s="1" t="s">
        <v>1704</v>
      </c>
      <c r="AD1269" s="1" t="s">
        <v>1704</v>
      </c>
      <c r="AE1269" s="1" t="s">
        <v>1704</v>
      </c>
      <c r="AF1269" s="1" t="s">
        <v>1705</v>
      </c>
    </row>
    <row r="1270" spans="1:32" ht="15" x14ac:dyDescent="0.35">
      <c r="A1270" s="5" t="s">
        <v>1554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>LEFT($A1270,FIND("_",$A1270)-1)</f>
        <v>GenProg-A</v>
      </c>
      <c r="P1270" s="13" t="str">
        <f>IF($O1270="ACS", "True Search", IF($O1270="Arja", "Evolutionary Search", IF($O1270="AVATAR", "True Pattern", IF($O1270="CapGen", "Search Like Pattern", IF($O1270="Cardumen", "True Semantic", IF($O1270="DynaMoth", "True Semantic", IF($O1270="FixMiner", "True Pattern", IF($O1270="GenProg-A", "Evolutionary Search", IF($O1270="Hercules", "Learning Pattern", IF($O1270="Jaid", "True Semantic",
IF($O1270="Kali-A", "True Search", IF($O1270="kPAR", "True Pattern", IF($O1270="Nopol", "True Semantic", IF($O1270="RSRepair-A", "Evolutionary Search", IF($O1270="SequenceR", "Deep Learning", IF($O1270="SimFix", "Search Like Pattern", IF($O1270="SketchFix", "True Pattern", IF($O1270="SOFix", "True Pattern", IF($O1270="ssFix", "Search Like Pattern", IF($O1270="TBar", "True Pattern", ""))))))))))))))))))))</f>
        <v>Evolutionary Search</v>
      </c>
      <c r="Q1270" s="13" t="str">
        <f>IF(NOT(ISERR(SEARCH("*_Buggy",$A1270))), "Buggy", IF(NOT(ISERR(SEARCH("*_Fixed",$A1270))), "Fixed", IF(NOT(ISERR(SEARCH("*_Repaired",$A1270))), "Repaired", "")))</f>
        <v>Repaired</v>
      </c>
      <c r="R1270" s="13" t="s">
        <v>1669</v>
      </c>
      <c r="S1270" s="25">
        <v>1</v>
      </c>
      <c r="T1270" s="25">
        <v>0</v>
      </c>
      <c r="U1270" s="13">
        <v>28</v>
      </c>
      <c r="V1270" s="13">
        <v>28</v>
      </c>
      <c r="W1270" s="13" t="str">
        <f>MID(A1270, SEARCH("_", A1270) +1, SEARCH("_", A1270, SEARCH("_", A1270) +1) - SEARCH("_", A1270) -1)</f>
        <v>Closure-117</v>
      </c>
      <c r="Y1270" s="1" t="str">
        <f t="shared" si="58"/>
        <v>NO</v>
      </c>
      <c r="Z1270" s="1" t="str">
        <f t="shared" si="59"/>
        <v>NO</v>
      </c>
      <c r="AA1270" t="s">
        <v>1704</v>
      </c>
      <c r="AB1270" t="s">
        <v>1704</v>
      </c>
      <c r="AC1270" s="1" t="s">
        <v>1704</v>
      </c>
      <c r="AD1270" s="1" t="s">
        <v>1704</v>
      </c>
      <c r="AE1270" s="1" t="s">
        <v>1704</v>
      </c>
      <c r="AF1270" s="1" t="s">
        <v>1705</v>
      </c>
    </row>
    <row r="1271" spans="1:32" ht="15" x14ac:dyDescent="0.35">
      <c r="A1271" s="7" t="s">
        <v>1555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>LEFT($A1271,FIND("_",$A1271)-1)</f>
        <v>GenProg-A</v>
      </c>
      <c r="P1271" s="13" t="str">
        <f>IF($O1271="ACS", "True Search", IF($O1271="Arja", "Evolutionary Search", IF($O1271="AVATAR", "True Pattern", IF($O1271="CapGen", "Search Like Pattern", IF($O1271="Cardumen", "True Semantic", IF($O1271="DynaMoth", "True Semantic", IF($O1271="FixMiner", "True Pattern", IF($O1271="GenProg-A", "Evolutionary Search", IF($O1271="Hercules", "Learning Pattern", IF($O1271="Jaid", "True Semantic",
IF($O1271="Kali-A", "True Search", IF($O1271="kPAR", "True Pattern", IF($O1271="Nopol", "True Semantic", IF($O1271="RSRepair-A", "Evolutionary Search", IF($O1271="SequenceR", "Deep Learning", IF($O1271="SimFix", "Search Like Pattern", IF($O1271="SketchFix", "True Pattern", IF($O1271="SOFix", "True Pattern", IF($O1271="ssFix", "Search Like Pattern", IF($O1271="TBar", "True Pattern", ""))))))))))))))))))))</f>
        <v>Evolutionary Search</v>
      </c>
      <c r="Q1271" s="13" t="str">
        <f>IF(NOT(ISERR(SEARCH("*_Buggy",$A1271))), "Buggy", IF(NOT(ISERR(SEARCH("*_Fixed",$A1271))), "Fixed", IF(NOT(ISERR(SEARCH("*_Repaired",$A1271))), "Repaired", "")))</f>
        <v>Repaired</v>
      </c>
      <c r="R1271" s="13" t="s">
        <v>1669</v>
      </c>
      <c r="S1271" s="25">
        <v>1</v>
      </c>
      <c r="T1271" s="25">
        <v>0</v>
      </c>
      <c r="U1271" s="13">
        <v>16</v>
      </c>
      <c r="V1271" s="13">
        <v>16</v>
      </c>
      <c r="W1271" s="13" t="str">
        <f>MID(A1271, SEARCH("_", A1271) +1, SEARCH("_", A1271, SEARCH("_", A1271) +1) - SEARCH("_", A1271) -1)</f>
        <v>Closure-124</v>
      </c>
      <c r="Y1271" s="1" t="str">
        <f t="shared" si="58"/>
        <v>NO</v>
      </c>
      <c r="Z1271" s="1" t="str">
        <f t="shared" si="59"/>
        <v>NO</v>
      </c>
      <c r="AA1271" t="s">
        <v>1704</v>
      </c>
      <c r="AB1271" t="s">
        <v>1704</v>
      </c>
      <c r="AC1271" s="1" t="s">
        <v>1704</v>
      </c>
      <c r="AD1271" s="1" t="s">
        <v>1704</v>
      </c>
      <c r="AE1271" s="1" t="s">
        <v>1704</v>
      </c>
      <c r="AF1271" s="1" t="s">
        <v>1705</v>
      </c>
    </row>
    <row r="1272" spans="1:32" ht="15" x14ac:dyDescent="0.35">
      <c r="A1272" s="5" t="s">
        <v>1556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>LEFT($A1272,FIND("_",$A1272)-1)</f>
        <v>GenProg-A</v>
      </c>
      <c r="P1272" s="13" t="str">
        <f>IF($O1272="ACS", "True Search", IF($O1272="Arja", "Evolutionary Search", IF($O1272="AVATAR", "True Pattern", IF($O1272="CapGen", "Search Like Pattern", IF($O1272="Cardumen", "True Semantic", IF($O1272="DynaMoth", "True Semantic", IF($O1272="FixMiner", "True Pattern", IF($O1272="GenProg-A", "Evolutionary Search", IF($O1272="Hercules", "Learning Pattern", IF($O1272="Jaid", "True Semantic",
IF($O1272="Kali-A", "True Search", IF($O1272="kPAR", "True Pattern", IF($O1272="Nopol", "True Semantic", IF($O1272="RSRepair-A", "Evolutionary Search", IF($O1272="SequenceR", "Deep Learning", IF($O1272="SimFix", "Search Like Pattern", IF($O1272="SketchFix", "True Pattern", IF($O1272="SOFix", "True Pattern", IF($O1272="ssFix", "Search Like Pattern", IF($O1272="TBar", "True Pattern", ""))))))))))))))))))))</f>
        <v>Evolutionary Search</v>
      </c>
      <c r="Q1272" s="13" t="str">
        <f>IF(NOT(ISERR(SEARCH("*_Buggy",$A1272))), "Buggy", IF(NOT(ISERR(SEARCH("*_Fixed",$A1272))), "Fixed", IF(NOT(ISERR(SEARCH("*_Repaired",$A1272))), "Repaired", "")))</f>
        <v>Repaired</v>
      </c>
      <c r="R1272" s="13" t="s">
        <v>1669</v>
      </c>
      <c r="S1272" s="25">
        <v>1</v>
      </c>
      <c r="T1272" s="25">
        <v>0</v>
      </c>
      <c r="U1272" s="13">
        <v>6</v>
      </c>
      <c r="V1272" s="13">
        <v>6</v>
      </c>
      <c r="W1272" s="13" t="str">
        <f>MID(A1272, SEARCH("_", A1272) +1, SEARCH("_", A1272, SEARCH("_", A1272) +1) - SEARCH("_", A1272) -1)</f>
        <v>Closure-125</v>
      </c>
      <c r="Y1272" s="1" t="str">
        <f t="shared" si="58"/>
        <v>NO</v>
      </c>
      <c r="Z1272" s="1" t="str">
        <f t="shared" si="59"/>
        <v>NO</v>
      </c>
      <c r="AA1272" t="s">
        <v>1704</v>
      </c>
      <c r="AB1272" t="s">
        <v>1704</v>
      </c>
      <c r="AC1272" s="1" t="s">
        <v>1704</v>
      </c>
      <c r="AD1272" s="1" t="s">
        <v>1704</v>
      </c>
      <c r="AE1272" s="1" t="s">
        <v>1704</v>
      </c>
      <c r="AF1272" s="1" t="s">
        <v>1704</v>
      </c>
    </row>
    <row r="1273" spans="1:32" ht="15" x14ac:dyDescent="0.35">
      <c r="A1273" s="5" t="s">
        <v>1557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>LEFT($A1273,FIND("_",$A1273)-1)</f>
        <v>GenProg-A</v>
      </c>
      <c r="P1273" s="13" t="str">
        <f>IF($O1273="ACS", "True Search", IF($O1273="Arja", "Evolutionary Search", IF($O1273="AVATAR", "True Pattern", IF($O1273="CapGen", "Search Like Pattern", IF($O1273="Cardumen", "True Semantic", IF($O1273="DynaMoth", "True Semantic", IF($O1273="FixMiner", "True Pattern", IF($O1273="GenProg-A", "Evolutionary Search", IF($O1273="Hercules", "Learning Pattern", IF($O1273="Jaid", "True Semantic",
IF($O1273="Kali-A", "True Search", IF($O1273="kPAR", "True Pattern", IF($O1273="Nopol", "True Semantic", IF($O1273="RSRepair-A", "Evolutionary Search", IF($O1273="SequenceR", "Deep Learning", IF($O1273="SimFix", "Search Like Pattern", IF($O1273="SketchFix", "True Pattern", IF($O1273="SOFix", "True Pattern", IF($O1273="ssFix", "Search Like Pattern", IF($O1273="TBar", "True Pattern", ""))))))))))))))))))))</f>
        <v>Evolutionary Search</v>
      </c>
      <c r="Q1273" s="13" t="str">
        <f>IF(NOT(ISERR(SEARCH("*_Buggy",$A1273))), "Buggy", IF(NOT(ISERR(SEARCH("*_Fixed",$A1273))), "Fixed", IF(NOT(ISERR(SEARCH("*_Repaired",$A1273))), "Repaired", "")))</f>
        <v>Repaired</v>
      </c>
      <c r="R1273" s="13" t="s">
        <v>1668</v>
      </c>
      <c r="S1273" s="25">
        <v>1</v>
      </c>
      <c r="T1273" s="25">
        <v>0</v>
      </c>
      <c r="U1273" s="13">
        <v>8</v>
      </c>
      <c r="V1273" s="13">
        <v>8</v>
      </c>
      <c r="W1273" s="13" t="str">
        <f>MID(A1273, SEARCH("_", A1273) +1, SEARCH("_", A1273, SEARCH("_", A1273) +1) - SEARCH("_", A1273) -1)</f>
        <v>Closure-21</v>
      </c>
      <c r="Y1273" s="1" t="str">
        <f t="shared" si="58"/>
        <v>NO</v>
      </c>
      <c r="Z1273" s="1" t="str">
        <f t="shared" si="59"/>
        <v>NO</v>
      </c>
      <c r="AA1273" t="s">
        <v>1704</v>
      </c>
      <c r="AB1273" t="s">
        <v>1704</v>
      </c>
      <c r="AC1273" s="1" t="s">
        <v>1704</v>
      </c>
      <c r="AD1273" s="1" t="s">
        <v>1704</v>
      </c>
      <c r="AE1273" s="1" t="s">
        <v>1704</v>
      </c>
      <c r="AF1273" s="1" t="s">
        <v>1705</v>
      </c>
    </row>
    <row r="1274" spans="1:32" ht="15" x14ac:dyDescent="0.35">
      <c r="A1274" s="7" t="s">
        <v>1558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>LEFT($A1274,FIND("_",$A1274)-1)</f>
        <v>GenProg-A</v>
      </c>
      <c r="P1274" s="13" t="str">
        <f>IF($O1274="ACS", "True Search", IF($O1274="Arja", "Evolutionary Search", IF($O1274="AVATAR", "True Pattern", IF($O1274="CapGen", "Search Like Pattern", IF($O1274="Cardumen", "True Semantic", IF($O1274="DynaMoth", "True Semantic", IF($O1274="FixMiner", "True Pattern", IF($O1274="GenProg-A", "Evolutionary Search", IF($O1274="Hercules", "Learning Pattern", IF($O1274="Jaid", "True Semantic",
IF($O1274="Kali-A", "True Search", IF($O1274="kPAR", "True Pattern", IF($O1274="Nopol", "True Semantic", IF($O1274="RSRepair-A", "Evolutionary Search", IF($O1274="SequenceR", "Deep Learning", IF($O1274="SimFix", "Search Like Pattern", IF($O1274="SketchFix", "True Pattern", IF($O1274="SOFix", "True Pattern", IF($O1274="ssFix", "Search Like Pattern", IF($O1274="TBar", "True Pattern", ""))))))))))))))))))))</f>
        <v>Evolutionary Search</v>
      </c>
      <c r="Q1274" s="13" t="str">
        <f>IF(NOT(ISERR(SEARCH("*_Buggy",$A1274))), "Buggy", IF(NOT(ISERR(SEARCH("*_Fixed",$A1274))), "Fixed", IF(NOT(ISERR(SEARCH("*_Repaired",$A1274))), "Repaired", "")))</f>
        <v>Repaired</v>
      </c>
      <c r="R1274" s="13" t="s">
        <v>1669</v>
      </c>
      <c r="S1274" s="25">
        <v>1</v>
      </c>
      <c r="T1274" s="25">
        <v>5</v>
      </c>
      <c r="U1274" s="25">
        <v>3</v>
      </c>
      <c r="V1274" s="13">
        <v>5</v>
      </c>
      <c r="W1274" s="13" t="str">
        <f>MID(A1274, SEARCH("_", A1274) +1, SEARCH("_", A1274, SEARCH("_", A1274) +1) - SEARCH("_", A1274) -1)</f>
        <v>Closure-22</v>
      </c>
      <c r="Y1274" s="1" t="str">
        <f t="shared" si="58"/>
        <v>NO</v>
      </c>
      <c r="Z1274" s="1" t="str">
        <f t="shared" si="59"/>
        <v>NO</v>
      </c>
      <c r="AA1274" t="s">
        <v>1704</v>
      </c>
      <c r="AB1274" t="s">
        <v>1704</v>
      </c>
      <c r="AC1274" s="1" t="s">
        <v>1704</v>
      </c>
      <c r="AD1274" s="1" t="s">
        <v>1704</v>
      </c>
      <c r="AE1274" s="1" t="s">
        <v>1704</v>
      </c>
      <c r="AF1274" s="1" t="s">
        <v>1705</v>
      </c>
    </row>
    <row r="1275" spans="1:32" ht="15" x14ac:dyDescent="0.35">
      <c r="A1275" s="7" t="s">
        <v>1559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>LEFT($A1275,FIND("_",$A1275)-1)</f>
        <v>GenProg-A</v>
      </c>
      <c r="P1275" s="13" t="str">
        <f>IF($O1275="ACS", "True Search", IF($O1275="Arja", "Evolutionary Search", IF($O1275="AVATAR", "True Pattern", IF($O1275="CapGen", "Search Like Pattern", IF($O1275="Cardumen", "True Semantic", IF($O1275="DynaMoth", "True Semantic", IF($O1275="FixMiner", "True Pattern", IF($O1275="GenProg-A", "Evolutionary Search", IF($O1275="Hercules", "Learning Pattern", IF($O1275="Jaid", "True Semantic",
IF($O1275="Kali-A", "True Search", IF($O1275="kPAR", "True Pattern", IF($O1275="Nopol", "True Semantic", IF($O1275="RSRepair-A", "Evolutionary Search", IF($O1275="SequenceR", "Deep Learning", IF($O1275="SimFix", "Search Like Pattern", IF($O1275="SketchFix", "True Pattern", IF($O1275="SOFix", "True Pattern", IF($O1275="ssFix", "Search Like Pattern", IF($O1275="TBar", "True Pattern", ""))))))))))))))))))))</f>
        <v>Evolutionary Search</v>
      </c>
      <c r="Q1275" s="13" t="str">
        <f>IF(NOT(ISERR(SEARCH("*_Buggy",$A1275))), "Buggy", IF(NOT(ISERR(SEARCH("*_Fixed",$A1275))), "Fixed", IF(NOT(ISERR(SEARCH("*_Repaired",$A1275))), "Repaired", "")))</f>
        <v>Repaired</v>
      </c>
      <c r="R1275" s="13" t="s">
        <v>1669</v>
      </c>
      <c r="S1275" s="25">
        <v>1</v>
      </c>
      <c r="T1275" s="25">
        <v>0</v>
      </c>
      <c r="U1275" s="13">
        <v>14</v>
      </c>
      <c r="V1275" s="13">
        <v>14</v>
      </c>
      <c r="W1275" s="13" t="str">
        <f>MID(A1275, SEARCH("_", A1275) +1, SEARCH("_", A1275, SEARCH("_", A1275) +1) - SEARCH("_", A1275) -1)</f>
        <v>Closure-3</v>
      </c>
      <c r="Y1275" s="1" t="str">
        <f t="shared" si="58"/>
        <v>NO</v>
      </c>
      <c r="Z1275" s="1" t="str">
        <f t="shared" si="59"/>
        <v>NO</v>
      </c>
      <c r="AA1275" t="s">
        <v>1704</v>
      </c>
      <c r="AB1275" t="s">
        <v>1704</v>
      </c>
      <c r="AC1275" s="1" t="s">
        <v>1704</v>
      </c>
      <c r="AD1275" s="1" t="s">
        <v>1704</v>
      </c>
      <c r="AE1275" s="1" t="s">
        <v>1704</v>
      </c>
      <c r="AF1275" s="1" t="s">
        <v>1705</v>
      </c>
    </row>
    <row r="1276" spans="1:32" ht="15" x14ac:dyDescent="0.35">
      <c r="A1276" s="5" t="s">
        <v>1560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>LEFT($A1276,FIND("_",$A1276)-1)</f>
        <v>GenProg-A</v>
      </c>
      <c r="P1276" s="13" t="str">
        <f>IF($O1276="ACS", "True Search", IF($O1276="Arja", "Evolutionary Search", IF($O1276="AVATAR", "True Pattern", IF($O1276="CapGen", "Search Like Pattern", IF($O1276="Cardumen", "True Semantic", IF($O1276="DynaMoth", "True Semantic", IF($O1276="FixMiner", "True Pattern", IF($O1276="GenProg-A", "Evolutionary Search", IF($O1276="Hercules", "Learning Pattern", IF($O1276="Jaid", "True Semantic",
IF($O1276="Kali-A", "True Search", IF($O1276="kPAR", "True Pattern", IF($O1276="Nopol", "True Semantic", IF($O1276="RSRepair-A", "Evolutionary Search", IF($O1276="SequenceR", "Deep Learning", IF($O1276="SimFix", "Search Like Pattern", IF($O1276="SketchFix", "True Pattern", IF($O1276="SOFix", "True Pattern", IF($O1276="ssFix", "Search Like Pattern", IF($O1276="TBar", "True Pattern", ""))))))))))))))))))))</f>
        <v>Evolutionary Search</v>
      </c>
      <c r="Q1276" s="13" t="str">
        <f>IF(NOT(ISERR(SEARCH("*_Buggy",$A1276))), "Buggy", IF(NOT(ISERR(SEARCH("*_Fixed",$A1276))), "Fixed", IF(NOT(ISERR(SEARCH("*_Repaired",$A1276))), "Repaired", "")))</f>
        <v>Repaired</v>
      </c>
      <c r="R1276" s="13" t="s">
        <v>1669</v>
      </c>
      <c r="S1276" s="25">
        <v>1</v>
      </c>
      <c r="T1276" s="25">
        <v>1</v>
      </c>
      <c r="U1276" s="25">
        <v>22</v>
      </c>
      <c r="V1276" s="13">
        <v>22</v>
      </c>
      <c r="W1276" s="13" t="str">
        <f>MID(A1276, SEARCH("_", A1276) +1, SEARCH("_", A1276, SEARCH("_", A1276) +1) - SEARCH("_", A1276) -1)</f>
        <v>Closure-33</v>
      </c>
      <c r="Y1276" s="1" t="str">
        <f t="shared" si="58"/>
        <v>NO</v>
      </c>
      <c r="Z1276" s="1" t="str">
        <f t="shared" si="59"/>
        <v>NO</v>
      </c>
      <c r="AA1276" t="s">
        <v>1704</v>
      </c>
      <c r="AB1276" t="s">
        <v>1704</v>
      </c>
      <c r="AC1276" s="1" t="s">
        <v>1704</v>
      </c>
      <c r="AD1276" s="1" t="s">
        <v>1705</v>
      </c>
      <c r="AE1276" s="1" t="s">
        <v>1704</v>
      </c>
      <c r="AF1276" s="1" t="s">
        <v>1705</v>
      </c>
    </row>
    <row r="1277" spans="1:32" ht="15" x14ac:dyDescent="0.35">
      <c r="A1277" s="5" t="s">
        <v>1561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>LEFT($A1277,FIND("_",$A1277)-1)</f>
        <v>GenProg-A</v>
      </c>
      <c r="P1277" s="13" t="str">
        <f>IF($O1277="ACS", "True Search", IF($O1277="Arja", "Evolutionary Search", IF($O1277="AVATAR", "True Pattern", IF($O1277="CapGen", "Search Like Pattern", IF($O1277="Cardumen", "True Semantic", IF($O1277="DynaMoth", "True Semantic", IF($O1277="FixMiner", "True Pattern", IF($O1277="GenProg-A", "Evolutionary Search", IF($O1277="Hercules", "Learning Pattern", IF($O1277="Jaid", "True Semantic",
IF($O1277="Kali-A", "True Search", IF($O1277="kPAR", "True Pattern", IF($O1277="Nopol", "True Semantic", IF($O1277="RSRepair-A", "Evolutionary Search", IF($O1277="SequenceR", "Deep Learning", IF($O1277="SimFix", "Search Like Pattern", IF($O1277="SketchFix", "True Pattern", IF($O1277="SOFix", "True Pattern", IF($O1277="ssFix", "Search Like Pattern", IF($O1277="TBar", "True Pattern", ""))))))))))))))))))))</f>
        <v>Evolutionary Search</v>
      </c>
      <c r="Q1277" s="13" t="str">
        <f>IF(NOT(ISERR(SEARCH("*_Buggy",$A1277))), "Buggy", IF(NOT(ISERR(SEARCH("*_Fixed",$A1277))), "Fixed", IF(NOT(ISERR(SEARCH("*_Repaired",$A1277))), "Repaired", "")))</f>
        <v>Repaired</v>
      </c>
      <c r="R1277" s="13" t="s">
        <v>1669</v>
      </c>
      <c r="S1277" s="25">
        <v>1</v>
      </c>
      <c r="T1277" s="25">
        <v>1</v>
      </c>
      <c r="U1277" s="25">
        <v>1</v>
      </c>
      <c r="V1277" s="13">
        <v>1</v>
      </c>
      <c r="W1277" s="13" t="str">
        <f>MID(A1277, SEARCH("_", A1277) +1, SEARCH("_", A1277, SEARCH("_", A1277) +1) - SEARCH("_", A1277) -1)</f>
        <v>Closure-55</v>
      </c>
      <c r="Y1277" s="1" t="str">
        <f t="shared" si="58"/>
        <v>NO</v>
      </c>
      <c r="Z1277" s="1" t="str">
        <f t="shared" si="59"/>
        <v>NO</v>
      </c>
      <c r="AA1277" t="s">
        <v>1704</v>
      </c>
      <c r="AB1277" t="s">
        <v>1704</v>
      </c>
      <c r="AC1277" s="1" t="s">
        <v>1704</v>
      </c>
      <c r="AD1277" s="1" t="s">
        <v>1704</v>
      </c>
      <c r="AE1277" s="1" t="s">
        <v>1704</v>
      </c>
      <c r="AF1277" s="1" t="s">
        <v>1704</v>
      </c>
    </row>
    <row r="1278" spans="1:32" ht="15" x14ac:dyDescent="0.35">
      <c r="A1278" s="5" t="s">
        <v>1562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>LEFT($A1278,FIND("_",$A1278)-1)</f>
        <v>GenProg-A</v>
      </c>
      <c r="P1278" s="13" t="str">
        <f>IF($O1278="ACS", "True Search", IF($O1278="Arja", "Evolutionary Search", IF($O1278="AVATAR", "True Pattern", IF($O1278="CapGen", "Search Like Pattern", IF($O1278="Cardumen", "True Semantic", IF($O1278="DynaMoth", "True Semantic", IF($O1278="FixMiner", "True Pattern", IF($O1278="GenProg-A", "Evolutionary Search", IF($O1278="Hercules", "Learning Pattern", IF($O1278="Jaid", "True Semantic",
IF($O1278="Kali-A", "True Search", IF($O1278="kPAR", "True Pattern", IF($O1278="Nopol", "True Semantic", IF($O1278="RSRepair-A", "Evolutionary Search", IF($O1278="SequenceR", "Deep Learning", IF($O1278="SimFix", "Search Like Pattern", IF($O1278="SketchFix", "True Pattern", IF($O1278="SOFix", "True Pattern", IF($O1278="ssFix", "Search Like Pattern", IF($O1278="TBar", "True Pattern", ""))))))))))))))))))))</f>
        <v>Evolutionary Search</v>
      </c>
      <c r="Q1278" s="13" t="str">
        <f>IF(NOT(ISERR(SEARCH("*_Buggy",$A1278))), "Buggy", IF(NOT(ISERR(SEARCH("*_Fixed",$A1278))), "Fixed", IF(NOT(ISERR(SEARCH("*_Repaired",$A1278))), "Repaired", "")))</f>
        <v>Repaired</v>
      </c>
      <c r="R1278" s="13" t="s">
        <v>1668</v>
      </c>
      <c r="S1278" s="25">
        <v>1</v>
      </c>
      <c r="T1278" s="25">
        <v>1</v>
      </c>
      <c r="U1278" s="25">
        <v>4</v>
      </c>
      <c r="V1278" s="13">
        <v>4</v>
      </c>
      <c r="W1278" s="13" t="str">
        <f>MID(A1278, SEARCH("_", A1278) +1, SEARCH("_", A1278, SEARCH("_", A1278) +1) - SEARCH("_", A1278) -1)</f>
        <v>Closure-86</v>
      </c>
      <c r="Y1278" s="1" t="str">
        <f t="shared" si="58"/>
        <v>NO</v>
      </c>
      <c r="Z1278" s="1" t="str">
        <f t="shared" si="59"/>
        <v>NO</v>
      </c>
      <c r="AA1278" t="s">
        <v>1704</v>
      </c>
      <c r="AB1278" t="s">
        <v>1704</v>
      </c>
      <c r="AC1278" s="1" t="s">
        <v>1704</v>
      </c>
      <c r="AD1278" s="1" t="s">
        <v>1704</v>
      </c>
      <c r="AE1278" s="1" t="s">
        <v>1704</v>
      </c>
      <c r="AF1278" s="1" t="s">
        <v>1704</v>
      </c>
    </row>
    <row r="1279" spans="1:32" ht="15" x14ac:dyDescent="0.35">
      <c r="A1279" s="5" t="s">
        <v>1563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>LEFT($A1279,FIND("_",$A1279)-1)</f>
        <v>GenProg-A</v>
      </c>
      <c r="P1279" s="13" t="str">
        <f>IF($O1279="ACS", "True Search", IF($O1279="Arja", "Evolutionary Search", IF($O1279="AVATAR", "True Pattern", IF($O1279="CapGen", "Search Like Pattern", IF($O1279="Cardumen", "True Semantic", IF($O1279="DynaMoth", "True Semantic", IF($O1279="FixMiner", "True Pattern", IF($O1279="GenProg-A", "Evolutionary Search", IF($O1279="Hercules", "Learning Pattern", IF($O1279="Jaid", "True Semantic",
IF($O1279="Kali-A", "True Search", IF($O1279="kPAR", "True Pattern", IF($O1279="Nopol", "True Semantic", IF($O1279="RSRepair-A", "Evolutionary Search", IF($O1279="SequenceR", "Deep Learning", IF($O1279="SimFix", "Search Like Pattern", IF($O1279="SketchFix", "True Pattern", IF($O1279="SOFix", "True Pattern", IF($O1279="ssFix", "Search Like Pattern", IF($O1279="TBar", "True Pattern", ""))))))))))))))))))))</f>
        <v>Evolutionary Search</v>
      </c>
      <c r="Q1279" s="13" t="str">
        <f>IF(NOT(ISERR(SEARCH("*_Buggy",$A1279))), "Buggy", IF(NOT(ISERR(SEARCH("*_Fixed",$A1279))), "Fixed", IF(NOT(ISERR(SEARCH("*_Repaired",$A1279))), "Repaired", "")))</f>
        <v>Repaired</v>
      </c>
      <c r="R1279" s="13" t="s">
        <v>1669</v>
      </c>
      <c r="S1279" s="25">
        <v>1</v>
      </c>
      <c r="T1279" s="25">
        <v>1</v>
      </c>
      <c r="U1279" s="25">
        <v>4</v>
      </c>
      <c r="V1279" s="13">
        <v>4</v>
      </c>
      <c r="W1279" s="13" t="str">
        <f>MID(A1279, SEARCH("_", A1279) +1, SEARCH("_", A1279, SEARCH("_", A1279) +1) - SEARCH("_", A1279) -1)</f>
        <v>Closure-88</v>
      </c>
      <c r="Y1279" s="1" t="str">
        <f t="shared" si="58"/>
        <v>NO</v>
      </c>
      <c r="Z1279" s="1" t="str">
        <f t="shared" si="59"/>
        <v>NO</v>
      </c>
      <c r="AA1279" t="s">
        <v>1704</v>
      </c>
      <c r="AB1279" t="s">
        <v>1704</v>
      </c>
      <c r="AC1279" s="1" t="s">
        <v>1704</v>
      </c>
      <c r="AD1279" s="1" t="s">
        <v>1704</v>
      </c>
      <c r="AE1279" s="1" t="s">
        <v>1704</v>
      </c>
      <c r="AF1279" s="1" t="s">
        <v>1705</v>
      </c>
    </row>
    <row r="1280" spans="1:32" ht="15" x14ac:dyDescent="0.35">
      <c r="A1280" s="7" t="s">
        <v>1564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>LEFT($A1280,FIND("_",$A1280)-1)</f>
        <v>GenProg-A</v>
      </c>
      <c r="P1280" s="13" t="str">
        <f>IF($O1280="ACS", "True Search", IF($O1280="Arja", "Evolutionary Search", IF($O1280="AVATAR", "True Pattern", IF($O1280="CapGen", "Search Like Pattern", IF($O1280="Cardumen", "True Semantic", IF($O1280="DynaMoth", "True Semantic", IF($O1280="FixMiner", "True Pattern", IF($O1280="GenProg-A", "Evolutionary Search", IF($O1280="Hercules", "Learning Pattern", IF($O1280="Jaid", "True Semantic",
IF($O1280="Kali-A", "True Search", IF($O1280="kPAR", "True Pattern", IF($O1280="Nopol", "True Semantic", IF($O1280="RSRepair-A", "Evolutionary Search", IF($O1280="SequenceR", "Deep Learning", IF($O1280="SimFix", "Search Like Pattern", IF($O1280="SketchFix", "True Pattern", IF($O1280="SOFix", "True Pattern", IF($O1280="ssFix", "Search Like Pattern", IF($O1280="TBar", "True Pattern", ""))))))))))))))))))))</f>
        <v>Evolutionary Search</v>
      </c>
      <c r="Q1280" s="13" t="str">
        <f>IF(NOT(ISERR(SEARCH("*_Buggy",$A1280))), "Buggy", IF(NOT(ISERR(SEARCH("*_Fixed",$A1280))), "Fixed", IF(NOT(ISERR(SEARCH("*_Repaired",$A1280))), "Repaired", "")))</f>
        <v>Repaired</v>
      </c>
      <c r="R1280" s="13" t="s">
        <v>1668</v>
      </c>
      <c r="S1280" s="25">
        <v>1</v>
      </c>
      <c r="T1280" s="25">
        <v>2</v>
      </c>
      <c r="U1280" s="25">
        <v>1</v>
      </c>
      <c r="V1280" s="13">
        <v>2</v>
      </c>
      <c r="W1280" s="13" t="str">
        <f>MID(A1280, SEARCH("_", A1280) +1, SEARCH("_", A1280, SEARCH("_", A1280) +1) - SEARCH("_", A1280) -1)</f>
        <v>Lang-43</v>
      </c>
      <c r="Y1280" s="1" t="str">
        <f t="shared" si="58"/>
        <v>NO</v>
      </c>
      <c r="Z1280" s="1" t="str">
        <f t="shared" si="59"/>
        <v>NO</v>
      </c>
      <c r="AA1280" t="s">
        <v>1704</v>
      </c>
      <c r="AB1280" t="s">
        <v>1704</v>
      </c>
      <c r="AC1280" s="1" t="s">
        <v>1704</v>
      </c>
      <c r="AD1280" s="1" t="s">
        <v>1704</v>
      </c>
      <c r="AE1280" s="1" t="s">
        <v>1704</v>
      </c>
      <c r="AF1280" s="1" t="s">
        <v>1704</v>
      </c>
    </row>
    <row r="1281" spans="1:32" ht="15" x14ac:dyDescent="0.35">
      <c r="A1281" s="5" t="s">
        <v>1565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>LEFT($A1281,FIND("_",$A1281)-1)</f>
        <v>GenProg-A</v>
      </c>
      <c r="P1281" s="13" t="str">
        <f>IF($O1281="ACS", "True Search", IF($O1281="Arja", "Evolutionary Search", IF($O1281="AVATAR", "True Pattern", IF($O1281="CapGen", "Search Like Pattern", IF($O1281="Cardumen", "True Semantic", IF($O1281="DynaMoth", "True Semantic", IF($O1281="FixMiner", "True Pattern", IF($O1281="GenProg-A", "Evolutionary Search", IF($O1281="Hercules", "Learning Pattern", IF($O1281="Jaid", "True Semantic",
IF($O1281="Kali-A", "True Search", IF($O1281="kPAR", "True Pattern", IF($O1281="Nopol", "True Semantic", IF($O1281="RSRepair-A", "Evolutionary Search", IF($O1281="SequenceR", "Deep Learning", IF($O1281="SimFix", "Search Like Pattern", IF($O1281="SketchFix", "True Pattern", IF($O1281="SOFix", "True Pattern", IF($O1281="ssFix", "Search Like Pattern", IF($O1281="TBar", "True Pattern", ""))))))))))))))))))))</f>
        <v>Evolutionary Search</v>
      </c>
      <c r="Q1281" s="13" t="str">
        <f>IF(NOT(ISERR(SEARCH("*_Buggy",$A1281))), "Buggy", IF(NOT(ISERR(SEARCH("*_Fixed",$A1281))), "Fixed", IF(NOT(ISERR(SEARCH("*_Repaired",$A1281))), "Repaired", "")))</f>
        <v>Repaired</v>
      </c>
      <c r="R1281" s="13" t="s">
        <v>1669</v>
      </c>
      <c r="S1281" s="25">
        <v>1</v>
      </c>
      <c r="T1281" s="25">
        <v>2</v>
      </c>
      <c r="U1281" s="25">
        <v>1</v>
      </c>
      <c r="V1281" s="13">
        <v>2</v>
      </c>
      <c r="W1281" s="13" t="str">
        <f>MID(A1281, SEARCH("_", A1281) +1, SEARCH("_", A1281, SEARCH("_", A1281) +1) - SEARCH("_", A1281) -1)</f>
        <v>Lang-59</v>
      </c>
      <c r="Y1281" s="1" t="str">
        <f t="shared" si="58"/>
        <v>NO</v>
      </c>
      <c r="Z1281" s="1" t="str">
        <f t="shared" si="59"/>
        <v>NO</v>
      </c>
      <c r="AA1281" t="s">
        <v>1704</v>
      </c>
      <c r="AB1281" t="s">
        <v>1704</v>
      </c>
      <c r="AC1281" s="1" t="s">
        <v>1704</v>
      </c>
      <c r="AD1281" s="1" t="s">
        <v>1704</v>
      </c>
      <c r="AE1281" s="1" t="s">
        <v>1704</v>
      </c>
      <c r="AF1281" s="1" t="s">
        <v>1704</v>
      </c>
    </row>
    <row r="1282" spans="1:32" ht="15" x14ac:dyDescent="0.35">
      <c r="A1282" s="7" t="s">
        <v>1566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>LEFT($A1282,FIND("_",$A1282)-1)</f>
        <v>GenProg-A</v>
      </c>
      <c r="P1282" s="13" t="str">
        <f>IF($O1282="ACS", "True Search", IF($O1282="Arja", "Evolutionary Search", IF($O1282="AVATAR", "True Pattern", IF($O1282="CapGen", "Search Like Pattern", IF($O1282="Cardumen", "True Semantic", IF($O1282="DynaMoth", "True Semantic", IF($O1282="FixMiner", "True Pattern", IF($O1282="GenProg-A", "Evolutionary Search", IF($O1282="Hercules", "Learning Pattern", IF($O1282="Jaid", "True Semantic",
IF($O1282="Kali-A", "True Search", IF($O1282="kPAR", "True Pattern", IF($O1282="Nopol", "True Semantic", IF($O1282="RSRepair-A", "Evolutionary Search", IF($O1282="SequenceR", "Deep Learning", IF($O1282="SimFix", "Search Like Pattern", IF($O1282="SketchFix", "True Pattern", IF($O1282="SOFix", "True Pattern", IF($O1282="ssFix", "Search Like Pattern", IF($O1282="TBar", "True Pattern", ""))))))))))))))))))))</f>
        <v>Evolutionary Search</v>
      </c>
      <c r="Q1282" s="13" t="str">
        <f>IF(NOT(ISERR(SEARCH("*_Buggy",$A1282))), "Buggy", IF(NOT(ISERR(SEARCH("*_Fixed",$A1282))), "Fixed", IF(NOT(ISERR(SEARCH("*_Repaired",$A1282))), "Repaired", "")))</f>
        <v>Repaired</v>
      </c>
      <c r="R1282" s="13" t="s">
        <v>1669</v>
      </c>
      <c r="S1282" s="25">
        <v>1</v>
      </c>
      <c r="T1282" s="25">
        <v>0</v>
      </c>
      <c r="U1282" s="13">
        <v>1</v>
      </c>
      <c r="V1282" s="13">
        <v>1</v>
      </c>
      <c r="W1282" s="13" t="str">
        <f>MID(A1282, SEARCH("_", A1282) +1, SEARCH("_", A1282, SEARCH("_", A1282) +1) - SEARCH("_", A1282) -1)</f>
        <v>Lang-63</v>
      </c>
      <c r="Y1282" s="1" t="str">
        <f t="shared" si="58"/>
        <v>NO</v>
      </c>
      <c r="Z1282" s="1" t="str">
        <f t="shared" si="59"/>
        <v>NO</v>
      </c>
      <c r="AA1282" t="s">
        <v>1704</v>
      </c>
      <c r="AB1282" t="s">
        <v>1704</v>
      </c>
      <c r="AC1282" s="1" t="s">
        <v>1704</v>
      </c>
      <c r="AD1282" s="1" t="s">
        <v>1704</v>
      </c>
      <c r="AE1282" s="1" t="s">
        <v>1704</v>
      </c>
      <c r="AF1282" s="1" t="s">
        <v>1704</v>
      </c>
    </row>
    <row r="1283" spans="1:32" ht="15" x14ac:dyDescent="0.35">
      <c r="A1283" s="5" t="s">
        <v>1567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>LEFT($A1283,FIND("_",$A1283)-1)</f>
        <v>GenProg-A</v>
      </c>
      <c r="P1283" s="13" t="str">
        <f>IF($O1283="ACS", "True Search", IF($O1283="Arja", "Evolutionary Search", IF($O1283="AVATAR", "True Pattern", IF($O1283="CapGen", "Search Like Pattern", IF($O1283="Cardumen", "True Semantic", IF($O1283="DynaMoth", "True Semantic", IF($O1283="FixMiner", "True Pattern", IF($O1283="GenProg-A", "Evolutionary Search", IF($O1283="Hercules", "Learning Pattern", IF($O1283="Jaid", "True Semantic",
IF($O1283="Kali-A", "True Search", IF($O1283="kPAR", "True Pattern", IF($O1283="Nopol", "True Semantic", IF($O1283="RSRepair-A", "Evolutionary Search", IF($O1283="SequenceR", "Deep Learning", IF($O1283="SimFix", "Search Like Pattern", IF($O1283="SketchFix", "True Pattern", IF($O1283="SOFix", "True Pattern", IF($O1283="ssFix", "Search Like Pattern", IF($O1283="TBar", "True Pattern", ""))))))))))))))))))))</f>
        <v>Evolutionary Search</v>
      </c>
      <c r="Q1283" s="13" t="str">
        <f>IF(NOT(ISERR(SEARCH("*_Buggy",$A1283))), "Buggy", IF(NOT(ISERR(SEARCH("*_Fixed",$A1283))), "Fixed", IF(NOT(ISERR(SEARCH("*_Repaired",$A1283))), "Repaired", "")))</f>
        <v>Repaired</v>
      </c>
      <c r="R1283" s="13" t="s">
        <v>1669</v>
      </c>
      <c r="S1283" s="25">
        <v>1</v>
      </c>
      <c r="T1283" s="25">
        <v>2</v>
      </c>
      <c r="U1283" s="25">
        <v>1</v>
      </c>
      <c r="V1283" s="13">
        <v>2</v>
      </c>
      <c r="W1283" s="13" t="str">
        <f>MID(A1283, SEARCH("_", A1283) +1, SEARCH("_", A1283, SEARCH("_", A1283) +1) - SEARCH("_", A1283) -1)</f>
        <v>Lang-7</v>
      </c>
      <c r="Y1283" s="1" t="str">
        <f t="shared" si="58"/>
        <v>NO</v>
      </c>
      <c r="Z1283" s="1" t="str">
        <f t="shared" si="59"/>
        <v>NO</v>
      </c>
      <c r="AA1283" t="s">
        <v>1704</v>
      </c>
      <c r="AB1283" t="s">
        <v>1704</v>
      </c>
      <c r="AC1283" s="1" t="s">
        <v>1704</v>
      </c>
      <c r="AD1283" s="1" t="s">
        <v>1704</v>
      </c>
      <c r="AE1283" s="1" t="s">
        <v>1704</v>
      </c>
      <c r="AF1283" s="1" t="s">
        <v>1705</v>
      </c>
    </row>
    <row r="1284" spans="1:32" ht="15" x14ac:dyDescent="0.35">
      <c r="A1284" s="7" t="s">
        <v>1568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>LEFT($A1284,FIND("_",$A1284)-1)</f>
        <v>GenProg-A</v>
      </c>
      <c r="P1284" s="13" t="str">
        <f>IF($O1284="ACS", "True Search", IF($O1284="Arja", "Evolutionary Search", IF($O1284="AVATAR", "True Pattern", IF($O1284="CapGen", "Search Like Pattern", IF($O1284="Cardumen", "True Semantic", IF($O1284="DynaMoth", "True Semantic", IF($O1284="FixMiner", "True Pattern", IF($O1284="GenProg-A", "Evolutionary Search", IF($O1284="Hercules", "Learning Pattern", IF($O1284="Jaid", "True Semantic",
IF($O1284="Kali-A", "True Search", IF($O1284="kPAR", "True Pattern", IF($O1284="Nopol", "True Semantic", IF($O1284="RSRepair-A", "Evolutionary Search", IF($O1284="SequenceR", "Deep Learning", IF($O1284="SimFix", "Search Like Pattern", IF($O1284="SketchFix", "True Pattern", IF($O1284="SOFix", "True Pattern", IF($O1284="ssFix", "Search Like Pattern", IF($O1284="TBar", "True Pattern", ""))))))))))))))))))))</f>
        <v>Evolutionary Search</v>
      </c>
      <c r="Q1284" s="13" t="str">
        <f>IF(NOT(ISERR(SEARCH("*_Buggy",$A1284))), "Buggy", IF(NOT(ISERR(SEARCH("*_Fixed",$A1284))), "Fixed", IF(NOT(ISERR(SEARCH("*_Repaired",$A1284))), "Repaired", "")))</f>
        <v>Repaired</v>
      </c>
      <c r="R1284" s="13" t="s">
        <v>1669</v>
      </c>
      <c r="S1284" s="25">
        <v>1</v>
      </c>
      <c r="T1284" s="25">
        <v>1</v>
      </c>
      <c r="U1284" s="25">
        <v>12</v>
      </c>
      <c r="V1284" s="13">
        <v>12</v>
      </c>
      <c r="W1284" s="13" t="str">
        <f>MID(A1284, SEARCH("_", A1284) +1, SEARCH("_", A1284, SEARCH("_", A1284) +1) - SEARCH("_", A1284) -1)</f>
        <v>Math-28</v>
      </c>
      <c r="Y1284" s="1" t="str">
        <f t="shared" si="58"/>
        <v>NO</v>
      </c>
      <c r="Z1284" s="1" t="str">
        <f t="shared" si="59"/>
        <v>NO</v>
      </c>
      <c r="AA1284" t="s">
        <v>1704</v>
      </c>
      <c r="AB1284" t="s">
        <v>1704</v>
      </c>
      <c r="AC1284" s="1" t="s">
        <v>1704</v>
      </c>
      <c r="AD1284" s="1" t="s">
        <v>1704</v>
      </c>
      <c r="AE1284" s="1" t="s">
        <v>1704</v>
      </c>
      <c r="AF1284" s="1" t="s">
        <v>1705</v>
      </c>
    </row>
    <row r="1285" spans="1:32" ht="15" x14ac:dyDescent="0.35">
      <c r="A1285" s="5" t="s">
        <v>1569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>LEFT($A1285,FIND("_",$A1285)-1)</f>
        <v>GenProg-A</v>
      </c>
      <c r="P1285" s="13" t="str">
        <f>IF($O1285="ACS", "True Search", IF($O1285="Arja", "Evolutionary Search", IF($O1285="AVATAR", "True Pattern", IF($O1285="CapGen", "Search Like Pattern", IF($O1285="Cardumen", "True Semantic", IF($O1285="DynaMoth", "True Semantic", IF($O1285="FixMiner", "True Pattern", IF($O1285="GenProg-A", "Evolutionary Search", IF($O1285="Hercules", "Learning Pattern", IF($O1285="Jaid", "True Semantic",
IF($O1285="Kali-A", "True Search", IF($O1285="kPAR", "True Pattern", IF($O1285="Nopol", "True Semantic", IF($O1285="RSRepair-A", "Evolutionary Search", IF($O1285="SequenceR", "Deep Learning", IF($O1285="SimFix", "Search Like Pattern", IF($O1285="SketchFix", "True Pattern", IF($O1285="SOFix", "True Pattern", IF($O1285="ssFix", "Search Like Pattern", IF($O1285="TBar", "True Pattern", ""))))))))))))))))))))</f>
        <v>Evolutionary Search</v>
      </c>
      <c r="Q1285" s="13" t="str">
        <f>IF(NOT(ISERR(SEARCH("*_Buggy",$A1285))), "Buggy", IF(NOT(ISERR(SEARCH("*_Fixed",$A1285))), "Fixed", IF(NOT(ISERR(SEARCH("*_Repaired",$A1285))), "Repaired", "")))</f>
        <v>Repaired</v>
      </c>
      <c r="R1285" s="13" t="s">
        <v>1668</v>
      </c>
      <c r="S1285" s="25">
        <v>1</v>
      </c>
      <c r="T1285" s="25">
        <v>0</v>
      </c>
      <c r="U1285" s="13">
        <v>1</v>
      </c>
      <c r="V1285" s="13">
        <v>1</v>
      </c>
      <c r="W1285" s="13" t="str">
        <f>MID(A1285, SEARCH("_", A1285) +1, SEARCH("_", A1285, SEARCH("_", A1285) +1) - SEARCH("_", A1285) -1)</f>
        <v>Math-50</v>
      </c>
      <c r="Y1285" s="1" t="str">
        <f t="shared" si="58"/>
        <v>NO</v>
      </c>
      <c r="Z1285" s="1" t="str">
        <f t="shared" si="59"/>
        <v>NO</v>
      </c>
      <c r="AA1285" t="s">
        <v>1704</v>
      </c>
      <c r="AB1285" t="s">
        <v>1704</v>
      </c>
      <c r="AC1285" s="1" t="s">
        <v>1704</v>
      </c>
      <c r="AD1285" s="1" t="s">
        <v>1704</v>
      </c>
      <c r="AE1285" s="1" t="s">
        <v>1704</v>
      </c>
      <c r="AF1285" s="1" t="s">
        <v>1704</v>
      </c>
    </row>
    <row r="1286" spans="1:32" ht="15" x14ac:dyDescent="0.35">
      <c r="A1286" s="5" t="s">
        <v>1570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>LEFT($A1286,FIND("_",$A1286)-1)</f>
        <v>GenProg-A</v>
      </c>
      <c r="P1286" s="13" t="str">
        <f>IF($O1286="ACS", "True Search", IF($O1286="Arja", "Evolutionary Search", IF($O1286="AVATAR", "True Pattern", IF($O1286="CapGen", "Search Like Pattern", IF($O1286="Cardumen", "True Semantic", IF($O1286="DynaMoth", "True Semantic", IF($O1286="FixMiner", "True Pattern", IF($O1286="GenProg-A", "Evolutionary Search", IF($O1286="Hercules", "Learning Pattern", IF($O1286="Jaid", "True Semantic",
IF($O1286="Kali-A", "True Search", IF($O1286="kPAR", "True Pattern", IF($O1286="Nopol", "True Semantic", IF($O1286="RSRepair-A", "Evolutionary Search", IF($O1286="SequenceR", "Deep Learning", IF($O1286="SimFix", "Search Like Pattern", IF($O1286="SketchFix", "True Pattern", IF($O1286="SOFix", "True Pattern", IF($O1286="ssFix", "Search Like Pattern", IF($O1286="TBar", "True Pattern", ""))))))))))))))))))))</f>
        <v>Evolutionary Search</v>
      </c>
      <c r="Q1286" s="13" t="str">
        <f>IF(NOT(ISERR(SEARCH("*_Buggy",$A1286))), "Buggy", IF(NOT(ISERR(SEARCH("*_Fixed",$A1286))), "Fixed", IF(NOT(ISERR(SEARCH("*_Repaired",$A1286))), "Repaired", "")))</f>
        <v>Repaired</v>
      </c>
      <c r="R1286" s="13" t="s">
        <v>1668</v>
      </c>
      <c r="S1286" s="25">
        <v>1</v>
      </c>
      <c r="T1286" s="25">
        <v>1</v>
      </c>
      <c r="U1286" s="25">
        <v>1</v>
      </c>
      <c r="V1286" s="13">
        <v>1</v>
      </c>
      <c r="W1286" s="13" t="str">
        <f>MID(A1286, SEARCH("_", A1286) +1, SEARCH("_", A1286, SEARCH("_", A1286) +1) - SEARCH("_", A1286) -1)</f>
        <v>Math-70</v>
      </c>
      <c r="Y1286" s="1" t="str">
        <f t="shared" si="58"/>
        <v>NO</v>
      </c>
      <c r="Z1286" s="1" t="str">
        <f t="shared" si="59"/>
        <v>NO</v>
      </c>
      <c r="AA1286" t="s">
        <v>1704</v>
      </c>
      <c r="AB1286" t="s">
        <v>1704</v>
      </c>
      <c r="AC1286" s="1" t="s">
        <v>1705</v>
      </c>
      <c r="AD1286" s="1" t="s">
        <v>1704</v>
      </c>
      <c r="AE1286" s="1" t="s">
        <v>1705</v>
      </c>
      <c r="AF1286" s="1" t="s">
        <v>1704</v>
      </c>
    </row>
    <row r="1287" spans="1:32" ht="15" x14ac:dyDescent="0.35">
      <c r="A1287" s="7" t="s">
        <v>1571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>LEFT($A1287,FIND("_",$A1287)-1)</f>
        <v>GenProg-A</v>
      </c>
      <c r="P1287" s="13" t="str">
        <f>IF($O1287="ACS", "True Search", IF($O1287="Arja", "Evolutionary Search", IF($O1287="AVATAR", "True Pattern", IF($O1287="CapGen", "Search Like Pattern", IF($O1287="Cardumen", "True Semantic", IF($O1287="DynaMoth", "True Semantic", IF($O1287="FixMiner", "True Pattern", IF($O1287="GenProg-A", "Evolutionary Search", IF($O1287="Hercules", "Learning Pattern", IF($O1287="Jaid", "True Semantic",
IF($O1287="Kali-A", "True Search", IF($O1287="kPAR", "True Pattern", IF($O1287="Nopol", "True Semantic", IF($O1287="RSRepair-A", "Evolutionary Search", IF($O1287="SequenceR", "Deep Learning", IF($O1287="SimFix", "Search Like Pattern", IF($O1287="SketchFix", "True Pattern", IF($O1287="SOFix", "True Pattern", IF($O1287="ssFix", "Search Like Pattern", IF($O1287="TBar", "True Pattern", ""))))))))))))))))))))</f>
        <v>Evolutionary Search</v>
      </c>
      <c r="Q1287" s="13" t="str">
        <f>IF(NOT(ISERR(SEARCH("*_Buggy",$A1287))), "Buggy", IF(NOT(ISERR(SEARCH("*_Fixed",$A1287))), "Fixed", IF(NOT(ISERR(SEARCH("*_Repaired",$A1287))), "Repaired", "")))</f>
        <v>Repaired</v>
      </c>
      <c r="R1287" s="13" t="s">
        <v>1669</v>
      </c>
      <c r="S1287" s="25">
        <v>1</v>
      </c>
      <c r="T1287" s="25">
        <v>6</v>
      </c>
      <c r="U1287" s="25">
        <v>1</v>
      </c>
      <c r="V1287" s="13">
        <v>6</v>
      </c>
      <c r="W1287" s="13" t="str">
        <f>MID(A1287, SEARCH("_", A1287) +1, SEARCH("_", A1287, SEARCH("_", A1287) +1) - SEARCH("_", A1287) -1)</f>
        <v>Math-80</v>
      </c>
      <c r="Y1287" s="1" t="str">
        <f t="shared" si="58"/>
        <v>NO</v>
      </c>
      <c r="Z1287" s="1" t="str">
        <f t="shared" si="59"/>
        <v>NO</v>
      </c>
      <c r="AA1287" t="s">
        <v>1704</v>
      </c>
      <c r="AB1287" t="s">
        <v>1704</v>
      </c>
      <c r="AC1287" s="1" t="s">
        <v>1704</v>
      </c>
      <c r="AD1287" s="1" t="s">
        <v>1704</v>
      </c>
      <c r="AE1287" s="1" t="s">
        <v>1704</v>
      </c>
      <c r="AF1287" s="1" t="s">
        <v>1704</v>
      </c>
    </row>
    <row r="1288" spans="1:32" ht="15" x14ac:dyDescent="0.35">
      <c r="A1288" s="5" t="s">
        <v>1572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>LEFT($A1288,FIND("_",$A1288)-1)</f>
        <v>GenProg-A</v>
      </c>
      <c r="P1288" s="13" t="str">
        <f>IF($O1288="ACS", "True Search", IF($O1288="Arja", "Evolutionary Search", IF($O1288="AVATAR", "True Pattern", IF($O1288="CapGen", "Search Like Pattern", IF($O1288="Cardumen", "True Semantic", IF($O1288="DynaMoth", "True Semantic", IF($O1288="FixMiner", "True Pattern", IF($O1288="GenProg-A", "Evolutionary Search", IF($O1288="Hercules", "Learning Pattern", IF($O1288="Jaid", "True Semantic",
IF($O1288="Kali-A", "True Search", IF($O1288="kPAR", "True Pattern", IF($O1288="Nopol", "True Semantic", IF($O1288="RSRepair-A", "Evolutionary Search", IF($O1288="SequenceR", "Deep Learning", IF($O1288="SimFix", "Search Like Pattern", IF($O1288="SketchFix", "True Pattern", IF($O1288="SOFix", "True Pattern", IF($O1288="ssFix", "Search Like Pattern", IF($O1288="TBar", "True Pattern", ""))))))))))))))))))))</f>
        <v>Evolutionary Search</v>
      </c>
      <c r="Q1288" s="13" t="str">
        <f>IF(NOT(ISERR(SEARCH("*_Buggy",$A1288))), "Buggy", IF(NOT(ISERR(SEARCH("*_Fixed",$A1288))), "Fixed", IF(NOT(ISERR(SEARCH("*_Repaired",$A1288))), "Repaired", "")))</f>
        <v>Repaired</v>
      </c>
      <c r="R1288" s="13" t="s">
        <v>1669</v>
      </c>
      <c r="S1288" s="25">
        <v>2</v>
      </c>
      <c r="T1288" s="25">
        <v>1</v>
      </c>
      <c r="U1288" s="25">
        <v>33</v>
      </c>
      <c r="V1288" s="13">
        <v>33</v>
      </c>
      <c r="W1288" s="13" t="str">
        <f>MID(A1288, SEARCH("_", A1288) +1, SEARCH("_", A1288, SEARCH("_", A1288) +1) - SEARCH("_", A1288) -1)</f>
        <v>Math-81</v>
      </c>
      <c r="Y1288" s="1" t="str">
        <f t="shared" si="58"/>
        <v>NO</v>
      </c>
      <c r="Z1288" s="1" t="str">
        <f t="shared" si="59"/>
        <v>YES</v>
      </c>
      <c r="AA1288" t="s">
        <v>1704</v>
      </c>
      <c r="AB1288" t="s">
        <v>1705</v>
      </c>
      <c r="AC1288" s="1" t="s">
        <v>1704</v>
      </c>
      <c r="AD1288" s="1" t="s">
        <v>1704</v>
      </c>
      <c r="AE1288" s="1" t="s">
        <v>1704</v>
      </c>
      <c r="AF1288" s="1" t="s">
        <v>1705</v>
      </c>
    </row>
    <row r="1289" spans="1:32" ht="15" x14ac:dyDescent="0.35">
      <c r="A1289" s="7" t="s">
        <v>1573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>LEFT($A1289,FIND("_",$A1289)-1)</f>
        <v>GenProg-A</v>
      </c>
      <c r="P1289" s="13" t="str">
        <f>IF($O1289="ACS", "True Search", IF($O1289="Arja", "Evolutionary Search", IF($O1289="AVATAR", "True Pattern", IF($O1289="CapGen", "Search Like Pattern", IF($O1289="Cardumen", "True Semantic", IF($O1289="DynaMoth", "True Semantic", IF($O1289="FixMiner", "True Pattern", IF($O1289="GenProg-A", "Evolutionary Search", IF($O1289="Hercules", "Learning Pattern", IF($O1289="Jaid", "True Semantic",
IF($O1289="Kali-A", "True Search", IF($O1289="kPAR", "True Pattern", IF($O1289="Nopol", "True Semantic", IF($O1289="RSRepair-A", "Evolutionary Search", IF($O1289="SequenceR", "Deep Learning", IF($O1289="SimFix", "Search Like Pattern", IF($O1289="SketchFix", "True Pattern", IF($O1289="SOFix", "True Pattern", IF($O1289="ssFix", "Search Like Pattern", IF($O1289="TBar", "True Pattern", ""))))))))))))))))))))</f>
        <v>Evolutionary Search</v>
      </c>
      <c r="Q1289" s="13" t="str">
        <f>IF(NOT(ISERR(SEARCH("*_Buggy",$A1289))), "Buggy", IF(NOT(ISERR(SEARCH("*_Fixed",$A1289))), "Fixed", IF(NOT(ISERR(SEARCH("*_Repaired",$A1289))), "Repaired", "")))</f>
        <v>Repaired</v>
      </c>
      <c r="R1289" s="13" t="s">
        <v>1669</v>
      </c>
      <c r="S1289" s="25">
        <v>1</v>
      </c>
      <c r="T1289" s="25">
        <v>0</v>
      </c>
      <c r="U1289" s="13">
        <v>1</v>
      </c>
      <c r="V1289" s="13">
        <v>1</v>
      </c>
      <c r="W1289" s="13" t="str">
        <f>MID(A1289, SEARCH("_", A1289) +1, SEARCH("_", A1289, SEARCH("_", A1289) +1) - SEARCH("_", A1289) -1)</f>
        <v>Math-82</v>
      </c>
      <c r="Y1289" s="1" t="str">
        <f t="shared" si="58"/>
        <v>NO</v>
      </c>
      <c r="Z1289" s="1" t="str">
        <f t="shared" si="59"/>
        <v>NO</v>
      </c>
      <c r="AA1289" t="s">
        <v>1704</v>
      </c>
      <c r="AB1289" t="s">
        <v>1704</v>
      </c>
      <c r="AC1289" s="1" t="s">
        <v>1705</v>
      </c>
      <c r="AD1289" s="1" t="s">
        <v>1704</v>
      </c>
      <c r="AE1289" s="1" t="s">
        <v>1705</v>
      </c>
      <c r="AF1289" s="1" t="s">
        <v>1704</v>
      </c>
    </row>
    <row r="1290" spans="1:32" ht="15" x14ac:dyDescent="0.35">
      <c r="A1290" s="5" t="s">
        <v>1574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>LEFT($A1290,FIND("_",$A1290)-1)</f>
        <v>GenProg-A</v>
      </c>
      <c r="P1290" s="13" t="str">
        <f>IF($O1290="ACS", "True Search", IF($O1290="Arja", "Evolutionary Search", IF($O1290="AVATAR", "True Pattern", IF($O1290="CapGen", "Search Like Pattern", IF($O1290="Cardumen", "True Semantic", IF($O1290="DynaMoth", "True Semantic", IF($O1290="FixMiner", "True Pattern", IF($O1290="GenProg-A", "Evolutionary Search", IF($O1290="Hercules", "Learning Pattern", IF($O1290="Jaid", "True Semantic",
IF($O1290="Kali-A", "True Search", IF($O1290="kPAR", "True Pattern", IF($O1290="Nopol", "True Semantic", IF($O1290="RSRepair-A", "Evolutionary Search", IF($O1290="SequenceR", "Deep Learning", IF($O1290="SimFix", "Search Like Pattern", IF($O1290="SketchFix", "True Pattern", IF($O1290="SOFix", "True Pattern", IF($O1290="ssFix", "Search Like Pattern", IF($O1290="TBar", "True Pattern", ""))))))))))))))))))))</f>
        <v>Evolutionary Search</v>
      </c>
      <c r="Q1290" s="13" t="str">
        <f>IF(NOT(ISERR(SEARCH("*_Buggy",$A1290))), "Buggy", IF(NOT(ISERR(SEARCH("*_Fixed",$A1290))), "Fixed", IF(NOT(ISERR(SEARCH("*_Repaired",$A1290))), "Repaired", "")))</f>
        <v>Repaired</v>
      </c>
      <c r="R1290" s="13" t="s">
        <v>1669</v>
      </c>
      <c r="S1290" s="25">
        <v>1</v>
      </c>
      <c r="T1290" s="25">
        <v>5</v>
      </c>
      <c r="U1290" s="25">
        <v>8</v>
      </c>
      <c r="V1290" s="13">
        <v>8</v>
      </c>
      <c r="W1290" s="13" t="str">
        <f>MID(A1290, SEARCH("_", A1290) +1, SEARCH("_", A1290, SEARCH("_", A1290) +1) - SEARCH("_", A1290) -1)</f>
        <v>Math-85</v>
      </c>
      <c r="Y1290" s="1" t="str">
        <f t="shared" si="58"/>
        <v>NO</v>
      </c>
      <c r="Z1290" s="1" t="str">
        <f t="shared" si="59"/>
        <v>NO</v>
      </c>
      <c r="AA1290" t="s">
        <v>1704</v>
      </c>
      <c r="AB1290" t="s">
        <v>1704</v>
      </c>
      <c r="AC1290" s="1" t="s">
        <v>1704</v>
      </c>
      <c r="AD1290" s="1" t="s">
        <v>1704</v>
      </c>
      <c r="AE1290" s="1" t="s">
        <v>1704</v>
      </c>
      <c r="AF1290" s="1" t="s">
        <v>1704</v>
      </c>
    </row>
    <row r="1291" spans="1:32" ht="15" x14ac:dyDescent="0.35">
      <c r="A1291" s="5" t="s">
        <v>1575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>LEFT($A1291,FIND("_",$A1291)-1)</f>
        <v>GenProg-A</v>
      </c>
      <c r="P1291" s="13" t="str">
        <f>IF($O1291="ACS", "True Search", IF($O1291="Arja", "Evolutionary Search", IF($O1291="AVATAR", "True Pattern", IF($O1291="CapGen", "Search Like Pattern", IF($O1291="Cardumen", "True Semantic", IF($O1291="DynaMoth", "True Semantic", IF($O1291="FixMiner", "True Pattern", IF($O1291="GenProg-A", "Evolutionary Search", IF($O1291="Hercules", "Learning Pattern", IF($O1291="Jaid", "True Semantic",
IF($O1291="Kali-A", "True Search", IF($O1291="kPAR", "True Pattern", IF($O1291="Nopol", "True Semantic", IF($O1291="RSRepair-A", "Evolutionary Search", IF($O1291="SequenceR", "Deep Learning", IF($O1291="SimFix", "Search Like Pattern", IF($O1291="SketchFix", "True Pattern", IF($O1291="SOFix", "True Pattern", IF($O1291="ssFix", "Search Like Pattern", IF($O1291="TBar", "True Pattern", ""))))))))))))))))))))</f>
        <v>Evolutionary Search</v>
      </c>
      <c r="Q1291" s="13" t="str">
        <f>IF(NOT(ISERR(SEARCH("*_Buggy",$A1291))), "Buggy", IF(NOT(ISERR(SEARCH("*_Fixed",$A1291))), "Fixed", IF(NOT(ISERR(SEARCH("*_Repaired",$A1291))), "Repaired", "")))</f>
        <v>Repaired</v>
      </c>
      <c r="R1291" s="13" t="s">
        <v>1669</v>
      </c>
      <c r="S1291" s="25">
        <v>2</v>
      </c>
      <c r="T1291" s="25">
        <v>8</v>
      </c>
      <c r="U1291" s="25">
        <v>3</v>
      </c>
      <c r="V1291" s="13">
        <v>9</v>
      </c>
      <c r="W1291" s="13" t="str">
        <f>MID(A1291, SEARCH("_", A1291) +1, SEARCH("_", A1291, SEARCH("_", A1291) +1) - SEARCH("_", A1291) -1)</f>
        <v>Math-95</v>
      </c>
      <c r="Y1291" s="1" t="str">
        <f t="shared" si="58"/>
        <v>NO</v>
      </c>
      <c r="Z1291" s="1" t="str">
        <f t="shared" si="59"/>
        <v>YES</v>
      </c>
      <c r="AA1291" t="s">
        <v>1704</v>
      </c>
      <c r="AB1291" t="s">
        <v>1704</v>
      </c>
      <c r="AC1291" s="1" t="s">
        <v>1704</v>
      </c>
      <c r="AD1291" s="1" t="s">
        <v>1704</v>
      </c>
      <c r="AE1291" s="1" t="s">
        <v>1704</v>
      </c>
      <c r="AF1291" s="1" t="s">
        <v>1705</v>
      </c>
    </row>
    <row r="1292" spans="1:32" ht="15" x14ac:dyDescent="0.35">
      <c r="A1292" s="5" t="s">
        <v>1576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>LEFT($A1292,FIND("_",$A1292)-1)</f>
        <v>Kali-A</v>
      </c>
      <c r="P1292" s="13" t="str">
        <f>IF($O1292="ACS", "True Search", IF($O1292="Arja", "Evolutionary Search", IF($O1292="AVATAR", "True Pattern", IF($O1292="CapGen", "Search Like Pattern", IF($O1292="Cardumen", "True Semantic", IF($O1292="DynaMoth", "True Semantic", IF($O1292="FixMiner", "True Pattern", IF($O1292="GenProg-A", "Evolutionary Search", IF($O1292="Hercules", "Learning Pattern", IF($O1292="Jaid", "True Semantic",
IF($O1292="Kali-A", "True Search", IF($O1292="kPAR", "True Pattern", IF($O1292="Nopol", "True Semantic", IF($O1292="RSRepair-A", "Evolutionary Search", IF($O1292="SequenceR", "Deep Learning", IF($O1292="SimFix", "Search Like Pattern", IF($O1292="SketchFix", "True Pattern", IF($O1292="SOFix", "True Pattern", IF($O1292="ssFix", "Search Like Pattern", IF($O1292="TBar", "True Pattern", ""))))))))))))))))))))</f>
        <v>True Search</v>
      </c>
      <c r="Q1292" s="13" t="str">
        <f>IF(NOT(ISERR(SEARCH("*_Buggy",$A1292))), "Buggy", IF(NOT(ISERR(SEARCH("*_Fixed",$A1292))), "Fixed", IF(NOT(ISERR(SEARCH("*_Repaired",$A1292))), "Repaired", "")))</f>
        <v>Repaired</v>
      </c>
      <c r="R1292" s="13" t="s">
        <v>1669</v>
      </c>
      <c r="S1292" s="25">
        <v>1</v>
      </c>
      <c r="T1292" s="25">
        <v>1</v>
      </c>
      <c r="U1292" s="25">
        <v>1</v>
      </c>
      <c r="V1292" s="13">
        <v>1</v>
      </c>
      <c r="W1292" s="13" t="str">
        <f>MID(A1292, SEARCH("_", A1292) +1, SEARCH("_", A1292, SEARCH("_", A1292) +1) - SEARCH("_", A1292) -1)</f>
        <v>Chart-1</v>
      </c>
      <c r="Y1292" s="1" t="str">
        <f t="shared" si="58"/>
        <v>NO</v>
      </c>
      <c r="Z1292" s="1" t="str">
        <f t="shared" si="59"/>
        <v>NO</v>
      </c>
      <c r="AA1292" t="s">
        <v>1704</v>
      </c>
      <c r="AB1292" t="s">
        <v>1704</v>
      </c>
      <c r="AC1292" s="1" t="s">
        <v>1705</v>
      </c>
      <c r="AD1292" s="1" t="s">
        <v>1704</v>
      </c>
      <c r="AE1292" s="1" t="s">
        <v>1705</v>
      </c>
      <c r="AF1292" s="1" t="s">
        <v>1704</v>
      </c>
    </row>
    <row r="1293" spans="1:32" ht="15" x14ac:dyDescent="0.35">
      <c r="A1293" s="5" t="s">
        <v>1577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>LEFT($A1293,FIND("_",$A1293)-1)</f>
        <v>Kali-A</v>
      </c>
      <c r="P1293" s="13" t="str">
        <f>IF($O1293="ACS", "True Search", IF($O1293="Arja", "Evolutionary Search", IF($O1293="AVATAR", "True Pattern", IF($O1293="CapGen", "Search Like Pattern", IF($O1293="Cardumen", "True Semantic", IF($O1293="DynaMoth", "True Semantic", IF($O1293="FixMiner", "True Pattern", IF($O1293="GenProg-A", "Evolutionary Search", IF($O1293="Hercules", "Learning Pattern", IF($O1293="Jaid", "True Semantic",
IF($O1293="Kali-A", "True Search", IF($O1293="kPAR", "True Pattern", IF($O1293="Nopol", "True Semantic", IF($O1293="RSRepair-A", "Evolutionary Search", IF($O1293="SequenceR", "Deep Learning", IF($O1293="SimFix", "Search Like Pattern", IF($O1293="SketchFix", "True Pattern", IF($O1293="SOFix", "True Pattern", IF($O1293="ssFix", "Search Like Pattern", IF($O1293="TBar", "True Pattern", ""))))))))))))))))))))</f>
        <v>True Search</v>
      </c>
      <c r="Q1293" s="13" t="str">
        <f>IF(NOT(ISERR(SEARCH("*_Buggy",$A1293))), "Buggy", IF(NOT(ISERR(SEARCH("*_Fixed",$A1293))), "Fixed", IF(NOT(ISERR(SEARCH("*_Repaired",$A1293))), "Repaired", "")))</f>
        <v>Repaired</v>
      </c>
      <c r="R1293" s="13" t="s">
        <v>1669</v>
      </c>
      <c r="S1293" s="25">
        <v>1</v>
      </c>
      <c r="T1293" s="25">
        <v>1</v>
      </c>
      <c r="U1293" s="25">
        <v>1</v>
      </c>
      <c r="V1293" s="13">
        <v>1</v>
      </c>
      <c r="W1293" s="13" t="str">
        <f>MID(A1293, SEARCH("_", A1293) +1, SEARCH("_", A1293, SEARCH("_", A1293) +1) - SEARCH("_", A1293) -1)</f>
        <v>Chart-5</v>
      </c>
      <c r="Y1293" s="1" t="str">
        <f t="shared" si="58"/>
        <v>NO</v>
      </c>
      <c r="Z1293" s="1" t="str">
        <f t="shared" si="59"/>
        <v>NO</v>
      </c>
      <c r="AA1293" t="s">
        <v>1704</v>
      </c>
      <c r="AB1293" t="s">
        <v>1704</v>
      </c>
      <c r="AC1293" s="1" t="s">
        <v>1704</v>
      </c>
      <c r="AD1293" s="1" t="s">
        <v>1704</v>
      </c>
      <c r="AE1293" s="1" t="s">
        <v>1704</v>
      </c>
      <c r="AF1293" s="1" t="s">
        <v>1704</v>
      </c>
    </row>
    <row r="1294" spans="1:32" ht="15" x14ac:dyDescent="0.35">
      <c r="A1294" s="7" t="s">
        <v>1578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>LEFT($A1294,FIND("_",$A1294)-1)</f>
        <v>Kali-A</v>
      </c>
      <c r="P1294" s="13" t="str">
        <f>IF($O1294="ACS", "True Search", IF($O1294="Arja", "Evolutionary Search", IF($O1294="AVATAR", "True Pattern", IF($O1294="CapGen", "Search Like Pattern", IF($O1294="Cardumen", "True Semantic", IF($O1294="DynaMoth", "True Semantic", IF($O1294="FixMiner", "True Pattern", IF($O1294="GenProg-A", "Evolutionary Search", IF($O1294="Hercules", "Learning Pattern", IF($O1294="Jaid", "True Semantic",
IF($O1294="Kali-A", "True Search", IF($O1294="kPAR", "True Pattern", IF($O1294="Nopol", "True Semantic", IF($O1294="RSRepair-A", "Evolutionary Search", IF($O1294="SequenceR", "Deep Learning", IF($O1294="SimFix", "Search Like Pattern", IF($O1294="SketchFix", "True Pattern", IF($O1294="SOFix", "True Pattern", IF($O1294="ssFix", "Search Like Pattern", IF($O1294="TBar", "True Pattern", ""))))))))))))))))))))</f>
        <v>True Search</v>
      </c>
      <c r="Q1294" s="13" t="str">
        <f>IF(NOT(ISERR(SEARCH("*_Buggy",$A1294))), "Buggy", IF(NOT(ISERR(SEARCH("*_Fixed",$A1294))), "Fixed", IF(NOT(ISERR(SEARCH("*_Repaired",$A1294))), "Repaired", "")))</f>
        <v>Repaired</v>
      </c>
      <c r="R1294" s="13" t="s">
        <v>1669</v>
      </c>
      <c r="S1294" s="25">
        <v>1</v>
      </c>
      <c r="T1294" s="25">
        <v>1</v>
      </c>
      <c r="U1294" s="25">
        <v>1</v>
      </c>
      <c r="V1294" s="13">
        <v>1</v>
      </c>
      <c r="W1294" s="13" t="str">
        <f>MID(A1294, SEARCH("_", A1294) +1, SEARCH("_", A1294, SEARCH("_", A1294) +1) - SEARCH("_", A1294) -1)</f>
        <v>Closure-1</v>
      </c>
      <c r="Y1294" s="1" t="str">
        <f t="shared" si="58"/>
        <v>NO</v>
      </c>
      <c r="Z1294" s="1" t="str">
        <f t="shared" si="59"/>
        <v>NO</v>
      </c>
      <c r="AA1294" t="s">
        <v>1704</v>
      </c>
      <c r="AB1294" t="s">
        <v>1704</v>
      </c>
      <c r="AC1294" s="1" t="s">
        <v>1704</v>
      </c>
      <c r="AD1294" s="1" t="s">
        <v>1704</v>
      </c>
      <c r="AE1294" s="1" t="s">
        <v>1704</v>
      </c>
      <c r="AF1294" s="1" t="s">
        <v>1704</v>
      </c>
    </row>
    <row r="1295" spans="1:32" ht="15" x14ac:dyDescent="0.35">
      <c r="A1295" s="7" t="s">
        <v>1579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>LEFT($A1295,FIND("_",$A1295)-1)</f>
        <v>Kali-A</v>
      </c>
      <c r="P1295" s="13" t="str">
        <f>IF($O1295="ACS", "True Search", IF($O1295="Arja", "Evolutionary Search", IF($O1295="AVATAR", "True Pattern", IF($O1295="CapGen", "Search Like Pattern", IF($O1295="Cardumen", "True Semantic", IF($O1295="DynaMoth", "True Semantic", IF($O1295="FixMiner", "True Pattern", IF($O1295="GenProg-A", "Evolutionary Search", IF($O1295="Hercules", "Learning Pattern", IF($O1295="Jaid", "True Semantic",
IF($O1295="Kali-A", "True Search", IF($O1295="kPAR", "True Pattern", IF($O1295="Nopol", "True Semantic", IF($O1295="RSRepair-A", "Evolutionary Search", IF($O1295="SequenceR", "Deep Learning", IF($O1295="SimFix", "Search Like Pattern", IF($O1295="SketchFix", "True Pattern", IF($O1295="SOFix", "True Pattern", IF($O1295="ssFix", "Search Like Pattern", IF($O1295="TBar", "True Pattern", ""))))))))))))))))))))</f>
        <v>True Search</v>
      </c>
      <c r="Q1295" s="13" t="str">
        <f>IF(NOT(ISERR(SEARCH("*_Buggy",$A1295))), "Buggy", IF(NOT(ISERR(SEARCH("*_Fixed",$A1295))), "Fixed", IF(NOT(ISERR(SEARCH("*_Repaired",$A1295))), "Repaired", "")))</f>
        <v>Repaired</v>
      </c>
      <c r="R1295" s="13" t="s">
        <v>1669</v>
      </c>
      <c r="S1295" s="25">
        <v>1</v>
      </c>
      <c r="T1295" s="25">
        <v>6</v>
      </c>
      <c r="U1295" s="25">
        <v>2</v>
      </c>
      <c r="V1295" s="13">
        <v>6</v>
      </c>
      <c r="W1295" s="13" t="str">
        <f>MID(A1295, SEARCH("_", A1295) +1, SEARCH("_", A1295, SEARCH("_", A1295) +1) - SEARCH("_", A1295) -1)</f>
        <v>Closure-10</v>
      </c>
      <c r="Y1295" s="1" t="str">
        <f t="shared" si="58"/>
        <v>NO</v>
      </c>
      <c r="Z1295" s="1" t="str">
        <f t="shared" si="59"/>
        <v>NO</v>
      </c>
      <c r="AA1295" t="s">
        <v>1704</v>
      </c>
      <c r="AB1295" t="s">
        <v>1704</v>
      </c>
      <c r="AC1295" s="1" t="s">
        <v>1704</v>
      </c>
      <c r="AD1295" s="1" t="s">
        <v>1704</v>
      </c>
      <c r="AE1295" s="1" t="s">
        <v>1704</v>
      </c>
      <c r="AF1295" s="1" t="s">
        <v>1704</v>
      </c>
    </row>
    <row r="1296" spans="1:32" ht="15" x14ac:dyDescent="0.35">
      <c r="A1296" s="7" t="s">
        <v>1580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>LEFT($A1296,FIND("_",$A1296)-1)</f>
        <v>Kali-A</v>
      </c>
      <c r="P1296" s="13" t="str">
        <f>IF($O1296="ACS", "True Search", IF($O1296="Arja", "Evolutionary Search", IF($O1296="AVATAR", "True Pattern", IF($O1296="CapGen", "Search Like Pattern", IF($O1296="Cardumen", "True Semantic", IF($O1296="DynaMoth", "True Semantic", IF($O1296="FixMiner", "True Pattern", IF($O1296="GenProg-A", "Evolutionary Search", IF($O1296="Hercules", "Learning Pattern", IF($O1296="Jaid", "True Semantic",
IF($O1296="Kali-A", "True Search", IF($O1296="kPAR", "True Pattern", IF($O1296="Nopol", "True Semantic", IF($O1296="RSRepair-A", "Evolutionary Search", IF($O1296="SequenceR", "Deep Learning", IF($O1296="SimFix", "Search Like Pattern", IF($O1296="SketchFix", "True Pattern", IF($O1296="SOFix", "True Pattern", IF($O1296="ssFix", "Search Like Pattern", IF($O1296="TBar", "True Pattern", ""))))))))))))))))))))</f>
        <v>True Search</v>
      </c>
      <c r="Q1296" s="13" t="str">
        <f>IF(NOT(ISERR(SEARCH("*_Buggy",$A1296))), "Buggy", IF(NOT(ISERR(SEARCH("*_Fixed",$A1296))), "Fixed", IF(NOT(ISERR(SEARCH("*_Repaired",$A1296))), "Repaired", "")))</f>
        <v>Repaired</v>
      </c>
      <c r="R1296" s="13" t="s">
        <v>1669</v>
      </c>
      <c r="S1296" s="25">
        <v>1</v>
      </c>
      <c r="T1296" s="25">
        <v>1</v>
      </c>
      <c r="U1296" s="25">
        <v>1</v>
      </c>
      <c r="V1296" s="13">
        <v>1</v>
      </c>
      <c r="W1296" s="13" t="str">
        <f>MID(A1296, SEARCH("_", A1296) +1, SEARCH("_", A1296, SEARCH("_", A1296) +1) - SEARCH("_", A1296) -1)</f>
        <v>Closure-112</v>
      </c>
      <c r="Y1296" s="1" t="str">
        <f t="shared" si="58"/>
        <v>NO</v>
      </c>
      <c r="Z1296" s="1" t="str">
        <f t="shared" si="59"/>
        <v>NO</v>
      </c>
      <c r="AA1296" t="s">
        <v>1704</v>
      </c>
      <c r="AB1296" t="s">
        <v>1704</v>
      </c>
      <c r="AC1296" s="1" t="s">
        <v>1704</v>
      </c>
      <c r="AD1296" s="1" t="s">
        <v>1704</v>
      </c>
      <c r="AE1296" s="1" t="s">
        <v>1704</v>
      </c>
      <c r="AF1296" s="1" t="s">
        <v>1704</v>
      </c>
    </row>
    <row r="1297" spans="1:32" ht="15" x14ac:dyDescent="0.35">
      <c r="A1297" s="7" t="s">
        <v>1581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>LEFT($A1297,FIND("_",$A1297)-1)</f>
        <v>Kali-A</v>
      </c>
      <c r="P1297" s="13" t="str">
        <f>IF($O1297="ACS", "True Search", IF($O1297="Arja", "Evolutionary Search", IF($O1297="AVATAR", "True Pattern", IF($O1297="CapGen", "Search Like Pattern", IF($O1297="Cardumen", "True Semantic", IF($O1297="DynaMoth", "True Semantic", IF($O1297="FixMiner", "True Pattern", IF($O1297="GenProg-A", "Evolutionary Search", IF($O1297="Hercules", "Learning Pattern", IF($O1297="Jaid", "True Semantic",
IF($O1297="Kali-A", "True Search", IF($O1297="kPAR", "True Pattern", IF($O1297="Nopol", "True Semantic", IF($O1297="RSRepair-A", "Evolutionary Search", IF($O1297="SequenceR", "Deep Learning", IF($O1297="SimFix", "Search Like Pattern", IF($O1297="SketchFix", "True Pattern", IF($O1297="SOFix", "True Pattern", IF($O1297="ssFix", "Search Like Pattern", IF($O1297="TBar", "True Pattern", ""))))))))))))))))))))</f>
        <v>True Search</v>
      </c>
      <c r="Q1297" s="13" t="str">
        <f>IF(NOT(ISERR(SEARCH("*_Buggy",$A1297))), "Buggy", IF(NOT(ISERR(SEARCH("*_Fixed",$A1297))), "Fixed", IF(NOT(ISERR(SEARCH("*_Repaired",$A1297))), "Repaired", "")))</f>
        <v>Repaired</v>
      </c>
      <c r="R1297" s="13" t="s">
        <v>1669</v>
      </c>
      <c r="S1297" s="25">
        <v>1</v>
      </c>
      <c r="T1297" s="25">
        <v>1</v>
      </c>
      <c r="U1297" s="25">
        <v>1</v>
      </c>
      <c r="V1297" s="13">
        <v>1</v>
      </c>
      <c r="W1297" s="13" t="str">
        <f>MID(A1297, SEARCH("_", A1297) +1, SEARCH("_", A1297, SEARCH("_", A1297) +1) - SEARCH("_", A1297) -1)</f>
        <v>Closure-113</v>
      </c>
      <c r="Y1297" s="1" t="str">
        <f t="shared" si="58"/>
        <v>NO</v>
      </c>
      <c r="Z1297" s="1" t="str">
        <f t="shared" si="59"/>
        <v>NO</v>
      </c>
      <c r="AA1297" t="s">
        <v>1704</v>
      </c>
      <c r="AB1297" t="s">
        <v>1704</v>
      </c>
      <c r="AC1297" s="1" t="s">
        <v>1705</v>
      </c>
      <c r="AD1297" s="1" t="s">
        <v>1704</v>
      </c>
      <c r="AE1297" s="1" t="s">
        <v>1705</v>
      </c>
      <c r="AF1297" s="1" t="s">
        <v>1704</v>
      </c>
    </row>
    <row r="1298" spans="1:32" ht="15" x14ac:dyDescent="0.35">
      <c r="A1298" s="5" t="s">
        <v>1582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>LEFT($A1298,FIND("_",$A1298)-1)</f>
        <v>Kali-A</v>
      </c>
      <c r="P1298" s="13" t="str">
        <f>IF($O1298="ACS", "True Search", IF($O1298="Arja", "Evolutionary Search", IF($O1298="AVATAR", "True Pattern", IF($O1298="CapGen", "Search Like Pattern", IF($O1298="Cardumen", "True Semantic", IF($O1298="DynaMoth", "True Semantic", IF($O1298="FixMiner", "True Pattern", IF($O1298="GenProg-A", "Evolutionary Search", IF($O1298="Hercules", "Learning Pattern", IF($O1298="Jaid", "True Semantic",
IF($O1298="Kali-A", "True Search", IF($O1298="kPAR", "True Pattern", IF($O1298="Nopol", "True Semantic", IF($O1298="RSRepair-A", "Evolutionary Search", IF($O1298="SequenceR", "Deep Learning", IF($O1298="SimFix", "Search Like Pattern", IF($O1298="SketchFix", "True Pattern", IF($O1298="SOFix", "True Pattern", IF($O1298="ssFix", "Search Like Pattern", IF($O1298="TBar", "True Pattern", ""))))))))))))))))))))</f>
        <v>True Search</v>
      </c>
      <c r="Q1298" s="13" t="str">
        <f>IF(NOT(ISERR(SEARCH("*_Buggy",$A1298))), "Buggy", IF(NOT(ISERR(SEARCH("*_Fixed",$A1298))), "Fixed", IF(NOT(ISERR(SEARCH("*_Repaired",$A1298))), "Repaired", "")))</f>
        <v>Repaired</v>
      </c>
      <c r="R1298" s="13" t="s">
        <v>1668</v>
      </c>
      <c r="S1298" s="25">
        <v>1</v>
      </c>
      <c r="T1298" s="25">
        <v>1</v>
      </c>
      <c r="U1298" s="25">
        <v>1</v>
      </c>
      <c r="V1298" s="13">
        <v>1</v>
      </c>
      <c r="W1298" s="13" t="str">
        <f>MID(A1298, SEARCH("_", A1298) +1, SEARCH("_", A1298, SEARCH("_", A1298) +1) - SEARCH("_", A1298) -1)</f>
        <v>Closure-115</v>
      </c>
      <c r="Y1298" s="1" t="str">
        <f t="shared" si="58"/>
        <v>NO</v>
      </c>
      <c r="Z1298" s="1" t="str">
        <f t="shared" si="59"/>
        <v>NO</v>
      </c>
      <c r="AA1298" t="s">
        <v>1704</v>
      </c>
      <c r="AB1298" t="s">
        <v>1704</v>
      </c>
      <c r="AC1298" s="1" t="s">
        <v>1704</v>
      </c>
      <c r="AD1298" s="1" t="s">
        <v>1704</v>
      </c>
      <c r="AE1298" s="1" t="s">
        <v>1704</v>
      </c>
      <c r="AF1298" s="1" t="s">
        <v>1704</v>
      </c>
    </row>
    <row r="1299" spans="1:32" ht="15" x14ac:dyDescent="0.35">
      <c r="A1299" s="5" t="s">
        <v>1583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>LEFT($A1299,FIND("_",$A1299)-1)</f>
        <v>Kali-A</v>
      </c>
      <c r="P1299" s="13" t="str">
        <f>IF($O1299="ACS", "True Search", IF($O1299="Arja", "Evolutionary Search", IF($O1299="AVATAR", "True Pattern", IF($O1299="CapGen", "Search Like Pattern", IF($O1299="Cardumen", "True Semantic", IF($O1299="DynaMoth", "True Semantic", IF($O1299="FixMiner", "True Pattern", IF($O1299="GenProg-A", "Evolutionary Search", IF($O1299="Hercules", "Learning Pattern", IF($O1299="Jaid", "True Semantic",
IF($O1299="Kali-A", "True Search", IF($O1299="kPAR", "True Pattern", IF($O1299="Nopol", "True Semantic", IF($O1299="RSRepair-A", "Evolutionary Search", IF($O1299="SequenceR", "Deep Learning", IF($O1299="SimFix", "Search Like Pattern", IF($O1299="SketchFix", "True Pattern", IF($O1299="SOFix", "True Pattern", IF($O1299="ssFix", "Search Like Pattern", IF($O1299="TBar", "True Pattern", ""))))))))))))))))))))</f>
        <v>True Search</v>
      </c>
      <c r="Q1299" s="13" t="str">
        <f>IF(NOT(ISERR(SEARCH("*_Buggy",$A1299))), "Buggy", IF(NOT(ISERR(SEARCH("*_Fixed",$A1299))), "Fixed", IF(NOT(ISERR(SEARCH("*_Repaired",$A1299))), "Repaired", "")))</f>
        <v>Repaired</v>
      </c>
      <c r="R1299" s="13" t="s">
        <v>1669</v>
      </c>
      <c r="S1299" s="25">
        <v>1</v>
      </c>
      <c r="T1299" s="25">
        <v>1</v>
      </c>
      <c r="U1299" s="25">
        <v>2</v>
      </c>
      <c r="V1299" s="13">
        <v>2</v>
      </c>
      <c r="W1299" s="13" t="str">
        <f>MID(A1299, SEARCH("_", A1299) +1, SEARCH("_", A1299, SEARCH("_", A1299) +1) - SEARCH("_", A1299) -1)</f>
        <v>Closure-124</v>
      </c>
      <c r="Y1299" s="1" t="str">
        <f t="shared" si="58"/>
        <v>NO</v>
      </c>
      <c r="Z1299" s="1" t="str">
        <f t="shared" si="59"/>
        <v>NO</v>
      </c>
      <c r="AA1299" t="s">
        <v>1704</v>
      </c>
      <c r="AB1299" t="s">
        <v>1704</v>
      </c>
      <c r="AC1299" s="1" t="s">
        <v>1704</v>
      </c>
      <c r="AD1299" s="1" t="s">
        <v>1704</v>
      </c>
      <c r="AE1299" s="1" t="s">
        <v>1704</v>
      </c>
      <c r="AF1299" s="1" t="s">
        <v>1705</v>
      </c>
    </row>
    <row r="1300" spans="1:32" ht="15" x14ac:dyDescent="0.35">
      <c r="A1300" s="7" t="s">
        <v>1584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>LEFT($A1300,FIND("_",$A1300)-1)</f>
        <v>Kali-A</v>
      </c>
      <c r="P1300" s="13" t="str">
        <f>IF($O1300="ACS", "True Search", IF($O1300="Arja", "Evolutionary Search", IF($O1300="AVATAR", "True Pattern", IF($O1300="CapGen", "Search Like Pattern", IF($O1300="Cardumen", "True Semantic", IF($O1300="DynaMoth", "True Semantic", IF($O1300="FixMiner", "True Pattern", IF($O1300="GenProg-A", "Evolutionary Search", IF($O1300="Hercules", "Learning Pattern", IF($O1300="Jaid", "True Semantic",
IF($O1300="Kali-A", "True Search", IF($O1300="kPAR", "True Pattern", IF($O1300="Nopol", "True Semantic", IF($O1300="RSRepair-A", "Evolutionary Search", IF($O1300="SequenceR", "Deep Learning", IF($O1300="SimFix", "Search Like Pattern", IF($O1300="SketchFix", "True Pattern", IF($O1300="SOFix", "True Pattern", IF($O1300="ssFix", "Search Like Pattern", IF($O1300="TBar", "True Pattern", ""))))))))))))))))))))</f>
        <v>True Search</v>
      </c>
      <c r="Q1300" s="13" t="str">
        <f>IF(NOT(ISERR(SEARCH("*_Buggy",$A1300))), "Buggy", IF(NOT(ISERR(SEARCH("*_Fixed",$A1300))), "Fixed", IF(NOT(ISERR(SEARCH("*_Repaired",$A1300))), "Repaired", "")))</f>
        <v>Repaired</v>
      </c>
      <c r="R1300" s="13" t="s">
        <v>1669</v>
      </c>
      <c r="S1300" s="25">
        <v>1</v>
      </c>
      <c r="T1300" s="25">
        <v>1</v>
      </c>
      <c r="U1300" s="25">
        <v>1</v>
      </c>
      <c r="V1300" s="13">
        <v>1</v>
      </c>
      <c r="W1300" s="13" t="str">
        <f>MID(A1300, SEARCH("_", A1300) +1, SEARCH("_", A1300, SEARCH("_", A1300) +1) - SEARCH("_", A1300) -1)</f>
        <v>Closure-15</v>
      </c>
      <c r="Y1300" s="1" t="str">
        <f t="shared" si="58"/>
        <v>NO</v>
      </c>
      <c r="Z1300" s="1" t="str">
        <f t="shared" si="59"/>
        <v>NO</v>
      </c>
      <c r="AA1300" t="s">
        <v>1704</v>
      </c>
      <c r="AB1300" t="s">
        <v>1704</v>
      </c>
      <c r="AC1300" s="1" t="s">
        <v>1704</v>
      </c>
      <c r="AD1300" s="1" t="s">
        <v>1704</v>
      </c>
      <c r="AE1300" s="1" t="s">
        <v>1704</v>
      </c>
      <c r="AF1300" s="1" t="s">
        <v>1704</v>
      </c>
    </row>
    <row r="1301" spans="1:32" ht="15" x14ac:dyDescent="0.35">
      <c r="A1301" s="5" t="s">
        <v>1585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>LEFT($A1301,FIND("_",$A1301)-1)</f>
        <v>Kali-A</v>
      </c>
      <c r="P1301" s="13" t="str">
        <f>IF($O1301="ACS", "True Search", IF($O1301="Arja", "Evolutionary Search", IF($O1301="AVATAR", "True Pattern", IF($O1301="CapGen", "Search Like Pattern", IF($O1301="Cardumen", "True Semantic", IF($O1301="DynaMoth", "True Semantic", IF($O1301="FixMiner", "True Pattern", IF($O1301="GenProg-A", "Evolutionary Search", IF($O1301="Hercules", "Learning Pattern", IF($O1301="Jaid", "True Semantic",
IF($O1301="Kali-A", "True Search", IF($O1301="kPAR", "True Pattern", IF($O1301="Nopol", "True Semantic", IF($O1301="RSRepair-A", "Evolutionary Search", IF($O1301="SequenceR", "Deep Learning", IF($O1301="SimFix", "Search Like Pattern", IF($O1301="SketchFix", "True Pattern", IF($O1301="SOFix", "True Pattern", IF($O1301="ssFix", "Search Like Pattern", IF($O1301="TBar", "True Pattern", ""))))))))))))))))))))</f>
        <v>True Search</v>
      </c>
      <c r="Q1301" s="13" t="str">
        <f>IF(NOT(ISERR(SEARCH("*_Buggy",$A1301))), "Buggy", IF(NOT(ISERR(SEARCH("*_Fixed",$A1301))), "Fixed", IF(NOT(ISERR(SEARCH("*_Repaired",$A1301))), "Repaired", "")))</f>
        <v>Repaired</v>
      </c>
      <c r="R1301" s="13" t="s">
        <v>1669</v>
      </c>
      <c r="S1301" s="25">
        <v>1</v>
      </c>
      <c r="T1301" s="13">
        <v>1</v>
      </c>
      <c r="U1301" s="25">
        <v>0</v>
      </c>
      <c r="V1301" s="13">
        <v>1</v>
      </c>
      <c r="W1301" s="13" t="str">
        <f>MID(A1301, SEARCH("_", A1301) +1, SEARCH("_", A1301, SEARCH("_", A1301) +1) - SEARCH("_", A1301) -1)</f>
        <v>Closure-2</v>
      </c>
      <c r="Y1301" s="1" t="str">
        <f t="shared" si="58"/>
        <v>NO</v>
      </c>
      <c r="Z1301" s="1" t="str">
        <f t="shared" si="59"/>
        <v>NO</v>
      </c>
      <c r="AA1301" t="s">
        <v>1704</v>
      </c>
      <c r="AB1301" t="s">
        <v>1704</v>
      </c>
      <c r="AC1301" s="1" t="s">
        <v>1704</v>
      </c>
      <c r="AD1301" s="1" t="s">
        <v>1704</v>
      </c>
      <c r="AE1301" s="1" t="s">
        <v>1704</v>
      </c>
      <c r="AF1301" s="1" t="s">
        <v>1704</v>
      </c>
    </row>
    <row r="1302" spans="1:32" ht="15" x14ac:dyDescent="0.35">
      <c r="A1302" s="7" t="s">
        <v>1586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>LEFT($A1302,FIND("_",$A1302)-1)</f>
        <v>Kali-A</v>
      </c>
      <c r="P1302" s="13" t="str">
        <f>IF($O1302="ACS", "True Search", IF($O1302="Arja", "Evolutionary Search", IF($O1302="AVATAR", "True Pattern", IF($O1302="CapGen", "Search Like Pattern", IF($O1302="Cardumen", "True Semantic", IF($O1302="DynaMoth", "True Semantic", IF($O1302="FixMiner", "True Pattern", IF($O1302="GenProg-A", "Evolutionary Search", IF($O1302="Hercules", "Learning Pattern", IF($O1302="Jaid", "True Semantic",
IF($O1302="Kali-A", "True Search", IF($O1302="kPAR", "True Pattern", IF($O1302="Nopol", "True Semantic", IF($O1302="RSRepair-A", "Evolutionary Search", IF($O1302="SequenceR", "Deep Learning", IF($O1302="SimFix", "Search Like Pattern", IF($O1302="SketchFix", "True Pattern", IF($O1302="SOFix", "True Pattern", IF($O1302="ssFix", "Search Like Pattern", IF($O1302="TBar", "True Pattern", ""))))))))))))))))))))</f>
        <v>True Search</v>
      </c>
      <c r="Q1302" s="13" t="str">
        <f>IF(NOT(ISERR(SEARCH("*_Buggy",$A1302))), "Buggy", IF(NOT(ISERR(SEARCH("*_Fixed",$A1302))), "Fixed", IF(NOT(ISERR(SEARCH("*_Repaired",$A1302))), "Repaired", "")))</f>
        <v>Repaired</v>
      </c>
      <c r="R1302" s="13" t="s">
        <v>1669</v>
      </c>
      <c r="S1302" s="25">
        <v>1</v>
      </c>
      <c r="T1302" s="25">
        <v>1</v>
      </c>
      <c r="U1302" s="25">
        <v>1</v>
      </c>
      <c r="V1302" s="13">
        <v>1</v>
      </c>
      <c r="W1302" s="13" t="str">
        <f>MID(A1302, SEARCH("_", A1302) +1, SEARCH("_", A1302, SEARCH("_", A1302) +1) - SEARCH("_", A1302) -1)</f>
        <v>Closure-21</v>
      </c>
      <c r="Y1302" s="1" t="str">
        <f t="shared" si="58"/>
        <v>NO</v>
      </c>
      <c r="Z1302" s="1" t="str">
        <f t="shared" si="59"/>
        <v>NO</v>
      </c>
      <c r="AA1302" t="s">
        <v>1704</v>
      </c>
      <c r="AB1302" t="s">
        <v>1704</v>
      </c>
      <c r="AC1302" s="1" t="s">
        <v>1704</v>
      </c>
      <c r="AD1302" s="1" t="s">
        <v>1704</v>
      </c>
      <c r="AE1302" s="1" t="s">
        <v>1704</v>
      </c>
      <c r="AF1302" s="1" t="s">
        <v>1704</v>
      </c>
    </row>
    <row r="1303" spans="1:32" ht="15" x14ac:dyDescent="0.35">
      <c r="A1303" s="5" t="s">
        <v>1587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>LEFT($A1303,FIND("_",$A1303)-1)</f>
        <v>Kali-A</v>
      </c>
      <c r="P1303" s="13" t="str">
        <f>IF($O1303="ACS", "True Search", IF($O1303="Arja", "Evolutionary Search", IF($O1303="AVATAR", "True Pattern", IF($O1303="CapGen", "Search Like Pattern", IF($O1303="Cardumen", "True Semantic", IF($O1303="DynaMoth", "True Semantic", IF($O1303="FixMiner", "True Pattern", IF($O1303="GenProg-A", "Evolutionary Search", IF($O1303="Hercules", "Learning Pattern", IF($O1303="Jaid", "True Semantic",
IF($O1303="Kali-A", "True Search", IF($O1303="kPAR", "True Pattern", IF($O1303="Nopol", "True Semantic", IF($O1303="RSRepair-A", "Evolutionary Search", IF($O1303="SequenceR", "Deep Learning", IF($O1303="SimFix", "Search Like Pattern", IF($O1303="SketchFix", "True Pattern", IF($O1303="SOFix", "True Pattern", IF($O1303="ssFix", "Search Like Pattern", IF($O1303="TBar", "True Pattern", ""))))))))))))))))))))</f>
        <v>True Search</v>
      </c>
      <c r="Q1303" s="13" t="str">
        <f>IF(NOT(ISERR(SEARCH("*_Buggy",$A1303))), "Buggy", IF(NOT(ISERR(SEARCH("*_Fixed",$A1303))), "Fixed", IF(NOT(ISERR(SEARCH("*_Repaired",$A1303))), "Repaired", "")))</f>
        <v>Repaired</v>
      </c>
      <c r="R1303" s="13" t="s">
        <v>1669</v>
      </c>
      <c r="S1303" s="25">
        <v>1</v>
      </c>
      <c r="T1303" s="25">
        <v>1</v>
      </c>
      <c r="U1303" s="25">
        <v>1</v>
      </c>
      <c r="V1303" s="13">
        <v>1</v>
      </c>
      <c r="W1303" s="13" t="str">
        <f>MID(A1303, SEARCH("_", A1303) +1, SEARCH("_", A1303, SEARCH("_", A1303) +1) - SEARCH("_", A1303) -1)</f>
        <v>Closure-22</v>
      </c>
      <c r="Y1303" s="1" t="str">
        <f t="shared" si="58"/>
        <v>NO</v>
      </c>
      <c r="Z1303" s="1" t="str">
        <f t="shared" si="59"/>
        <v>NO</v>
      </c>
      <c r="AA1303" t="s">
        <v>1704</v>
      </c>
      <c r="AB1303" t="s">
        <v>1704</v>
      </c>
      <c r="AC1303" s="1" t="s">
        <v>1704</v>
      </c>
      <c r="AD1303" s="1" t="s">
        <v>1704</v>
      </c>
      <c r="AE1303" s="1" t="s">
        <v>1704</v>
      </c>
      <c r="AF1303" s="1" t="s">
        <v>1704</v>
      </c>
    </row>
    <row r="1304" spans="1:32" ht="15" x14ac:dyDescent="0.35">
      <c r="A1304" s="5" t="s">
        <v>1588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>LEFT($A1304,FIND("_",$A1304)-1)</f>
        <v>Kali-A</v>
      </c>
      <c r="P1304" s="13" t="str">
        <f>IF($O1304="ACS", "True Search", IF($O1304="Arja", "Evolutionary Search", IF($O1304="AVATAR", "True Pattern", IF($O1304="CapGen", "Search Like Pattern", IF($O1304="Cardumen", "True Semantic", IF($O1304="DynaMoth", "True Semantic", IF($O1304="FixMiner", "True Pattern", IF($O1304="GenProg-A", "Evolutionary Search", IF($O1304="Hercules", "Learning Pattern", IF($O1304="Jaid", "True Semantic",
IF($O1304="Kali-A", "True Search", IF($O1304="kPAR", "True Pattern", IF($O1304="Nopol", "True Semantic", IF($O1304="RSRepair-A", "Evolutionary Search", IF($O1304="SequenceR", "Deep Learning", IF($O1304="SimFix", "Search Like Pattern", IF($O1304="SketchFix", "True Pattern", IF($O1304="SOFix", "True Pattern", IF($O1304="ssFix", "Search Like Pattern", IF($O1304="TBar", "True Pattern", ""))))))))))))))))))))</f>
        <v>True Search</v>
      </c>
      <c r="Q1304" s="13" t="str">
        <f>IF(NOT(ISERR(SEARCH("*_Buggy",$A1304))), "Buggy", IF(NOT(ISERR(SEARCH("*_Fixed",$A1304))), "Fixed", IF(NOT(ISERR(SEARCH("*_Repaired",$A1304))), "Repaired", "")))</f>
        <v>Repaired</v>
      </c>
      <c r="R1304" s="13" t="s">
        <v>1669</v>
      </c>
      <c r="S1304" s="25">
        <v>1</v>
      </c>
      <c r="T1304" s="25">
        <v>1</v>
      </c>
      <c r="U1304" s="25">
        <v>1</v>
      </c>
      <c r="V1304" s="13">
        <v>1</v>
      </c>
      <c r="W1304" s="13" t="str">
        <f>MID(A1304, SEARCH("_", A1304) +1, SEARCH("_", A1304, SEARCH("_", A1304) +1) - SEARCH("_", A1304) -1)</f>
        <v>Closure-3</v>
      </c>
      <c r="Y1304" s="1" t="str">
        <f t="shared" si="58"/>
        <v>NO</v>
      </c>
      <c r="Z1304" s="1" t="str">
        <f t="shared" si="59"/>
        <v>NO</v>
      </c>
      <c r="AA1304" t="s">
        <v>1704</v>
      </c>
      <c r="AB1304" t="s">
        <v>1704</v>
      </c>
      <c r="AC1304" s="1" t="s">
        <v>1704</v>
      </c>
      <c r="AD1304" s="1" t="s">
        <v>1704</v>
      </c>
      <c r="AE1304" s="1" t="s">
        <v>1704</v>
      </c>
      <c r="AF1304" s="1" t="s">
        <v>1704</v>
      </c>
    </row>
    <row r="1305" spans="1:32" ht="15" x14ac:dyDescent="0.35">
      <c r="A1305" s="5" t="s">
        <v>1589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>LEFT($A1305,FIND("_",$A1305)-1)</f>
        <v>Kali-A</v>
      </c>
      <c r="P1305" s="13" t="str">
        <f>IF($O1305="ACS", "True Search", IF($O1305="Arja", "Evolutionary Search", IF($O1305="AVATAR", "True Pattern", IF($O1305="CapGen", "Search Like Pattern", IF($O1305="Cardumen", "True Semantic", IF($O1305="DynaMoth", "True Semantic", IF($O1305="FixMiner", "True Pattern", IF($O1305="GenProg-A", "Evolutionary Search", IF($O1305="Hercules", "Learning Pattern", IF($O1305="Jaid", "True Semantic",
IF($O1305="Kali-A", "True Search", IF($O1305="kPAR", "True Pattern", IF($O1305="Nopol", "True Semantic", IF($O1305="RSRepair-A", "Evolutionary Search", IF($O1305="SequenceR", "Deep Learning", IF($O1305="SimFix", "Search Like Pattern", IF($O1305="SketchFix", "True Pattern", IF($O1305="SOFix", "True Pattern", IF($O1305="ssFix", "Search Like Pattern", IF($O1305="TBar", "True Pattern", ""))))))))))))))))))))</f>
        <v>True Search</v>
      </c>
      <c r="Q1305" s="13" t="str">
        <f>IF(NOT(ISERR(SEARCH("*_Buggy",$A1305))), "Buggy", IF(NOT(ISERR(SEARCH("*_Fixed",$A1305))), "Fixed", IF(NOT(ISERR(SEARCH("*_Repaired",$A1305))), "Repaired", "")))</f>
        <v>Repaired</v>
      </c>
      <c r="R1305" s="13" t="s">
        <v>1669</v>
      </c>
      <c r="S1305" s="25">
        <v>1</v>
      </c>
      <c r="T1305" s="25">
        <v>1</v>
      </c>
      <c r="U1305" s="25">
        <v>1</v>
      </c>
      <c r="V1305" s="13">
        <v>1</v>
      </c>
      <c r="W1305" s="13" t="str">
        <f>MID(A1305, SEARCH("_", A1305) +1, SEARCH("_", A1305, SEARCH("_", A1305) +1) - SEARCH("_", A1305) -1)</f>
        <v>Closure-33</v>
      </c>
      <c r="Y1305" s="1" t="str">
        <f t="shared" si="58"/>
        <v>NO</v>
      </c>
      <c r="Z1305" s="1" t="str">
        <f t="shared" si="59"/>
        <v>NO</v>
      </c>
      <c r="AA1305" t="s">
        <v>1704</v>
      </c>
      <c r="AB1305" t="s">
        <v>1704</v>
      </c>
      <c r="AC1305" s="1" t="s">
        <v>1704</v>
      </c>
      <c r="AD1305" s="1" t="s">
        <v>1704</v>
      </c>
      <c r="AE1305" s="1" t="s">
        <v>1704</v>
      </c>
      <c r="AF1305" s="1" t="s">
        <v>1704</v>
      </c>
    </row>
    <row r="1306" spans="1:32" ht="15" x14ac:dyDescent="0.35">
      <c r="A1306" s="7" t="s">
        <v>1590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>LEFT($A1306,FIND("_",$A1306)-1)</f>
        <v>Kali-A</v>
      </c>
      <c r="P1306" s="13" t="str">
        <f>IF($O1306="ACS", "True Search", IF($O1306="Arja", "Evolutionary Search", IF($O1306="AVATAR", "True Pattern", IF($O1306="CapGen", "Search Like Pattern", IF($O1306="Cardumen", "True Semantic", IF($O1306="DynaMoth", "True Semantic", IF($O1306="FixMiner", "True Pattern", IF($O1306="GenProg-A", "Evolutionary Search", IF($O1306="Hercules", "Learning Pattern", IF($O1306="Jaid", "True Semantic",
IF($O1306="Kali-A", "True Search", IF($O1306="kPAR", "True Pattern", IF($O1306="Nopol", "True Semantic", IF($O1306="RSRepair-A", "Evolutionary Search", IF($O1306="SequenceR", "Deep Learning", IF($O1306="SimFix", "Search Like Pattern", IF($O1306="SketchFix", "True Pattern", IF($O1306="SOFix", "True Pattern", IF($O1306="ssFix", "Search Like Pattern", IF($O1306="TBar", "True Pattern", ""))))))))))))))))))))</f>
        <v>True Search</v>
      </c>
      <c r="Q1306" s="13" t="str">
        <f>IF(NOT(ISERR(SEARCH("*_Buggy",$A1306))), "Buggy", IF(NOT(ISERR(SEARCH("*_Fixed",$A1306))), "Fixed", IF(NOT(ISERR(SEARCH("*_Repaired",$A1306))), "Repaired", "")))</f>
        <v>Repaired</v>
      </c>
      <c r="R1306" s="13" t="s">
        <v>1669</v>
      </c>
      <c r="S1306" s="25">
        <v>1</v>
      </c>
      <c r="T1306" s="25">
        <v>1</v>
      </c>
      <c r="U1306" s="25">
        <v>1</v>
      </c>
      <c r="V1306" s="13">
        <v>1</v>
      </c>
      <c r="W1306" s="13" t="str">
        <f>MID(A1306, SEARCH("_", A1306) +1, SEARCH("_", A1306, SEARCH("_", A1306) +1) - SEARCH("_", A1306) -1)</f>
        <v>Closure-38</v>
      </c>
      <c r="Y1306" s="1" t="str">
        <f t="shared" si="58"/>
        <v>NO</v>
      </c>
      <c r="Z1306" s="1" t="str">
        <f t="shared" si="59"/>
        <v>NO</v>
      </c>
      <c r="AA1306" t="s">
        <v>1704</v>
      </c>
      <c r="AB1306" t="s">
        <v>1704</v>
      </c>
      <c r="AC1306" s="1" t="s">
        <v>1705</v>
      </c>
      <c r="AD1306" s="1" t="s">
        <v>1704</v>
      </c>
      <c r="AE1306" s="1" t="s">
        <v>1705</v>
      </c>
      <c r="AF1306" s="1" t="s">
        <v>1704</v>
      </c>
    </row>
    <row r="1307" spans="1:32" ht="15" x14ac:dyDescent="0.35">
      <c r="A1307" s="7" t="s">
        <v>1591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>LEFT($A1307,FIND("_",$A1307)-1)</f>
        <v>Kali-A</v>
      </c>
      <c r="P1307" s="13" t="str">
        <f>IF($O1307="ACS", "True Search", IF($O1307="Arja", "Evolutionary Search", IF($O1307="AVATAR", "True Pattern", IF($O1307="CapGen", "Search Like Pattern", IF($O1307="Cardumen", "True Semantic", IF($O1307="DynaMoth", "True Semantic", IF($O1307="FixMiner", "True Pattern", IF($O1307="GenProg-A", "Evolutionary Search", IF($O1307="Hercules", "Learning Pattern", IF($O1307="Jaid", "True Semantic",
IF($O1307="Kali-A", "True Search", IF($O1307="kPAR", "True Pattern", IF($O1307="Nopol", "True Semantic", IF($O1307="RSRepair-A", "Evolutionary Search", IF($O1307="SequenceR", "Deep Learning", IF($O1307="SimFix", "Search Like Pattern", IF($O1307="SketchFix", "True Pattern", IF($O1307="SOFix", "True Pattern", IF($O1307="ssFix", "Search Like Pattern", IF($O1307="TBar", "True Pattern", ""))))))))))))))))))))</f>
        <v>True Search</v>
      </c>
      <c r="Q1307" s="13" t="str">
        <f>IF(NOT(ISERR(SEARCH("*_Buggy",$A1307))), "Buggy", IF(NOT(ISERR(SEARCH("*_Fixed",$A1307))), "Fixed", IF(NOT(ISERR(SEARCH("*_Repaired",$A1307))), "Repaired", "")))</f>
        <v>Repaired</v>
      </c>
      <c r="R1307" s="13" t="s">
        <v>1669</v>
      </c>
      <c r="S1307" s="25">
        <v>1</v>
      </c>
      <c r="T1307" s="25">
        <v>1</v>
      </c>
      <c r="U1307" s="25">
        <v>1</v>
      </c>
      <c r="V1307" s="13">
        <v>1</v>
      </c>
      <c r="W1307" s="13" t="str">
        <f>MID(A1307, SEARCH("_", A1307) +1, SEARCH("_", A1307, SEARCH("_", A1307) +1) - SEARCH("_", A1307) -1)</f>
        <v>Closure-4</v>
      </c>
      <c r="Y1307" s="1" t="str">
        <f t="shared" si="58"/>
        <v>NO</v>
      </c>
      <c r="Z1307" s="1" t="str">
        <f t="shared" si="59"/>
        <v>NO</v>
      </c>
      <c r="AA1307" t="s">
        <v>1704</v>
      </c>
      <c r="AB1307" t="s">
        <v>1704</v>
      </c>
      <c r="AC1307" s="1" t="s">
        <v>1704</v>
      </c>
      <c r="AD1307" s="1" t="s">
        <v>1704</v>
      </c>
      <c r="AE1307" s="1" t="s">
        <v>1704</v>
      </c>
      <c r="AF1307" s="1" t="s">
        <v>1704</v>
      </c>
    </row>
    <row r="1308" spans="1:32" ht="15" x14ac:dyDescent="0.35">
      <c r="A1308" s="7" t="s">
        <v>1592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>LEFT($A1308,FIND("_",$A1308)-1)</f>
        <v>Kali-A</v>
      </c>
      <c r="P1308" s="13" t="str">
        <f>IF($O1308="ACS", "True Search", IF($O1308="Arja", "Evolutionary Search", IF($O1308="AVATAR", "True Pattern", IF($O1308="CapGen", "Search Like Pattern", IF($O1308="Cardumen", "True Semantic", IF($O1308="DynaMoth", "True Semantic", IF($O1308="FixMiner", "True Pattern", IF($O1308="GenProg-A", "Evolutionary Search", IF($O1308="Hercules", "Learning Pattern", IF($O1308="Jaid", "True Semantic",
IF($O1308="Kali-A", "True Search", IF($O1308="kPAR", "True Pattern", IF($O1308="Nopol", "True Semantic", IF($O1308="RSRepair-A", "Evolutionary Search", IF($O1308="SequenceR", "Deep Learning", IF($O1308="SimFix", "Search Like Pattern", IF($O1308="SketchFix", "True Pattern", IF($O1308="SOFix", "True Pattern", IF($O1308="ssFix", "Search Like Pattern", IF($O1308="TBar", "True Pattern", ""))))))))))))))))))))</f>
        <v>True Search</v>
      </c>
      <c r="Q1308" s="13" t="str">
        <f>IF(NOT(ISERR(SEARCH("*_Buggy",$A1308))), "Buggy", IF(NOT(ISERR(SEARCH("*_Fixed",$A1308))), "Fixed", IF(NOT(ISERR(SEARCH("*_Repaired",$A1308))), "Repaired", "")))</f>
        <v>Repaired</v>
      </c>
      <c r="R1308" s="13" t="s">
        <v>1669</v>
      </c>
      <c r="S1308" s="25">
        <v>1</v>
      </c>
      <c r="T1308" s="25">
        <v>1</v>
      </c>
      <c r="U1308" s="25">
        <v>1</v>
      </c>
      <c r="V1308" s="13">
        <v>1</v>
      </c>
      <c r="W1308" s="13" t="str">
        <f>MID(A1308, SEARCH("_", A1308) +1, SEARCH("_", A1308, SEARCH("_", A1308) +1) - SEARCH("_", A1308) -1)</f>
        <v>Closure-46</v>
      </c>
      <c r="Y1308" s="1" t="str">
        <f t="shared" si="58"/>
        <v>NO</v>
      </c>
      <c r="Z1308" s="1" t="str">
        <f t="shared" si="59"/>
        <v>NO</v>
      </c>
      <c r="AA1308" t="s">
        <v>1704</v>
      </c>
      <c r="AB1308" t="s">
        <v>1704</v>
      </c>
      <c r="AC1308" s="1" t="s">
        <v>1704</v>
      </c>
      <c r="AD1308" s="1" t="s">
        <v>1704</v>
      </c>
      <c r="AE1308" s="1" t="s">
        <v>1704</v>
      </c>
      <c r="AF1308" s="1" t="s">
        <v>1704</v>
      </c>
    </row>
    <row r="1309" spans="1:32" ht="15" x14ac:dyDescent="0.35">
      <c r="A1309" s="7" t="s">
        <v>1593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>LEFT($A1309,FIND("_",$A1309)-1)</f>
        <v>Kali-A</v>
      </c>
      <c r="P1309" s="13" t="str">
        <f>IF($O1309="ACS", "True Search", IF($O1309="Arja", "Evolutionary Search", IF($O1309="AVATAR", "True Pattern", IF($O1309="CapGen", "Search Like Pattern", IF($O1309="Cardumen", "True Semantic", IF($O1309="DynaMoth", "True Semantic", IF($O1309="FixMiner", "True Pattern", IF($O1309="GenProg-A", "Evolutionary Search", IF($O1309="Hercules", "Learning Pattern", IF($O1309="Jaid", "True Semantic",
IF($O1309="Kali-A", "True Search", IF($O1309="kPAR", "True Pattern", IF($O1309="Nopol", "True Semantic", IF($O1309="RSRepair-A", "Evolutionary Search", IF($O1309="SequenceR", "Deep Learning", IF($O1309="SimFix", "Search Like Pattern", IF($O1309="SketchFix", "True Pattern", IF($O1309="SOFix", "True Pattern", IF($O1309="ssFix", "Search Like Pattern", IF($O1309="TBar", "True Pattern", ""))))))))))))))))))))</f>
        <v>True Search</v>
      </c>
      <c r="Q1309" s="13" t="str">
        <f>IF(NOT(ISERR(SEARCH("*_Buggy",$A1309))), "Buggy", IF(NOT(ISERR(SEARCH("*_Fixed",$A1309))), "Fixed", IF(NOT(ISERR(SEARCH("*_Repaired",$A1309))), "Repaired", "")))</f>
        <v>Repaired</v>
      </c>
      <c r="R1309" s="13" t="s">
        <v>1669</v>
      </c>
      <c r="S1309" s="25">
        <v>1</v>
      </c>
      <c r="T1309" s="25">
        <v>1</v>
      </c>
      <c r="U1309" s="25">
        <v>1</v>
      </c>
      <c r="V1309" s="13">
        <v>1</v>
      </c>
      <c r="W1309" s="13" t="str">
        <f>MID(A1309, SEARCH("_", A1309) +1, SEARCH("_", A1309, SEARCH("_", A1309) +1) - SEARCH("_", A1309) -1)</f>
        <v>Closure-51</v>
      </c>
      <c r="Y1309" s="1" t="str">
        <f t="shared" si="58"/>
        <v>NO</v>
      </c>
      <c r="Z1309" s="1" t="str">
        <f t="shared" si="59"/>
        <v>NO</v>
      </c>
      <c r="AA1309" t="s">
        <v>1704</v>
      </c>
      <c r="AB1309" t="s">
        <v>1704</v>
      </c>
      <c r="AC1309" s="1" t="s">
        <v>1705</v>
      </c>
      <c r="AD1309" s="1" t="s">
        <v>1704</v>
      </c>
      <c r="AE1309" s="1" t="s">
        <v>1705</v>
      </c>
      <c r="AF1309" s="1" t="s">
        <v>1704</v>
      </c>
    </row>
    <row r="1310" spans="1:32" ht="15" x14ac:dyDescent="0.35">
      <c r="A1310" s="7" t="s">
        <v>1594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>LEFT($A1310,FIND("_",$A1310)-1)</f>
        <v>Kali-A</v>
      </c>
      <c r="P1310" s="13" t="str">
        <f>IF($O1310="ACS", "True Search", IF($O1310="Arja", "Evolutionary Search", IF($O1310="AVATAR", "True Pattern", IF($O1310="CapGen", "Search Like Pattern", IF($O1310="Cardumen", "True Semantic", IF($O1310="DynaMoth", "True Semantic", IF($O1310="FixMiner", "True Pattern", IF($O1310="GenProg-A", "Evolutionary Search", IF($O1310="Hercules", "Learning Pattern", IF($O1310="Jaid", "True Semantic",
IF($O1310="Kali-A", "True Search", IF($O1310="kPAR", "True Pattern", IF($O1310="Nopol", "True Semantic", IF($O1310="RSRepair-A", "Evolutionary Search", IF($O1310="SequenceR", "Deep Learning", IF($O1310="SimFix", "Search Like Pattern", IF($O1310="SketchFix", "True Pattern", IF($O1310="SOFix", "True Pattern", IF($O1310="ssFix", "Search Like Pattern", IF($O1310="TBar", "True Pattern", ""))))))))))))))))))))</f>
        <v>True Search</v>
      </c>
      <c r="Q1310" s="13" t="str">
        <f>IF(NOT(ISERR(SEARCH("*_Buggy",$A1310))), "Buggy", IF(NOT(ISERR(SEARCH("*_Fixed",$A1310))), "Fixed", IF(NOT(ISERR(SEARCH("*_Repaired",$A1310))), "Repaired", "")))</f>
        <v>Repaired</v>
      </c>
      <c r="R1310" s="13" t="s">
        <v>1669</v>
      </c>
      <c r="S1310" s="25">
        <v>1</v>
      </c>
      <c r="T1310" s="25">
        <v>1</v>
      </c>
      <c r="U1310" s="25">
        <v>1</v>
      </c>
      <c r="V1310" s="13">
        <v>1</v>
      </c>
      <c r="W1310" s="13" t="str">
        <f>MID(A1310, SEARCH("_", A1310) +1, SEARCH("_", A1310, SEARCH("_", A1310) +1) - SEARCH("_", A1310) -1)</f>
        <v>Closure-55</v>
      </c>
      <c r="Y1310" s="1" t="str">
        <f t="shared" si="58"/>
        <v>NO</v>
      </c>
      <c r="Z1310" s="1" t="str">
        <f t="shared" si="59"/>
        <v>NO</v>
      </c>
      <c r="AA1310" t="s">
        <v>1704</v>
      </c>
      <c r="AB1310" t="s">
        <v>1704</v>
      </c>
      <c r="AC1310" s="1" t="s">
        <v>1704</v>
      </c>
      <c r="AD1310" s="1" t="s">
        <v>1704</v>
      </c>
      <c r="AE1310" s="1" t="s">
        <v>1704</v>
      </c>
      <c r="AF1310" s="1" t="s">
        <v>1704</v>
      </c>
    </row>
    <row r="1311" spans="1:32" ht="15" x14ac:dyDescent="0.35">
      <c r="A1311" s="5" t="s">
        <v>1595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>LEFT($A1311,FIND("_",$A1311)-1)</f>
        <v>Kali-A</v>
      </c>
      <c r="P1311" s="13" t="str">
        <f>IF($O1311="ACS", "True Search", IF($O1311="Arja", "Evolutionary Search", IF($O1311="AVATAR", "True Pattern", IF($O1311="CapGen", "Search Like Pattern", IF($O1311="Cardumen", "True Semantic", IF($O1311="DynaMoth", "True Semantic", IF($O1311="FixMiner", "True Pattern", IF($O1311="GenProg-A", "Evolutionary Search", IF($O1311="Hercules", "Learning Pattern", IF($O1311="Jaid", "True Semantic",
IF($O1311="Kali-A", "True Search", IF($O1311="kPAR", "True Pattern", IF($O1311="Nopol", "True Semantic", IF($O1311="RSRepair-A", "Evolutionary Search", IF($O1311="SequenceR", "Deep Learning", IF($O1311="SimFix", "Search Like Pattern", IF($O1311="SketchFix", "True Pattern", IF($O1311="SOFix", "True Pattern", IF($O1311="ssFix", "Search Like Pattern", IF($O1311="TBar", "True Pattern", ""))))))))))))))))))))</f>
        <v>True Search</v>
      </c>
      <c r="Q1311" s="13" t="str">
        <f>IF(NOT(ISERR(SEARCH("*_Buggy",$A1311))), "Buggy", IF(NOT(ISERR(SEARCH("*_Fixed",$A1311))), "Fixed", IF(NOT(ISERR(SEARCH("*_Repaired",$A1311))), "Repaired", "")))</f>
        <v>Repaired</v>
      </c>
      <c r="R1311" s="13" t="s">
        <v>1669</v>
      </c>
      <c r="S1311" s="25">
        <v>1</v>
      </c>
      <c r="T1311" s="25">
        <v>1</v>
      </c>
      <c r="U1311" s="25">
        <v>1</v>
      </c>
      <c r="V1311" s="13">
        <v>1</v>
      </c>
      <c r="W1311" s="13" t="str">
        <f>MID(A1311, SEARCH("_", A1311) +1, SEARCH("_", A1311, SEARCH("_", A1311) +1) - SEARCH("_", A1311) -1)</f>
        <v>Closure-66</v>
      </c>
      <c r="Y1311" s="1" t="str">
        <f t="shared" si="58"/>
        <v>NO</v>
      </c>
      <c r="Z1311" s="1" t="str">
        <f t="shared" si="59"/>
        <v>NO</v>
      </c>
      <c r="AA1311" t="s">
        <v>1704</v>
      </c>
      <c r="AB1311" t="s">
        <v>1704</v>
      </c>
      <c r="AC1311" s="1" t="s">
        <v>1704</v>
      </c>
      <c r="AD1311" s="1" t="s">
        <v>1704</v>
      </c>
      <c r="AE1311" s="1" t="s">
        <v>1704</v>
      </c>
      <c r="AF1311" s="1" t="s">
        <v>1704</v>
      </c>
    </row>
    <row r="1312" spans="1:32" ht="15" x14ac:dyDescent="0.35">
      <c r="A1312" s="5" t="s">
        <v>1596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>LEFT($A1312,FIND("_",$A1312)-1)</f>
        <v>Kali-A</v>
      </c>
      <c r="P1312" s="13" t="str">
        <f>IF($O1312="ACS", "True Search", IF($O1312="Arja", "Evolutionary Search", IF($O1312="AVATAR", "True Pattern", IF($O1312="CapGen", "Search Like Pattern", IF($O1312="Cardumen", "True Semantic", IF($O1312="DynaMoth", "True Semantic", IF($O1312="FixMiner", "True Pattern", IF($O1312="GenProg-A", "Evolutionary Search", IF($O1312="Hercules", "Learning Pattern", IF($O1312="Jaid", "True Semantic",
IF($O1312="Kali-A", "True Search", IF($O1312="kPAR", "True Pattern", IF($O1312="Nopol", "True Semantic", IF($O1312="RSRepair-A", "Evolutionary Search", IF($O1312="SequenceR", "Deep Learning", IF($O1312="SimFix", "Search Like Pattern", IF($O1312="SketchFix", "True Pattern", IF($O1312="SOFix", "True Pattern", IF($O1312="ssFix", "Search Like Pattern", IF($O1312="TBar", "True Pattern", ""))))))))))))))))))))</f>
        <v>True Search</v>
      </c>
      <c r="Q1312" s="13" t="str">
        <f>IF(NOT(ISERR(SEARCH("*_Buggy",$A1312))), "Buggy", IF(NOT(ISERR(SEARCH("*_Fixed",$A1312))), "Fixed", IF(NOT(ISERR(SEARCH("*_Repaired",$A1312))), "Repaired", "")))</f>
        <v>Repaired</v>
      </c>
      <c r="R1312" s="13" t="s">
        <v>1669</v>
      </c>
      <c r="S1312" s="25">
        <v>1</v>
      </c>
      <c r="T1312" s="25">
        <v>3</v>
      </c>
      <c r="U1312" s="25">
        <v>1</v>
      </c>
      <c r="V1312" s="13">
        <v>3</v>
      </c>
      <c r="W1312" s="13" t="str">
        <f>MID(A1312, SEARCH("_", A1312) +1, SEARCH("_", A1312, SEARCH("_", A1312) +1) - SEARCH("_", A1312) -1)</f>
        <v>Closure-7</v>
      </c>
      <c r="Y1312" s="1" t="str">
        <f t="shared" si="58"/>
        <v>NO</v>
      </c>
      <c r="Z1312" s="1" t="str">
        <f t="shared" si="59"/>
        <v>NO</v>
      </c>
      <c r="AA1312" t="s">
        <v>1704</v>
      </c>
      <c r="AB1312" t="s">
        <v>1704</v>
      </c>
      <c r="AC1312" s="1" t="s">
        <v>1704</v>
      </c>
      <c r="AD1312" s="1" t="s">
        <v>1704</v>
      </c>
      <c r="AE1312" s="1" t="s">
        <v>1704</v>
      </c>
      <c r="AF1312" s="1" t="s">
        <v>1705</v>
      </c>
    </row>
    <row r="1313" spans="1:32" ht="15" x14ac:dyDescent="0.35">
      <c r="A1313" s="5" t="s">
        <v>1597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>LEFT($A1313,FIND("_",$A1313)-1)</f>
        <v>Kali-A</v>
      </c>
      <c r="P1313" s="13" t="str">
        <f>IF($O1313="ACS", "True Search", IF($O1313="Arja", "Evolutionary Search", IF($O1313="AVATAR", "True Pattern", IF($O1313="CapGen", "Search Like Pattern", IF($O1313="Cardumen", "True Semantic", IF($O1313="DynaMoth", "True Semantic", IF($O1313="FixMiner", "True Pattern", IF($O1313="GenProg-A", "Evolutionary Search", IF($O1313="Hercules", "Learning Pattern", IF($O1313="Jaid", "True Semantic",
IF($O1313="Kali-A", "True Search", IF($O1313="kPAR", "True Pattern", IF($O1313="Nopol", "True Semantic", IF($O1313="RSRepair-A", "Evolutionary Search", IF($O1313="SequenceR", "Deep Learning", IF($O1313="SimFix", "Search Like Pattern", IF($O1313="SketchFix", "True Pattern", IF($O1313="SOFix", "True Pattern", IF($O1313="ssFix", "Search Like Pattern", IF($O1313="TBar", "True Pattern", ""))))))))))))))))))))</f>
        <v>True Search</v>
      </c>
      <c r="Q1313" s="13" t="str">
        <f>IF(NOT(ISERR(SEARCH("*_Buggy",$A1313))), "Buggy", IF(NOT(ISERR(SEARCH("*_Fixed",$A1313))), "Fixed", IF(NOT(ISERR(SEARCH("*_Repaired",$A1313))), "Repaired", "")))</f>
        <v>Repaired</v>
      </c>
      <c r="R1313" s="13" t="s">
        <v>1669</v>
      </c>
      <c r="S1313" s="25">
        <v>1</v>
      </c>
      <c r="T1313" s="25">
        <v>1</v>
      </c>
      <c r="U1313" s="25">
        <v>4</v>
      </c>
      <c r="V1313" s="13">
        <v>4</v>
      </c>
      <c r="W1313" s="13" t="str">
        <f>MID(A1313, SEARCH("_", A1313) +1, SEARCH("_", A1313, SEARCH("_", A1313) +1) - SEARCH("_", A1313) -1)</f>
        <v>Closure-75</v>
      </c>
      <c r="Y1313" s="1" t="str">
        <f t="shared" si="58"/>
        <v>NO</v>
      </c>
      <c r="Z1313" s="1" t="str">
        <f t="shared" si="59"/>
        <v>NO</v>
      </c>
      <c r="AA1313" t="s">
        <v>1704</v>
      </c>
      <c r="AB1313" t="s">
        <v>1704</v>
      </c>
      <c r="AC1313" s="1" t="s">
        <v>1704</v>
      </c>
      <c r="AD1313" s="1" t="s">
        <v>1704</v>
      </c>
      <c r="AE1313" s="1" t="s">
        <v>1704</v>
      </c>
      <c r="AF1313" s="1" t="s">
        <v>1705</v>
      </c>
    </row>
    <row r="1314" spans="1:32" ht="15" x14ac:dyDescent="0.35">
      <c r="A1314" s="5" t="s">
        <v>1598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>LEFT($A1314,FIND("_",$A1314)-1)</f>
        <v>Kali-A</v>
      </c>
      <c r="P1314" s="13" t="str">
        <f>IF($O1314="ACS", "True Search", IF($O1314="Arja", "Evolutionary Search", IF($O1314="AVATAR", "True Pattern", IF($O1314="CapGen", "Search Like Pattern", IF($O1314="Cardumen", "True Semantic", IF($O1314="DynaMoth", "True Semantic", IF($O1314="FixMiner", "True Pattern", IF($O1314="GenProg-A", "Evolutionary Search", IF($O1314="Hercules", "Learning Pattern", IF($O1314="Jaid", "True Semantic",
IF($O1314="Kali-A", "True Search", IF($O1314="kPAR", "True Pattern", IF($O1314="Nopol", "True Semantic", IF($O1314="RSRepair-A", "Evolutionary Search", IF($O1314="SequenceR", "Deep Learning", IF($O1314="SimFix", "Search Like Pattern", IF($O1314="SketchFix", "True Pattern", IF($O1314="SOFix", "True Pattern", IF($O1314="ssFix", "Search Like Pattern", IF($O1314="TBar", "True Pattern", ""))))))))))))))))))))</f>
        <v>True Search</v>
      </c>
      <c r="Q1314" s="13" t="str">
        <f>IF(NOT(ISERR(SEARCH("*_Buggy",$A1314))), "Buggy", IF(NOT(ISERR(SEARCH("*_Fixed",$A1314))), "Fixed", IF(NOT(ISERR(SEARCH("*_Repaired",$A1314))), "Repaired", "")))</f>
        <v>Repaired</v>
      </c>
      <c r="R1314" s="13" t="s">
        <v>1668</v>
      </c>
      <c r="S1314" s="25">
        <v>1</v>
      </c>
      <c r="T1314" s="25">
        <v>1</v>
      </c>
      <c r="U1314" s="25">
        <v>1</v>
      </c>
      <c r="V1314" s="13">
        <v>1</v>
      </c>
      <c r="W1314" s="13" t="str">
        <f>MID(A1314, SEARCH("_", A1314) +1, SEARCH("_", A1314, SEARCH("_", A1314) +1) - SEARCH("_", A1314) -1)</f>
        <v>Closure-86</v>
      </c>
      <c r="Y1314" s="1" t="str">
        <f t="shared" si="58"/>
        <v>NO</v>
      </c>
      <c r="Z1314" s="1" t="str">
        <f t="shared" si="59"/>
        <v>NO</v>
      </c>
      <c r="AA1314" t="s">
        <v>1704</v>
      </c>
      <c r="AB1314" t="s">
        <v>1704</v>
      </c>
      <c r="AC1314" s="1" t="s">
        <v>1705</v>
      </c>
      <c r="AD1314" s="1" t="s">
        <v>1704</v>
      </c>
      <c r="AE1314" s="1" t="s">
        <v>1705</v>
      </c>
      <c r="AF1314" s="1" t="s">
        <v>1704</v>
      </c>
    </row>
    <row r="1315" spans="1:32" ht="15" x14ac:dyDescent="0.35">
      <c r="A1315" s="7" t="s">
        <v>1599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>LEFT($A1315,FIND("_",$A1315)-1)</f>
        <v>Kali-A</v>
      </c>
      <c r="P1315" s="13" t="str">
        <f>IF($O1315="ACS", "True Search", IF($O1315="Arja", "Evolutionary Search", IF($O1315="AVATAR", "True Pattern", IF($O1315="CapGen", "Search Like Pattern", IF($O1315="Cardumen", "True Semantic", IF($O1315="DynaMoth", "True Semantic", IF($O1315="FixMiner", "True Pattern", IF($O1315="GenProg-A", "Evolutionary Search", IF($O1315="Hercules", "Learning Pattern", IF($O1315="Jaid", "True Semantic",
IF($O1315="Kali-A", "True Search", IF($O1315="kPAR", "True Pattern", IF($O1315="Nopol", "True Semantic", IF($O1315="RSRepair-A", "Evolutionary Search", IF($O1315="SequenceR", "Deep Learning", IF($O1315="SimFix", "Search Like Pattern", IF($O1315="SketchFix", "True Pattern", IF($O1315="SOFix", "True Pattern", IF($O1315="ssFix", "Search Like Pattern", IF($O1315="TBar", "True Pattern", ""))))))))))))))))))))</f>
        <v>True Search</v>
      </c>
      <c r="Q1315" s="13" t="str">
        <f>IF(NOT(ISERR(SEARCH("*_Buggy",$A1315))), "Buggy", IF(NOT(ISERR(SEARCH("*_Fixed",$A1315))), "Fixed", IF(NOT(ISERR(SEARCH("*_Repaired",$A1315))), "Repaired", "")))</f>
        <v>Repaired</v>
      </c>
      <c r="R1315" s="13" t="s">
        <v>1669</v>
      </c>
      <c r="S1315" s="25">
        <v>1</v>
      </c>
      <c r="T1315" s="25">
        <v>1</v>
      </c>
      <c r="U1315" s="25">
        <v>4</v>
      </c>
      <c r="V1315" s="13">
        <v>4</v>
      </c>
      <c r="W1315" s="13" t="str">
        <f>MID(A1315, SEARCH("_", A1315) +1, SEARCH("_", A1315, SEARCH("_", A1315) +1) - SEARCH("_", A1315) -1)</f>
        <v>Lang-58</v>
      </c>
      <c r="Y1315" s="1" t="str">
        <f t="shared" si="58"/>
        <v>NO</v>
      </c>
      <c r="Z1315" s="1" t="str">
        <f t="shared" si="59"/>
        <v>NO</v>
      </c>
      <c r="AA1315" t="s">
        <v>1704</v>
      </c>
      <c r="AB1315" t="s">
        <v>1704</v>
      </c>
      <c r="AC1315" s="1" t="s">
        <v>1704</v>
      </c>
      <c r="AD1315" s="1" t="s">
        <v>1705</v>
      </c>
      <c r="AE1315" s="1" t="s">
        <v>1704</v>
      </c>
      <c r="AF1315" s="1" t="s">
        <v>1705</v>
      </c>
    </row>
    <row r="1316" spans="1:32" ht="15" x14ac:dyDescent="0.35">
      <c r="A1316" s="7" t="s">
        <v>1600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>LEFT($A1316,FIND("_",$A1316)-1)</f>
        <v>Kali-A</v>
      </c>
      <c r="P1316" s="13" t="str">
        <f>IF($O1316="ACS", "True Search", IF($O1316="Arja", "Evolutionary Search", IF($O1316="AVATAR", "True Pattern", IF($O1316="CapGen", "Search Like Pattern", IF($O1316="Cardumen", "True Semantic", IF($O1316="DynaMoth", "True Semantic", IF($O1316="FixMiner", "True Pattern", IF($O1316="GenProg-A", "Evolutionary Search", IF($O1316="Hercules", "Learning Pattern", IF($O1316="Jaid", "True Semantic",
IF($O1316="Kali-A", "True Search", IF($O1316="kPAR", "True Pattern", IF($O1316="Nopol", "True Semantic", IF($O1316="RSRepair-A", "Evolutionary Search", IF($O1316="SequenceR", "Deep Learning", IF($O1316="SimFix", "Search Like Pattern", IF($O1316="SketchFix", "True Pattern", IF($O1316="SOFix", "True Pattern", IF($O1316="ssFix", "Search Like Pattern", IF($O1316="TBar", "True Pattern", ""))))))))))))))))))))</f>
        <v>True Search</v>
      </c>
      <c r="Q1316" s="13" t="str">
        <f>IF(NOT(ISERR(SEARCH("*_Buggy",$A1316))), "Buggy", IF(NOT(ISERR(SEARCH("*_Fixed",$A1316))), "Fixed", IF(NOT(ISERR(SEARCH("*_Repaired",$A1316))), "Repaired", "")))</f>
        <v>Repaired</v>
      </c>
      <c r="R1316" s="13" t="s">
        <v>1669</v>
      </c>
      <c r="S1316" s="25">
        <v>2</v>
      </c>
      <c r="T1316" s="13">
        <v>2</v>
      </c>
      <c r="U1316" s="25">
        <v>0</v>
      </c>
      <c r="V1316" s="13">
        <v>2</v>
      </c>
      <c r="W1316" s="13" t="str">
        <f>MID(A1316, SEARCH("_", A1316) +1, SEARCH("_", A1316, SEARCH("_", A1316) +1) - SEARCH("_", A1316) -1)</f>
        <v>Lang-63</v>
      </c>
      <c r="Y1316" s="1" t="str">
        <f t="shared" si="58"/>
        <v>YES</v>
      </c>
      <c r="Z1316" s="1" t="str">
        <f t="shared" si="59"/>
        <v>NO</v>
      </c>
      <c r="AA1316" t="s">
        <v>1704</v>
      </c>
      <c r="AB1316" t="s">
        <v>1704</v>
      </c>
      <c r="AC1316" s="1" t="s">
        <v>1704</v>
      </c>
      <c r="AD1316" s="1" t="s">
        <v>1704</v>
      </c>
      <c r="AE1316" s="1" t="s">
        <v>1704</v>
      </c>
      <c r="AF1316" s="1" t="s">
        <v>1705</v>
      </c>
    </row>
    <row r="1317" spans="1:32" ht="15" x14ac:dyDescent="0.35">
      <c r="A1317" s="5" t="s">
        <v>1601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>LEFT($A1317,FIND("_",$A1317)-1)</f>
        <v>Kali-A</v>
      </c>
      <c r="P1317" s="13" t="str">
        <f>IF($O1317="ACS", "True Search", IF($O1317="Arja", "Evolutionary Search", IF($O1317="AVATAR", "True Pattern", IF($O1317="CapGen", "Search Like Pattern", IF($O1317="Cardumen", "True Semantic", IF($O1317="DynaMoth", "True Semantic", IF($O1317="FixMiner", "True Pattern", IF($O1317="GenProg-A", "Evolutionary Search", IF($O1317="Hercules", "Learning Pattern", IF($O1317="Jaid", "True Semantic",
IF($O1317="Kali-A", "True Search", IF($O1317="kPAR", "True Pattern", IF($O1317="Nopol", "True Semantic", IF($O1317="RSRepair-A", "Evolutionary Search", IF($O1317="SequenceR", "Deep Learning", IF($O1317="SimFix", "Search Like Pattern", IF($O1317="SketchFix", "True Pattern", IF($O1317="SOFix", "True Pattern", IF($O1317="ssFix", "Search Like Pattern", IF($O1317="TBar", "True Pattern", ""))))))))))))))))))))</f>
        <v>True Search</v>
      </c>
      <c r="Q1317" s="13" t="str">
        <f>IF(NOT(ISERR(SEARCH("*_Buggy",$A1317))), "Buggy", IF(NOT(ISERR(SEARCH("*_Fixed",$A1317))), "Fixed", IF(NOT(ISERR(SEARCH("*_Repaired",$A1317))), "Repaired", "")))</f>
        <v>Repaired</v>
      </c>
      <c r="R1317" s="13" t="s">
        <v>1669</v>
      </c>
      <c r="S1317" s="25">
        <v>1</v>
      </c>
      <c r="T1317" s="25">
        <v>1</v>
      </c>
      <c r="U1317" s="25">
        <v>1</v>
      </c>
      <c r="V1317" s="13">
        <v>1</v>
      </c>
      <c r="W1317" s="13" t="str">
        <f>MID(A1317, SEARCH("_", A1317) +1, SEARCH("_", A1317, SEARCH("_", A1317) +1) - SEARCH("_", A1317) -1)</f>
        <v>Math-28</v>
      </c>
      <c r="Y1317" s="1" t="str">
        <f t="shared" si="58"/>
        <v>NO</v>
      </c>
      <c r="Z1317" s="1" t="str">
        <f t="shared" si="59"/>
        <v>NO</v>
      </c>
      <c r="AA1317" t="s">
        <v>1704</v>
      </c>
      <c r="AB1317" t="s">
        <v>1704</v>
      </c>
      <c r="AC1317" s="1" t="s">
        <v>1704</v>
      </c>
      <c r="AD1317" s="1" t="s">
        <v>1704</v>
      </c>
      <c r="AE1317" s="1" t="s">
        <v>1704</v>
      </c>
      <c r="AF1317" s="1" t="s">
        <v>1704</v>
      </c>
    </row>
    <row r="1318" spans="1:32" ht="15" x14ac:dyDescent="0.35">
      <c r="A1318" s="7" t="s">
        <v>1602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>LEFT($A1318,FIND("_",$A1318)-1)</f>
        <v>Kali-A</v>
      </c>
      <c r="P1318" s="13" t="str">
        <f>IF($O1318="ACS", "True Search", IF($O1318="Arja", "Evolutionary Search", IF($O1318="AVATAR", "True Pattern", IF($O1318="CapGen", "Search Like Pattern", IF($O1318="Cardumen", "True Semantic", IF($O1318="DynaMoth", "True Semantic", IF($O1318="FixMiner", "True Pattern", IF($O1318="GenProg-A", "Evolutionary Search", IF($O1318="Hercules", "Learning Pattern", IF($O1318="Jaid", "True Semantic",
IF($O1318="Kali-A", "True Search", IF($O1318="kPAR", "True Pattern", IF($O1318="Nopol", "True Semantic", IF($O1318="RSRepair-A", "Evolutionary Search", IF($O1318="SequenceR", "Deep Learning", IF($O1318="SimFix", "Search Like Pattern", IF($O1318="SketchFix", "True Pattern", IF($O1318="SOFix", "True Pattern", IF($O1318="ssFix", "Search Like Pattern", IF($O1318="TBar", "True Pattern", ""))))))))))))))))))))</f>
        <v>True Search</v>
      </c>
      <c r="Q1318" s="13" t="str">
        <f>IF(NOT(ISERR(SEARCH("*_Buggy",$A1318))), "Buggy", IF(NOT(ISERR(SEARCH("*_Fixed",$A1318))), "Fixed", IF(NOT(ISERR(SEARCH("*_Repaired",$A1318))), "Repaired", "")))</f>
        <v>Repaired</v>
      </c>
      <c r="R1318" s="13" t="s">
        <v>1669</v>
      </c>
      <c r="S1318" s="25">
        <v>1</v>
      </c>
      <c r="T1318" s="25">
        <v>3</v>
      </c>
      <c r="U1318" s="25">
        <v>1</v>
      </c>
      <c r="V1318" s="13">
        <v>3</v>
      </c>
      <c r="W1318" s="13" t="str">
        <f>MID(A1318, SEARCH("_", A1318) +1, SEARCH("_", A1318, SEARCH("_", A1318) +1) - SEARCH("_", A1318) -1)</f>
        <v>Math-31</v>
      </c>
      <c r="Y1318" s="1" t="str">
        <f t="shared" ref="Y1318:Y1381" si="60">IF(AND(S1318&gt;1,S1318=V1318), "YES", "NO")</f>
        <v>NO</v>
      </c>
      <c r="Z1318" s="1" t="str">
        <f t="shared" ref="Z1318:Z1381" si="61">IF(AND(S1318&gt;1,S1318&lt;V1318), "YES", "NO")</f>
        <v>NO</v>
      </c>
      <c r="AA1318" t="s">
        <v>1704</v>
      </c>
      <c r="AB1318" t="s">
        <v>1704</v>
      </c>
      <c r="AC1318" s="1" t="s">
        <v>1704</v>
      </c>
      <c r="AD1318" s="1" t="s">
        <v>1704</v>
      </c>
      <c r="AE1318" s="1" t="s">
        <v>1704</v>
      </c>
      <c r="AF1318" s="1" t="s">
        <v>1705</v>
      </c>
    </row>
    <row r="1319" spans="1:32" ht="15" x14ac:dyDescent="0.35">
      <c r="A1319" s="5" t="s">
        <v>1603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>LEFT($A1319,FIND("_",$A1319)-1)</f>
        <v>Kali-A</v>
      </c>
      <c r="P1319" s="13" t="str">
        <f>IF($O1319="ACS", "True Search", IF($O1319="Arja", "Evolutionary Search", IF($O1319="AVATAR", "True Pattern", IF($O1319="CapGen", "Search Like Pattern", IF($O1319="Cardumen", "True Semantic", IF($O1319="DynaMoth", "True Semantic", IF($O1319="FixMiner", "True Pattern", IF($O1319="GenProg-A", "Evolutionary Search", IF($O1319="Hercules", "Learning Pattern", IF($O1319="Jaid", "True Semantic",
IF($O1319="Kali-A", "True Search", IF($O1319="kPAR", "True Pattern", IF($O1319="Nopol", "True Semantic", IF($O1319="RSRepair-A", "Evolutionary Search", IF($O1319="SequenceR", "Deep Learning", IF($O1319="SimFix", "Search Like Pattern", IF($O1319="SketchFix", "True Pattern", IF($O1319="SOFix", "True Pattern", IF($O1319="ssFix", "Search Like Pattern", IF($O1319="TBar", "True Pattern", ""))))))))))))))))))))</f>
        <v>True Search</v>
      </c>
      <c r="Q1319" s="13" t="str">
        <f>IF(NOT(ISERR(SEARCH("*_Buggy",$A1319))), "Buggy", IF(NOT(ISERR(SEARCH("*_Fixed",$A1319))), "Fixed", IF(NOT(ISERR(SEARCH("*_Repaired",$A1319))), "Repaired", "")))</f>
        <v>Repaired</v>
      </c>
      <c r="R1319" s="13" t="s">
        <v>1669</v>
      </c>
      <c r="S1319" s="25">
        <v>1</v>
      </c>
      <c r="T1319" s="25">
        <v>1</v>
      </c>
      <c r="U1319" s="25">
        <v>1</v>
      </c>
      <c r="V1319" s="13">
        <v>1</v>
      </c>
      <c r="W1319" s="13" t="str">
        <f>MID(A1319, SEARCH("_", A1319) +1, SEARCH("_", A1319, SEARCH("_", A1319) +1) - SEARCH("_", A1319) -1)</f>
        <v>Math-32</v>
      </c>
      <c r="Y1319" s="1" t="str">
        <f t="shared" si="60"/>
        <v>NO</v>
      </c>
      <c r="Z1319" s="1" t="str">
        <f t="shared" si="61"/>
        <v>NO</v>
      </c>
      <c r="AA1319" t="s">
        <v>1704</v>
      </c>
      <c r="AB1319" t="s">
        <v>1704</v>
      </c>
      <c r="AC1319" s="1" t="s">
        <v>1705</v>
      </c>
      <c r="AD1319" s="1" t="s">
        <v>1704</v>
      </c>
      <c r="AE1319" s="1" t="s">
        <v>1705</v>
      </c>
      <c r="AF1319" s="1" t="s">
        <v>1704</v>
      </c>
    </row>
    <row r="1320" spans="1:32" ht="15" x14ac:dyDescent="0.35">
      <c r="A1320" s="5" t="s">
        <v>1604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>LEFT($A1320,FIND("_",$A1320)-1)</f>
        <v>Kali-A</v>
      </c>
      <c r="P1320" s="13" t="str">
        <f>IF($O1320="ACS", "True Search", IF($O1320="Arja", "Evolutionary Search", IF($O1320="AVATAR", "True Pattern", IF($O1320="CapGen", "Search Like Pattern", IF($O1320="Cardumen", "True Semantic", IF($O1320="DynaMoth", "True Semantic", IF($O1320="FixMiner", "True Pattern", IF($O1320="GenProg-A", "Evolutionary Search", IF($O1320="Hercules", "Learning Pattern", IF($O1320="Jaid", "True Semantic",
IF($O1320="Kali-A", "True Search", IF($O1320="kPAR", "True Pattern", IF($O1320="Nopol", "True Semantic", IF($O1320="RSRepair-A", "Evolutionary Search", IF($O1320="SequenceR", "Deep Learning", IF($O1320="SimFix", "Search Like Pattern", IF($O1320="SketchFix", "True Pattern", IF($O1320="SOFix", "True Pattern", IF($O1320="ssFix", "Search Like Pattern", IF($O1320="TBar", "True Pattern", ""))))))))))))))))))))</f>
        <v>True Search</v>
      </c>
      <c r="Q1320" s="13" t="str">
        <f>IF(NOT(ISERR(SEARCH("*_Buggy",$A1320))), "Buggy", IF(NOT(ISERR(SEARCH("*_Fixed",$A1320))), "Fixed", IF(NOT(ISERR(SEARCH("*_Repaired",$A1320))), "Repaired", "")))</f>
        <v>Repaired</v>
      </c>
      <c r="R1320" s="13" t="s">
        <v>1669</v>
      </c>
      <c r="S1320" s="25">
        <v>1</v>
      </c>
      <c r="T1320" s="25">
        <v>1</v>
      </c>
      <c r="U1320" s="25">
        <v>1</v>
      </c>
      <c r="V1320" s="13">
        <v>1</v>
      </c>
      <c r="W1320" s="13" t="str">
        <f>MID(A1320, SEARCH("_", A1320) +1, SEARCH("_", A1320, SEARCH("_", A1320) +1) - SEARCH("_", A1320) -1)</f>
        <v>Math-49</v>
      </c>
      <c r="Y1320" s="1" t="str">
        <f t="shared" si="60"/>
        <v>NO</v>
      </c>
      <c r="Z1320" s="1" t="str">
        <f t="shared" si="61"/>
        <v>NO</v>
      </c>
      <c r="AA1320" t="s">
        <v>1704</v>
      </c>
      <c r="AB1320" t="s">
        <v>1704</v>
      </c>
      <c r="AC1320" s="1" t="s">
        <v>1704</v>
      </c>
      <c r="AD1320" s="1" t="s">
        <v>1704</v>
      </c>
      <c r="AE1320" s="1" t="s">
        <v>1704</v>
      </c>
      <c r="AF1320" s="1" t="s">
        <v>1704</v>
      </c>
    </row>
    <row r="1321" spans="1:32" ht="15" x14ac:dyDescent="0.35">
      <c r="A1321" s="7" t="s">
        <v>1605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>LEFT($A1321,FIND("_",$A1321)-1)</f>
        <v>Kali-A</v>
      </c>
      <c r="P1321" s="13" t="str">
        <f>IF($O1321="ACS", "True Search", IF($O1321="Arja", "Evolutionary Search", IF($O1321="AVATAR", "True Pattern", IF($O1321="CapGen", "Search Like Pattern", IF($O1321="Cardumen", "True Semantic", IF($O1321="DynaMoth", "True Semantic", IF($O1321="FixMiner", "True Pattern", IF($O1321="GenProg-A", "Evolutionary Search", IF($O1321="Hercules", "Learning Pattern", IF($O1321="Jaid", "True Semantic",
IF($O1321="Kali-A", "True Search", IF($O1321="kPAR", "True Pattern", IF($O1321="Nopol", "True Semantic", IF($O1321="RSRepair-A", "Evolutionary Search", IF($O1321="SequenceR", "Deep Learning", IF($O1321="SimFix", "Search Like Pattern", IF($O1321="SketchFix", "True Pattern", IF($O1321="SOFix", "True Pattern", IF($O1321="ssFix", "Search Like Pattern", IF($O1321="TBar", "True Pattern", ""))))))))))))))))))))</f>
        <v>True Search</v>
      </c>
      <c r="Q1321" s="13" t="str">
        <f>IF(NOT(ISERR(SEARCH("*_Buggy",$A1321))), "Buggy", IF(NOT(ISERR(SEARCH("*_Fixed",$A1321))), "Fixed", IF(NOT(ISERR(SEARCH("*_Repaired",$A1321))), "Repaired", "")))</f>
        <v>Repaired</v>
      </c>
      <c r="R1321" s="13" t="s">
        <v>1668</v>
      </c>
      <c r="S1321" s="25">
        <v>1</v>
      </c>
      <c r="T1321" s="25">
        <v>1</v>
      </c>
      <c r="U1321" s="25">
        <v>1</v>
      </c>
      <c r="V1321" s="13">
        <v>1</v>
      </c>
      <c r="W1321" s="13" t="str">
        <f>MID(A1321, SEARCH("_", A1321) +1, SEARCH("_", A1321, SEARCH("_", A1321) +1) - SEARCH("_", A1321) -1)</f>
        <v>Math-50</v>
      </c>
      <c r="Y1321" s="1" t="str">
        <f t="shared" si="60"/>
        <v>NO</v>
      </c>
      <c r="Z1321" s="1" t="str">
        <f t="shared" si="61"/>
        <v>NO</v>
      </c>
      <c r="AA1321" t="s">
        <v>1704</v>
      </c>
      <c r="AB1321" t="s">
        <v>1704</v>
      </c>
      <c r="AC1321" s="1" t="s">
        <v>1704</v>
      </c>
      <c r="AD1321" s="1" t="s">
        <v>1704</v>
      </c>
      <c r="AE1321" s="1" t="s">
        <v>1704</v>
      </c>
      <c r="AF1321" s="1" t="s">
        <v>1704</v>
      </c>
    </row>
    <row r="1322" spans="1:32" ht="15" x14ac:dyDescent="0.35">
      <c r="A1322" s="7" t="s">
        <v>1606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>LEFT($A1322,FIND("_",$A1322)-1)</f>
        <v>Kali-A</v>
      </c>
      <c r="P1322" s="13" t="str">
        <f>IF($O1322="ACS", "True Search", IF($O1322="Arja", "Evolutionary Search", IF($O1322="AVATAR", "True Pattern", IF($O1322="CapGen", "Search Like Pattern", IF($O1322="Cardumen", "True Semantic", IF($O1322="DynaMoth", "True Semantic", IF($O1322="FixMiner", "True Pattern", IF($O1322="GenProg-A", "Evolutionary Search", IF($O1322="Hercules", "Learning Pattern", IF($O1322="Jaid", "True Semantic",
IF($O1322="Kali-A", "True Search", IF($O1322="kPAR", "True Pattern", IF($O1322="Nopol", "True Semantic", IF($O1322="RSRepair-A", "Evolutionary Search", IF($O1322="SequenceR", "Deep Learning", IF($O1322="SimFix", "Search Like Pattern", IF($O1322="SketchFix", "True Pattern", IF($O1322="SOFix", "True Pattern", IF($O1322="ssFix", "Search Like Pattern", IF($O1322="TBar", "True Pattern", ""))))))))))))))))))))</f>
        <v>True Search</v>
      </c>
      <c r="Q1322" s="13" t="str">
        <f>IF(NOT(ISERR(SEARCH("*_Buggy",$A1322))), "Buggy", IF(NOT(ISERR(SEARCH("*_Fixed",$A1322))), "Fixed", IF(NOT(ISERR(SEARCH("*_Repaired",$A1322))), "Repaired", "")))</f>
        <v>Repaired</v>
      </c>
      <c r="R1322" s="13" t="s">
        <v>1669</v>
      </c>
      <c r="S1322" s="25">
        <v>1</v>
      </c>
      <c r="T1322" s="25">
        <v>3</v>
      </c>
      <c r="U1322" s="25">
        <v>1</v>
      </c>
      <c r="V1322" s="13">
        <v>3</v>
      </c>
      <c r="W1322" s="13" t="str">
        <f>MID(A1322, SEARCH("_", A1322) +1, SEARCH("_", A1322, SEARCH("_", A1322) +1) - SEARCH("_", A1322) -1)</f>
        <v>Math-80</v>
      </c>
      <c r="Y1322" s="1" t="str">
        <f t="shared" si="60"/>
        <v>NO</v>
      </c>
      <c r="Z1322" s="1" t="str">
        <f t="shared" si="61"/>
        <v>NO</v>
      </c>
      <c r="AA1322" t="s">
        <v>1704</v>
      </c>
      <c r="AB1322" t="s">
        <v>1704</v>
      </c>
      <c r="AC1322" s="1" t="s">
        <v>1704</v>
      </c>
      <c r="AD1322" s="1" t="s">
        <v>1704</v>
      </c>
      <c r="AE1322" s="1" t="s">
        <v>1704</v>
      </c>
      <c r="AF1322" s="1" t="s">
        <v>1704</v>
      </c>
    </row>
    <row r="1323" spans="1:32" ht="15" x14ac:dyDescent="0.35">
      <c r="A1323" s="5" t="s">
        <v>1607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>LEFT($A1323,FIND("_",$A1323)-1)</f>
        <v>Kali-A</v>
      </c>
      <c r="P1323" s="13" t="str">
        <f>IF($O1323="ACS", "True Search", IF($O1323="Arja", "Evolutionary Search", IF($O1323="AVATAR", "True Pattern", IF($O1323="CapGen", "Search Like Pattern", IF($O1323="Cardumen", "True Semantic", IF($O1323="DynaMoth", "True Semantic", IF($O1323="FixMiner", "True Pattern", IF($O1323="GenProg-A", "Evolutionary Search", IF($O1323="Hercules", "Learning Pattern", IF($O1323="Jaid", "True Semantic",
IF($O1323="Kali-A", "True Search", IF($O1323="kPAR", "True Pattern", IF($O1323="Nopol", "True Semantic", IF($O1323="RSRepair-A", "Evolutionary Search", IF($O1323="SequenceR", "Deep Learning", IF($O1323="SimFix", "Search Like Pattern", IF($O1323="SketchFix", "True Pattern", IF($O1323="SOFix", "True Pattern", IF($O1323="ssFix", "Search Like Pattern", IF($O1323="TBar", "True Pattern", ""))))))))))))))))))))</f>
        <v>True Search</v>
      </c>
      <c r="Q1323" s="13" t="str">
        <f>IF(NOT(ISERR(SEARCH("*_Buggy",$A1323))), "Buggy", IF(NOT(ISERR(SEARCH("*_Fixed",$A1323))), "Fixed", IF(NOT(ISERR(SEARCH("*_Repaired",$A1323))), "Repaired", "")))</f>
        <v>Repaired</v>
      </c>
      <c r="R1323" s="13" t="s">
        <v>1669</v>
      </c>
      <c r="S1323" s="25">
        <v>1</v>
      </c>
      <c r="T1323" s="25">
        <v>1</v>
      </c>
      <c r="U1323" s="25">
        <v>1</v>
      </c>
      <c r="V1323" s="13">
        <v>1</v>
      </c>
      <c r="W1323" s="13" t="str">
        <f>MID(A1323, SEARCH("_", A1323) +1, SEARCH("_", A1323, SEARCH("_", A1323) +1) - SEARCH("_", A1323) -1)</f>
        <v>Math-81</v>
      </c>
      <c r="Y1323" s="1" t="str">
        <f t="shared" si="60"/>
        <v>NO</v>
      </c>
      <c r="Z1323" s="1" t="str">
        <f t="shared" si="61"/>
        <v>NO</v>
      </c>
      <c r="AA1323" t="s">
        <v>1704</v>
      </c>
      <c r="AB1323" t="s">
        <v>1704</v>
      </c>
      <c r="AC1323" s="1" t="s">
        <v>1704</v>
      </c>
      <c r="AD1323" s="1" t="s">
        <v>1704</v>
      </c>
      <c r="AE1323" s="1" t="s">
        <v>1704</v>
      </c>
      <c r="AF1323" s="1" t="s">
        <v>1704</v>
      </c>
    </row>
    <row r="1324" spans="1:32" ht="15" x14ac:dyDescent="0.35">
      <c r="A1324" s="7" t="s">
        <v>1608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>LEFT($A1324,FIND("_",$A1324)-1)</f>
        <v>Kali-A</v>
      </c>
      <c r="P1324" s="13" t="str">
        <f>IF($O1324="ACS", "True Search", IF($O1324="Arja", "Evolutionary Search", IF($O1324="AVATAR", "True Pattern", IF($O1324="CapGen", "Search Like Pattern", IF($O1324="Cardumen", "True Semantic", IF($O1324="DynaMoth", "True Semantic", IF($O1324="FixMiner", "True Pattern", IF($O1324="GenProg-A", "Evolutionary Search", IF($O1324="Hercules", "Learning Pattern", IF($O1324="Jaid", "True Semantic",
IF($O1324="Kali-A", "True Search", IF($O1324="kPAR", "True Pattern", IF($O1324="Nopol", "True Semantic", IF($O1324="RSRepair-A", "Evolutionary Search", IF($O1324="SequenceR", "Deep Learning", IF($O1324="SimFix", "Search Like Pattern", IF($O1324="SketchFix", "True Pattern", IF($O1324="SOFix", "True Pattern", IF($O1324="ssFix", "Search Like Pattern", IF($O1324="TBar", "True Pattern", ""))))))))))))))))))))</f>
        <v>True Search</v>
      </c>
      <c r="Q1324" s="13" t="str">
        <f>IF(NOT(ISERR(SEARCH("*_Buggy",$A1324))), "Buggy", IF(NOT(ISERR(SEARCH("*_Fixed",$A1324))), "Fixed", IF(NOT(ISERR(SEARCH("*_Repaired",$A1324))), "Repaired", "")))</f>
        <v>Repaired</v>
      </c>
      <c r="R1324" s="13" t="s">
        <v>1669</v>
      </c>
      <c r="S1324" s="25">
        <v>1</v>
      </c>
      <c r="T1324" s="25">
        <v>1</v>
      </c>
      <c r="U1324" s="25">
        <v>1</v>
      </c>
      <c r="V1324" s="13">
        <v>1</v>
      </c>
      <c r="W1324" s="13" t="str">
        <f>MID(A1324, SEARCH("_", A1324) +1, SEARCH("_", A1324, SEARCH("_", A1324) +1) - SEARCH("_", A1324) -1)</f>
        <v>Math-84</v>
      </c>
      <c r="Y1324" s="1" t="str">
        <f t="shared" si="60"/>
        <v>NO</v>
      </c>
      <c r="Z1324" s="1" t="str">
        <f t="shared" si="61"/>
        <v>NO</v>
      </c>
      <c r="AA1324" t="s">
        <v>1704</v>
      </c>
      <c r="AB1324" t="s">
        <v>1704</v>
      </c>
      <c r="AC1324" s="1" t="s">
        <v>1704</v>
      </c>
      <c r="AD1324" s="1" t="s">
        <v>1704</v>
      </c>
      <c r="AE1324" s="1" t="s">
        <v>1704</v>
      </c>
      <c r="AF1324" s="1" t="s">
        <v>1704</v>
      </c>
    </row>
    <row r="1325" spans="1:32" ht="15" x14ac:dyDescent="0.35">
      <c r="A1325" s="5" t="s">
        <v>1609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>LEFT($A1325,FIND("_",$A1325)-1)</f>
        <v>Kali-A</v>
      </c>
      <c r="P1325" s="13" t="str">
        <f>IF($O1325="ACS", "True Search", IF($O1325="Arja", "Evolutionary Search", IF($O1325="AVATAR", "True Pattern", IF($O1325="CapGen", "Search Like Pattern", IF($O1325="Cardumen", "True Semantic", IF($O1325="DynaMoth", "True Semantic", IF($O1325="FixMiner", "True Pattern", IF($O1325="GenProg-A", "Evolutionary Search", IF($O1325="Hercules", "Learning Pattern", IF($O1325="Jaid", "True Semantic",
IF($O1325="Kali-A", "True Search", IF($O1325="kPAR", "True Pattern", IF($O1325="Nopol", "True Semantic", IF($O1325="RSRepair-A", "Evolutionary Search", IF($O1325="SequenceR", "Deep Learning", IF($O1325="SimFix", "Search Like Pattern", IF($O1325="SketchFix", "True Pattern", IF($O1325="SOFix", "True Pattern", IF($O1325="ssFix", "Search Like Pattern", IF($O1325="TBar", "True Pattern", ""))))))))))))))))))))</f>
        <v>True Search</v>
      </c>
      <c r="Q1325" s="13" t="str">
        <f>IF(NOT(ISERR(SEARCH("*_Buggy",$A1325))), "Buggy", IF(NOT(ISERR(SEARCH("*_Fixed",$A1325))), "Fixed", IF(NOT(ISERR(SEARCH("*_Repaired",$A1325))), "Repaired", "")))</f>
        <v>Repaired</v>
      </c>
      <c r="R1325" s="13" t="s">
        <v>1669</v>
      </c>
      <c r="S1325" s="25">
        <v>1</v>
      </c>
      <c r="T1325" s="25">
        <v>0</v>
      </c>
      <c r="U1325" s="13">
        <v>6</v>
      </c>
      <c r="V1325" s="13">
        <v>6</v>
      </c>
      <c r="W1325" s="13" t="str">
        <f>MID(A1325, SEARCH("_", A1325) +1, SEARCH("_", A1325, SEARCH("_", A1325) +1) - SEARCH("_", A1325) -1)</f>
        <v>Math-85</v>
      </c>
      <c r="Y1325" s="1" t="str">
        <f t="shared" si="60"/>
        <v>NO</v>
      </c>
      <c r="Z1325" s="1" t="str">
        <f t="shared" si="61"/>
        <v>NO</v>
      </c>
      <c r="AA1325" t="s">
        <v>1704</v>
      </c>
      <c r="AB1325" t="s">
        <v>1704</v>
      </c>
      <c r="AC1325" s="1" t="s">
        <v>1704</v>
      </c>
      <c r="AD1325" s="1" t="s">
        <v>1704</v>
      </c>
      <c r="AE1325" s="1" t="s">
        <v>1704</v>
      </c>
      <c r="AF1325" s="1" t="s">
        <v>1704</v>
      </c>
    </row>
    <row r="1326" spans="1:32" ht="15" x14ac:dyDescent="0.35">
      <c r="A1326" s="7" t="s">
        <v>1610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>LEFT($A1326,FIND("_",$A1326)-1)</f>
        <v>Kali-A</v>
      </c>
      <c r="P1326" s="13" t="str">
        <f>IF($O1326="ACS", "True Search", IF($O1326="Arja", "Evolutionary Search", IF($O1326="AVATAR", "True Pattern", IF($O1326="CapGen", "Search Like Pattern", IF($O1326="Cardumen", "True Semantic", IF($O1326="DynaMoth", "True Semantic", IF($O1326="FixMiner", "True Pattern", IF($O1326="GenProg-A", "Evolutionary Search", IF($O1326="Hercules", "Learning Pattern", IF($O1326="Jaid", "True Semantic",
IF($O1326="Kali-A", "True Search", IF($O1326="kPAR", "True Pattern", IF($O1326="Nopol", "True Semantic", IF($O1326="RSRepair-A", "Evolutionary Search", IF($O1326="SequenceR", "Deep Learning", IF($O1326="SimFix", "Search Like Pattern", IF($O1326="SketchFix", "True Pattern", IF($O1326="SOFix", "True Pattern", IF($O1326="ssFix", "Search Like Pattern", IF($O1326="TBar", "True Pattern", ""))))))))))))))))))))</f>
        <v>True Search</v>
      </c>
      <c r="Q1326" s="13" t="str">
        <f>IF(NOT(ISERR(SEARCH("*_Buggy",$A1326))), "Buggy", IF(NOT(ISERR(SEARCH("*_Fixed",$A1326))), "Fixed", IF(NOT(ISERR(SEARCH("*_Repaired",$A1326))), "Repaired", "")))</f>
        <v>Repaired</v>
      </c>
      <c r="R1326" s="13" t="s">
        <v>1669</v>
      </c>
      <c r="S1326" s="25">
        <v>1</v>
      </c>
      <c r="T1326" s="25">
        <v>3</v>
      </c>
      <c r="U1326" s="25">
        <v>1</v>
      </c>
      <c r="V1326" s="13">
        <v>3</v>
      </c>
      <c r="W1326" s="13" t="str">
        <f>MID(A1326, SEARCH("_", A1326) +1, SEARCH("_", A1326, SEARCH("_", A1326) +1) - SEARCH("_", A1326) -1)</f>
        <v>Math-95</v>
      </c>
      <c r="Y1326" s="1" t="str">
        <f t="shared" si="60"/>
        <v>NO</v>
      </c>
      <c r="Z1326" s="1" t="str">
        <f t="shared" si="61"/>
        <v>NO</v>
      </c>
      <c r="AA1326" t="s">
        <v>1704</v>
      </c>
      <c r="AB1326" t="s">
        <v>1704</v>
      </c>
      <c r="AC1326" s="1" t="s">
        <v>1704</v>
      </c>
      <c r="AD1326" s="1" t="s">
        <v>1704</v>
      </c>
      <c r="AE1326" s="1" t="s">
        <v>1704</v>
      </c>
      <c r="AF1326" s="1" t="s">
        <v>1705</v>
      </c>
    </row>
    <row r="1327" spans="1:32" ht="15" x14ac:dyDescent="0.35">
      <c r="A1327" s="7" t="s">
        <v>597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>LEFT($A1327,FIND("_",$A1327)-1)</f>
        <v>kPAR</v>
      </c>
      <c r="P1327" s="13" t="str">
        <f>IF($O1327="ACS", "True Search", IF($O1327="Arja", "Evolutionary Search", IF($O1327="AVATAR", "True Pattern", IF($O1327="CapGen", "Search Like Pattern", IF($O1327="Cardumen", "True Semantic", IF($O1327="DynaMoth", "True Semantic", IF($O1327="FixMiner", "True Pattern", IF($O1327="GenProg-A", "Evolutionary Search", IF($O1327="Hercules", "Learning Pattern", IF($O1327="Jaid", "True Semantic",
IF($O1327="Kali-A", "True Search", IF($O1327="kPAR", "True Pattern", IF($O1327="Nopol", "True Semantic", IF($O1327="RSRepair-A", "Evolutionary Search", IF($O1327="SequenceR", "Deep Learning", IF($O1327="SimFix", "Search Like Pattern", IF($O1327="SketchFix", "True Pattern", IF($O1327="SOFix", "True Pattern", IF($O1327="ssFix", "Search Like Pattern", IF($O1327="TBar", "True Pattern", ""))))))))))))))))))))</f>
        <v>True Pattern</v>
      </c>
      <c r="Q1327" s="13" t="str">
        <f>IF(NOT(ISERR(SEARCH("*_Buggy",$A1327))), "Buggy", IF(NOT(ISERR(SEARCH("*_Fixed",$A1327))), "Fixed", IF(NOT(ISERR(SEARCH("*_Repaired",$A1327))), "Repaired", "")))</f>
        <v>Repaired</v>
      </c>
      <c r="R1327" s="13" t="s">
        <v>1668</v>
      </c>
      <c r="S1327" s="25">
        <v>1</v>
      </c>
      <c r="T1327" s="25">
        <v>1</v>
      </c>
      <c r="U1327" s="25">
        <v>1</v>
      </c>
      <c r="V1327" s="13">
        <v>1</v>
      </c>
      <c r="W1327" s="13" t="str">
        <f>MID(A1327, SEARCH("_", A1327) +1, SEARCH("_", A1327, SEARCH("_", A1327) +1) - SEARCH("_", A1327) -1)</f>
        <v>Chart-1</v>
      </c>
      <c r="Y1327" s="1" t="str">
        <f t="shared" si="60"/>
        <v>NO</v>
      </c>
      <c r="Z1327" s="1" t="str">
        <f t="shared" si="61"/>
        <v>NO</v>
      </c>
      <c r="AA1327" t="s">
        <v>1704</v>
      </c>
      <c r="AB1327" t="s">
        <v>1704</v>
      </c>
      <c r="AC1327" s="1" t="s">
        <v>1705</v>
      </c>
      <c r="AD1327" s="1" t="s">
        <v>1704</v>
      </c>
      <c r="AE1327" s="1" t="s">
        <v>1705</v>
      </c>
      <c r="AF1327" s="1" t="s">
        <v>1704</v>
      </c>
    </row>
    <row r="1328" spans="1:32" ht="15" x14ac:dyDescent="0.35">
      <c r="A1328" s="7" t="s">
        <v>485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>LEFT($A1328,FIND("_",$A1328)-1)</f>
        <v>kPAR</v>
      </c>
      <c r="P1328" s="13" t="str">
        <f>IF($O1328="ACS", "True Search", IF($O1328="Arja", "Evolutionary Search", IF($O1328="AVATAR", "True Pattern", IF($O1328="CapGen", "Search Like Pattern", IF($O1328="Cardumen", "True Semantic", IF($O1328="DynaMoth", "True Semantic", IF($O1328="FixMiner", "True Pattern", IF($O1328="GenProg-A", "Evolutionary Search", IF($O1328="Hercules", "Learning Pattern", IF($O1328="Jaid", "True Semantic",
IF($O1328="Kali-A", "True Search", IF($O1328="kPAR", "True Pattern", IF($O1328="Nopol", "True Semantic", IF($O1328="RSRepair-A", "Evolutionary Search", IF($O1328="SequenceR", "Deep Learning", IF($O1328="SimFix", "Search Like Pattern", IF($O1328="SketchFix", "True Pattern", IF($O1328="SOFix", "True Pattern", IF($O1328="ssFix", "Search Like Pattern", IF($O1328="TBar", "True Pattern", ""))))))))))))))))))))</f>
        <v>True Pattern</v>
      </c>
      <c r="Q1328" s="13" t="str">
        <f>IF(NOT(ISERR(SEARCH("*_Buggy",$A1328))), "Buggy", IF(NOT(ISERR(SEARCH("*_Fixed",$A1328))), "Fixed", IF(NOT(ISERR(SEARCH("*_Repaired",$A1328))), "Repaired", "")))</f>
        <v>Repaired</v>
      </c>
      <c r="R1328" s="13" t="s">
        <v>1669</v>
      </c>
      <c r="S1328" s="25">
        <v>1</v>
      </c>
      <c r="T1328" s="25">
        <v>1</v>
      </c>
      <c r="U1328" s="25">
        <v>1</v>
      </c>
      <c r="V1328" s="13">
        <v>1</v>
      </c>
      <c r="W1328" s="13" t="str">
        <f>MID(A1328, SEARCH("_", A1328) +1, SEARCH("_", A1328, SEARCH("_", A1328) +1) - SEARCH("_", A1328) -1)</f>
        <v>Chart-13</v>
      </c>
      <c r="Y1328" s="1" t="str">
        <f t="shared" si="60"/>
        <v>NO</v>
      </c>
      <c r="Z1328" s="1" t="str">
        <f t="shared" si="61"/>
        <v>NO</v>
      </c>
      <c r="AA1328" t="s">
        <v>1704</v>
      </c>
      <c r="AB1328" t="s">
        <v>1704</v>
      </c>
      <c r="AC1328" s="1" t="s">
        <v>1705</v>
      </c>
      <c r="AD1328" s="1" t="s">
        <v>1704</v>
      </c>
      <c r="AE1328" s="1" t="s">
        <v>1705</v>
      </c>
      <c r="AF1328" s="1" t="s">
        <v>1704</v>
      </c>
    </row>
    <row r="1329" spans="1:32" ht="15" x14ac:dyDescent="0.35">
      <c r="A1329" s="5" t="s">
        <v>435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>LEFT($A1329,FIND("_",$A1329)-1)</f>
        <v>kPAR</v>
      </c>
      <c r="P1329" s="13" t="str">
        <f>IF($O1329="ACS", "True Search", IF($O1329="Arja", "Evolutionary Search", IF($O1329="AVATAR", "True Pattern", IF($O1329="CapGen", "Search Like Pattern", IF($O1329="Cardumen", "True Semantic", IF($O1329="DynaMoth", "True Semantic", IF($O1329="FixMiner", "True Pattern", IF($O1329="GenProg-A", "Evolutionary Search", IF($O1329="Hercules", "Learning Pattern", IF($O1329="Jaid", "True Semantic",
IF($O1329="Kali-A", "True Search", IF($O1329="kPAR", "True Pattern", IF($O1329="Nopol", "True Semantic", IF($O1329="RSRepair-A", "Evolutionary Search", IF($O1329="SequenceR", "Deep Learning", IF($O1329="SimFix", "Search Like Pattern", IF($O1329="SketchFix", "True Pattern", IF($O1329="SOFix", "True Pattern", IF($O1329="ssFix", "Search Like Pattern", IF($O1329="TBar", "True Pattern", ""))))))))))))))))))))</f>
        <v>True Pattern</v>
      </c>
      <c r="Q1329" s="13" t="str">
        <f>IF(NOT(ISERR(SEARCH("*_Buggy",$A1329))), "Buggy", IF(NOT(ISERR(SEARCH("*_Fixed",$A1329))), "Fixed", IF(NOT(ISERR(SEARCH("*_Repaired",$A1329))), "Repaired", "")))</f>
        <v>Repaired</v>
      </c>
      <c r="R1329" s="13" t="s">
        <v>1669</v>
      </c>
      <c r="S1329" s="25">
        <v>1</v>
      </c>
      <c r="T1329" s="25">
        <v>1</v>
      </c>
      <c r="U1329" s="25">
        <v>1</v>
      </c>
      <c r="V1329" s="13">
        <v>1</v>
      </c>
      <c r="W1329" s="13" t="str">
        <f>MID(A1329, SEARCH("_", A1329) +1, SEARCH("_", A1329, SEARCH("_", A1329) +1) - SEARCH("_", A1329) -1)</f>
        <v>Chart-17</v>
      </c>
      <c r="Y1329" s="1" t="str">
        <f t="shared" si="60"/>
        <v>NO</v>
      </c>
      <c r="Z1329" s="1" t="str">
        <f t="shared" si="61"/>
        <v>NO</v>
      </c>
      <c r="AA1329" t="s">
        <v>1704</v>
      </c>
      <c r="AB1329" t="s">
        <v>1704</v>
      </c>
      <c r="AC1329" s="1" t="s">
        <v>1704</v>
      </c>
      <c r="AD1329" s="1" t="s">
        <v>1704</v>
      </c>
      <c r="AE1329" s="1" t="s">
        <v>1704</v>
      </c>
      <c r="AF1329" s="1" t="s">
        <v>1704</v>
      </c>
    </row>
    <row r="1330" spans="1:32" ht="15" x14ac:dyDescent="0.35">
      <c r="A1330" s="5" t="s">
        <v>868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>LEFT($A1330,FIND("_",$A1330)-1)</f>
        <v>kPAR</v>
      </c>
      <c r="P1330" s="13" t="str">
        <f>IF($O1330="ACS", "True Search", IF($O1330="Arja", "Evolutionary Search", IF($O1330="AVATAR", "True Pattern", IF($O1330="CapGen", "Search Like Pattern", IF($O1330="Cardumen", "True Semantic", IF($O1330="DynaMoth", "True Semantic", IF($O1330="FixMiner", "True Pattern", IF($O1330="GenProg-A", "Evolutionary Search", IF($O1330="Hercules", "Learning Pattern", IF($O1330="Jaid", "True Semantic",
IF($O1330="Kali-A", "True Search", IF($O1330="kPAR", "True Pattern", IF($O1330="Nopol", "True Semantic", IF($O1330="RSRepair-A", "Evolutionary Search", IF($O1330="SequenceR", "Deep Learning", IF($O1330="SimFix", "Search Like Pattern", IF($O1330="SketchFix", "True Pattern", IF($O1330="SOFix", "True Pattern", IF($O1330="ssFix", "Search Like Pattern", IF($O1330="TBar", "True Pattern", ""))))))))))))))))))))</f>
        <v>True Pattern</v>
      </c>
      <c r="Q1330" s="13" t="str">
        <f>IF(NOT(ISERR(SEARCH("*_Buggy",$A1330))), "Buggy", IF(NOT(ISERR(SEARCH("*_Fixed",$A1330))), "Fixed", IF(NOT(ISERR(SEARCH("*_Repaired",$A1330))), "Repaired", "")))</f>
        <v>Repaired</v>
      </c>
      <c r="R1330" s="13" t="s">
        <v>1668</v>
      </c>
      <c r="S1330" s="25">
        <v>1</v>
      </c>
      <c r="T1330" s="25">
        <v>4</v>
      </c>
      <c r="U1330" s="25">
        <v>1</v>
      </c>
      <c r="V1330" s="13">
        <v>4</v>
      </c>
      <c r="W1330" s="13" t="str">
        <f>MID(A1330, SEARCH("_", A1330) +1, SEARCH("_", A1330, SEARCH("_", A1330) +1) - SEARCH("_", A1330) -1)</f>
        <v>Chart-19</v>
      </c>
      <c r="Y1330" s="1" t="str">
        <f t="shared" si="60"/>
        <v>NO</v>
      </c>
      <c r="Z1330" s="1" t="str">
        <f t="shared" si="61"/>
        <v>NO</v>
      </c>
      <c r="AA1330" t="s">
        <v>1704</v>
      </c>
      <c r="AB1330" t="s">
        <v>1704</v>
      </c>
      <c r="AC1330" s="1" t="s">
        <v>1704</v>
      </c>
      <c r="AD1330" s="1" t="s">
        <v>1704</v>
      </c>
      <c r="AE1330" s="1" t="s">
        <v>1704</v>
      </c>
      <c r="AF1330" s="1" t="s">
        <v>1705</v>
      </c>
    </row>
    <row r="1331" spans="1:32" ht="15" x14ac:dyDescent="0.35">
      <c r="A1331" s="7" t="s">
        <v>481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>LEFT($A1331,FIND("_",$A1331)-1)</f>
        <v>kPAR</v>
      </c>
      <c r="P1331" s="13" t="str">
        <f>IF($O1331="ACS", "True Search", IF($O1331="Arja", "Evolutionary Search", IF($O1331="AVATAR", "True Pattern", IF($O1331="CapGen", "Search Like Pattern", IF($O1331="Cardumen", "True Semantic", IF($O1331="DynaMoth", "True Semantic", IF($O1331="FixMiner", "True Pattern", IF($O1331="GenProg-A", "Evolutionary Search", IF($O1331="Hercules", "Learning Pattern", IF($O1331="Jaid", "True Semantic",
IF($O1331="Kali-A", "True Search", IF($O1331="kPAR", "True Pattern", IF($O1331="Nopol", "True Semantic", IF($O1331="RSRepair-A", "Evolutionary Search", IF($O1331="SequenceR", "Deep Learning", IF($O1331="SimFix", "Search Like Pattern", IF($O1331="SketchFix", "True Pattern", IF($O1331="SOFix", "True Pattern", IF($O1331="ssFix", "Search Like Pattern", IF($O1331="TBar", "True Pattern", ""))))))))))))))))))))</f>
        <v>True Pattern</v>
      </c>
      <c r="Q1331" s="13" t="str">
        <f>IF(NOT(ISERR(SEARCH("*_Buggy",$A1331))), "Buggy", IF(NOT(ISERR(SEARCH("*_Fixed",$A1331))), "Fixed", IF(NOT(ISERR(SEARCH("*_Repaired",$A1331))), "Repaired", "")))</f>
        <v>Repaired</v>
      </c>
      <c r="R1331" s="13" t="s">
        <v>1668</v>
      </c>
      <c r="S1331" s="25">
        <v>2</v>
      </c>
      <c r="T1331" s="25">
        <v>4</v>
      </c>
      <c r="U1331" s="25">
        <v>1</v>
      </c>
      <c r="V1331" s="13">
        <v>4</v>
      </c>
      <c r="W1331" s="13" t="str">
        <f>MID(A1331, SEARCH("_", A1331) +1, SEARCH("_", A1331, SEARCH("_", A1331) +1) - SEARCH("_", A1331) -1)</f>
        <v>Chart-26</v>
      </c>
      <c r="Y1331" s="1" t="str">
        <f t="shared" si="60"/>
        <v>NO</v>
      </c>
      <c r="Z1331" s="1" t="str">
        <f t="shared" si="61"/>
        <v>YES</v>
      </c>
      <c r="AA1331" t="s">
        <v>1704</v>
      </c>
      <c r="AB1331" t="s">
        <v>1704</v>
      </c>
      <c r="AC1331" s="1" t="s">
        <v>1704</v>
      </c>
      <c r="AD1331" s="1" t="s">
        <v>1704</v>
      </c>
      <c r="AE1331" s="1" t="s">
        <v>1704</v>
      </c>
      <c r="AF1331" s="1" t="s">
        <v>1705</v>
      </c>
    </row>
    <row r="1332" spans="1:32" ht="15" x14ac:dyDescent="0.35">
      <c r="A1332" s="7" t="s">
        <v>1148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>LEFT($A1332,FIND("_",$A1332)-1)</f>
        <v>kPAR</v>
      </c>
      <c r="P1332" s="13" t="str">
        <f>IF($O1332="ACS", "True Search", IF($O1332="Arja", "Evolutionary Search", IF($O1332="AVATAR", "True Pattern", IF($O1332="CapGen", "Search Like Pattern", IF($O1332="Cardumen", "True Semantic", IF($O1332="DynaMoth", "True Semantic", IF($O1332="FixMiner", "True Pattern", IF($O1332="GenProg-A", "Evolutionary Search", IF($O1332="Hercules", "Learning Pattern", IF($O1332="Jaid", "True Semantic",
IF($O1332="Kali-A", "True Search", IF($O1332="kPAR", "True Pattern", IF($O1332="Nopol", "True Semantic", IF($O1332="RSRepair-A", "Evolutionary Search", IF($O1332="SequenceR", "Deep Learning", IF($O1332="SimFix", "Search Like Pattern", IF($O1332="SketchFix", "True Pattern", IF($O1332="SOFix", "True Pattern", IF($O1332="ssFix", "Search Like Pattern", IF($O1332="TBar", "True Pattern", ""))))))))))))))))))))</f>
        <v>True Pattern</v>
      </c>
      <c r="Q1332" s="13" t="str">
        <f>IF(NOT(ISERR(SEARCH("*_Buggy",$A1332))), "Buggy", IF(NOT(ISERR(SEARCH("*_Fixed",$A1332))), "Fixed", IF(NOT(ISERR(SEARCH("*_Repaired",$A1332))), "Repaired", "")))</f>
        <v>Repaired</v>
      </c>
      <c r="R1332" s="13" t="s">
        <v>1669</v>
      </c>
      <c r="S1332" s="25">
        <v>1</v>
      </c>
      <c r="T1332" s="25">
        <v>1</v>
      </c>
      <c r="U1332" s="25">
        <v>1</v>
      </c>
      <c r="V1332" s="13">
        <v>1</v>
      </c>
      <c r="W1332" s="13" t="str">
        <f>MID(A1332, SEARCH("_", A1332) +1, SEARCH("_", A1332, SEARCH("_", A1332) +1) - SEARCH("_", A1332) -1)</f>
        <v>Chart-3</v>
      </c>
      <c r="Y1332" s="1" t="str">
        <f t="shared" si="60"/>
        <v>NO</v>
      </c>
      <c r="Z1332" s="1" t="str">
        <f t="shared" si="61"/>
        <v>NO</v>
      </c>
      <c r="AA1332" t="s">
        <v>1704</v>
      </c>
      <c r="AB1332" t="s">
        <v>1704</v>
      </c>
      <c r="AC1332" s="1" t="s">
        <v>1704</v>
      </c>
      <c r="AD1332" s="1" t="s">
        <v>1704</v>
      </c>
      <c r="AE1332" s="1" t="s">
        <v>1704</v>
      </c>
      <c r="AF1332" s="1" t="s">
        <v>1704</v>
      </c>
    </row>
    <row r="1333" spans="1:32" ht="15" x14ac:dyDescent="0.35">
      <c r="A1333" s="7" t="s">
        <v>812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>LEFT($A1333,FIND("_",$A1333)-1)</f>
        <v>kPAR</v>
      </c>
      <c r="P1333" s="13" t="str">
        <f>IF($O1333="ACS", "True Search", IF($O1333="Arja", "Evolutionary Search", IF($O1333="AVATAR", "True Pattern", IF($O1333="CapGen", "Search Like Pattern", IF($O1333="Cardumen", "True Semantic", IF($O1333="DynaMoth", "True Semantic", IF($O1333="FixMiner", "True Pattern", IF($O1333="GenProg-A", "Evolutionary Search", IF($O1333="Hercules", "Learning Pattern", IF($O1333="Jaid", "True Semantic",
IF($O1333="Kali-A", "True Search", IF($O1333="kPAR", "True Pattern", IF($O1333="Nopol", "True Semantic", IF($O1333="RSRepair-A", "Evolutionary Search", IF($O1333="SequenceR", "Deep Learning", IF($O1333="SimFix", "Search Like Pattern", IF($O1333="SketchFix", "True Pattern", IF($O1333="SOFix", "True Pattern", IF($O1333="ssFix", "Search Like Pattern", IF($O1333="TBar", "True Pattern", ""))))))))))))))))))))</f>
        <v>True Pattern</v>
      </c>
      <c r="Q1333" s="13" t="str">
        <f>IF(NOT(ISERR(SEARCH("*_Buggy",$A1333))), "Buggy", IF(NOT(ISERR(SEARCH("*_Fixed",$A1333))), "Fixed", IF(NOT(ISERR(SEARCH("*_Repaired",$A1333))), "Repaired", "")))</f>
        <v>Repaired</v>
      </c>
      <c r="R1333" s="13" t="s">
        <v>1668</v>
      </c>
      <c r="S1333" s="25">
        <v>2</v>
      </c>
      <c r="T1333" s="25">
        <v>4</v>
      </c>
      <c r="U1333" s="25">
        <v>1</v>
      </c>
      <c r="V1333" s="13">
        <v>4</v>
      </c>
      <c r="W1333" s="13" t="str">
        <f>MID(A1333, SEARCH("_", A1333) +1, SEARCH("_", A1333, SEARCH("_", A1333) +1) - SEARCH("_", A1333) -1)</f>
        <v>Chart-4</v>
      </c>
      <c r="Y1333" s="1" t="str">
        <f t="shared" si="60"/>
        <v>NO</v>
      </c>
      <c r="Z1333" s="1" t="str">
        <f t="shared" si="61"/>
        <v>YES</v>
      </c>
      <c r="AA1333" t="s">
        <v>1704</v>
      </c>
      <c r="AB1333" t="s">
        <v>1704</v>
      </c>
      <c r="AC1333" s="1" t="s">
        <v>1704</v>
      </c>
      <c r="AD1333" s="1" t="s">
        <v>1704</v>
      </c>
      <c r="AE1333" s="1" t="s">
        <v>1704</v>
      </c>
      <c r="AF1333" s="1" t="s">
        <v>1705</v>
      </c>
    </row>
    <row r="1334" spans="1:32" ht="15" x14ac:dyDescent="0.35">
      <c r="A1334" s="7" t="s">
        <v>973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>LEFT($A1334,FIND("_",$A1334)-1)</f>
        <v>kPAR</v>
      </c>
      <c r="P1334" s="13" t="str">
        <f>IF($O1334="ACS", "True Search", IF($O1334="Arja", "Evolutionary Search", IF($O1334="AVATAR", "True Pattern", IF($O1334="CapGen", "Search Like Pattern", IF($O1334="Cardumen", "True Semantic", IF($O1334="DynaMoth", "True Semantic", IF($O1334="FixMiner", "True Pattern", IF($O1334="GenProg-A", "Evolutionary Search", IF($O1334="Hercules", "Learning Pattern", IF($O1334="Jaid", "True Semantic",
IF($O1334="Kali-A", "True Search", IF($O1334="kPAR", "True Pattern", IF($O1334="Nopol", "True Semantic", IF($O1334="RSRepair-A", "Evolutionary Search", IF($O1334="SequenceR", "Deep Learning", IF($O1334="SimFix", "Search Like Pattern", IF($O1334="SketchFix", "True Pattern", IF($O1334="SOFix", "True Pattern", IF($O1334="ssFix", "Search Like Pattern", IF($O1334="TBar", "True Pattern", ""))))))))))))))))))))</f>
        <v>True Pattern</v>
      </c>
      <c r="Q1334" s="13" t="str">
        <f>IF(NOT(ISERR(SEARCH("*_Buggy",$A1334))), "Buggy", IF(NOT(ISERR(SEARCH("*_Fixed",$A1334))), "Fixed", IF(NOT(ISERR(SEARCH("*_Repaired",$A1334))), "Repaired", "")))</f>
        <v>Repaired</v>
      </c>
      <c r="R1334" s="13" t="s">
        <v>1669</v>
      </c>
      <c r="S1334" s="25">
        <v>1</v>
      </c>
      <c r="T1334" s="25">
        <v>1</v>
      </c>
      <c r="U1334" s="25">
        <v>1</v>
      </c>
      <c r="V1334" s="13">
        <v>1</v>
      </c>
      <c r="W1334" s="13" t="str">
        <f>MID(A1334, SEARCH("_", A1334) +1, SEARCH("_", A1334, SEARCH("_", A1334) +1) - SEARCH("_", A1334) -1)</f>
        <v>Chart-5</v>
      </c>
      <c r="Y1334" s="1" t="str">
        <f t="shared" si="60"/>
        <v>NO</v>
      </c>
      <c r="Z1334" s="1" t="str">
        <f t="shared" si="61"/>
        <v>NO</v>
      </c>
      <c r="AA1334" t="s">
        <v>1704</v>
      </c>
      <c r="AB1334" t="s">
        <v>1704</v>
      </c>
      <c r="AC1334" s="1" t="s">
        <v>1704</v>
      </c>
      <c r="AD1334" s="1" t="s">
        <v>1704</v>
      </c>
      <c r="AE1334" s="1" t="s">
        <v>1704</v>
      </c>
      <c r="AF1334" s="1" t="s">
        <v>1704</v>
      </c>
    </row>
    <row r="1335" spans="1:32" ht="15" x14ac:dyDescent="0.35">
      <c r="A1335" s="5" t="s">
        <v>463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>LEFT($A1335,FIND("_",$A1335)-1)</f>
        <v>kPAR</v>
      </c>
      <c r="P1335" s="13" t="str">
        <f>IF($O1335="ACS", "True Search", IF($O1335="Arja", "Evolutionary Search", IF($O1335="AVATAR", "True Pattern", IF($O1335="CapGen", "Search Like Pattern", IF($O1335="Cardumen", "True Semantic", IF($O1335="DynaMoth", "True Semantic", IF($O1335="FixMiner", "True Pattern", IF($O1335="GenProg-A", "Evolutionary Search", IF($O1335="Hercules", "Learning Pattern", IF($O1335="Jaid", "True Semantic",
IF($O1335="Kali-A", "True Search", IF($O1335="kPAR", "True Pattern", IF($O1335="Nopol", "True Semantic", IF($O1335="RSRepair-A", "Evolutionary Search", IF($O1335="SequenceR", "Deep Learning", IF($O1335="SimFix", "Search Like Pattern", IF($O1335="SketchFix", "True Pattern", IF($O1335="SOFix", "True Pattern", IF($O1335="ssFix", "Search Like Pattern", IF($O1335="TBar", "True Pattern", ""))))))))))))))))))))</f>
        <v>True Pattern</v>
      </c>
      <c r="Q1335" s="13" t="str">
        <f>IF(NOT(ISERR(SEARCH("*_Buggy",$A1335))), "Buggy", IF(NOT(ISERR(SEARCH("*_Fixed",$A1335))), "Fixed", IF(NOT(ISERR(SEARCH("*_Repaired",$A1335))), "Repaired", "")))</f>
        <v>Repaired</v>
      </c>
      <c r="R1335" s="13" t="s">
        <v>1669</v>
      </c>
      <c r="S1335" s="25">
        <v>1</v>
      </c>
      <c r="T1335" s="25">
        <v>1</v>
      </c>
      <c r="U1335" s="25">
        <v>1</v>
      </c>
      <c r="V1335" s="13">
        <v>1</v>
      </c>
      <c r="W1335" s="13" t="str">
        <f>MID(A1335, SEARCH("_", A1335) +1, SEARCH("_", A1335, SEARCH("_", A1335) +1) - SEARCH("_", A1335) -1)</f>
        <v>Chart-7</v>
      </c>
      <c r="Y1335" s="1" t="str">
        <f t="shared" si="60"/>
        <v>NO</v>
      </c>
      <c r="Z1335" s="1" t="str">
        <f t="shared" si="61"/>
        <v>NO</v>
      </c>
      <c r="AA1335" t="s">
        <v>1704</v>
      </c>
      <c r="AB1335" t="s">
        <v>1704</v>
      </c>
      <c r="AC1335" s="1" t="s">
        <v>1704</v>
      </c>
      <c r="AD1335" s="1" t="s">
        <v>1704</v>
      </c>
      <c r="AE1335" s="1" t="s">
        <v>1704</v>
      </c>
      <c r="AF1335" s="1" t="s">
        <v>1704</v>
      </c>
    </row>
    <row r="1336" spans="1:32" ht="15" x14ac:dyDescent="0.35">
      <c r="A1336" s="7" t="s">
        <v>29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>LEFT($A1336,FIND("_",$A1336)-1)</f>
        <v>kPAR</v>
      </c>
      <c r="P1336" s="13" t="str">
        <f>IF($O1336="ACS", "True Search", IF($O1336="Arja", "Evolutionary Search", IF($O1336="AVATAR", "True Pattern", IF($O1336="CapGen", "Search Like Pattern", IF($O1336="Cardumen", "True Semantic", IF($O1336="DynaMoth", "True Semantic", IF($O1336="FixMiner", "True Pattern", IF($O1336="GenProg-A", "Evolutionary Search", IF($O1336="Hercules", "Learning Pattern", IF($O1336="Jaid", "True Semantic",
IF($O1336="Kali-A", "True Search", IF($O1336="kPAR", "True Pattern", IF($O1336="Nopol", "True Semantic", IF($O1336="RSRepair-A", "Evolutionary Search", IF($O1336="SequenceR", "Deep Learning", IF($O1336="SimFix", "Search Like Pattern", IF($O1336="SketchFix", "True Pattern", IF($O1336="SOFix", "True Pattern", IF($O1336="ssFix", "Search Like Pattern", IF($O1336="TBar", "True Pattern", ""))))))))))))))))))))</f>
        <v>True Pattern</v>
      </c>
      <c r="Q1336" s="13" t="str">
        <f>IF(NOT(ISERR(SEARCH("*_Buggy",$A1336))), "Buggy", IF(NOT(ISERR(SEARCH("*_Fixed",$A1336))), "Fixed", IF(NOT(ISERR(SEARCH("*_Repaired",$A1336))), "Repaired", "")))</f>
        <v>Repaired</v>
      </c>
      <c r="R1336" s="13" t="s">
        <v>1668</v>
      </c>
      <c r="S1336" s="25">
        <v>1</v>
      </c>
      <c r="T1336" s="25">
        <v>1</v>
      </c>
      <c r="U1336" s="25">
        <v>1</v>
      </c>
      <c r="V1336" s="13">
        <v>1</v>
      </c>
      <c r="W1336" s="13" t="str">
        <f>MID(A1336, SEARCH("_", A1336) +1, SEARCH("_", A1336, SEARCH("_", A1336) +1) - SEARCH("_", A1336) -1)</f>
        <v>Chart-8</v>
      </c>
      <c r="Y1336" s="1" t="str">
        <f t="shared" si="60"/>
        <v>NO</v>
      </c>
      <c r="Z1336" s="1" t="str">
        <f t="shared" si="61"/>
        <v>NO</v>
      </c>
      <c r="AA1336" t="s">
        <v>1704</v>
      </c>
      <c r="AB1336" t="s">
        <v>1704</v>
      </c>
      <c r="AC1336" s="1" t="s">
        <v>1705</v>
      </c>
      <c r="AD1336" s="1" t="s">
        <v>1704</v>
      </c>
      <c r="AE1336" s="1" t="s">
        <v>1705</v>
      </c>
      <c r="AF1336" s="1" t="s">
        <v>1704</v>
      </c>
    </row>
    <row r="1337" spans="1:32" ht="15" x14ac:dyDescent="0.35">
      <c r="A1337" s="5" t="s">
        <v>110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>LEFT($A1337,FIND("_",$A1337)-1)</f>
        <v>kPAR</v>
      </c>
      <c r="P1337" s="13" t="str">
        <f>IF($O1337="ACS", "True Search", IF($O1337="Arja", "Evolutionary Search", IF($O1337="AVATAR", "True Pattern", IF($O1337="CapGen", "Search Like Pattern", IF($O1337="Cardumen", "True Semantic", IF($O1337="DynaMoth", "True Semantic", IF($O1337="FixMiner", "True Pattern", IF($O1337="GenProg-A", "Evolutionary Search", IF($O1337="Hercules", "Learning Pattern", IF($O1337="Jaid", "True Semantic",
IF($O1337="Kali-A", "True Search", IF($O1337="kPAR", "True Pattern", IF($O1337="Nopol", "True Semantic", IF($O1337="RSRepair-A", "Evolutionary Search", IF($O1337="SequenceR", "Deep Learning", IF($O1337="SimFix", "Search Like Pattern", IF($O1337="SketchFix", "True Pattern", IF($O1337="SOFix", "True Pattern", IF($O1337="ssFix", "Search Like Pattern", IF($O1337="TBar", "True Pattern", ""))))))))))))))))))))</f>
        <v>True Pattern</v>
      </c>
      <c r="Q1337" s="13" t="str">
        <f>IF(NOT(ISERR(SEARCH("*_Buggy",$A1337))), "Buggy", IF(NOT(ISERR(SEARCH("*_Fixed",$A1337))), "Fixed", IF(NOT(ISERR(SEARCH("*_Repaired",$A1337))), "Repaired", "")))</f>
        <v>Repaired</v>
      </c>
      <c r="R1337" s="13" t="s">
        <v>1668</v>
      </c>
      <c r="S1337" s="25">
        <v>1</v>
      </c>
      <c r="T1337" s="25">
        <v>1</v>
      </c>
      <c r="U1337" s="25">
        <v>1</v>
      </c>
      <c r="V1337" s="13">
        <v>1</v>
      </c>
      <c r="W1337" s="13" t="str">
        <f>MID(A1337, SEARCH("_", A1337) +1, SEARCH("_", A1337, SEARCH("_", A1337) +1) - SEARCH("_", A1337) -1)</f>
        <v>Closure-10</v>
      </c>
      <c r="Y1337" s="1" t="str">
        <f t="shared" si="60"/>
        <v>NO</v>
      </c>
      <c r="Z1337" s="1" t="str">
        <f t="shared" si="61"/>
        <v>NO</v>
      </c>
      <c r="AA1337" t="s">
        <v>1704</v>
      </c>
      <c r="AB1337" t="s">
        <v>1704</v>
      </c>
      <c r="AC1337" s="1" t="s">
        <v>1705</v>
      </c>
      <c r="AD1337" s="1" t="s">
        <v>1704</v>
      </c>
      <c r="AE1337" s="1" t="s">
        <v>1705</v>
      </c>
      <c r="AF1337" s="1" t="s">
        <v>1704</v>
      </c>
    </row>
    <row r="1338" spans="1:32" ht="15" x14ac:dyDescent="0.35">
      <c r="A1338" s="7" t="s">
        <v>1225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>LEFT($A1338,FIND("_",$A1338)-1)</f>
        <v>kPAR</v>
      </c>
      <c r="P1338" s="13" t="str">
        <f>IF($O1338="ACS", "True Search", IF($O1338="Arja", "Evolutionary Search", IF($O1338="AVATAR", "True Pattern", IF($O1338="CapGen", "Search Like Pattern", IF($O1338="Cardumen", "True Semantic", IF($O1338="DynaMoth", "True Semantic", IF($O1338="FixMiner", "True Pattern", IF($O1338="GenProg-A", "Evolutionary Search", IF($O1338="Hercules", "Learning Pattern", IF($O1338="Jaid", "True Semantic",
IF($O1338="Kali-A", "True Search", IF($O1338="kPAR", "True Pattern", IF($O1338="Nopol", "True Semantic", IF($O1338="RSRepair-A", "Evolutionary Search", IF($O1338="SequenceR", "Deep Learning", IF($O1338="SimFix", "Search Like Pattern", IF($O1338="SketchFix", "True Pattern", IF($O1338="SOFix", "True Pattern", IF($O1338="ssFix", "Search Like Pattern", IF($O1338="TBar", "True Pattern", ""))))))))))))))))))))</f>
        <v>True Pattern</v>
      </c>
      <c r="Q1338" s="13" t="str">
        <f>IF(NOT(ISERR(SEARCH("*_Buggy",$A1338))), "Buggy", IF(NOT(ISERR(SEARCH("*_Fixed",$A1338))), "Fixed", IF(NOT(ISERR(SEARCH("*_Repaired",$A1338))), "Repaired", "")))</f>
        <v>Repaired</v>
      </c>
      <c r="R1338" s="13" t="s">
        <v>1668</v>
      </c>
      <c r="S1338" s="25">
        <v>1</v>
      </c>
      <c r="T1338" s="25">
        <v>1</v>
      </c>
      <c r="U1338" s="25">
        <v>1</v>
      </c>
      <c r="V1338" s="13">
        <v>1</v>
      </c>
      <c r="W1338" s="13" t="str">
        <f>MID(A1338, SEARCH("_", A1338) +1, SEARCH("_", A1338, SEARCH("_", A1338) +1) - SEARCH("_", A1338) -1)</f>
        <v>Closure-11</v>
      </c>
      <c r="Y1338" s="1" t="str">
        <f t="shared" si="60"/>
        <v>NO</v>
      </c>
      <c r="Z1338" s="1" t="str">
        <f t="shared" si="61"/>
        <v>NO</v>
      </c>
      <c r="AA1338" t="s">
        <v>1704</v>
      </c>
      <c r="AB1338" t="s">
        <v>1704</v>
      </c>
      <c r="AC1338" s="1" t="s">
        <v>1704</v>
      </c>
      <c r="AD1338" s="1" t="s">
        <v>1704</v>
      </c>
      <c r="AE1338" s="1" t="s">
        <v>1704</v>
      </c>
      <c r="AF1338" s="1" t="s">
        <v>1704</v>
      </c>
    </row>
    <row r="1339" spans="1:32" ht="15" x14ac:dyDescent="0.35">
      <c r="A1339" s="7" t="s">
        <v>854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>LEFT($A1339,FIND("_",$A1339)-1)</f>
        <v>kPAR</v>
      </c>
      <c r="P1339" s="13" t="str">
        <f>IF($O1339="ACS", "True Search", IF($O1339="Arja", "Evolutionary Search", IF($O1339="AVATAR", "True Pattern", IF($O1339="CapGen", "Search Like Pattern", IF($O1339="Cardumen", "True Semantic", IF($O1339="DynaMoth", "True Semantic", IF($O1339="FixMiner", "True Pattern", IF($O1339="GenProg-A", "Evolutionary Search", IF($O1339="Hercules", "Learning Pattern", IF($O1339="Jaid", "True Semantic",
IF($O1339="Kali-A", "True Search", IF($O1339="kPAR", "True Pattern", IF($O1339="Nopol", "True Semantic", IF($O1339="RSRepair-A", "Evolutionary Search", IF($O1339="SequenceR", "Deep Learning", IF($O1339="SimFix", "Search Like Pattern", IF($O1339="SketchFix", "True Pattern", IF($O1339="SOFix", "True Pattern", IF($O1339="ssFix", "Search Like Pattern", IF($O1339="TBar", "True Pattern", ""))))))))))))))))))))</f>
        <v>True Pattern</v>
      </c>
      <c r="Q1339" s="13" t="str">
        <f>IF(NOT(ISERR(SEARCH("*_Buggy",$A1339))), "Buggy", IF(NOT(ISERR(SEARCH("*_Fixed",$A1339))), "Fixed", IF(NOT(ISERR(SEARCH("*_Repaired",$A1339))), "Repaired", "")))</f>
        <v>Repaired</v>
      </c>
      <c r="R1339" s="13" t="s">
        <v>1668</v>
      </c>
      <c r="S1339" s="25">
        <v>1</v>
      </c>
      <c r="T1339" s="25">
        <v>1</v>
      </c>
      <c r="U1339" s="25">
        <v>1</v>
      </c>
      <c r="V1339" s="13">
        <v>1</v>
      </c>
      <c r="W1339" s="13" t="str">
        <f>MID(A1339, SEARCH("_", A1339) +1, SEARCH("_", A1339, SEARCH("_", A1339) +1) - SEARCH("_", A1339) -1)</f>
        <v>Closure-115</v>
      </c>
      <c r="Y1339" s="1" t="str">
        <f t="shared" si="60"/>
        <v>NO</v>
      </c>
      <c r="Z1339" s="1" t="str">
        <f t="shared" si="61"/>
        <v>NO</v>
      </c>
      <c r="AA1339" t="s">
        <v>1704</v>
      </c>
      <c r="AB1339" t="s">
        <v>1704</v>
      </c>
      <c r="AC1339" s="1" t="s">
        <v>1704</v>
      </c>
      <c r="AD1339" s="1" t="s">
        <v>1704</v>
      </c>
      <c r="AE1339" s="1" t="s">
        <v>1704</v>
      </c>
      <c r="AF1339" s="1" t="s">
        <v>1704</v>
      </c>
    </row>
    <row r="1340" spans="1:32" ht="15" x14ac:dyDescent="0.35">
      <c r="A1340" s="7" t="s">
        <v>586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>LEFT($A1340,FIND("_",$A1340)-1)</f>
        <v>kPAR</v>
      </c>
      <c r="P1340" s="13" t="str">
        <f>IF($O1340="ACS", "True Search", IF($O1340="Arja", "Evolutionary Search", IF($O1340="AVATAR", "True Pattern", IF($O1340="CapGen", "Search Like Pattern", IF($O1340="Cardumen", "True Semantic", IF($O1340="DynaMoth", "True Semantic", IF($O1340="FixMiner", "True Pattern", IF($O1340="GenProg-A", "Evolutionary Search", IF($O1340="Hercules", "Learning Pattern", IF($O1340="Jaid", "True Semantic",
IF($O1340="Kali-A", "True Search", IF($O1340="kPAR", "True Pattern", IF($O1340="Nopol", "True Semantic", IF($O1340="RSRepair-A", "Evolutionary Search", IF($O1340="SequenceR", "Deep Learning", IF($O1340="SimFix", "Search Like Pattern", IF($O1340="SketchFix", "True Pattern", IF($O1340="SOFix", "True Pattern", IF($O1340="ssFix", "Search Like Pattern", IF($O1340="TBar", "True Pattern", ""))))))))))))))))))))</f>
        <v>True Pattern</v>
      </c>
      <c r="Q1340" s="13" t="str">
        <f>IF(NOT(ISERR(SEARCH("*_Buggy",$A1340))), "Buggy", IF(NOT(ISERR(SEARCH("*_Fixed",$A1340))), "Fixed", IF(NOT(ISERR(SEARCH("*_Repaired",$A1340))), "Repaired", "")))</f>
        <v>Repaired</v>
      </c>
      <c r="R1340" s="13" t="s">
        <v>1669</v>
      </c>
      <c r="S1340" s="25">
        <v>1</v>
      </c>
      <c r="T1340" s="25">
        <v>1</v>
      </c>
      <c r="U1340" s="25">
        <v>1</v>
      </c>
      <c r="V1340" s="13">
        <v>1</v>
      </c>
      <c r="W1340" s="13" t="str">
        <f>MID(A1340, SEARCH("_", A1340) +1, SEARCH("_", A1340, SEARCH("_", A1340) +1) - SEARCH("_", A1340) -1)</f>
        <v>Closure-125</v>
      </c>
      <c r="Y1340" s="1" t="str">
        <f t="shared" si="60"/>
        <v>NO</v>
      </c>
      <c r="Z1340" s="1" t="str">
        <f t="shared" si="61"/>
        <v>NO</v>
      </c>
      <c r="AA1340" t="s">
        <v>1704</v>
      </c>
      <c r="AB1340" t="s">
        <v>1704</v>
      </c>
      <c r="AC1340" s="1" t="s">
        <v>1705</v>
      </c>
      <c r="AD1340" s="1" t="s">
        <v>1704</v>
      </c>
      <c r="AE1340" s="1" t="s">
        <v>1705</v>
      </c>
      <c r="AF1340" s="1" t="s">
        <v>1704</v>
      </c>
    </row>
    <row r="1341" spans="1:32" ht="15" x14ac:dyDescent="0.35">
      <c r="A1341" s="7" t="s">
        <v>288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>LEFT($A1341,FIND("_",$A1341)-1)</f>
        <v>kPAR</v>
      </c>
      <c r="P1341" s="13" t="str">
        <f>IF($O1341="ACS", "True Search", IF($O1341="Arja", "Evolutionary Search", IF($O1341="AVATAR", "True Pattern", IF($O1341="CapGen", "Search Like Pattern", IF($O1341="Cardumen", "True Semantic", IF($O1341="DynaMoth", "True Semantic", IF($O1341="FixMiner", "True Pattern", IF($O1341="GenProg-A", "Evolutionary Search", IF($O1341="Hercules", "Learning Pattern", IF($O1341="Jaid", "True Semantic",
IF($O1341="Kali-A", "True Search", IF($O1341="kPAR", "True Pattern", IF($O1341="Nopol", "True Semantic", IF($O1341="RSRepair-A", "Evolutionary Search", IF($O1341="SequenceR", "Deep Learning", IF($O1341="SimFix", "Search Like Pattern", IF($O1341="SketchFix", "True Pattern", IF($O1341="SOFix", "True Pattern", IF($O1341="ssFix", "Search Like Pattern", IF($O1341="TBar", "True Pattern", ""))))))))))))))))))))</f>
        <v>True Pattern</v>
      </c>
      <c r="Q1341" s="13" t="str">
        <f>IF(NOT(ISERR(SEARCH("*_Buggy",$A1341))), "Buggy", IF(NOT(ISERR(SEARCH("*_Fixed",$A1341))), "Fixed", IF(NOT(ISERR(SEARCH("*_Repaired",$A1341))), "Repaired", "")))</f>
        <v>Repaired</v>
      </c>
      <c r="R1341" s="13" t="s">
        <v>1668</v>
      </c>
      <c r="S1341" s="25">
        <v>2</v>
      </c>
      <c r="T1341" s="25">
        <v>4</v>
      </c>
      <c r="U1341" s="25">
        <v>1</v>
      </c>
      <c r="V1341" s="13">
        <v>4</v>
      </c>
      <c r="W1341" s="13" t="str">
        <f>MID(A1341, SEARCH("_", A1341) +1, SEARCH("_", A1341, SEARCH("_", A1341) +1) - SEARCH("_", A1341) -1)</f>
        <v>Closure-2</v>
      </c>
      <c r="Y1341" s="1" t="str">
        <f t="shared" si="60"/>
        <v>NO</v>
      </c>
      <c r="Z1341" s="1" t="str">
        <f t="shared" si="61"/>
        <v>YES</v>
      </c>
      <c r="AA1341" t="s">
        <v>1704</v>
      </c>
      <c r="AB1341" t="s">
        <v>1705</v>
      </c>
      <c r="AC1341" s="1" t="s">
        <v>1704</v>
      </c>
      <c r="AD1341" s="1" t="s">
        <v>1704</v>
      </c>
      <c r="AE1341" s="1" t="s">
        <v>1704</v>
      </c>
      <c r="AF1341" s="1" t="s">
        <v>1705</v>
      </c>
    </row>
    <row r="1342" spans="1:32" ht="15" x14ac:dyDescent="0.35">
      <c r="A1342" s="7" t="s">
        <v>224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>LEFT($A1342,FIND("_",$A1342)-1)</f>
        <v>kPAR</v>
      </c>
      <c r="P1342" s="13" t="str">
        <f>IF($O1342="ACS", "True Search", IF($O1342="Arja", "Evolutionary Search", IF($O1342="AVATAR", "True Pattern", IF($O1342="CapGen", "Search Like Pattern", IF($O1342="Cardumen", "True Semantic", IF($O1342="DynaMoth", "True Semantic", IF($O1342="FixMiner", "True Pattern", IF($O1342="GenProg-A", "Evolutionary Search", IF($O1342="Hercules", "Learning Pattern", IF($O1342="Jaid", "True Semantic",
IF($O1342="Kali-A", "True Search", IF($O1342="kPAR", "True Pattern", IF($O1342="Nopol", "True Semantic", IF($O1342="RSRepair-A", "Evolutionary Search", IF($O1342="SequenceR", "Deep Learning", IF($O1342="SimFix", "Search Like Pattern", IF($O1342="SketchFix", "True Pattern", IF($O1342="SOFix", "True Pattern", IF($O1342="ssFix", "Search Like Pattern", IF($O1342="TBar", "True Pattern", ""))))))))))))))))))))</f>
        <v>True Pattern</v>
      </c>
      <c r="Q1342" s="13" t="str">
        <f>IF(NOT(ISERR(SEARCH("*_Buggy",$A1342))), "Buggy", IF(NOT(ISERR(SEARCH("*_Fixed",$A1342))), "Fixed", IF(NOT(ISERR(SEARCH("*_Repaired",$A1342))), "Repaired", "")))</f>
        <v>Repaired</v>
      </c>
      <c r="R1342" s="13" t="s">
        <v>1669</v>
      </c>
      <c r="S1342" s="25">
        <v>1</v>
      </c>
      <c r="T1342" s="25">
        <v>1</v>
      </c>
      <c r="U1342" s="25">
        <v>1</v>
      </c>
      <c r="V1342" s="13">
        <v>1</v>
      </c>
      <c r="W1342" s="13" t="str">
        <f>MID(A1342, SEARCH("_", A1342) +1, SEARCH("_", A1342, SEARCH("_", A1342) +1) - SEARCH("_", A1342) -1)</f>
        <v>Closure-21</v>
      </c>
      <c r="Y1342" s="1" t="str">
        <f t="shared" si="60"/>
        <v>NO</v>
      </c>
      <c r="Z1342" s="1" t="str">
        <f t="shared" si="61"/>
        <v>NO</v>
      </c>
      <c r="AA1342" t="s">
        <v>1704</v>
      </c>
      <c r="AB1342" t="s">
        <v>1704</v>
      </c>
      <c r="AC1342" s="1" t="s">
        <v>1704</v>
      </c>
      <c r="AD1342" s="1" t="s">
        <v>1704</v>
      </c>
      <c r="AE1342" s="1" t="s">
        <v>1704</v>
      </c>
      <c r="AF1342" s="1" t="s">
        <v>1704</v>
      </c>
    </row>
    <row r="1343" spans="1:32" ht="15" x14ac:dyDescent="0.35">
      <c r="A1343" s="5" t="s">
        <v>27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>LEFT($A1343,FIND("_",$A1343)-1)</f>
        <v>kPAR</v>
      </c>
      <c r="P1343" s="13" t="str">
        <f>IF($O1343="ACS", "True Search", IF($O1343="Arja", "Evolutionary Search", IF($O1343="AVATAR", "True Pattern", IF($O1343="CapGen", "Search Like Pattern", IF($O1343="Cardumen", "True Semantic", IF($O1343="DynaMoth", "True Semantic", IF($O1343="FixMiner", "True Pattern", IF($O1343="GenProg-A", "Evolutionary Search", IF($O1343="Hercules", "Learning Pattern", IF($O1343="Jaid", "True Semantic",
IF($O1343="Kali-A", "True Search", IF($O1343="kPAR", "True Pattern", IF($O1343="Nopol", "True Semantic", IF($O1343="RSRepair-A", "Evolutionary Search", IF($O1343="SequenceR", "Deep Learning", IF($O1343="SimFix", "Search Like Pattern", IF($O1343="SketchFix", "True Pattern", IF($O1343="SOFix", "True Pattern", IF($O1343="ssFix", "Search Like Pattern", IF($O1343="TBar", "True Pattern", ""))))))))))))))))))))</f>
        <v>True Pattern</v>
      </c>
      <c r="Q1343" s="13" t="str">
        <f>IF(NOT(ISERR(SEARCH("*_Buggy",$A1343))), "Buggy", IF(NOT(ISERR(SEARCH("*_Fixed",$A1343))), "Fixed", IF(NOT(ISERR(SEARCH("*_Repaired",$A1343))), "Repaired", "")))</f>
        <v>Repaired</v>
      </c>
      <c r="R1343" s="13" t="s">
        <v>1669</v>
      </c>
      <c r="S1343" s="25">
        <v>1</v>
      </c>
      <c r="T1343" s="25">
        <v>2</v>
      </c>
      <c r="U1343" s="25">
        <v>1</v>
      </c>
      <c r="V1343" s="13">
        <v>2</v>
      </c>
      <c r="W1343" s="13" t="str">
        <f>MID(A1343, SEARCH("_", A1343) +1, SEARCH("_", A1343, SEARCH("_", A1343) +1) - SEARCH("_", A1343) -1)</f>
        <v>Closure-22</v>
      </c>
      <c r="Y1343" s="1" t="str">
        <f t="shared" si="60"/>
        <v>NO</v>
      </c>
      <c r="Z1343" s="1" t="str">
        <f t="shared" si="61"/>
        <v>NO</v>
      </c>
      <c r="AA1343" t="s">
        <v>1704</v>
      </c>
      <c r="AB1343" t="s">
        <v>1704</v>
      </c>
      <c r="AC1343" s="1" t="s">
        <v>1704</v>
      </c>
      <c r="AD1343" s="1" t="s">
        <v>1704</v>
      </c>
      <c r="AE1343" s="1" t="s">
        <v>1704</v>
      </c>
      <c r="AF1343" s="1" t="s">
        <v>1705</v>
      </c>
    </row>
    <row r="1344" spans="1:32" ht="15" x14ac:dyDescent="0.35">
      <c r="A1344" s="5" t="s">
        <v>369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>LEFT($A1344,FIND("_",$A1344)-1)</f>
        <v>kPAR</v>
      </c>
      <c r="P1344" s="13" t="str">
        <f>IF($O1344="ACS", "True Search", IF($O1344="Arja", "Evolutionary Search", IF($O1344="AVATAR", "True Pattern", IF($O1344="CapGen", "Search Like Pattern", IF($O1344="Cardumen", "True Semantic", IF($O1344="DynaMoth", "True Semantic", IF($O1344="FixMiner", "True Pattern", IF($O1344="GenProg-A", "Evolutionary Search", IF($O1344="Hercules", "Learning Pattern", IF($O1344="Jaid", "True Semantic",
IF($O1344="Kali-A", "True Search", IF($O1344="kPAR", "True Pattern", IF($O1344="Nopol", "True Semantic", IF($O1344="RSRepair-A", "Evolutionary Search", IF($O1344="SequenceR", "Deep Learning", IF($O1344="SimFix", "Search Like Pattern", IF($O1344="SketchFix", "True Pattern", IF($O1344="SOFix", "True Pattern", IF($O1344="ssFix", "Search Like Pattern", IF($O1344="TBar", "True Pattern", ""))))))))))))))))))))</f>
        <v>True Pattern</v>
      </c>
      <c r="Q1344" s="13" t="str">
        <f>IF(NOT(ISERR(SEARCH("*_Buggy",$A1344))), "Buggy", IF(NOT(ISERR(SEARCH("*_Fixed",$A1344))), "Fixed", IF(NOT(ISERR(SEARCH("*_Repaired",$A1344))), "Repaired", "")))</f>
        <v>Repaired</v>
      </c>
      <c r="R1344" s="13" t="s">
        <v>1669</v>
      </c>
      <c r="S1344" s="25">
        <v>1</v>
      </c>
      <c r="T1344" s="25">
        <v>1</v>
      </c>
      <c r="U1344" s="25">
        <v>1</v>
      </c>
      <c r="V1344" s="13">
        <v>1</v>
      </c>
      <c r="W1344" s="13" t="str">
        <f>MID(A1344, SEARCH("_", A1344) +1, SEARCH("_", A1344, SEARCH("_", A1344) +1) - SEARCH("_", A1344) -1)</f>
        <v>Closure-35</v>
      </c>
      <c r="Y1344" s="1" t="str">
        <f t="shared" si="60"/>
        <v>NO</v>
      </c>
      <c r="Z1344" s="1" t="str">
        <f t="shared" si="61"/>
        <v>NO</v>
      </c>
      <c r="AA1344" t="s">
        <v>1704</v>
      </c>
      <c r="AB1344" t="s">
        <v>1704</v>
      </c>
      <c r="AC1344" s="1" t="s">
        <v>1704</v>
      </c>
      <c r="AD1344" s="1" t="s">
        <v>1704</v>
      </c>
      <c r="AE1344" s="1" t="s">
        <v>1704</v>
      </c>
      <c r="AF1344" s="1" t="s">
        <v>1704</v>
      </c>
    </row>
    <row r="1345" spans="1:32" ht="15" x14ac:dyDescent="0.35">
      <c r="A1345" s="7" t="s">
        <v>764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>LEFT($A1345,FIND("_",$A1345)-1)</f>
        <v>kPAR</v>
      </c>
      <c r="P1345" s="13" t="str">
        <f>IF($O1345="ACS", "True Search", IF($O1345="Arja", "Evolutionary Search", IF($O1345="AVATAR", "True Pattern", IF($O1345="CapGen", "Search Like Pattern", IF($O1345="Cardumen", "True Semantic", IF($O1345="DynaMoth", "True Semantic", IF($O1345="FixMiner", "True Pattern", IF($O1345="GenProg-A", "Evolutionary Search", IF($O1345="Hercules", "Learning Pattern", IF($O1345="Jaid", "True Semantic",
IF($O1345="Kali-A", "True Search", IF($O1345="kPAR", "True Pattern", IF($O1345="Nopol", "True Semantic", IF($O1345="RSRepair-A", "Evolutionary Search", IF($O1345="SequenceR", "Deep Learning", IF($O1345="SimFix", "Search Like Pattern", IF($O1345="SketchFix", "True Pattern", IF($O1345="SOFix", "True Pattern", IF($O1345="ssFix", "Search Like Pattern", IF($O1345="TBar", "True Pattern", ""))))))))))))))))))))</f>
        <v>True Pattern</v>
      </c>
      <c r="Q1345" s="13" t="str">
        <f>IF(NOT(ISERR(SEARCH("*_Buggy",$A1345))), "Buggy", IF(NOT(ISERR(SEARCH("*_Fixed",$A1345))), "Fixed", IF(NOT(ISERR(SEARCH("*_Repaired",$A1345))), "Repaired", "")))</f>
        <v>Repaired</v>
      </c>
      <c r="R1345" s="13" t="s">
        <v>1668</v>
      </c>
      <c r="S1345" s="25">
        <v>1</v>
      </c>
      <c r="T1345" s="25">
        <v>1</v>
      </c>
      <c r="U1345" s="25">
        <v>1</v>
      </c>
      <c r="V1345" s="13">
        <v>1</v>
      </c>
      <c r="W1345" s="13" t="str">
        <f>MID(A1345, SEARCH("_", A1345) +1, SEARCH("_", A1345, SEARCH("_", A1345) +1) - SEARCH("_", A1345) -1)</f>
        <v>Closure-38</v>
      </c>
      <c r="Y1345" s="1" t="str">
        <f t="shared" si="60"/>
        <v>NO</v>
      </c>
      <c r="Z1345" s="1" t="str">
        <f t="shared" si="61"/>
        <v>NO</v>
      </c>
      <c r="AA1345" t="s">
        <v>1704</v>
      </c>
      <c r="AB1345" t="s">
        <v>1704</v>
      </c>
      <c r="AC1345" s="1" t="s">
        <v>1705</v>
      </c>
      <c r="AD1345" s="1" t="s">
        <v>1704</v>
      </c>
      <c r="AE1345" s="1" t="s">
        <v>1705</v>
      </c>
      <c r="AF1345" s="1" t="s">
        <v>1704</v>
      </c>
    </row>
    <row r="1346" spans="1:32" ht="15" x14ac:dyDescent="0.35">
      <c r="A1346" s="5" t="s">
        <v>997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>LEFT($A1346,FIND("_",$A1346)-1)</f>
        <v>kPAR</v>
      </c>
      <c r="P1346" s="13" t="str">
        <f>IF($O1346="ACS", "True Search", IF($O1346="Arja", "Evolutionary Search", IF($O1346="AVATAR", "True Pattern", IF($O1346="CapGen", "Search Like Pattern", IF($O1346="Cardumen", "True Semantic", IF($O1346="DynaMoth", "True Semantic", IF($O1346="FixMiner", "True Pattern", IF($O1346="GenProg-A", "Evolutionary Search", IF($O1346="Hercules", "Learning Pattern", IF($O1346="Jaid", "True Semantic",
IF($O1346="Kali-A", "True Search", IF($O1346="kPAR", "True Pattern", IF($O1346="Nopol", "True Semantic", IF($O1346="RSRepair-A", "Evolutionary Search", IF($O1346="SequenceR", "Deep Learning", IF($O1346="SimFix", "Search Like Pattern", IF($O1346="SketchFix", "True Pattern", IF($O1346="SOFix", "True Pattern", IF($O1346="ssFix", "Search Like Pattern", IF($O1346="TBar", "True Pattern", ""))))))))))))))))))))</f>
        <v>True Pattern</v>
      </c>
      <c r="Q1346" s="13" t="str">
        <f>IF(NOT(ISERR(SEARCH("*_Buggy",$A1346))), "Buggy", IF(NOT(ISERR(SEARCH("*_Fixed",$A1346))), "Fixed", IF(NOT(ISERR(SEARCH("*_Repaired",$A1346))), "Repaired", "")))</f>
        <v>Repaired</v>
      </c>
      <c r="R1346" s="13" t="s">
        <v>1668</v>
      </c>
      <c r="S1346" s="25">
        <v>1</v>
      </c>
      <c r="T1346" s="25">
        <v>1</v>
      </c>
      <c r="U1346" s="25">
        <v>1</v>
      </c>
      <c r="V1346" s="13">
        <v>1</v>
      </c>
      <c r="W1346" s="13" t="str">
        <f>MID(A1346, SEARCH("_", A1346) +1, SEARCH("_", A1346, SEARCH("_", A1346) +1) - SEARCH("_", A1346) -1)</f>
        <v>Closure-4</v>
      </c>
      <c r="Y1346" s="1" t="str">
        <f t="shared" si="60"/>
        <v>NO</v>
      </c>
      <c r="Z1346" s="1" t="str">
        <f t="shared" si="61"/>
        <v>NO</v>
      </c>
      <c r="AA1346" t="s">
        <v>1704</v>
      </c>
      <c r="AB1346" t="s">
        <v>1704</v>
      </c>
      <c r="AC1346" s="1" t="s">
        <v>1704</v>
      </c>
      <c r="AD1346" s="1" t="s">
        <v>1704</v>
      </c>
      <c r="AE1346" s="1" t="s">
        <v>1704</v>
      </c>
      <c r="AF1346" s="1" t="s">
        <v>1704</v>
      </c>
    </row>
    <row r="1347" spans="1:32" ht="15" x14ac:dyDescent="0.35">
      <c r="A1347" s="5" t="s">
        <v>759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>LEFT($A1347,FIND("_",$A1347)-1)</f>
        <v>kPAR</v>
      </c>
      <c r="P1347" s="13" t="str">
        <f>IF($O1347="ACS", "True Search", IF($O1347="Arja", "Evolutionary Search", IF($O1347="AVATAR", "True Pattern", IF($O1347="CapGen", "Search Like Pattern", IF($O1347="Cardumen", "True Semantic", IF($O1347="DynaMoth", "True Semantic", IF($O1347="FixMiner", "True Pattern", IF($O1347="GenProg-A", "Evolutionary Search", IF($O1347="Hercules", "Learning Pattern", IF($O1347="Jaid", "True Semantic",
IF($O1347="Kali-A", "True Search", IF($O1347="kPAR", "True Pattern", IF($O1347="Nopol", "True Semantic", IF($O1347="RSRepair-A", "Evolutionary Search", IF($O1347="SequenceR", "Deep Learning", IF($O1347="SimFix", "Search Like Pattern", IF($O1347="SketchFix", "True Pattern", IF($O1347="SOFix", "True Pattern", IF($O1347="ssFix", "Search Like Pattern", IF($O1347="TBar", "True Pattern", ""))))))))))))))))))))</f>
        <v>True Pattern</v>
      </c>
      <c r="Q1347" s="13" t="str">
        <f>IF(NOT(ISERR(SEARCH("*_Buggy",$A1347))), "Buggy", IF(NOT(ISERR(SEARCH("*_Fixed",$A1347))), "Fixed", IF(NOT(ISERR(SEARCH("*_Repaired",$A1347))), "Repaired", "")))</f>
        <v>Repaired</v>
      </c>
      <c r="R1347" s="13" t="s">
        <v>1668</v>
      </c>
      <c r="S1347" s="25">
        <v>1</v>
      </c>
      <c r="T1347" s="25">
        <v>1</v>
      </c>
      <c r="U1347" s="25">
        <v>1</v>
      </c>
      <c r="V1347" s="13">
        <v>1</v>
      </c>
      <c r="W1347" s="13" t="str">
        <f>MID(A1347, SEARCH("_", A1347) +1, SEARCH("_", A1347, SEARCH("_", A1347) +1) - SEARCH("_", A1347) -1)</f>
        <v>Closure-40</v>
      </c>
      <c r="Y1347" s="1" t="str">
        <f t="shared" si="60"/>
        <v>NO</v>
      </c>
      <c r="Z1347" s="1" t="str">
        <f t="shared" si="61"/>
        <v>NO</v>
      </c>
      <c r="AA1347" t="s">
        <v>1704</v>
      </c>
      <c r="AB1347" t="s">
        <v>1704</v>
      </c>
      <c r="AC1347" s="1" t="s">
        <v>1704</v>
      </c>
      <c r="AD1347" s="1" t="s">
        <v>1704</v>
      </c>
      <c r="AE1347" s="1" t="s">
        <v>1704</v>
      </c>
      <c r="AF1347" s="1" t="s">
        <v>1704</v>
      </c>
    </row>
    <row r="1348" spans="1:32" ht="15" x14ac:dyDescent="0.35">
      <c r="A1348" s="7" t="s">
        <v>853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>LEFT($A1348,FIND("_",$A1348)-1)</f>
        <v>kPAR</v>
      </c>
      <c r="P1348" s="13" t="str">
        <f>IF($O1348="ACS", "True Search", IF($O1348="Arja", "Evolutionary Search", IF($O1348="AVATAR", "True Pattern", IF($O1348="CapGen", "Search Like Pattern", IF($O1348="Cardumen", "True Semantic", IF($O1348="DynaMoth", "True Semantic", IF($O1348="FixMiner", "True Pattern", IF($O1348="GenProg-A", "Evolutionary Search", IF($O1348="Hercules", "Learning Pattern", IF($O1348="Jaid", "True Semantic",
IF($O1348="Kali-A", "True Search", IF($O1348="kPAR", "True Pattern", IF($O1348="Nopol", "True Semantic", IF($O1348="RSRepair-A", "Evolutionary Search", IF($O1348="SequenceR", "Deep Learning", IF($O1348="SimFix", "Search Like Pattern", IF($O1348="SketchFix", "True Pattern", IF($O1348="SOFix", "True Pattern", IF($O1348="ssFix", "Search Like Pattern", IF($O1348="TBar", "True Pattern", ""))))))))))))))))))))</f>
        <v>True Pattern</v>
      </c>
      <c r="Q1348" s="13" t="str">
        <f>IF(NOT(ISERR(SEARCH("*_Buggy",$A1348))), "Buggy", IF(NOT(ISERR(SEARCH("*_Fixed",$A1348))), "Fixed", IF(NOT(ISERR(SEARCH("*_Repaired",$A1348))), "Repaired", "")))</f>
        <v>Repaired</v>
      </c>
      <c r="R1348" s="13" t="s">
        <v>1669</v>
      </c>
      <c r="S1348" s="25">
        <v>1</v>
      </c>
      <c r="T1348" s="25">
        <v>1</v>
      </c>
      <c r="U1348" s="25">
        <v>1</v>
      </c>
      <c r="V1348" s="13">
        <v>1</v>
      </c>
      <c r="W1348" s="13" t="str">
        <f>MID(A1348, SEARCH("_", A1348) +1, SEARCH("_", A1348, SEARCH("_", A1348) +1) - SEARCH("_", A1348) -1)</f>
        <v>Closure-46</v>
      </c>
      <c r="Y1348" s="1" t="str">
        <f t="shared" si="60"/>
        <v>NO</v>
      </c>
      <c r="Z1348" s="1" t="str">
        <f t="shared" si="61"/>
        <v>NO</v>
      </c>
      <c r="AA1348" t="s">
        <v>1704</v>
      </c>
      <c r="AB1348" t="s">
        <v>1704</v>
      </c>
      <c r="AC1348" s="1" t="s">
        <v>1704</v>
      </c>
      <c r="AD1348" s="1" t="s">
        <v>1704</v>
      </c>
      <c r="AE1348" s="1" t="s">
        <v>1704</v>
      </c>
      <c r="AF1348" s="1" t="s">
        <v>1704</v>
      </c>
    </row>
    <row r="1349" spans="1:32" ht="15" x14ac:dyDescent="0.35">
      <c r="A1349" s="5" t="s">
        <v>1134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>LEFT($A1349,FIND("_",$A1349)-1)</f>
        <v>kPAR</v>
      </c>
      <c r="P1349" s="13" t="str">
        <f>IF($O1349="ACS", "True Search", IF($O1349="Arja", "Evolutionary Search", IF($O1349="AVATAR", "True Pattern", IF($O1349="CapGen", "Search Like Pattern", IF($O1349="Cardumen", "True Semantic", IF($O1349="DynaMoth", "True Semantic", IF($O1349="FixMiner", "True Pattern", IF($O1349="GenProg-A", "Evolutionary Search", IF($O1349="Hercules", "Learning Pattern", IF($O1349="Jaid", "True Semantic",
IF($O1349="Kali-A", "True Search", IF($O1349="kPAR", "True Pattern", IF($O1349="Nopol", "True Semantic", IF($O1349="RSRepair-A", "Evolutionary Search", IF($O1349="SequenceR", "Deep Learning", IF($O1349="SimFix", "Search Like Pattern", IF($O1349="SketchFix", "True Pattern", IF($O1349="SOFix", "True Pattern", IF($O1349="ssFix", "Search Like Pattern", IF($O1349="TBar", "True Pattern", ""))))))))))))))))))))</f>
        <v>True Pattern</v>
      </c>
      <c r="Q1349" s="13" t="str">
        <f>IF(NOT(ISERR(SEARCH("*_Buggy",$A1349))), "Buggy", IF(NOT(ISERR(SEARCH("*_Fixed",$A1349))), "Fixed", IF(NOT(ISERR(SEARCH("*_Repaired",$A1349))), "Repaired", "")))</f>
        <v>Repaired</v>
      </c>
      <c r="R1349" s="13" t="s">
        <v>1668</v>
      </c>
      <c r="S1349" s="25">
        <v>1</v>
      </c>
      <c r="T1349" s="25">
        <v>1</v>
      </c>
      <c r="U1349" s="25">
        <v>1</v>
      </c>
      <c r="V1349" s="13">
        <v>1</v>
      </c>
      <c r="W1349" s="13" t="str">
        <f>MID(A1349, SEARCH("_", A1349) +1, SEARCH("_", A1349, SEARCH("_", A1349) +1) - SEARCH("_", A1349) -1)</f>
        <v>Closure-62</v>
      </c>
      <c r="Y1349" s="1" t="str">
        <f t="shared" si="60"/>
        <v>NO</v>
      </c>
      <c r="Z1349" s="1" t="str">
        <f t="shared" si="61"/>
        <v>NO</v>
      </c>
      <c r="AA1349" t="s">
        <v>1704</v>
      </c>
      <c r="AB1349" t="s">
        <v>1704</v>
      </c>
      <c r="AC1349" s="1" t="s">
        <v>1705</v>
      </c>
      <c r="AD1349" s="1" t="s">
        <v>1704</v>
      </c>
      <c r="AE1349" s="1" t="s">
        <v>1705</v>
      </c>
      <c r="AF1349" s="1" t="s">
        <v>1704</v>
      </c>
    </row>
    <row r="1350" spans="1:32" ht="15" x14ac:dyDescent="0.35">
      <c r="A1350" s="7" t="s">
        <v>283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>LEFT($A1350,FIND("_",$A1350)-1)</f>
        <v>kPAR</v>
      </c>
      <c r="P1350" s="13" t="str">
        <f>IF($O1350="ACS", "True Search", IF($O1350="Arja", "Evolutionary Search", IF($O1350="AVATAR", "True Pattern", IF($O1350="CapGen", "Search Like Pattern", IF($O1350="Cardumen", "True Semantic", IF($O1350="DynaMoth", "True Semantic", IF($O1350="FixMiner", "True Pattern", IF($O1350="GenProg-A", "Evolutionary Search", IF($O1350="Hercules", "Learning Pattern", IF($O1350="Jaid", "True Semantic",
IF($O1350="Kali-A", "True Search", IF($O1350="kPAR", "True Pattern", IF($O1350="Nopol", "True Semantic", IF($O1350="RSRepair-A", "Evolutionary Search", IF($O1350="SequenceR", "Deep Learning", IF($O1350="SimFix", "Search Like Pattern", IF($O1350="SketchFix", "True Pattern", IF($O1350="SOFix", "True Pattern", IF($O1350="ssFix", "Search Like Pattern", IF($O1350="TBar", "True Pattern", ""))))))))))))))))))))</f>
        <v>True Pattern</v>
      </c>
      <c r="Q1350" s="13" t="str">
        <f>IF(NOT(ISERR(SEARCH("*_Buggy",$A1350))), "Buggy", IF(NOT(ISERR(SEARCH("*_Fixed",$A1350))), "Fixed", IF(NOT(ISERR(SEARCH("*_Repaired",$A1350))), "Repaired", "")))</f>
        <v>Repaired</v>
      </c>
      <c r="R1350" s="13" t="s">
        <v>1668</v>
      </c>
      <c r="S1350" s="25">
        <v>1</v>
      </c>
      <c r="T1350" s="25">
        <v>1</v>
      </c>
      <c r="U1350" s="25">
        <v>1</v>
      </c>
      <c r="V1350" s="13">
        <v>1</v>
      </c>
      <c r="W1350" s="13" t="str">
        <f>MID(A1350, SEARCH("_", A1350) +1, SEARCH("_", A1350, SEARCH("_", A1350) +1) - SEARCH("_", A1350) -1)</f>
        <v>Closure-70</v>
      </c>
      <c r="Y1350" s="1" t="str">
        <f t="shared" si="60"/>
        <v>NO</v>
      </c>
      <c r="Z1350" s="1" t="str">
        <f t="shared" si="61"/>
        <v>NO</v>
      </c>
      <c r="AA1350" t="s">
        <v>1704</v>
      </c>
      <c r="AB1350" t="s">
        <v>1704</v>
      </c>
      <c r="AC1350" s="1" t="s">
        <v>1705</v>
      </c>
      <c r="AD1350" s="1" t="s">
        <v>1704</v>
      </c>
      <c r="AE1350" s="1" t="s">
        <v>1705</v>
      </c>
      <c r="AF1350" s="1" t="s">
        <v>1704</v>
      </c>
    </row>
    <row r="1351" spans="1:32" ht="15" x14ac:dyDescent="0.35">
      <c r="A1351" s="7" t="s">
        <v>256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>LEFT($A1351,FIND("_",$A1351)-1)</f>
        <v>kPAR</v>
      </c>
      <c r="P1351" s="13" t="str">
        <f>IF($O1351="ACS", "True Search", IF($O1351="Arja", "Evolutionary Search", IF($O1351="AVATAR", "True Pattern", IF($O1351="CapGen", "Search Like Pattern", IF($O1351="Cardumen", "True Semantic", IF($O1351="DynaMoth", "True Semantic", IF($O1351="FixMiner", "True Pattern", IF($O1351="GenProg-A", "Evolutionary Search", IF($O1351="Hercules", "Learning Pattern", IF($O1351="Jaid", "True Semantic",
IF($O1351="Kali-A", "True Search", IF($O1351="kPAR", "True Pattern", IF($O1351="Nopol", "True Semantic", IF($O1351="RSRepair-A", "Evolutionary Search", IF($O1351="SequenceR", "Deep Learning", IF($O1351="SimFix", "Search Like Pattern", IF($O1351="SketchFix", "True Pattern", IF($O1351="SOFix", "True Pattern", IF($O1351="ssFix", "Search Like Pattern", IF($O1351="TBar", "True Pattern", ""))))))))))))))))))))</f>
        <v>True Pattern</v>
      </c>
      <c r="Q1351" s="13" t="str">
        <f>IF(NOT(ISERR(SEARCH("*_Buggy",$A1351))), "Buggy", IF(NOT(ISERR(SEARCH("*_Fixed",$A1351))), "Fixed", IF(NOT(ISERR(SEARCH("*_Repaired",$A1351))), "Repaired", "")))</f>
        <v>Repaired</v>
      </c>
      <c r="R1351" s="13" t="s">
        <v>1668</v>
      </c>
      <c r="S1351" s="25">
        <v>1</v>
      </c>
      <c r="T1351" s="25">
        <v>1</v>
      </c>
      <c r="U1351" s="25">
        <v>1</v>
      </c>
      <c r="V1351" s="13">
        <v>1</v>
      </c>
      <c r="W1351" s="13" t="str">
        <f>MID(A1351, SEARCH("_", A1351) +1, SEARCH("_", A1351, SEARCH("_", A1351) +1) - SEARCH("_", A1351) -1)</f>
        <v>Closure-73</v>
      </c>
      <c r="Y1351" s="1" t="str">
        <f t="shared" si="60"/>
        <v>NO</v>
      </c>
      <c r="Z1351" s="1" t="str">
        <f t="shared" si="61"/>
        <v>NO</v>
      </c>
      <c r="AA1351" t="s">
        <v>1704</v>
      </c>
      <c r="AB1351" t="s">
        <v>1704</v>
      </c>
      <c r="AC1351" s="1" t="s">
        <v>1705</v>
      </c>
      <c r="AD1351" s="1" t="s">
        <v>1704</v>
      </c>
      <c r="AE1351" s="1" t="s">
        <v>1705</v>
      </c>
      <c r="AF1351" s="1" t="s">
        <v>1704</v>
      </c>
    </row>
    <row r="1352" spans="1:32" ht="15" x14ac:dyDescent="0.35">
      <c r="A1352" s="5" t="s">
        <v>357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>LEFT($A1352,FIND("_",$A1352)-1)</f>
        <v>kPAR</v>
      </c>
      <c r="P1352" s="13" t="str">
        <f>IF($O1352="ACS", "True Search", IF($O1352="Arja", "Evolutionary Search", IF($O1352="AVATAR", "True Pattern", IF($O1352="CapGen", "Search Like Pattern", IF($O1352="Cardumen", "True Semantic", IF($O1352="DynaMoth", "True Semantic", IF($O1352="FixMiner", "True Pattern", IF($O1352="GenProg-A", "Evolutionary Search", IF($O1352="Hercules", "Learning Pattern", IF($O1352="Jaid", "True Semantic",
IF($O1352="Kali-A", "True Search", IF($O1352="kPAR", "True Pattern", IF($O1352="Nopol", "True Semantic", IF($O1352="RSRepair-A", "Evolutionary Search", IF($O1352="SequenceR", "Deep Learning", IF($O1352="SimFix", "Search Like Pattern", IF($O1352="SketchFix", "True Pattern", IF($O1352="SOFix", "True Pattern", IF($O1352="ssFix", "Search Like Pattern", IF($O1352="TBar", "True Pattern", ""))))))))))))))))))))</f>
        <v>True Pattern</v>
      </c>
      <c r="Q1352" s="13" t="str">
        <f>IF(NOT(ISERR(SEARCH("*_Buggy",$A1352))), "Buggy", IF(NOT(ISERR(SEARCH("*_Fixed",$A1352))), "Fixed", IF(NOT(ISERR(SEARCH("*_Repaired",$A1352))), "Repaired", "")))</f>
        <v>Repaired</v>
      </c>
      <c r="R1352" s="13" t="s">
        <v>1668</v>
      </c>
      <c r="S1352" s="25">
        <v>1</v>
      </c>
      <c r="T1352" s="25">
        <v>1</v>
      </c>
      <c r="U1352" s="25">
        <v>1</v>
      </c>
      <c r="V1352" s="13">
        <v>1</v>
      </c>
      <c r="W1352" s="13" t="str">
        <f>MID(A1352, SEARCH("_", A1352) +1, SEARCH("_", A1352, SEARCH("_", A1352) +1) - SEARCH("_", A1352) -1)</f>
        <v>Lang-10</v>
      </c>
      <c r="Y1352" s="1" t="str">
        <f t="shared" si="60"/>
        <v>NO</v>
      </c>
      <c r="Z1352" s="1" t="str">
        <f t="shared" si="61"/>
        <v>NO</v>
      </c>
      <c r="AA1352" t="s">
        <v>1704</v>
      </c>
      <c r="AB1352" t="s">
        <v>1704</v>
      </c>
      <c r="AC1352" s="1" t="s">
        <v>1704</v>
      </c>
      <c r="AD1352" s="1" t="s">
        <v>1704</v>
      </c>
      <c r="AE1352" s="1" t="s">
        <v>1704</v>
      </c>
      <c r="AF1352" s="1" t="s">
        <v>1704</v>
      </c>
    </row>
    <row r="1353" spans="1:32" ht="15" x14ac:dyDescent="0.35">
      <c r="A1353" s="7" t="s">
        <v>242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>LEFT($A1353,FIND("_",$A1353)-1)</f>
        <v>kPAR</v>
      </c>
      <c r="P1353" s="13" t="str">
        <f>IF($O1353="ACS", "True Search", IF($O1353="Arja", "Evolutionary Search", IF($O1353="AVATAR", "True Pattern", IF($O1353="CapGen", "Search Like Pattern", IF($O1353="Cardumen", "True Semantic", IF($O1353="DynaMoth", "True Semantic", IF($O1353="FixMiner", "True Pattern", IF($O1353="GenProg-A", "Evolutionary Search", IF($O1353="Hercules", "Learning Pattern", IF($O1353="Jaid", "True Semantic",
IF($O1353="Kali-A", "True Search", IF($O1353="kPAR", "True Pattern", IF($O1353="Nopol", "True Semantic", IF($O1353="RSRepair-A", "Evolutionary Search", IF($O1353="SequenceR", "Deep Learning", IF($O1353="SimFix", "Search Like Pattern", IF($O1353="SketchFix", "True Pattern", IF($O1353="SOFix", "True Pattern", IF($O1353="ssFix", "Search Like Pattern", IF($O1353="TBar", "True Pattern", ""))))))))))))))))))))</f>
        <v>True Pattern</v>
      </c>
      <c r="Q1353" s="13" t="str">
        <f>IF(NOT(ISERR(SEARCH("*_Buggy",$A1353))), "Buggy", IF(NOT(ISERR(SEARCH("*_Fixed",$A1353))), "Fixed", IF(NOT(ISERR(SEARCH("*_Repaired",$A1353))), "Repaired", "")))</f>
        <v>Repaired</v>
      </c>
      <c r="R1353" s="13" t="s">
        <v>1669</v>
      </c>
      <c r="S1353" s="25">
        <v>1</v>
      </c>
      <c r="T1353" s="25">
        <v>1</v>
      </c>
      <c r="U1353" s="25">
        <v>1</v>
      </c>
      <c r="V1353" s="13">
        <v>1</v>
      </c>
      <c r="W1353" s="13" t="str">
        <f>MID(A1353, SEARCH("_", A1353) +1, SEARCH("_", A1353, SEARCH("_", A1353) +1) - SEARCH("_", A1353) -1)</f>
        <v>Lang-16</v>
      </c>
      <c r="Y1353" s="1" t="str">
        <f t="shared" si="60"/>
        <v>NO</v>
      </c>
      <c r="Z1353" s="1" t="str">
        <f t="shared" si="61"/>
        <v>NO</v>
      </c>
      <c r="AA1353" t="s">
        <v>1704</v>
      </c>
      <c r="AB1353" t="s">
        <v>1704</v>
      </c>
      <c r="AC1353" s="1" t="s">
        <v>1705</v>
      </c>
      <c r="AD1353" s="1" t="s">
        <v>1704</v>
      </c>
      <c r="AE1353" s="1" t="s">
        <v>1705</v>
      </c>
      <c r="AF1353" s="1" t="s">
        <v>1704</v>
      </c>
    </row>
    <row r="1354" spans="1:32" ht="15" x14ac:dyDescent="0.35">
      <c r="A1354" s="7" t="s">
        <v>1137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>LEFT($A1354,FIND("_",$A1354)-1)</f>
        <v>kPAR</v>
      </c>
      <c r="P1354" s="13" t="str">
        <f>IF($O1354="ACS", "True Search", IF($O1354="Arja", "Evolutionary Search", IF($O1354="AVATAR", "True Pattern", IF($O1354="CapGen", "Search Like Pattern", IF($O1354="Cardumen", "True Semantic", IF($O1354="DynaMoth", "True Semantic", IF($O1354="FixMiner", "True Pattern", IF($O1354="GenProg-A", "Evolutionary Search", IF($O1354="Hercules", "Learning Pattern", IF($O1354="Jaid", "True Semantic",
IF($O1354="Kali-A", "True Search", IF($O1354="kPAR", "True Pattern", IF($O1354="Nopol", "True Semantic", IF($O1354="RSRepair-A", "Evolutionary Search", IF($O1354="SequenceR", "Deep Learning", IF($O1354="SimFix", "Search Like Pattern", IF($O1354="SketchFix", "True Pattern", IF($O1354="SOFix", "True Pattern", IF($O1354="ssFix", "Search Like Pattern", IF($O1354="TBar", "True Pattern", ""))))))))))))))))))))</f>
        <v>True Pattern</v>
      </c>
      <c r="Q1354" s="13" t="str">
        <f>IF(NOT(ISERR(SEARCH("*_Buggy",$A1354))), "Buggy", IF(NOT(ISERR(SEARCH("*_Fixed",$A1354))), "Fixed", IF(NOT(ISERR(SEARCH("*_Repaired",$A1354))), "Repaired", "")))</f>
        <v>Repaired</v>
      </c>
      <c r="R1354" s="13" t="s">
        <v>1669</v>
      </c>
      <c r="S1354" s="25">
        <v>1</v>
      </c>
      <c r="T1354" s="25">
        <v>1</v>
      </c>
      <c r="U1354" s="25">
        <v>1</v>
      </c>
      <c r="V1354" s="13">
        <v>1</v>
      </c>
      <c r="W1354" s="13" t="str">
        <f>MID(A1354, SEARCH("_", A1354) +1, SEARCH("_", A1354, SEARCH("_", A1354) +1) - SEARCH("_", A1354) -1)</f>
        <v>Lang-18</v>
      </c>
      <c r="Y1354" s="1" t="str">
        <f t="shared" si="60"/>
        <v>NO</v>
      </c>
      <c r="Z1354" s="1" t="str">
        <f t="shared" si="61"/>
        <v>NO</v>
      </c>
      <c r="AA1354" t="s">
        <v>1704</v>
      </c>
      <c r="AB1354" t="s">
        <v>1704</v>
      </c>
      <c r="AC1354" s="1" t="s">
        <v>1704</v>
      </c>
      <c r="AD1354" s="1" t="s">
        <v>1704</v>
      </c>
      <c r="AE1354" s="1" t="s">
        <v>1704</v>
      </c>
      <c r="AF1354" s="1" t="s">
        <v>1704</v>
      </c>
    </row>
    <row r="1355" spans="1:32" ht="15" x14ac:dyDescent="0.35">
      <c r="A1355" s="5" t="s">
        <v>89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>LEFT($A1355,FIND("_",$A1355)-1)</f>
        <v>kPAR</v>
      </c>
      <c r="P1355" s="13" t="str">
        <f>IF($O1355="ACS", "True Search", IF($O1355="Arja", "Evolutionary Search", IF($O1355="AVATAR", "True Pattern", IF($O1355="CapGen", "Search Like Pattern", IF($O1355="Cardumen", "True Semantic", IF($O1355="DynaMoth", "True Semantic", IF($O1355="FixMiner", "True Pattern", IF($O1355="GenProg-A", "Evolutionary Search", IF($O1355="Hercules", "Learning Pattern", IF($O1355="Jaid", "True Semantic",
IF($O1355="Kali-A", "True Search", IF($O1355="kPAR", "True Pattern", IF($O1355="Nopol", "True Semantic", IF($O1355="RSRepair-A", "Evolutionary Search", IF($O1355="SequenceR", "Deep Learning", IF($O1355="SimFix", "Search Like Pattern", IF($O1355="SketchFix", "True Pattern", IF($O1355="SOFix", "True Pattern", IF($O1355="ssFix", "Search Like Pattern", IF($O1355="TBar", "True Pattern", ""))))))))))))))))))))</f>
        <v>True Pattern</v>
      </c>
      <c r="Q1355" s="13" t="str">
        <f>IF(NOT(ISERR(SEARCH("*_Buggy",$A1355))), "Buggy", IF(NOT(ISERR(SEARCH("*_Fixed",$A1355))), "Fixed", IF(NOT(ISERR(SEARCH("*_Repaired",$A1355))), "Repaired", "")))</f>
        <v>Repaired</v>
      </c>
      <c r="R1355" s="13" t="s">
        <v>1669</v>
      </c>
      <c r="S1355" s="25">
        <v>1</v>
      </c>
      <c r="T1355" s="25">
        <v>1</v>
      </c>
      <c r="U1355" s="25">
        <v>1</v>
      </c>
      <c r="V1355" s="13">
        <v>1</v>
      </c>
      <c r="W1355" s="13" t="str">
        <f>MID(A1355, SEARCH("_", A1355) +1, SEARCH("_", A1355, SEARCH("_", A1355) +1) - SEARCH("_", A1355) -1)</f>
        <v>Lang-20</v>
      </c>
      <c r="Y1355" s="1" t="str">
        <f t="shared" si="60"/>
        <v>NO</v>
      </c>
      <c r="Z1355" s="1" t="str">
        <f t="shared" si="61"/>
        <v>NO</v>
      </c>
      <c r="AA1355" t="s">
        <v>1704</v>
      </c>
      <c r="AB1355" t="s">
        <v>1704</v>
      </c>
      <c r="AC1355" s="1" t="s">
        <v>1704</v>
      </c>
      <c r="AD1355" s="1" t="s">
        <v>1704</v>
      </c>
      <c r="AE1355" s="1" t="s">
        <v>1704</v>
      </c>
      <c r="AF1355" s="1" t="s">
        <v>1704</v>
      </c>
    </row>
    <row r="1356" spans="1:32" ht="15" x14ac:dyDescent="0.35">
      <c r="A1356" s="5" t="s">
        <v>1105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>LEFT($A1356,FIND("_",$A1356)-1)</f>
        <v>kPAR</v>
      </c>
      <c r="P1356" s="13" t="str">
        <f>IF($O1356="ACS", "True Search", IF($O1356="Arja", "Evolutionary Search", IF($O1356="AVATAR", "True Pattern", IF($O1356="CapGen", "Search Like Pattern", IF($O1356="Cardumen", "True Semantic", IF($O1356="DynaMoth", "True Semantic", IF($O1356="FixMiner", "True Pattern", IF($O1356="GenProg-A", "Evolutionary Search", IF($O1356="Hercules", "Learning Pattern", IF($O1356="Jaid", "True Semantic",
IF($O1356="Kali-A", "True Search", IF($O1356="kPAR", "True Pattern", IF($O1356="Nopol", "True Semantic", IF($O1356="RSRepair-A", "Evolutionary Search", IF($O1356="SequenceR", "Deep Learning", IF($O1356="SimFix", "Search Like Pattern", IF($O1356="SketchFix", "True Pattern", IF($O1356="SOFix", "True Pattern", IF($O1356="ssFix", "Search Like Pattern", IF($O1356="TBar", "True Pattern", ""))))))))))))))))))))</f>
        <v>True Pattern</v>
      </c>
      <c r="Q1356" s="13" t="str">
        <f>IF(NOT(ISERR(SEARCH("*_Buggy",$A1356))), "Buggy", IF(NOT(ISERR(SEARCH("*_Fixed",$A1356))), "Fixed", IF(NOT(ISERR(SEARCH("*_Repaired",$A1356))), "Repaired", "")))</f>
        <v>Repaired</v>
      </c>
      <c r="R1356" s="13" t="s">
        <v>1669</v>
      </c>
      <c r="S1356" s="25">
        <v>1</v>
      </c>
      <c r="T1356" s="25">
        <v>1</v>
      </c>
      <c r="U1356" s="25">
        <v>1</v>
      </c>
      <c r="V1356" s="13">
        <v>1</v>
      </c>
      <c r="W1356" s="13" t="str">
        <f>MID(A1356, SEARCH("_", A1356) +1, SEARCH("_", A1356, SEARCH("_", A1356) +1) - SEARCH("_", A1356) -1)</f>
        <v>Lang-21</v>
      </c>
      <c r="Y1356" s="1" t="str">
        <f t="shared" si="60"/>
        <v>NO</v>
      </c>
      <c r="Z1356" s="1" t="str">
        <f t="shared" si="61"/>
        <v>NO</v>
      </c>
      <c r="AA1356" t="s">
        <v>1704</v>
      </c>
      <c r="AB1356" t="s">
        <v>1704</v>
      </c>
      <c r="AC1356" s="1" t="s">
        <v>1705</v>
      </c>
      <c r="AD1356" s="1" t="s">
        <v>1704</v>
      </c>
      <c r="AE1356" s="1" t="s">
        <v>1705</v>
      </c>
      <c r="AF1356" s="1" t="s">
        <v>1704</v>
      </c>
    </row>
    <row r="1357" spans="1:32" ht="15" x14ac:dyDescent="0.35">
      <c r="A1357" s="7" t="s">
        <v>34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>LEFT($A1357,FIND("_",$A1357)-1)</f>
        <v>kPAR</v>
      </c>
      <c r="P1357" s="13" t="str">
        <f>IF($O1357="ACS", "True Search", IF($O1357="Arja", "Evolutionary Search", IF($O1357="AVATAR", "True Pattern", IF($O1357="CapGen", "Search Like Pattern", IF($O1357="Cardumen", "True Semantic", IF($O1357="DynaMoth", "True Semantic", IF($O1357="FixMiner", "True Pattern", IF($O1357="GenProg-A", "Evolutionary Search", IF($O1357="Hercules", "Learning Pattern", IF($O1357="Jaid", "True Semantic",
IF($O1357="Kali-A", "True Search", IF($O1357="kPAR", "True Pattern", IF($O1357="Nopol", "True Semantic", IF($O1357="RSRepair-A", "Evolutionary Search", IF($O1357="SequenceR", "Deep Learning", IF($O1357="SimFix", "Search Like Pattern", IF($O1357="SketchFix", "True Pattern", IF($O1357="SOFix", "True Pattern", IF($O1357="ssFix", "Search Like Pattern", IF($O1357="TBar", "True Pattern", ""))))))))))))))))))))</f>
        <v>True Pattern</v>
      </c>
      <c r="Q1357" s="13" t="str">
        <f>IF(NOT(ISERR(SEARCH("*_Buggy",$A1357))), "Buggy", IF(NOT(ISERR(SEARCH("*_Fixed",$A1357))), "Fixed", IF(NOT(ISERR(SEARCH("*_Repaired",$A1357))), "Repaired", "")))</f>
        <v>Repaired</v>
      </c>
      <c r="R1357" s="13" t="s">
        <v>1669</v>
      </c>
      <c r="S1357" s="25">
        <v>1</v>
      </c>
      <c r="T1357" s="25">
        <v>1</v>
      </c>
      <c r="U1357" s="25">
        <v>1</v>
      </c>
      <c r="V1357" s="13">
        <v>1</v>
      </c>
      <c r="W1357" s="13" t="str">
        <f>MID(A1357, SEARCH("_", A1357) +1, SEARCH("_", A1357, SEARCH("_", A1357) +1) - SEARCH("_", A1357) -1)</f>
        <v>Lang-22</v>
      </c>
      <c r="Y1357" s="1" t="str">
        <f t="shared" si="60"/>
        <v>NO</v>
      </c>
      <c r="Z1357" s="1" t="str">
        <f t="shared" si="61"/>
        <v>NO</v>
      </c>
      <c r="AA1357" t="s">
        <v>1704</v>
      </c>
      <c r="AB1357" t="s">
        <v>1704</v>
      </c>
      <c r="AC1357" s="1" t="s">
        <v>1704</v>
      </c>
      <c r="AD1357" s="1" t="s">
        <v>1704</v>
      </c>
      <c r="AE1357" s="1" t="s">
        <v>1704</v>
      </c>
      <c r="AF1357" s="1" t="s">
        <v>1704</v>
      </c>
    </row>
    <row r="1358" spans="1:32" ht="15" x14ac:dyDescent="0.35">
      <c r="A1358" s="7" t="s">
        <v>945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>LEFT($A1358,FIND("_",$A1358)-1)</f>
        <v>kPAR</v>
      </c>
      <c r="P1358" s="13" t="str">
        <f>IF($O1358="ACS", "True Search", IF($O1358="Arja", "Evolutionary Search", IF($O1358="AVATAR", "True Pattern", IF($O1358="CapGen", "Search Like Pattern", IF($O1358="Cardumen", "True Semantic", IF($O1358="DynaMoth", "True Semantic", IF($O1358="FixMiner", "True Pattern", IF($O1358="GenProg-A", "Evolutionary Search", IF($O1358="Hercules", "Learning Pattern", IF($O1358="Jaid", "True Semantic",
IF($O1358="Kali-A", "True Search", IF($O1358="kPAR", "True Pattern", IF($O1358="Nopol", "True Semantic", IF($O1358="RSRepair-A", "Evolutionary Search", IF($O1358="SequenceR", "Deep Learning", IF($O1358="SimFix", "Search Like Pattern", IF($O1358="SketchFix", "True Pattern", IF($O1358="SOFix", "True Pattern", IF($O1358="ssFix", "Search Like Pattern", IF($O1358="TBar", "True Pattern", ""))))))))))))))))))))</f>
        <v>True Pattern</v>
      </c>
      <c r="Q1358" s="13" t="str">
        <f>IF(NOT(ISERR(SEARCH("*_Buggy",$A1358))), "Buggy", IF(NOT(ISERR(SEARCH("*_Fixed",$A1358))), "Fixed", IF(NOT(ISERR(SEARCH("*_Repaired",$A1358))), "Repaired", "")))</f>
        <v>Repaired</v>
      </c>
      <c r="R1358" s="13" t="s">
        <v>1668</v>
      </c>
      <c r="S1358" s="25">
        <v>1</v>
      </c>
      <c r="T1358" s="25">
        <v>1</v>
      </c>
      <c r="U1358" s="25">
        <v>1</v>
      </c>
      <c r="V1358" s="13">
        <v>1</v>
      </c>
      <c r="W1358" s="13" t="str">
        <f>MID(A1358, SEARCH("_", A1358) +1, SEARCH("_", A1358, SEARCH("_", A1358) +1) - SEARCH("_", A1358) -1)</f>
        <v>Lang-24</v>
      </c>
      <c r="Y1358" s="1" t="str">
        <f t="shared" si="60"/>
        <v>NO</v>
      </c>
      <c r="Z1358" s="1" t="str">
        <f t="shared" si="61"/>
        <v>NO</v>
      </c>
      <c r="AA1358" t="s">
        <v>1704</v>
      </c>
      <c r="AB1358" t="s">
        <v>1704</v>
      </c>
      <c r="AC1358" s="1" t="s">
        <v>1705</v>
      </c>
      <c r="AD1358" s="1" t="s">
        <v>1704</v>
      </c>
      <c r="AE1358" s="1" t="s">
        <v>1705</v>
      </c>
      <c r="AF1358" s="1" t="s">
        <v>1704</v>
      </c>
    </row>
    <row r="1359" spans="1:32" ht="15" x14ac:dyDescent="0.35">
      <c r="A1359" s="7" t="s">
        <v>907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>LEFT($A1359,FIND("_",$A1359)-1)</f>
        <v>kPAR</v>
      </c>
      <c r="P1359" s="13" t="str">
        <f>IF($O1359="ACS", "True Search", IF($O1359="Arja", "Evolutionary Search", IF($O1359="AVATAR", "True Pattern", IF($O1359="CapGen", "Search Like Pattern", IF($O1359="Cardumen", "True Semantic", IF($O1359="DynaMoth", "True Semantic", IF($O1359="FixMiner", "True Pattern", IF($O1359="GenProg-A", "Evolutionary Search", IF($O1359="Hercules", "Learning Pattern", IF($O1359="Jaid", "True Semantic",
IF($O1359="Kali-A", "True Search", IF($O1359="kPAR", "True Pattern", IF($O1359="Nopol", "True Semantic", IF($O1359="RSRepair-A", "Evolutionary Search", IF($O1359="SequenceR", "Deep Learning", IF($O1359="SimFix", "Search Like Pattern", IF($O1359="SketchFix", "True Pattern", IF($O1359="SOFix", "True Pattern", IF($O1359="ssFix", "Search Like Pattern", IF($O1359="TBar", "True Pattern", ""))))))))))))))))))))</f>
        <v>True Pattern</v>
      </c>
      <c r="Q1359" s="13" t="str">
        <f>IF(NOT(ISERR(SEARCH("*_Buggy",$A1359))), "Buggy", IF(NOT(ISERR(SEARCH("*_Fixed",$A1359))), "Fixed", IF(NOT(ISERR(SEARCH("*_Repaired",$A1359))), "Repaired", "")))</f>
        <v>Repaired</v>
      </c>
      <c r="R1359" s="13" t="s">
        <v>1669</v>
      </c>
      <c r="S1359" s="25">
        <v>1</v>
      </c>
      <c r="T1359" s="25">
        <v>1</v>
      </c>
      <c r="U1359" s="25">
        <v>1</v>
      </c>
      <c r="V1359" s="13">
        <v>1</v>
      </c>
      <c r="W1359" s="13" t="str">
        <f>MID(A1359, SEARCH("_", A1359) +1, SEARCH("_", A1359, SEARCH("_", A1359) +1) - SEARCH("_", A1359) -1)</f>
        <v>Lang-27</v>
      </c>
      <c r="Y1359" s="1" t="str">
        <f t="shared" si="60"/>
        <v>NO</v>
      </c>
      <c r="Z1359" s="1" t="str">
        <f t="shared" si="61"/>
        <v>NO</v>
      </c>
      <c r="AA1359" t="s">
        <v>1704</v>
      </c>
      <c r="AB1359" t="s">
        <v>1704</v>
      </c>
      <c r="AC1359" s="1" t="s">
        <v>1704</v>
      </c>
      <c r="AD1359" s="1" t="s">
        <v>1704</v>
      </c>
      <c r="AE1359" s="1" t="s">
        <v>1704</v>
      </c>
      <c r="AF1359" s="1" t="s">
        <v>1704</v>
      </c>
    </row>
    <row r="1360" spans="1:32" ht="15" x14ac:dyDescent="0.35">
      <c r="A1360" s="7" t="s">
        <v>382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>LEFT($A1360,FIND("_",$A1360)-1)</f>
        <v>kPAR</v>
      </c>
      <c r="P1360" s="13" t="str">
        <f>IF($O1360="ACS", "True Search", IF($O1360="Arja", "Evolutionary Search", IF($O1360="AVATAR", "True Pattern", IF($O1360="CapGen", "Search Like Pattern", IF($O1360="Cardumen", "True Semantic", IF($O1360="DynaMoth", "True Semantic", IF($O1360="FixMiner", "True Pattern", IF($O1360="GenProg-A", "Evolutionary Search", IF($O1360="Hercules", "Learning Pattern", IF($O1360="Jaid", "True Semantic",
IF($O1360="Kali-A", "True Search", IF($O1360="kPAR", "True Pattern", IF($O1360="Nopol", "True Semantic", IF($O1360="RSRepair-A", "Evolutionary Search", IF($O1360="SequenceR", "Deep Learning", IF($O1360="SimFix", "Search Like Pattern", IF($O1360="SketchFix", "True Pattern", IF($O1360="SOFix", "True Pattern", IF($O1360="ssFix", "Search Like Pattern", IF($O1360="TBar", "True Pattern", ""))))))))))))))))))))</f>
        <v>True Pattern</v>
      </c>
      <c r="Q1360" s="13" t="str">
        <f>IF(NOT(ISERR(SEARCH("*_Buggy",$A1360))), "Buggy", IF(NOT(ISERR(SEARCH("*_Fixed",$A1360))), "Fixed", IF(NOT(ISERR(SEARCH("*_Repaired",$A1360))), "Repaired", "")))</f>
        <v>Repaired</v>
      </c>
      <c r="R1360" s="13" t="s">
        <v>1669</v>
      </c>
      <c r="S1360" s="25">
        <v>1</v>
      </c>
      <c r="T1360" s="25">
        <v>1</v>
      </c>
      <c r="U1360" s="25">
        <v>1</v>
      </c>
      <c r="V1360" s="13">
        <v>1</v>
      </c>
      <c r="W1360" s="13" t="str">
        <f>MID(A1360, SEARCH("_", A1360) +1, SEARCH("_", A1360, SEARCH("_", A1360) +1) - SEARCH("_", A1360) -1)</f>
        <v>Lang-41</v>
      </c>
      <c r="Y1360" s="1" t="str">
        <f t="shared" si="60"/>
        <v>NO</v>
      </c>
      <c r="Z1360" s="1" t="str">
        <f t="shared" si="61"/>
        <v>NO</v>
      </c>
      <c r="AA1360" t="s">
        <v>1704</v>
      </c>
      <c r="AB1360" t="s">
        <v>1704</v>
      </c>
      <c r="AC1360" s="1" t="s">
        <v>1704</v>
      </c>
      <c r="AD1360" s="1" t="s">
        <v>1704</v>
      </c>
      <c r="AE1360" s="1" t="s">
        <v>1704</v>
      </c>
      <c r="AF1360" s="1" t="s">
        <v>1704</v>
      </c>
    </row>
    <row r="1361" spans="1:32" ht="15" x14ac:dyDescent="0.35">
      <c r="A1361" s="7" t="s">
        <v>1103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>LEFT($A1361,FIND("_",$A1361)-1)</f>
        <v>kPAR</v>
      </c>
      <c r="P1361" s="13" t="str">
        <f>IF($O1361="ACS", "True Search", IF($O1361="Arja", "Evolutionary Search", IF($O1361="AVATAR", "True Pattern", IF($O1361="CapGen", "Search Like Pattern", IF($O1361="Cardumen", "True Semantic", IF($O1361="DynaMoth", "True Semantic", IF($O1361="FixMiner", "True Pattern", IF($O1361="GenProg-A", "Evolutionary Search", IF($O1361="Hercules", "Learning Pattern", IF($O1361="Jaid", "True Semantic",
IF($O1361="Kali-A", "True Search", IF($O1361="kPAR", "True Pattern", IF($O1361="Nopol", "True Semantic", IF($O1361="RSRepair-A", "Evolutionary Search", IF($O1361="SequenceR", "Deep Learning", IF($O1361="SimFix", "Search Like Pattern", IF($O1361="SketchFix", "True Pattern", IF($O1361="SOFix", "True Pattern", IF($O1361="ssFix", "Search Like Pattern", IF($O1361="TBar", "True Pattern", ""))))))))))))))))))))</f>
        <v>True Pattern</v>
      </c>
      <c r="Q1361" s="13" t="str">
        <f>IF(NOT(ISERR(SEARCH("*_Buggy",$A1361))), "Buggy", IF(NOT(ISERR(SEARCH("*_Fixed",$A1361))), "Fixed", IF(NOT(ISERR(SEARCH("*_Repaired",$A1361))), "Repaired", "")))</f>
        <v>Repaired</v>
      </c>
      <c r="R1361" s="13" t="s">
        <v>1669</v>
      </c>
      <c r="S1361" s="25">
        <v>1</v>
      </c>
      <c r="T1361" s="25">
        <v>1</v>
      </c>
      <c r="U1361" s="25">
        <v>1</v>
      </c>
      <c r="V1361" s="13">
        <v>1</v>
      </c>
      <c r="W1361" s="13" t="str">
        <f>MID(A1361, SEARCH("_", A1361) +1, SEARCH("_", A1361, SEARCH("_", A1361) +1) - SEARCH("_", A1361) -1)</f>
        <v>Lang-43</v>
      </c>
      <c r="Y1361" s="1" t="str">
        <f t="shared" si="60"/>
        <v>NO</v>
      </c>
      <c r="Z1361" s="1" t="str">
        <f t="shared" si="61"/>
        <v>NO</v>
      </c>
      <c r="AA1361" t="s">
        <v>1704</v>
      </c>
      <c r="AB1361" t="s">
        <v>1704</v>
      </c>
      <c r="AC1361" s="1" t="s">
        <v>1705</v>
      </c>
      <c r="AD1361" s="1" t="s">
        <v>1704</v>
      </c>
      <c r="AE1361" s="1" t="s">
        <v>1705</v>
      </c>
      <c r="AF1361" s="1" t="s">
        <v>1704</v>
      </c>
    </row>
    <row r="1362" spans="1:32" ht="15" x14ac:dyDescent="0.35">
      <c r="A1362" s="5" t="s">
        <v>1003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>LEFT($A1362,FIND("_",$A1362)-1)</f>
        <v>kPAR</v>
      </c>
      <c r="P1362" s="13" t="str">
        <f>IF($O1362="ACS", "True Search", IF($O1362="Arja", "Evolutionary Search", IF($O1362="AVATAR", "True Pattern", IF($O1362="CapGen", "Search Like Pattern", IF($O1362="Cardumen", "True Semantic", IF($O1362="DynaMoth", "True Semantic", IF($O1362="FixMiner", "True Pattern", IF($O1362="GenProg-A", "Evolutionary Search", IF($O1362="Hercules", "Learning Pattern", IF($O1362="Jaid", "True Semantic",
IF($O1362="Kali-A", "True Search", IF($O1362="kPAR", "True Pattern", IF($O1362="Nopol", "True Semantic", IF($O1362="RSRepair-A", "Evolutionary Search", IF($O1362="SequenceR", "Deep Learning", IF($O1362="SimFix", "Search Like Pattern", IF($O1362="SketchFix", "True Pattern", IF($O1362="SOFix", "True Pattern", IF($O1362="ssFix", "Search Like Pattern", IF($O1362="TBar", "True Pattern", ""))))))))))))))))))))</f>
        <v>True Pattern</v>
      </c>
      <c r="Q1362" s="13" t="str">
        <f>IF(NOT(ISERR(SEARCH("*_Buggy",$A1362))), "Buggy", IF(NOT(ISERR(SEARCH("*_Fixed",$A1362))), "Fixed", IF(NOT(ISERR(SEARCH("*_Repaired",$A1362))), "Repaired", "")))</f>
        <v>Repaired</v>
      </c>
      <c r="R1362" s="13" t="s">
        <v>1669</v>
      </c>
      <c r="S1362" s="25">
        <v>1</v>
      </c>
      <c r="T1362" s="25">
        <v>1</v>
      </c>
      <c r="U1362" s="25">
        <v>2</v>
      </c>
      <c r="V1362" s="13">
        <v>2</v>
      </c>
      <c r="W1362" s="13" t="str">
        <f>MID(A1362, SEARCH("_", A1362) +1, SEARCH("_", A1362, SEARCH("_", A1362) +1) - SEARCH("_", A1362) -1)</f>
        <v>Lang-44</v>
      </c>
      <c r="Y1362" s="1" t="str">
        <f t="shared" si="60"/>
        <v>NO</v>
      </c>
      <c r="Z1362" s="1" t="str">
        <f t="shared" si="61"/>
        <v>NO</v>
      </c>
      <c r="AA1362" t="s">
        <v>1704</v>
      </c>
      <c r="AB1362" t="s">
        <v>1704</v>
      </c>
      <c r="AC1362" s="1" t="s">
        <v>1704</v>
      </c>
      <c r="AD1362" s="1" t="s">
        <v>1705</v>
      </c>
      <c r="AE1362" s="1" t="s">
        <v>1704</v>
      </c>
      <c r="AF1362" s="1" t="s">
        <v>1705</v>
      </c>
    </row>
    <row r="1363" spans="1:32" ht="15" x14ac:dyDescent="0.35">
      <c r="A1363" s="5" t="s">
        <v>569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>LEFT($A1363,FIND("_",$A1363)-1)</f>
        <v>kPAR</v>
      </c>
      <c r="P1363" s="13" t="str">
        <f>IF($O1363="ACS", "True Search", IF($O1363="Arja", "Evolutionary Search", IF($O1363="AVATAR", "True Pattern", IF($O1363="CapGen", "Search Like Pattern", IF($O1363="Cardumen", "True Semantic", IF($O1363="DynaMoth", "True Semantic", IF($O1363="FixMiner", "True Pattern", IF($O1363="GenProg-A", "Evolutionary Search", IF($O1363="Hercules", "Learning Pattern", IF($O1363="Jaid", "True Semantic",
IF($O1363="Kali-A", "True Search", IF($O1363="kPAR", "True Pattern", IF($O1363="Nopol", "True Semantic", IF($O1363="RSRepair-A", "Evolutionary Search", IF($O1363="SequenceR", "Deep Learning", IF($O1363="SimFix", "Search Like Pattern", IF($O1363="SketchFix", "True Pattern", IF($O1363="SOFix", "True Pattern", IF($O1363="ssFix", "Search Like Pattern", IF($O1363="TBar", "True Pattern", ""))))))))))))))))))))</f>
        <v>True Pattern</v>
      </c>
      <c r="Q1363" s="13" t="str">
        <f>IF(NOT(ISERR(SEARCH("*_Buggy",$A1363))), "Buggy", IF(NOT(ISERR(SEARCH("*_Fixed",$A1363))), "Fixed", IF(NOT(ISERR(SEARCH("*_Repaired",$A1363))), "Repaired", "")))</f>
        <v>Repaired</v>
      </c>
      <c r="R1363" s="13" t="s">
        <v>1669</v>
      </c>
      <c r="S1363" s="25">
        <v>1</v>
      </c>
      <c r="T1363" s="25">
        <v>1</v>
      </c>
      <c r="U1363" s="25">
        <v>1</v>
      </c>
      <c r="V1363" s="13">
        <v>1</v>
      </c>
      <c r="W1363" s="13" t="str">
        <f>MID(A1363, SEARCH("_", A1363) +1, SEARCH("_", A1363, SEARCH("_", A1363) +1) - SEARCH("_", A1363) -1)</f>
        <v>Lang-45</v>
      </c>
      <c r="Y1363" s="1" t="str">
        <f t="shared" si="60"/>
        <v>NO</v>
      </c>
      <c r="Z1363" s="1" t="str">
        <f t="shared" si="61"/>
        <v>NO</v>
      </c>
      <c r="AA1363" t="s">
        <v>1704</v>
      </c>
      <c r="AB1363" t="s">
        <v>1704</v>
      </c>
      <c r="AC1363" s="1" t="s">
        <v>1704</v>
      </c>
      <c r="AD1363" s="1" t="s">
        <v>1704</v>
      </c>
      <c r="AE1363" s="1" t="s">
        <v>1704</v>
      </c>
      <c r="AF1363" s="1" t="s">
        <v>1704</v>
      </c>
    </row>
    <row r="1364" spans="1:32" ht="15" x14ac:dyDescent="0.35">
      <c r="A1364" s="5" t="s">
        <v>673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>LEFT($A1364,FIND("_",$A1364)-1)</f>
        <v>kPAR</v>
      </c>
      <c r="P1364" s="13" t="str">
        <f>IF($O1364="ACS", "True Search", IF($O1364="Arja", "Evolutionary Search", IF($O1364="AVATAR", "True Pattern", IF($O1364="CapGen", "Search Like Pattern", IF($O1364="Cardumen", "True Semantic", IF($O1364="DynaMoth", "True Semantic", IF($O1364="FixMiner", "True Pattern", IF($O1364="GenProg-A", "Evolutionary Search", IF($O1364="Hercules", "Learning Pattern", IF($O1364="Jaid", "True Semantic",
IF($O1364="Kali-A", "True Search", IF($O1364="kPAR", "True Pattern", IF($O1364="Nopol", "True Semantic", IF($O1364="RSRepair-A", "Evolutionary Search", IF($O1364="SequenceR", "Deep Learning", IF($O1364="SimFix", "Search Like Pattern", IF($O1364="SketchFix", "True Pattern", IF($O1364="SOFix", "True Pattern", IF($O1364="ssFix", "Search Like Pattern", IF($O1364="TBar", "True Pattern", ""))))))))))))))))))))</f>
        <v>True Pattern</v>
      </c>
      <c r="Q1364" s="13" t="str">
        <f>IF(NOT(ISERR(SEARCH("*_Buggy",$A1364))), "Buggy", IF(NOT(ISERR(SEARCH("*_Fixed",$A1364))), "Fixed", IF(NOT(ISERR(SEARCH("*_Repaired",$A1364))), "Repaired", "")))</f>
        <v>Repaired</v>
      </c>
      <c r="R1364" s="13" t="s">
        <v>1669</v>
      </c>
      <c r="S1364" s="25">
        <v>1</v>
      </c>
      <c r="T1364" s="25">
        <v>1</v>
      </c>
      <c r="U1364" s="25">
        <v>1</v>
      </c>
      <c r="V1364" s="13">
        <v>1</v>
      </c>
      <c r="W1364" s="13" t="str">
        <f>MID(A1364, SEARCH("_", A1364) +1, SEARCH("_", A1364, SEARCH("_", A1364) +1) - SEARCH("_", A1364) -1)</f>
        <v>Lang-51</v>
      </c>
      <c r="Y1364" s="1" t="str">
        <f t="shared" si="60"/>
        <v>NO</v>
      </c>
      <c r="Z1364" s="1" t="str">
        <f t="shared" si="61"/>
        <v>NO</v>
      </c>
      <c r="AA1364" t="s">
        <v>1704</v>
      </c>
      <c r="AB1364" t="s">
        <v>1704</v>
      </c>
      <c r="AC1364" s="1" t="s">
        <v>1705</v>
      </c>
      <c r="AD1364" s="1" t="s">
        <v>1704</v>
      </c>
      <c r="AE1364" s="1" t="s">
        <v>1705</v>
      </c>
      <c r="AF1364" s="1" t="s">
        <v>1704</v>
      </c>
    </row>
    <row r="1365" spans="1:32" ht="15" x14ac:dyDescent="0.35">
      <c r="A1365" s="5" t="s">
        <v>50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>LEFT($A1365,FIND("_",$A1365)-1)</f>
        <v>kPAR</v>
      </c>
      <c r="P1365" s="13" t="str">
        <f>IF($O1365="ACS", "True Search", IF($O1365="Arja", "Evolutionary Search", IF($O1365="AVATAR", "True Pattern", IF($O1365="CapGen", "Search Like Pattern", IF($O1365="Cardumen", "True Semantic", IF($O1365="DynaMoth", "True Semantic", IF($O1365="FixMiner", "True Pattern", IF($O1365="GenProg-A", "Evolutionary Search", IF($O1365="Hercules", "Learning Pattern", IF($O1365="Jaid", "True Semantic",
IF($O1365="Kali-A", "True Search", IF($O1365="kPAR", "True Pattern", IF($O1365="Nopol", "True Semantic", IF($O1365="RSRepair-A", "Evolutionary Search", IF($O1365="SequenceR", "Deep Learning", IF($O1365="SimFix", "Search Like Pattern", IF($O1365="SketchFix", "True Pattern", IF($O1365="SOFix", "True Pattern", IF($O1365="ssFix", "Search Like Pattern", IF($O1365="TBar", "True Pattern", ""))))))))))))))))))))</f>
        <v>True Pattern</v>
      </c>
      <c r="Q1365" s="13" t="str">
        <f>IF(NOT(ISERR(SEARCH("*_Buggy",$A1365))), "Buggy", IF(NOT(ISERR(SEARCH("*_Fixed",$A1365))), "Fixed", IF(NOT(ISERR(SEARCH("*_Repaired",$A1365))), "Repaired", "")))</f>
        <v>Repaired</v>
      </c>
      <c r="R1365" s="13" t="s">
        <v>1669</v>
      </c>
      <c r="S1365" s="25">
        <v>1</v>
      </c>
      <c r="T1365" s="25">
        <v>1</v>
      </c>
      <c r="U1365" s="25">
        <v>1</v>
      </c>
      <c r="V1365" s="13">
        <v>1</v>
      </c>
      <c r="W1365" s="13" t="str">
        <f>MID(A1365, SEARCH("_", A1365) +1, SEARCH("_", A1365, SEARCH("_", A1365) +1) - SEARCH("_", A1365) -1)</f>
        <v>Lang-53</v>
      </c>
      <c r="Y1365" s="1" t="str">
        <f t="shared" si="60"/>
        <v>NO</v>
      </c>
      <c r="Z1365" s="1" t="str">
        <f t="shared" si="61"/>
        <v>NO</v>
      </c>
      <c r="AA1365" t="s">
        <v>1704</v>
      </c>
      <c r="AB1365" t="s">
        <v>1704</v>
      </c>
      <c r="AC1365" s="1" t="s">
        <v>1704</v>
      </c>
      <c r="AD1365" s="1" t="s">
        <v>1704</v>
      </c>
      <c r="AE1365" s="1" t="s">
        <v>1704</v>
      </c>
      <c r="AF1365" s="1" t="s">
        <v>1704</v>
      </c>
    </row>
    <row r="1366" spans="1:32" ht="15" x14ac:dyDescent="0.35">
      <c r="A1366" s="5" t="s">
        <v>347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>LEFT($A1366,FIND("_",$A1366)-1)</f>
        <v>kPAR</v>
      </c>
      <c r="P1366" s="13" t="str">
        <f>IF($O1366="ACS", "True Search", IF($O1366="Arja", "Evolutionary Search", IF($O1366="AVATAR", "True Pattern", IF($O1366="CapGen", "Search Like Pattern", IF($O1366="Cardumen", "True Semantic", IF($O1366="DynaMoth", "True Semantic", IF($O1366="FixMiner", "True Pattern", IF($O1366="GenProg-A", "Evolutionary Search", IF($O1366="Hercules", "Learning Pattern", IF($O1366="Jaid", "True Semantic",
IF($O1366="Kali-A", "True Search", IF($O1366="kPAR", "True Pattern", IF($O1366="Nopol", "True Semantic", IF($O1366="RSRepair-A", "Evolutionary Search", IF($O1366="SequenceR", "Deep Learning", IF($O1366="SimFix", "Search Like Pattern", IF($O1366="SketchFix", "True Pattern", IF($O1366="SOFix", "True Pattern", IF($O1366="ssFix", "Search Like Pattern", IF($O1366="TBar", "True Pattern", ""))))))))))))))))))))</f>
        <v>True Pattern</v>
      </c>
      <c r="Q1366" s="13" t="str">
        <f>IF(NOT(ISERR(SEARCH("*_Buggy",$A1366))), "Buggy", IF(NOT(ISERR(SEARCH("*_Fixed",$A1366))), "Fixed", IF(NOT(ISERR(SEARCH("*_Repaired",$A1366))), "Repaired", "")))</f>
        <v>Repaired</v>
      </c>
      <c r="R1366" s="13" t="s">
        <v>1669</v>
      </c>
      <c r="S1366" s="25">
        <v>1</v>
      </c>
      <c r="T1366" s="25">
        <v>4</v>
      </c>
      <c r="U1366" s="25">
        <v>1</v>
      </c>
      <c r="V1366" s="13">
        <v>4</v>
      </c>
      <c r="W1366" s="13" t="str">
        <f>MID(A1366, SEARCH("_", A1366) +1, SEARCH("_", A1366, SEARCH("_", A1366) +1) - SEARCH("_", A1366) -1)</f>
        <v>Lang-57</v>
      </c>
      <c r="Y1366" s="1" t="str">
        <f t="shared" si="60"/>
        <v>NO</v>
      </c>
      <c r="Z1366" s="1" t="str">
        <f t="shared" si="61"/>
        <v>NO</v>
      </c>
      <c r="AA1366" t="s">
        <v>1704</v>
      </c>
      <c r="AB1366" t="s">
        <v>1704</v>
      </c>
      <c r="AC1366" s="1" t="s">
        <v>1704</v>
      </c>
      <c r="AD1366" s="1" t="s">
        <v>1704</v>
      </c>
      <c r="AE1366" s="1" t="s">
        <v>1704</v>
      </c>
      <c r="AF1366" s="1" t="s">
        <v>1704</v>
      </c>
    </row>
    <row r="1367" spans="1:32" ht="15" x14ac:dyDescent="0.35">
      <c r="A1367" s="5" t="s">
        <v>104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>LEFT($A1367,FIND("_",$A1367)-1)</f>
        <v>kPAR</v>
      </c>
      <c r="P1367" s="13" t="str">
        <f>IF($O1367="ACS", "True Search", IF($O1367="Arja", "Evolutionary Search", IF($O1367="AVATAR", "True Pattern", IF($O1367="CapGen", "Search Like Pattern", IF($O1367="Cardumen", "True Semantic", IF($O1367="DynaMoth", "True Semantic", IF($O1367="FixMiner", "True Pattern", IF($O1367="GenProg-A", "Evolutionary Search", IF($O1367="Hercules", "Learning Pattern", IF($O1367="Jaid", "True Semantic",
IF($O1367="Kali-A", "True Search", IF($O1367="kPAR", "True Pattern", IF($O1367="Nopol", "True Semantic", IF($O1367="RSRepair-A", "Evolutionary Search", IF($O1367="SequenceR", "Deep Learning", IF($O1367="SimFix", "Search Like Pattern", IF($O1367="SketchFix", "True Pattern", IF($O1367="SOFix", "True Pattern", IF($O1367="ssFix", "Search Like Pattern", IF($O1367="TBar", "True Pattern", ""))))))))))))))))))))</f>
        <v>True Pattern</v>
      </c>
      <c r="Q1367" s="13" t="str">
        <f>IF(NOT(ISERR(SEARCH("*_Buggy",$A1367))), "Buggy", IF(NOT(ISERR(SEARCH("*_Fixed",$A1367))), "Fixed", IF(NOT(ISERR(SEARCH("*_Repaired",$A1367))), "Repaired", "")))</f>
        <v>Repaired</v>
      </c>
      <c r="R1367" s="13" t="s">
        <v>1669</v>
      </c>
      <c r="S1367" s="25">
        <v>1</v>
      </c>
      <c r="T1367" s="25">
        <v>1</v>
      </c>
      <c r="U1367" s="25">
        <v>2</v>
      </c>
      <c r="V1367" s="13">
        <v>2</v>
      </c>
      <c r="W1367" s="13" t="str">
        <f>MID(A1367, SEARCH("_", A1367) +1, SEARCH("_", A1367, SEARCH("_", A1367) +1) - SEARCH("_", A1367) -1)</f>
        <v>Lang-58</v>
      </c>
      <c r="Y1367" s="1" t="str">
        <f t="shared" si="60"/>
        <v>NO</v>
      </c>
      <c r="Z1367" s="1" t="str">
        <f t="shared" si="61"/>
        <v>NO</v>
      </c>
      <c r="AA1367" t="s">
        <v>1704</v>
      </c>
      <c r="AB1367" t="s">
        <v>1704</v>
      </c>
      <c r="AC1367" s="1" t="s">
        <v>1704</v>
      </c>
      <c r="AD1367" s="1" t="s">
        <v>1705</v>
      </c>
      <c r="AE1367" s="1" t="s">
        <v>1704</v>
      </c>
      <c r="AF1367" s="1" t="s">
        <v>1705</v>
      </c>
    </row>
    <row r="1368" spans="1:32" ht="15" x14ac:dyDescent="0.35">
      <c r="A1368" s="7" t="s">
        <v>252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>LEFT($A1368,FIND("_",$A1368)-1)</f>
        <v>kPAR</v>
      </c>
      <c r="P1368" s="13" t="str">
        <f>IF($O1368="ACS", "True Search", IF($O1368="Arja", "Evolutionary Search", IF($O1368="AVATAR", "True Pattern", IF($O1368="CapGen", "Search Like Pattern", IF($O1368="Cardumen", "True Semantic", IF($O1368="DynaMoth", "True Semantic", IF($O1368="FixMiner", "True Pattern", IF($O1368="GenProg-A", "Evolutionary Search", IF($O1368="Hercules", "Learning Pattern", IF($O1368="Jaid", "True Semantic",
IF($O1368="Kali-A", "True Search", IF($O1368="kPAR", "True Pattern", IF($O1368="Nopol", "True Semantic", IF($O1368="RSRepair-A", "Evolutionary Search", IF($O1368="SequenceR", "Deep Learning", IF($O1368="SimFix", "Search Like Pattern", IF($O1368="SketchFix", "True Pattern", IF($O1368="SOFix", "True Pattern", IF($O1368="ssFix", "Search Like Pattern", IF($O1368="TBar", "True Pattern", ""))))))))))))))))))))</f>
        <v>True Pattern</v>
      </c>
      <c r="Q1368" s="13" t="str">
        <f>IF(NOT(ISERR(SEARCH("*_Buggy",$A1368))), "Buggy", IF(NOT(ISERR(SEARCH("*_Fixed",$A1368))), "Fixed", IF(NOT(ISERR(SEARCH("*_Repaired",$A1368))), "Repaired", "")))</f>
        <v>Repaired</v>
      </c>
      <c r="R1368" s="13" t="s">
        <v>1668</v>
      </c>
      <c r="S1368" s="25">
        <v>1</v>
      </c>
      <c r="T1368" s="25">
        <v>1</v>
      </c>
      <c r="U1368" s="25">
        <v>1</v>
      </c>
      <c r="V1368" s="13">
        <v>1</v>
      </c>
      <c r="W1368" s="13" t="str">
        <f>MID(A1368, SEARCH("_", A1368) +1, SEARCH("_", A1368, SEARCH("_", A1368) +1) - SEARCH("_", A1368) -1)</f>
        <v>Lang-59</v>
      </c>
      <c r="Y1368" s="1" t="str">
        <f t="shared" si="60"/>
        <v>NO</v>
      </c>
      <c r="Z1368" s="1" t="str">
        <f t="shared" si="61"/>
        <v>NO</v>
      </c>
      <c r="AA1368" t="s">
        <v>1704</v>
      </c>
      <c r="AB1368" t="s">
        <v>1704</v>
      </c>
      <c r="AC1368" s="1" t="s">
        <v>1705</v>
      </c>
      <c r="AD1368" s="1" t="s">
        <v>1704</v>
      </c>
      <c r="AE1368" s="1" t="s">
        <v>1705</v>
      </c>
      <c r="AF1368" s="1" t="s">
        <v>1704</v>
      </c>
    </row>
    <row r="1369" spans="1:32" ht="15" x14ac:dyDescent="0.35">
      <c r="A1369" s="7" t="s">
        <v>850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>LEFT($A1369,FIND("_",$A1369)-1)</f>
        <v>kPAR</v>
      </c>
      <c r="P1369" s="13" t="str">
        <f>IF($O1369="ACS", "True Search", IF($O1369="Arja", "Evolutionary Search", IF($O1369="AVATAR", "True Pattern", IF($O1369="CapGen", "Search Like Pattern", IF($O1369="Cardumen", "True Semantic", IF($O1369="DynaMoth", "True Semantic", IF($O1369="FixMiner", "True Pattern", IF($O1369="GenProg-A", "Evolutionary Search", IF($O1369="Hercules", "Learning Pattern", IF($O1369="Jaid", "True Semantic",
IF($O1369="Kali-A", "True Search", IF($O1369="kPAR", "True Pattern", IF($O1369="Nopol", "True Semantic", IF($O1369="RSRepair-A", "Evolutionary Search", IF($O1369="SequenceR", "Deep Learning", IF($O1369="SimFix", "Search Like Pattern", IF($O1369="SketchFix", "True Pattern", IF($O1369="SOFix", "True Pattern", IF($O1369="ssFix", "Search Like Pattern", IF($O1369="TBar", "True Pattern", ""))))))))))))))))))))</f>
        <v>True Pattern</v>
      </c>
      <c r="Q1369" s="13" t="str">
        <f>IF(NOT(ISERR(SEARCH("*_Buggy",$A1369))), "Buggy", IF(NOT(ISERR(SEARCH("*_Fixed",$A1369))), "Fixed", IF(NOT(ISERR(SEARCH("*_Repaired",$A1369))), "Repaired", "")))</f>
        <v>Repaired</v>
      </c>
      <c r="R1369" s="13" t="s">
        <v>1668</v>
      </c>
      <c r="S1369" s="25">
        <v>1</v>
      </c>
      <c r="T1369" s="25">
        <v>1</v>
      </c>
      <c r="U1369" s="25">
        <v>1</v>
      </c>
      <c r="V1369" s="13">
        <v>1</v>
      </c>
      <c r="W1369" s="13" t="str">
        <f>MID(A1369, SEARCH("_", A1369) +1, SEARCH("_", A1369, SEARCH("_", A1369) +1) - SEARCH("_", A1369) -1)</f>
        <v>Lang-6</v>
      </c>
      <c r="Y1369" s="1" t="str">
        <f t="shared" si="60"/>
        <v>NO</v>
      </c>
      <c r="Z1369" s="1" t="str">
        <f t="shared" si="61"/>
        <v>NO</v>
      </c>
      <c r="AA1369" t="s">
        <v>1704</v>
      </c>
      <c r="AB1369" t="s">
        <v>1704</v>
      </c>
      <c r="AC1369" s="1" t="s">
        <v>1705</v>
      </c>
      <c r="AD1369" s="1" t="s">
        <v>1704</v>
      </c>
      <c r="AE1369" s="1" t="s">
        <v>1705</v>
      </c>
      <c r="AF1369" s="1" t="s">
        <v>1704</v>
      </c>
    </row>
    <row r="1370" spans="1:32" ht="15" x14ac:dyDescent="0.35">
      <c r="A1370" s="7" t="s">
        <v>1119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>LEFT($A1370,FIND("_",$A1370)-1)</f>
        <v>kPAR</v>
      </c>
      <c r="P1370" s="13" t="str">
        <f>IF($O1370="ACS", "True Search", IF($O1370="Arja", "Evolutionary Search", IF($O1370="AVATAR", "True Pattern", IF($O1370="CapGen", "Search Like Pattern", IF($O1370="Cardumen", "True Semantic", IF($O1370="DynaMoth", "True Semantic", IF($O1370="FixMiner", "True Pattern", IF($O1370="GenProg-A", "Evolutionary Search", IF($O1370="Hercules", "Learning Pattern", IF($O1370="Jaid", "True Semantic",
IF($O1370="Kali-A", "True Search", IF($O1370="kPAR", "True Pattern", IF($O1370="Nopol", "True Semantic", IF($O1370="RSRepair-A", "Evolutionary Search", IF($O1370="SequenceR", "Deep Learning", IF($O1370="SimFix", "Search Like Pattern", IF($O1370="SketchFix", "True Pattern", IF($O1370="SOFix", "True Pattern", IF($O1370="ssFix", "Search Like Pattern", IF($O1370="TBar", "True Pattern", ""))))))))))))))))))))</f>
        <v>True Pattern</v>
      </c>
      <c r="Q1370" s="13" t="str">
        <f>IF(NOT(ISERR(SEARCH("*_Buggy",$A1370))), "Buggy", IF(NOT(ISERR(SEARCH("*_Fixed",$A1370))), "Fixed", IF(NOT(ISERR(SEARCH("*_Repaired",$A1370))), "Repaired", "")))</f>
        <v>Repaired</v>
      </c>
      <c r="R1370" s="13" t="s">
        <v>1669</v>
      </c>
      <c r="S1370" s="25">
        <v>1</v>
      </c>
      <c r="T1370" s="25">
        <v>1</v>
      </c>
      <c r="U1370" s="25">
        <v>1</v>
      </c>
      <c r="V1370" s="13">
        <v>1</v>
      </c>
      <c r="W1370" s="13" t="str">
        <f>MID(A1370, SEARCH("_", A1370) +1, SEARCH("_", A1370, SEARCH("_", A1370) +1) - SEARCH("_", A1370) -1)</f>
        <v>Lang-63</v>
      </c>
      <c r="Y1370" s="1" t="str">
        <f t="shared" si="60"/>
        <v>NO</v>
      </c>
      <c r="Z1370" s="1" t="str">
        <f t="shared" si="61"/>
        <v>NO</v>
      </c>
      <c r="AA1370" t="s">
        <v>1704</v>
      </c>
      <c r="AB1370" t="s">
        <v>1704</v>
      </c>
      <c r="AC1370" s="1" t="s">
        <v>1704</v>
      </c>
      <c r="AD1370" s="1" t="s">
        <v>1704</v>
      </c>
      <c r="AE1370" s="1" t="s">
        <v>1704</v>
      </c>
      <c r="AF1370" s="1" t="s">
        <v>1704</v>
      </c>
    </row>
    <row r="1371" spans="1:32" ht="15" x14ac:dyDescent="0.35">
      <c r="A1371" s="5" t="s">
        <v>781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>LEFT($A1371,FIND("_",$A1371)-1)</f>
        <v>kPAR</v>
      </c>
      <c r="P1371" s="13" t="str">
        <f>IF($O1371="ACS", "True Search", IF($O1371="Arja", "Evolutionary Search", IF($O1371="AVATAR", "True Pattern", IF($O1371="CapGen", "Search Like Pattern", IF($O1371="Cardumen", "True Semantic", IF($O1371="DynaMoth", "True Semantic", IF($O1371="FixMiner", "True Pattern", IF($O1371="GenProg-A", "Evolutionary Search", IF($O1371="Hercules", "Learning Pattern", IF($O1371="Jaid", "True Semantic",
IF($O1371="Kali-A", "True Search", IF($O1371="kPAR", "True Pattern", IF($O1371="Nopol", "True Semantic", IF($O1371="RSRepair-A", "Evolutionary Search", IF($O1371="SequenceR", "Deep Learning", IF($O1371="SimFix", "Search Like Pattern", IF($O1371="SketchFix", "True Pattern", IF($O1371="SOFix", "True Pattern", IF($O1371="ssFix", "Search Like Pattern", IF($O1371="TBar", "True Pattern", ""))))))))))))))))))))</f>
        <v>True Pattern</v>
      </c>
      <c r="Q1371" s="13" t="str">
        <f>IF(NOT(ISERR(SEARCH("*_Buggy",$A1371))), "Buggy", IF(NOT(ISERR(SEARCH("*_Fixed",$A1371))), "Fixed", IF(NOT(ISERR(SEARCH("*_Repaired",$A1371))), "Repaired", "")))</f>
        <v>Repaired</v>
      </c>
      <c r="R1371" s="13" t="s">
        <v>1668</v>
      </c>
      <c r="S1371" s="25">
        <v>1</v>
      </c>
      <c r="T1371" s="25">
        <v>1</v>
      </c>
      <c r="U1371" s="25">
        <v>1</v>
      </c>
      <c r="V1371" s="13">
        <v>1</v>
      </c>
      <c r="W1371" s="13" t="str">
        <f>MID(A1371, SEARCH("_", A1371) +1, SEARCH("_", A1371, SEARCH("_", A1371) +1) - SEARCH("_", A1371) -1)</f>
        <v>Lang-7</v>
      </c>
      <c r="Y1371" s="1" t="str">
        <f t="shared" si="60"/>
        <v>NO</v>
      </c>
      <c r="Z1371" s="1" t="str">
        <f t="shared" si="61"/>
        <v>NO</v>
      </c>
      <c r="AA1371" t="s">
        <v>1704</v>
      </c>
      <c r="AB1371" t="s">
        <v>1704</v>
      </c>
      <c r="AC1371" s="1" t="s">
        <v>1704</v>
      </c>
      <c r="AD1371" s="1" t="s">
        <v>1704</v>
      </c>
      <c r="AE1371" s="1" t="s">
        <v>1704</v>
      </c>
      <c r="AF1371" s="1" t="s">
        <v>1704</v>
      </c>
    </row>
    <row r="1372" spans="1:32" ht="15" x14ac:dyDescent="0.35">
      <c r="A1372" s="7" t="s">
        <v>516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>LEFT($A1372,FIND("_",$A1372)-1)</f>
        <v>kPAR</v>
      </c>
      <c r="P1372" s="13" t="str">
        <f>IF($O1372="ACS", "True Search", IF($O1372="Arja", "Evolutionary Search", IF($O1372="AVATAR", "True Pattern", IF($O1372="CapGen", "Search Like Pattern", IF($O1372="Cardumen", "True Semantic", IF($O1372="DynaMoth", "True Semantic", IF($O1372="FixMiner", "True Pattern", IF($O1372="GenProg-A", "Evolutionary Search", IF($O1372="Hercules", "Learning Pattern", IF($O1372="Jaid", "True Semantic",
IF($O1372="Kali-A", "True Search", IF($O1372="kPAR", "True Pattern", IF($O1372="Nopol", "True Semantic", IF($O1372="RSRepair-A", "Evolutionary Search", IF($O1372="SequenceR", "Deep Learning", IF($O1372="SimFix", "Search Like Pattern", IF($O1372="SketchFix", "True Pattern", IF($O1372="SOFix", "True Pattern", IF($O1372="ssFix", "Search Like Pattern", IF($O1372="TBar", "True Pattern", ""))))))))))))))))))))</f>
        <v>True Pattern</v>
      </c>
      <c r="Q1372" s="13" t="str">
        <f>IF(NOT(ISERR(SEARCH("*_Buggy",$A1372))), "Buggy", IF(NOT(ISERR(SEARCH("*_Fixed",$A1372))), "Fixed", IF(NOT(ISERR(SEARCH("*_Repaired",$A1372))), "Repaired", "")))</f>
        <v>Repaired</v>
      </c>
      <c r="R1372" s="13" t="s">
        <v>1669</v>
      </c>
      <c r="S1372" s="25">
        <v>1</v>
      </c>
      <c r="T1372" s="25">
        <v>1</v>
      </c>
      <c r="U1372" s="25">
        <v>1</v>
      </c>
      <c r="V1372" s="13">
        <v>1</v>
      </c>
      <c r="W1372" s="13" t="str">
        <f>MID(A1372, SEARCH("_", A1372) +1, SEARCH("_", A1372, SEARCH("_", A1372) +1) - SEARCH("_", A1372) -1)</f>
        <v>Math-104</v>
      </c>
      <c r="Y1372" s="1" t="str">
        <f t="shared" si="60"/>
        <v>NO</v>
      </c>
      <c r="Z1372" s="1" t="str">
        <f t="shared" si="61"/>
        <v>NO</v>
      </c>
      <c r="AA1372" t="s">
        <v>1704</v>
      </c>
      <c r="AB1372" t="s">
        <v>1704</v>
      </c>
      <c r="AC1372" s="1" t="s">
        <v>1705</v>
      </c>
      <c r="AD1372" s="1" t="s">
        <v>1704</v>
      </c>
      <c r="AE1372" s="1" t="s">
        <v>1705</v>
      </c>
      <c r="AF1372" s="1" t="s">
        <v>1704</v>
      </c>
    </row>
    <row r="1373" spans="1:32" ht="15" x14ac:dyDescent="0.35">
      <c r="A1373" s="5" t="s">
        <v>297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>LEFT($A1373,FIND("_",$A1373)-1)</f>
        <v>kPAR</v>
      </c>
      <c r="P1373" s="13" t="str">
        <f>IF($O1373="ACS", "True Search", IF($O1373="Arja", "Evolutionary Search", IF($O1373="AVATAR", "True Pattern", IF($O1373="CapGen", "Search Like Pattern", IF($O1373="Cardumen", "True Semantic", IF($O1373="DynaMoth", "True Semantic", IF($O1373="FixMiner", "True Pattern", IF($O1373="GenProg-A", "Evolutionary Search", IF($O1373="Hercules", "Learning Pattern", IF($O1373="Jaid", "True Semantic",
IF($O1373="Kali-A", "True Search", IF($O1373="kPAR", "True Pattern", IF($O1373="Nopol", "True Semantic", IF($O1373="RSRepair-A", "Evolutionary Search", IF($O1373="SequenceR", "Deep Learning", IF($O1373="SimFix", "Search Like Pattern", IF($O1373="SketchFix", "True Pattern", IF($O1373="SOFix", "True Pattern", IF($O1373="ssFix", "Search Like Pattern", IF($O1373="TBar", "True Pattern", ""))))))))))))))))))))</f>
        <v>True Pattern</v>
      </c>
      <c r="Q1373" s="13" t="str">
        <f>IF(NOT(ISERR(SEARCH("*_Buggy",$A1373))), "Buggy", IF(NOT(ISERR(SEARCH("*_Fixed",$A1373))), "Fixed", IF(NOT(ISERR(SEARCH("*_Repaired",$A1373))), "Repaired", "")))</f>
        <v>Repaired</v>
      </c>
      <c r="R1373" s="13" t="s">
        <v>1669</v>
      </c>
      <c r="S1373" s="25">
        <v>1</v>
      </c>
      <c r="T1373" s="25">
        <v>1</v>
      </c>
      <c r="U1373" s="25">
        <v>1</v>
      </c>
      <c r="V1373" s="13">
        <v>1</v>
      </c>
      <c r="W1373" s="13" t="str">
        <f>MID(A1373, SEARCH("_", A1373) +1, SEARCH("_", A1373, SEARCH("_", A1373) +1) - SEARCH("_", A1373) -1)</f>
        <v>Math-15</v>
      </c>
      <c r="Y1373" s="1" t="str">
        <f t="shared" si="60"/>
        <v>NO</v>
      </c>
      <c r="Z1373" s="1" t="str">
        <f t="shared" si="61"/>
        <v>NO</v>
      </c>
      <c r="AA1373" t="s">
        <v>1704</v>
      </c>
      <c r="AB1373" t="s">
        <v>1704</v>
      </c>
      <c r="AC1373" s="1" t="s">
        <v>1704</v>
      </c>
      <c r="AD1373" s="1" t="s">
        <v>1704</v>
      </c>
      <c r="AE1373" s="1" t="s">
        <v>1704</v>
      </c>
      <c r="AF1373" s="1" t="s">
        <v>1704</v>
      </c>
    </row>
    <row r="1374" spans="1:32" ht="15" x14ac:dyDescent="0.35">
      <c r="A1374" s="7" t="s">
        <v>1073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>LEFT($A1374,FIND("_",$A1374)-1)</f>
        <v>kPAR</v>
      </c>
      <c r="P1374" s="13" t="str">
        <f>IF($O1374="ACS", "True Search", IF($O1374="Arja", "Evolutionary Search", IF($O1374="AVATAR", "True Pattern", IF($O1374="CapGen", "Search Like Pattern", IF($O1374="Cardumen", "True Semantic", IF($O1374="DynaMoth", "True Semantic", IF($O1374="FixMiner", "True Pattern", IF($O1374="GenProg-A", "Evolutionary Search", IF($O1374="Hercules", "Learning Pattern", IF($O1374="Jaid", "True Semantic",
IF($O1374="Kali-A", "True Search", IF($O1374="kPAR", "True Pattern", IF($O1374="Nopol", "True Semantic", IF($O1374="RSRepair-A", "Evolutionary Search", IF($O1374="SequenceR", "Deep Learning", IF($O1374="SimFix", "Search Like Pattern", IF($O1374="SketchFix", "True Pattern", IF($O1374="SOFix", "True Pattern", IF($O1374="ssFix", "Search Like Pattern", IF($O1374="TBar", "True Pattern", ""))))))))))))))))))))</f>
        <v>True Pattern</v>
      </c>
      <c r="Q1374" s="13" t="str">
        <f>IF(NOT(ISERR(SEARCH("*_Buggy",$A1374))), "Buggy", IF(NOT(ISERR(SEARCH("*_Fixed",$A1374))), "Fixed", IF(NOT(ISERR(SEARCH("*_Repaired",$A1374))), "Repaired", "")))</f>
        <v>Repaired</v>
      </c>
      <c r="R1374" s="13" t="s">
        <v>1669</v>
      </c>
      <c r="S1374" s="25">
        <v>1</v>
      </c>
      <c r="T1374" s="25">
        <v>1</v>
      </c>
      <c r="U1374" s="25">
        <v>1</v>
      </c>
      <c r="V1374" s="13">
        <v>1</v>
      </c>
      <c r="W1374" s="13" t="str">
        <f>MID(A1374, SEARCH("_", A1374) +1, SEARCH("_", A1374, SEARCH("_", A1374) +1) - SEARCH("_", A1374) -1)</f>
        <v>Math-40</v>
      </c>
      <c r="Y1374" s="1" t="str">
        <f t="shared" si="60"/>
        <v>NO</v>
      </c>
      <c r="Z1374" s="1" t="str">
        <f t="shared" si="61"/>
        <v>NO</v>
      </c>
      <c r="AA1374" t="s">
        <v>1704</v>
      </c>
      <c r="AB1374" t="s">
        <v>1704</v>
      </c>
      <c r="AC1374" s="1" t="s">
        <v>1704</v>
      </c>
      <c r="AD1374" s="1" t="s">
        <v>1704</v>
      </c>
      <c r="AE1374" s="1" t="s">
        <v>1704</v>
      </c>
      <c r="AF1374" s="1" t="s">
        <v>1704</v>
      </c>
    </row>
    <row r="1375" spans="1:32" ht="15" x14ac:dyDescent="0.35">
      <c r="A1375" s="7" t="s">
        <v>397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>LEFT($A1375,FIND("_",$A1375)-1)</f>
        <v>kPAR</v>
      </c>
      <c r="P1375" s="13" t="str">
        <f>IF($O1375="ACS", "True Search", IF($O1375="Arja", "Evolutionary Search", IF($O1375="AVATAR", "True Pattern", IF($O1375="CapGen", "Search Like Pattern", IF($O1375="Cardumen", "True Semantic", IF($O1375="DynaMoth", "True Semantic", IF($O1375="FixMiner", "True Pattern", IF($O1375="GenProg-A", "Evolutionary Search", IF($O1375="Hercules", "Learning Pattern", IF($O1375="Jaid", "True Semantic",
IF($O1375="Kali-A", "True Search", IF($O1375="kPAR", "True Pattern", IF($O1375="Nopol", "True Semantic", IF($O1375="RSRepair-A", "Evolutionary Search", IF($O1375="SequenceR", "Deep Learning", IF($O1375="SimFix", "Search Like Pattern", IF($O1375="SketchFix", "True Pattern", IF($O1375="SOFix", "True Pattern", IF($O1375="ssFix", "Search Like Pattern", IF($O1375="TBar", "True Pattern", ""))))))))))))))))))))</f>
        <v>True Pattern</v>
      </c>
      <c r="Q1375" s="13" t="str">
        <f>IF(NOT(ISERR(SEARCH("*_Buggy",$A1375))), "Buggy", IF(NOT(ISERR(SEARCH("*_Fixed",$A1375))), "Fixed", IF(NOT(ISERR(SEARCH("*_Repaired",$A1375))), "Repaired", "")))</f>
        <v>Repaired</v>
      </c>
      <c r="R1375" s="13" t="s">
        <v>1669</v>
      </c>
      <c r="S1375" s="25">
        <v>1</v>
      </c>
      <c r="T1375" s="25">
        <v>1</v>
      </c>
      <c r="U1375" s="25">
        <v>1</v>
      </c>
      <c r="V1375" s="13">
        <v>1</v>
      </c>
      <c r="W1375" s="13" t="str">
        <f>MID(A1375, SEARCH("_", A1375) +1, SEARCH("_", A1375, SEARCH("_", A1375) +1) - SEARCH("_", A1375) -1)</f>
        <v>Math-42</v>
      </c>
      <c r="Y1375" s="1" t="str">
        <f t="shared" si="60"/>
        <v>NO</v>
      </c>
      <c r="Z1375" s="1" t="str">
        <f t="shared" si="61"/>
        <v>NO</v>
      </c>
      <c r="AA1375" t="s">
        <v>1704</v>
      </c>
      <c r="AB1375" t="s">
        <v>1704</v>
      </c>
      <c r="AC1375" s="1" t="s">
        <v>1704</v>
      </c>
      <c r="AD1375" s="1" t="s">
        <v>1704</v>
      </c>
      <c r="AE1375" s="1" t="s">
        <v>1704</v>
      </c>
      <c r="AF1375" s="1" t="s">
        <v>1704</v>
      </c>
    </row>
    <row r="1376" spans="1:32" ht="15" x14ac:dyDescent="0.35">
      <c r="A1376" s="5" t="s">
        <v>1006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>LEFT($A1376,FIND("_",$A1376)-1)</f>
        <v>kPAR</v>
      </c>
      <c r="P1376" s="13" t="str">
        <f>IF($O1376="ACS", "True Search", IF($O1376="Arja", "Evolutionary Search", IF($O1376="AVATAR", "True Pattern", IF($O1376="CapGen", "Search Like Pattern", IF($O1376="Cardumen", "True Semantic", IF($O1376="DynaMoth", "True Semantic", IF($O1376="FixMiner", "True Pattern", IF($O1376="GenProg-A", "Evolutionary Search", IF($O1376="Hercules", "Learning Pattern", IF($O1376="Jaid", "True Semantic",
IF($O1376="Kali-A", "True Search", IF($O1376="kPAR", "True Pattern", IF($O1376="Nopol", "True Semantic", IF($O1376="RSRepair-A", "Evolutionary Search", IF($O1376="SequenceR", "Deep Learning", IF($O1376="SimFix", "Search Like Pattern", IF($O1376="SketchFix", "True Pattern", IF($O1376="SOFix", "True Pattern", IF($O1376="ssFix", "Search Like Pattern", IF($O1376="TBar", "True Pattern", ""))))))))))))))))))))</f>
        <v>True Pattern</v>
      </c>
      <c r="Q1376" s="13" t="str">
        <f>IF(NOT(ISERR(SEARCH("*_Buggy",$A1376))), "Buggy", IF(NOT(ISERR(SEARCH("*_Fixed",$A1376))), "Fixed", IF(NOT(ISERR(SEARCH("*_Repaired",$A1376))), "Repaired", "")))</f>
        <v>Repaired</v>
      </c>
      <c r="R1376" s="13" t="s">
        <v>1669</v>
      </c>
      <c r="S1376" s="25">
        <v>1</v>
      </c>
      <c r="T1376" s="25">
        <v>1</v>
      </c>
      <c r="U1376" s="25">
        <v>1</v>
      </c>
      <c r="V1376" s="13">
        <v>1</v>
      </c>
      <c r="W1376" s="13" t="str">
        <f>MID(A1376, SEARCH("_", A1376) +1, SEARCH("_", A1376, SEARCH("_", A1376) +1) - SEARCH("_", A1376) -1)</f>
        <v>Math-43</v>
      </c>
      <c r="Y1376" s="1" t="str">
        <f t="shared" si="60"/>
        <v>NO</v>
      </c>
      <c r="Z1376" s="1" t="str">
        <f t="shared" si="61"/>
        <v>NO</v>
      </c>
      <c r="AA1376" t="s">
        <v>1704</v>
      </c>
      <c r="AB1376" t="s">
        <v>1704</v>
      </c>
      <c r="AC1376" s="1" t="s">
        <v>1704</v>
      </c>
      <c r="AD1376" s="1" t="s">
        <v>1704</v>
      </c>
      <c r="AE1376" s="1" t="s">
        <v>1704</v>
      </c>
      <c r="AF1376" s="1" t="s">
        <v>1704</v>
      </c>
    </row>
    <row r="1377" spans="1:32" ht="15" x14ac:dyDescent="0.35">
      <c r="A1377" s="7" t="s">
        <v>610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>LEFT($A1377,FIND("_",$A1377)-1)</f>
        <v>kPAR</v>
      </c>
      <c r="P1377" s="13" t="str">
        <f>IF($O1377="ACS", "True Search", IF($O1377="Arja", "Evolutionary Search", IF($O1377="AVATAR", "True Pattern", IF($O1377="CapGen", "Search Like Pattern", IF($O1377="Cardumen", "True Semantic", IF($O1377="DynaMoth", "True Semantic", IF($O1377="FixMiner", "True Pattern", IF($O1377="GenProg-A", "Evolutionary Search", IF($O1377="Hercules", "Learning Pattern", IF($O1377="Jaid", "True Semantic",
IF($O1377="Kali-A", "True Search", IF($O1377="kPAR", "True Pattern", IF($O1377="Nopol", "True Semantic", IF($O1377="RSRepair-A", "Evolutionary Search", IF($O1377="SequenceR", "Deep Learning", IF($O1377="SimFix", "Search Like Pattern", IF($O1377="SketchFix", "True Pattern", IF($O1377="SOFix", "True Pattern", IF($O1377="ssFix", "Search Like Pattern", IF($O1377="TBar", "True Pattern", ""))))))))))))))))))))</f>
        <v>True Pattern</v>
      </c>
      <c r="Q1377" s="13" t="str">
        <f>IF(NOT(ISERR(SEARCH("*_Buggy",$A1377))), "Buggy", IF(NOT(ISERR(SEARCH("*_Fixed",$A1377))), "Fixed", IF(NOT(ISERR(SEARCH("*_Repaired",$A1377))), "Repaired", "")))</f>
        <v>Repaired</v>
      </c>
      <c r="R1377" s="13" t="s">
        <v>1668</v>
      </c>
      <c r="S1377" s="25">
        <v>1</v>
      </c>
      <c r="T1377" s="25">
        <v>1</v>
      </c>
      <c r="U1377" s="25">
        <v>1</v>
      </c>
      <c r="V1377" s="13">
        <v>1</v>
      </c>
      <c r="W1377" s="13" t="str">
        <f>MID(A1377, SEARCH("_", A1377) +1, SEARCH("_", A1377, SEARCH("_", A1377) +1) - SEARCH("_", A1377) -1)</f>
        <v>Math-50</v>
      </c>
      <c r="Y1377" s="1" t="str">
        <f t="shared" si="60"/>
        <v>NO</v>
      </c>
      <c r="Z1377" s="1" t="str">
        <f t="shared" si="61"/>
        <v>NO</v>
      </c>
      <c r="AA1377" t="s">
        <v>1704</v>
      </c>
      <c r="AB1377" t="s">
        <v>1704</v>
      </c>
      <c r="AC1377" s="1" t="s">
        <v>1704</v>
      </c>
      <c r="AD1377" s="1" t="s">
        <v>1704</v>
      </c>
      <c r="AE1377" s="1" t="s">
        <v>1704</v>
      </c>
      <c r="AF1377" s="1" t="s">
        <v>1704</v>
      </c>
    </row>
    <row r="1378" spans="1:32" ht="15" x14ac:dyDescent="0.35">
      <c r="A1378" s="5" t="s">
        <v>135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>LEFT($A1378,FIND("_",$A1378)-1)</f>
        <v>kPAR</v>
      </c>
      <c r="P1378" s="13" t="str">
        <f>IF($O1378="ACS", "True Search", IF($O1378="Arja", "Evolutionary Search", IF($O1378="AVATAR", "True Pattern", IF($O1378="CapGen", "Search Like Pattern", IF($O1378="Cardumen", "True Semantic", IF($O1378="DynaMoth", "True Semantic", IF($O1378="FixMiner", "True Pattern", IF($O1378="GenProg-A", "Evolutionary Search", IF($O1378="Hercules", "Learning Pattern", IF($O1378="Jaid", "True Semantic",
IF($O1378="Kali-A", "True Search", IF($O1378="kPAR", "True Pattern", IF($O1378="Nopol", "True Semantic", IF($O1378="RSRepair-A", "Evolutionary Search", IF($O1378="SequenceR", "Deep Learning", IF($O1378="SimFix", "Search Like Pattern", IF($O1378="SketchFix", "True Pattern", IF($O1378="SOFix", "True Pattern", IF($O1378="ssFix", "Search Like Pattern", IF($O1378="TBar", "True Pattern", ""))))))))))))))))))))</f>
        <v>True Pattern</v>
      </c>
      <c r="Q1378" s="13" t="str">
        <f>IF(NOT(ISERR(SEARCH("*_Buggy",$A1378))), "Buggy", IF(NOT(ISERR(SEARCH("*_Fixed",$A1378))), "Fixed", IF(NOT(ISERR(SEARCH("*_Repaired",$A1378))), "Repaired", "")))</f>
        <v>Repaired</v>
      </c>
      <c r="R1378" s="13" t="s">
        <v>1668</v>
      </c>
      <c r="S1378" s="25">
        <v>1</v>
      </c>
      <c r="T1378" s="25">
        <v>1</v>
      </c>
      <c r="U1378" s="25">
        <v>1</v>
      </c>
      <c r="V1378" s="13">
        <v>1</v>
      </c>
      <c r="W1378" s="13" t="str">
        <f>MID(A1378, SEARCH("_", A1378) +1, SEARCH("_", A1378, SEARCH("_", A1378) +1) - SEARCH("_", A1378) -1)</f>
        <v>Math-58</v>
      </c>
      <c r="Y1378" s="1" t="str">
        <f t="shared" si="60"/>
        <v>NO</v>
      </c>
      <c r="Z1378" s="1" t="str">
        <f t="shared" si="61"/>
        <v>NO</v>
      </c>
      <c r="AA1378" t="s">
        <v>1704</v>
      </c>
      <c r="AB1378" t="s">
        <v>1704</v>
      </c>
      <c r="AC1378" s="1" t="s">
        <v>1705</v>
      </c>
      <c r="AD1378" s="1" t="s">
        <v>1704</v>
      </c>
      <c r="AE1378" s="1" t="s">
        <v>1705</v>
      </c>
      <c r="AF1378" s="1" t="s">
        <v>1704</v>
      </c>
    </row>
    <row r="1379" spans="1:32" ht="15" x14ac:dyDescent="0.35">
      <c r="A1379" s="5" t="s">
        <v>542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>LEFT($A1379,FIND("_",$A1379)-1)</f>
        <v>kPAR</v>
      </c>
      <c r="P1379" s="13" t="str">
        <f>IF($O1379="ACS", "True Search", IF($O1379="Arja", "Evolutionary Search", IF($O1379="AVATAR", "True Pattern", IF($O1379="CapGen", "Search Like Pattern", IF($O1379="Cardumen", "True Semantic", IF($O1379="DynaMoth", "True Semantic", IF($O1379="FixMiner", "True Pattern", IF($O1379="GenProg-A", "Evolutionary Search", IF($O1379="Hercules", "Learning Pattern", IF($O1379="Jaid", "True Semantic",
IF($O1379="Kali-A", "True Search", IF($O1379="kPAR", "True Pattern", IF($O1379="Nopol", "True Semantic", IF($O1379="RSRepair-A", "Evolutionary Search", IF($O1379="SequenceR", "Deep Learning", IF($O1379="SimFix", "Search Like Pattern", IF($O1379="SketchFix", "True Pattern", IF($O1379="SOFix", "True Pattern", IF($O1379="ssFix", "Search Like Pattern", IF($O1379="TBar", "True Pattern", ""))))))))))))))))))))</f>
        <v>True Pattern</v>
      </c>
      <c r="Q1379" s="13" t="str">
        <f>IF(NOT(ISERR(SEARCH("*_Buggy",$A1379))), "Buggy", IF(NOT(ISERR(SEARCH("*_Fixed",$A1379))), "Fixed", IF(NOT(ISERR(SEARCH("*_Repaired",$A1379))), "Repaired", "")))</f>
        <v>Repaired</v>
      </c>
      <c r="R1379" s="13" t="s">
        <v>1669</v>
      </c>
      <c r="S1379" s="25">
        <v>1</v>
      </c>
      <c r="T1379" s="25">
        <v>1</v>
      </c>
      <c r="U1379" s="25">
        <v>1</v>
      </c>
      <c r="V1379" s="13">
        <v>1</v>
      </c>
      <c r="W1379" s="13" t="str">
        <f>MID(A1379, SEARCH("_", A1379) +1, SEARCH("_", A1379, SEARCH("_", A1379) +1) - SEARCH("_", A1379) -1)</f>
        <v>Math-62</v>
      </c>
      <c r="Y1379" s="1" t="str">
        <f t="shared" si="60"/>
        <v>NO</v>
      </c>
      <c r="Z1379" s="1" t="str">
        <f t="shared" si="61"/>
        <v>NO</v>
      </c>
      <c r="AA1379" t="s">
        <v>1704</v>
      </c>
      <c r="AB1379" t="s">
        <v>1704</v>
      </c>
      <c r="AC1379" s="1" t="s">
        <v>1704</v>
      </c>
      <c r="AD1379" s="1" t="s">
        <v>1704</v>
      </c>
      <c r="AE1379" s="1" t="s">
        <v>1704</v>
      </c>
      <c r="AF1379" s="1" t="s">
        <v>1704</v>
      </c>
    </row>
    <row r="1380" spans="1:32" ht="15" x14ac:dyDescent="0.35">
      <c r="A1380" s="7" t="s">
        <v>1254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>LEFT($A1380,FIND("_",$A1380)-1)</f>
        <v>kPAR</v>
      </c>
      <c r="P1380" s="13" t="str">
        <f>IF($O1380="ACS", "True Search", IF($O1380="Arja", "Evolutionary Search", IF($O1380="AVATAR", "True Pattern", IF($O1380="CapGen", "Search Like Pattern", IF($O1380="Cardumen", "True Semantic", IF($O1380="DynaMoth", "True Semantic", IF($O1380="FixMiner", "True Pattern", IF($O1380="GenProg-A", "Evolutionary Search", IF($O1380="Hercules", "Learning Pattern", IF($O1380="Jaid", "True Semantic",
IF($O1380="Kali-A", "True Search", IF($O1380="kPAR", "True Pattern", IF($O1380="Nopol", "True Semantic", IF($O1380="RSRepair-A", "Evolutionary Search", IF($O1380="SequenceR", "Deep Learning", IF($O1380="SimFix", "Search Like Pattern", IF($O1380="SketchFix", "True Pattern", IF($O1380="SOFix", "True Pattern", IF($O1380="ssFix", "Search Like Pattern", IF($O1380="TBar", "True Pattern", ""))))))))))))))))))))</f>
        <v>True Pattern</v>
      </c>
      <c r="Q1380" s="13" t="str">
        <f>IF(NOT(ISERR(SEARCH("*_Buggy",$A1380))), "Buggy", IF(NOT(ISERR(SEARCH("*_Fixed",$A1380))), "Fixed", IF(NOT(ISERR(SEARCH("*_Repaired",$A1380))), "Repaired", "")))</f>
        <v>Repaired</v>
      </c>
      <c r="R1380" s="13" t="s">
        <v>1669</v>
      </c>
      <c r="S1380" s="25">
        <v>1</v>
      </c>
      <c r="T1380" s="25">
        <v>1</v>
      </c>
      <c r="U1380" s="25">
        <v>1</v>
      </c>
      <c r="V1380" s="13">
        <v>1</v>
      </c>
      <c r="W1380" s="13" t="str">
        <f>MID(A1380, SEARCH("_", A1380) +1, SEARCH("_", A1380, SEARCH("_", A1380) +1) - SEARCH("_", A1380) -1)</f>
        <v>Math-63</v>
      </c>
      <c r="Y1380" s="1" t="str">
        <f t="shared" si="60"/>
        <v>NO</v>
      </c>
      <c r="Z1380" s="1" t="str">
        <f t="shared" si="61"/>
        <v>NO</v>
      </c>
      <c r="AA1380" t="s">
        <v>1704</v>
      </c>
      <c r="AB1380" t="s">
        <v>1704</v>
      </c>
      <c r="AC1380" s="1" t="s">
        <v>1705</v>
      </c>
      <c r="AD1380" s="1" t="s">
        <v>1704</v>
      </c>
      <c r="AE1380" s="1" t="s">
        <v>1705</v>
      </c>
      <c r="AF1380" s="1" t="s">
        <v>1704</v>
      </c>
    </row>
    <row r="1381" spans="1:32" ht="15" x14ac:dyDescent="0.35">
      <c r="A1381" s="5" t="s">
        <v>168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>LEFT($A1381,FIND("_",$A1381)-1)</f>
        <v>kPAR</v>
      </c>
      <c r="P1381" s="13" t="str">
        <f>IF($O1381="ACS", "True Search", IF($O1381="Arja", "Evolutionary Search", IF($O1381="AVATAR", "True Pattern", IF($O1381="CapGen", "Search Like Pattern", IF($O1381="Cardumen", "True Semantic", IF($O1381="DynaMoth", "True Semantic", IF($O1381="FixMiner", "True Pattern", IF($O1381="GenProg-A", "Evolutionary Search", IF($O1381="Hercules", "Learning Pattern", IF($O1381="Jaid", "True Semantic",
IF($O1381="Kali-A", "True Search", IF($O1381="kPAR", "True Pattern", IF($O1381="Nopol", "True Semantic", IF($O1381="RSRepair-A", "Evolutionary Search", IF($O1381="SequenceR", "Deep Learning", IF($O1381="SimFix", "Search Like Pattern", IF($O1381="SketchFix", "True Pattern", IF($O1381="SOFix", "True Pattern", IF($O1381="ssFix", "Search Like Pattern", IF($O1381="TBar", "True Pattern", ""))))))))))))))))))))</f>
        <v>True Pattern</v>
      </c>
      <c r="Q1381" s="13" t="str">
        <f>IF(NOT(ISERR(SEARCH("*_Buggy",$A1381))), "Buggy", IF(NOT(ISERR(SEARCH("*_Fixed",$A1381))), "Fixed", IF(NOT(ISERR(SEARCH("*_Repaired",$A1381))), "Repaired", "")))</f>
        <v>Repaired</v>
      </c>
      <c r="R1381" s="13" t="s">
        <v>1669</v>
      </c>
      <c r="S1381" s="25">
        <v>1</v>
      </c>
      <c r="T1381" s="25">
        <v>1</v>
      </c>
      <c r="U1381" s="25">
        <v>1</v>
      </c>
      <c r="V1381" s="13">
        <v>1</v>
      </c>
      <c r="W1381" s="13" t="str">
        <f>MID(A1381, SEARCH("_", A1381) +1, SEARCH("_", A1381, SEARCH("_", A1381) +1) - SEARCH("_", A1381) -1)</f>
        <v>Math-7</v>
      </c>
      <c r="Y1381" s="1" t="str">
        <f t="shared" si="60"/>
        <v>NO</v>
      </c>
      <c r="Z1381" s="1" t="str">
        <f t="shared" si="61"/>
        <v>NO</v>
      </c>
      <c r="AA1381" t="s">
        <v>1704</v>
      </c>
      <c r="AB1381" t="s">
        <v>1704</v>
      </c>
      <c r="AC1381" s="1" t="s">
        <v>1704</v>
      </c>
      <c r="AD1381" s="1" t="s">
        <v>1704</v>
      </c>
      <c r="AE1381" s="1" t="s">
        <v>1704</v>
      </c>
      <c r="AF1381" s="1" t="s">
        <v>1704</v>
      </c>
    </row>
    <row r="1382" spans="1:32" ht="15" x14ac:dyDescent="0.35">
      <c r="A1382" s="5" t="s">
        <v>213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>LEFT($A1382,FIND("_",$A1382)-1)</f>
        <v>kPAR</v>
      </c>
      <c r="P1382" s="13" t="str">
        <f>IF($O1382="ACS", "True Search", IF($O1382="Arja", "Evolutionary Search", IF($O1382="AVATAR", "True Pattern", IF($O1382="CapGen", "Search Like Pattern", IF($O1382="Cardumen", "True Semantic", IF($O1382="DynaMoth", "True Semantic", IF($O1382="FixMiner", "True Pattern", IF($O1382="GenProg-A", "Evolutionary Search", IF($O1382="Hercules", "Learning Pattern", IF($O1382="Jaid", "True Semantic",
IF($O1382="Kali-A", "True Search", IF($O1382="kPAR", "True Pattern", IF($O1382="Nopol", "True Semantic", IF($O1382="RSRepair-A", "Evolutionary Search", IF($O1382="SequenceR", "Deep Learning", IF($O1382="SimFix", "Search Like Pattern", IF($O1382="SketchFix", "True Pattern", IF($O1382="SOFix", "True Pattern", IF($O1382="ssFix", "Search Like Pattern", IF($O1382="TBar", "True Pattern", ""))))))))))))))))))))</f>
        <v>True Pattern</v>
      </c>
      <c r="Q1382" s="13" t="str">
        <f>IF(NOT(ISERR(SEARCH("*_Buggy",$A1382))), "Buggy", IF(NOT(ISERR(SEARCH("*_Fixed",$A1382))), "Fixed", IF(NOT(ISERR(SEARCH("*_Repaired",$A1382))), "Repaired", "")))</f>
        <v>Repaired</v>
      </c>
      <c r="R1382" s="13" t="s">
        <v>1668</v>
      </c>
      <c r="S1382" s="25">
        <v>1</v>
      </c>
      <c r="T1382" s="25">
        <v>1</v>
      </c>
      <c r="U1382" s="25">
        <v>1</v>
      </c>
      <c r="V1382" s="13">
        <v>1</v>
      </c>
      <c r="W1382" s="13" t="str">
        <f>MID(A1382, SEARCH("_", A1382) +1, SEARCH("_", A1382, SEARCH("_", A1382) +1) - SEARCH("_", A1382) -1)</f>
        <v>Math-70</v>
      </c>
      <c r="Y1382" s="1" t="str">
        <f t="shared" ref="Y1382:Y1445" si="62">IF(AND(S1382&gt;1,S1382=V1382), "YES", "NO")</f>
        <v>NO</v>
      </c>
      <c r="Z1382" s="1" t="str">
        <f t="shared" ref="Z1382:Z1445" si="63">IF(AND(S1382&gt;1,S1382&lt;V1382), "YES", "NO")</f>
        <v>NO</v>
      </c>
      <c r="AA1382" t="s">
        <v>1704</v>
      </c>
      <c r="AB1382" t="s">
        <v>1704</v>
      </c>
      <c r="AC1382" s="1" t="s">
        <v>1705</v>
      </c>
      <c r="AD1382" s="1" t="s">
        <v>1704</v>
      </c>
      <c r="AE1382" s="1" t="s">
        <v>1705</v>
      </c>
      <c r="AF1382" s="1" t="s">
        <v>1704</v>
      </c>
    </row>
    <row r="1383" spans="1:32" ht="15" x14ac:dyDescent="0.35">
      <c r="A1383" s="5" t="s">
        <v>645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>LEFT($A1383,FIND("_",$A1383)-1)</f>
        <v>kPAR</v>
      </c>
      <c r="P1383" s="13" t="str">
        <f>IF($O1383="ACS", "True Search", IF($O1383="Arja", "Evolutionary Search", IF($O1383="AVATAR", "True Pattern", IF($O1383="CapGen", "Search Like Pattern", IF($O1383="Cardumen", "True Semantic", IF($O1383="DynaMoth", "True Semantic", IF($O1383="FixMiner", "True Pattern", IF($O1383="GenProg-A", "Evolutionary Search", IF($O1383="Hercules", "Learning Pattern", IF($O1383="Jaid", "True Semantic",
IF($O1383="Kali-A", "True Search", IF($O1383="kPAR", "True Pattern", IF($O1383="Nopol", "True Semantic", IF($O1383="RSRepair-A", "Evolutionary Search", IF($O1383="SequenceR", "Deep Learning", IF($O1383="SimFix", "Search Like Pattern", IF($O1383="SketchFix", "True Pattern", IF($O1383="SOFix", "True Pattern", IF($O1383="ssFix", "Search Like Pattern", IF($O1383="TBar", "True Pattern", ""))))))))))))))))))))</f>
        <v>True Pattern</v>
      </c>
      <c r="Q1383" s="13" t="str">
        <f>IF(NOT(ISERR(SEARCH("*_Buggy",$A1383))), "Buggy", IF(NOT(ISERR(SEARCH("*_Fixed",$A1383))), "Fixed", IF(NOT(ISERR(SEARCH("*_Repaired",$A1383))), "Repaired", "")))</f>
        <v>Repaired</v>
      </c>
      <c r="R1383" s="13" t="s">
        <v>1668</v>
      </c>
      <c r="S1383" s="25">
        <v>1</v>
      </c>
      <c r="T1383" s="25">
        <v>1</v>
      </c>
      <c r="U1383" s="25">
        <v>1</v>
      </c>
      <c r="V1383" s="13">
        <v>1</v>
      </c>
      <c r="W1383" s="13" t="str">
        <f>MID(A1383, SEARCH("_", A1383) +1, SEARCH("_", A1383, SEARCH("_", A1383) +1) - SEARCH("_", A1383) -1)</f>
        <v>Math-75</v>
      </c>
      <c r="Y1383" s="1" t="str">
        <f t="shared" si="62"/>
        <v>NO</v>
      </c>
      <c r="Z1383" s="1" t="str">
        <f t="shared" si="63"/>
        <v>NO</v>
      </c>
      <c r="AA1383" t="s">
        <v>1704</v>
      </c>
      <c r="AB1383" t="s">
        <v>1704</v>
      </c>
      <c r="AC1383" s="1" t="s">
        <v>1705</v>
      </c>
      <c r="AD1383" s="1" t="s">
        <v>1704</v>
      </c>
      <c r="AE1383" s="1" t="s">
        <v>1705</v>
      </c>
      <c r="AF1383" s="1" t="s">
        <v>1704</v>
      </c>
    </row>
    <row r="1384" spans="1:32" ht="15" x14ac:dyDescent="0.35">
      <c r="A1384" s="5" t="s">
        <v>183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>LEFT($A1384,FIND("_",$A1384)-1)</f>
        <v>kPAR</v>
      </c>
      <c r="P1384" s="13" t="str">
        <f>IF($O1384="ACS", "True Search", IF($O1384="Arja", "Evolutionary Search", IF($O1384="AVATAR", "True Pattern", IF($O1384="CapGen", "Search Like Pattern", IF($O1384="Cardumen", "True Semantic", IF($O1384="DynaMoth", "True Semantic", IF($O1384="FixMiner", "True Pattern", IF($O1384="GenProg-A", "Evolutionary Search", IF($O1384="Hercules", "Learning Pattern", IF($O1384="Jaid", "True Semantic",
IF($O1384="Kali-A", "True Search", IF($O1384="kPAR", "True Pattern", IF($O1384="Nopol", "True Semantic", IF($O1384="RSRepair-A", "Evolutionary Search", IF($O1384="SequenceR", "Deep Learning", IF($O1384="SimFix", "Search Like Pattern", IF($O1384="SketchFix", "True Pattern", IF($O1384="SOFix", "True Pattern", IF($O1384="ssFix", "Search Like Pattern", IF($O1384="TBar", "True Pattern", ""))))))))))))))))))))</f>
        <v>True Pattern</v>
      </c>
      <c r="Q1384" s="13" t="str">
        <f>IF(NOT(ISERR(SEARCH("*_Buggy",$A1384))), "Buggy", IF(NOT(ISERR(SEARCH("*_Fixed",$A1384))), "Fixed", IF(NOT(ISERR(SEARCH("*_Repaired",$A1384))), "Repaired", "")))</f>
        <v>Repaired</v>
      </c>
      <c r="R1384" s="13" t="s">
        <v>1669</v>
      </c>
      <c r="S1384" s="25">
        <v>1</v>
      </c>
      <c r="T1384" s="25">
        <v>1</v>
      </c>
      <c r="U1384" s="25">
        <v>1</v>
      </c>
      <c r="V1384" s="13">
        <v>1</v>
      </c>
      <c r="W1384" s="13" t="str">
        <f>MID(A1384, SEARCH("_", A1384) +1, SEARCH("_", A1384, SEARCH("_", A1384) +1) - SEARCH("_", A1384) -1)</f>
        <v>Math-8</v>
      </c>
      <c r="Y1384" s="1" t="str">
        <f t="shared" si="62"/>
        <v>NO</v>
      </c>
      <c r="Z1384" s="1" t="str">
        <f t="shared" si="63"/>
        <v>NO</v>
      </c>
      <c r="AA1384" t="s">
        <v>1704</v>
      </c>
      <c r="AB1384" t="s">
        <v>1704</v>
      </c>
      <c r="AC1384" s="1" t="s">
        <v>1704</v>
      </c>
      <c r="AD1384" s="1" t="s">
        <v>1704</v>
      </c>
      <c r="AE1384" s="1" t="s">
        <v>1704</v>
      </c>
      <c r="AF1384" s="1" t="s">
        <v>1704</v>
      </c>
    </row>
    <row r="1385" spans="1:32" ht="15" x14ac:dyDescent="0.35">
      <c r="A1385" s="5" t="s">
        <v>43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>LEFT($A1385,FIND("_",$A1385)-1)</f>
        <v>kPAR</v>
      </c>
      <c r="P1385" s="13" t="str">
        <f>IF($O1385="ACS", "True Search", IF($O1385="Arja", "Evolutionary Search", IF($O1385="AVATAR", "True Pattern", IF($O1385="CapGen", "Search Like Pattern", IF($O1385="Cardumen", "True Semantic", IF($O1385="DynaMoth", "True Semantic", IF($O1385="FixMiner", "True Pattern", IF($O1385="GenProg-A", "Evolutionary Search", IF($O1385="Hercules", "Learning Pattern", IF($O1385="Jaid", "True Semantic",
IF($O1385="Kali-A", "True Search", IF($O1385="kPAR", "True Pattern", IF($O1385="Nopol", "True Semantic", IF($O1385="RSRepair-A", "Evolutionary Search", IF($O1385="SequenceR", "Deep Learning", IF($O1385="SimFix", "Search Like Pattern", IF($O1385="SketchFix", "True Pattern", IF($O1385="SOFix", "True Pattern", IF($O1385="ssFix", "Search Like Pattern", IF($O1385="TBar", "True Pattern", ""))))))))))))))))))))</f>
        <v>True Pattern</v>
      </c>
      <c r="Q1385" s="13" t="str">
        <f>IF(NOT(ISERR(SEARCH("*_Buggy",$A1385))), "Buggy", IF(NOT(ISERR(SEARCH("*_Fixed",$A1385))), "Fixed", IF(NOT(ISERR(SEARCH("*_Repaired",$A1385))), "Repaired", "")))</f>
        <v>Repaired</v>
      </c>
      <c r="R1385" s="13" t="s">
        <v>1669</v>
      </c>
      <c r="S1385" s="25">
        <v>1</v>
      </c>
      <c r="T1385" s="25">
        <v>1</v>
      </c>
      <c r="U1385" s="25">
        <v>1</v>
      </c>
      <c r="V1385" s="13">
        <v>1</v>
      </c>
      <c r="W1385" s="13" t="str">
        <f>MID(A1385, SEARCH("_", A1385) +1, SEARCH("_", A1385, SEARCH("_", A1385) +1) - SEARCH("_", A1385) -1)</f>
        <v>Math-80</v>
      </c>
      <c r="Y1385" s="1" t="str">
        <f t="shared" si="62"/>
        <v>NO</v>
      </c>
      <c r="Z1385" s="1" t="str">
        <f t="shared" si="63"/>
        <v>NO</v>
      </c>
      <c r="AA1385" t="s">
        <v>1704</v>
      </c>
      <c r="AB1385" t="s">
        <v>1704</v>
      </c>
      <c r="AC1385" s="1" t="s">
        <v>1705</v>
      </c>
      <c r="AD1385" s="1" t="s">
        <v>1704</v>
      </c>
      <c r="AE1385" s="1" t="s">
        <v>1705</v>
      </c>
      <c r="AF1385" s="1" t="s">
        <v>1704</v>
      </c>
    </row>
    <row r="1386" spans="1:32" ht="15" x14ac:dyDescent="0.35">
      <c r="A1386" s="5" t="s">
        <v>1136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>LEFT($A1386,FIND("_",$A1386)-1)</f>
        <v>kPAR</v>
      </c>
      <c r="P1386" s="13" t="str">
        <f>IF($O1386="ACS", "True Search", IF($O1386="Arja", "Evolutionary Search", IF($O1386="AVATAR", "True Pattern", IF($O1386="CapGen", "Search Like Pattern", IF($O1386="Cardumen", "True Semantic", IF($O1386="DynaMoth", "True Semantic", IF($O1386="FixMiner", "True Pattern", IF($O1386="GenProg-A", "Evolutionary Search", IF($O1386="Hercules", "Learning Pattern", IF($O1386="Jaid", "True Semantic",
IF($O1386="Kali-A", "True Search", IF($O1386="kPAR", "True Pattern", IF($O1386="Nopol", "True Semantic", IF($O1386="RSRepair-A", "Evolutionary Search", IF($O1386="SequenceR", "Deep Learning", IF($O1386="SimFix", "Search Like Pattern", IF($O1386="SketchFix", "True Pattern", IF($O1386="SOFix", "True Pattern", IF($O1386="ssFix", "Search Like Pattern", IF($O1386="TBar", "True Pattern", ""))))))))))))))))))))</f>
        <v>True Pattern</v>
      </c>
      <c r="Q1386" s="13" t="str">
        <f>IF(NOT(ISERR(SEARCH("*_Buggy",$A1386))), "Buggy", IF(NOT(ISERR(SEARCH("*_Fixed",$A1386))), "Fixed", IF(NOT(ISERR(SEARCH("*_Repaired",$A1386))), "Repaired", "")))</f>
        <v>Repaired</v>
      </c>
      <c r="R1386" s="13" t="s">
        <v>1669</v>
      </c>
      <c r="S1386" s="25">
        <v>1</v>
      </c>
      <c r="T1386" s="25">
        <v>1</v>
      </c>
      <c r="U1386" s="25">
        <v>1</v>
      </c>
      <c r="V1386" s="13">
        <v>1</v>
      </c>
      <c r="W1386" s="13" t="str">
        <f>MID(A1386, SEARCH("_", A1386) +1, SEARCH("_", A1386, SEARCH("_", A1386) +1) - SEARCH("_", A1386) -1)</f>
        <v>Math-81</v>
      </c>
      <c r="Y1386" s="1" t="str">
        <f t="shared" si="62"/>
        <v>NO</v>
      </c>
      <c r="Z1386" s="1" t="str">
        <f t="shared" si="63"/>
        <v>NO</v>
      </c>
      <c r="AA1386" t="s">
        <v>1704</v>
      </c>
      <c r="AB1386" t="s">
        <v>1704</v>
      </c>
      <c r="AC1386" s="1" t="s">
        <v>1704</v>
      </c>
      <c r="AD1386" s="1" t="s">
        <v>1704</v>
      </c>
      <c r="AE1386" s="1" t="s">
        <v>1704</v>
      </c>
      <c r="AF1386" s="1" t="s">
        <v>1704</v>
      </c>
    </row>
    <row r="1387" spans="1:32" ht="15" x14ac:dyDescent="0.35">
      <c r="A1387" s="7" t="s">
        <v>338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>LEFT($A1387,FIND("_",$A1387)-1)</f>
        <v>kPAR</v>
      </c>
      <c r="P1387" s="13" t="str">
        <f>IF($O1387="ACS", "True Search", IF($O1387="Arja", "Evolutionary Search", IF($O1387="AVATAR", "True Pattern", IF($O1387="CapGen", "Search Like Pattern", IF($O1387="Cardumen", "True Semantic", IF($O1387="DynaMoth", "True Semantic", IF($O1387="FixMiner", "True Pattern", IF($O1387="GenProg-A", "Evolutionary Search", IF($O1387="Hercules", "Learning Pattern", IF($O1387="Jaid", "True Semantic",
IF($O1387="Kali-A", "True Search", IF($O1387="kPAR", "True Pattern", IF($O1387="Nopol", "True Semantic", IF($O1387="RSRepair-A", "Evolutionary Search", IF($O1387="SequenceR", "Deep Learning", IF($O1387="SimFix", "Search Like Pattern", IF($O1387="SketchFix", "True Pattern", IF($O1387="SOFix", "True Pattern", IF($O1387="ssFix", "Search Like Pattern", IF($O1387="TBar", "True Pattern", ""))))))))))))))))))))</f>
        <v>True Pattern</v>
      </c>
      <c r="Q1387" s="13" t="str">
        <f>IF(NOT(ISERR(SEARCH("*_Buggy",$A1387))), "Buggy", IF(NOT(ISERR(SEARCH("*_Fixed",$A1387))), "Fixed", IF(NOT(ISERR(SEARCH("*_Repaired",$A1387))), "Repaired", "")))</f>
        <v>Repaired</v>
      </c>
      <c r="R1387" s="13" t="s">
        <v>1668</v>
      </c>
      <c r="S1387" s="25">
        <v>1</v>
      </c>
      <c r="T1387" s="25">
        <v>1</v>
      </c>
      <c r="U1387" s="25">
        <v>1</v>
      </c>
      <c r="V1387" s="13">
        <v>1</v>
      </c>
      <c r="W1387" s="13" t="str">
        <f>MID(A1387, SEARCH("_", A1387) +1, SEARCH("_", A1387, SEARCH("_", A1387) +1) - SEARCH("_", A1387) -1)</f>
        <v>Math-82</v>
      </c>
      <c r="Y1387" s="1" t="str">
        <f t="shared" si="62"/>
        <v>NO</v>
      </c>
      <c r="Z1387" s="1" t="str">
        <f t="shared" si="63"/>
        <v>NO</v>
      </c>
      <c r="AA1387" t="s">
        <v>1704</v>
      </c>
      <c r="AB1387" t="s">
        <v>1704</v>
      </c>
      <c r="AC1387" s="1" t="s">
        <v>1705</v>
      </c>
      <c r="AD1387" s="1" t="s">
        <v>1704</v>
      </c>
      <c r="AE1387" s="1" t="s">
        <v>1705</v>
      </c>
      <c r="AF1387" s="1" t="s">
        <v>1704</v>
      </c>
    </row>
    <row r="1388" spans="1:32" ht="15" x14ac:dyDescent="0.35">
      <c r="A1388" s="5" t="s">
        <v>567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>LEFT($A1388,FIND("_",$A1388)-1)</f>
        <v>kPAR</v>
      </c>
      <c r="P1388" s="13" t="str">
        <f>IF($O1388="ACS", "True Search", IF($O1388="Arja", "Evolutionary Search", IF($O1388="AVATAR", "True Pattern", IF($O1388="CapGen", "Search Like Pattern", IF($O1388="Cardumen", "True Semantic", IF($O1388="DynaMoth", "True Semantic", IF($O1388="FixMiner", "True Pattern", IF($O1388="GenProg-A", "Evolutionary Search", IF($O1388="Hercules", "Learning Pattern", IF($O1388="Jaid", "True Semantic",
IF($O1388="Kali-A", "True Search", IF($O1388="kPAR", "True Pattern", IF($O1388="Nopol", "True Semantic", IF($O1388="RSRepair-A", "Evolutionary Search", IF($O1388="SequenceR", "Deep Learning", IF($O1388="SimFix", "Search Like Pattern", IF($O1388="SketchFix", "True Pattern", IF($O1388="SOFix", "True Pattern", IF($O1388="ssFix", "Search Like Pattern", IF($O1388="TBar", "True Pattern", ""))))))))))))))))))))</f>
        <v>True Pattern</v>
      </c>
      <c r="Q1388" s="13" t="str">
        <f>IF(NOT(ISERR(SEARCH("*_Buggy",$A1388))), "Buggy", IF(NOT(ISERR(SEARCH("*_Fixed",$A1388))), "Fixed", IF(NOT(ISERR(SEARCH("*_Repaired",$A1388))), "Repaired", "")))</f>
        <v>Repaired</v>
      </c>
      <c r="R1388" s="13" t="s">
        <v>1669</v>
      </c>
      <c r="S1388" s="25">
        <v>1</v>
      </c>
      <c r="T1388" s="25">
        <v>1</v>
      </c>
      <c r="U1388" s="25">
        <v>1</v>
      </c>
      <c r="V1388" s="13">
        <v>1</v>
      </c>
      <c r="W1388" s="13" t="str">
        <f>MID(A1388, SEARCH("_", A1388) +1, SEARCH("_", A1388, SEARCH("_", A1388) +1) - SEARCH("_", A1388) -1)</f>
        <v>Math-84</v>
      </c>
      <c r="Y1388" s="1" t="str">
        <f t="shared" si="62"/>
        <v>NO</v>
      </c>
      <c r="Z1388" s="1" t="str">
        <f t="shared" si="63"/>
        <v>NO</v>
      </c>
      <c r="AA1388" t="s">
        <v>1704</v>
      </c>
      <c r="AB1388" t="s">
        <v>1704</v>
      </c>
      <c r="AC1388" s="1" t="s">
        <v>1704</v>
      </c>
      <c r="AD1388" s="1" t="s">
        <v>1704</v>
      </c>
      <c r="AE1388" s="1" t="s">
        <v>1704</v>
      </c>
      <c r="AF1388" s="1" t="s">
        <v>1704</v>
      </c>
    </row>
    <row r="1389" spans="1:32" ht="15" x14ac:dyDescent="0.35">
      <c r="A1389" s="5" t="s">
        <v>695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>LEFT($A1389,FIND("_",$A1389)-1)</f>
        <v>kPAR</v>
      </c>
      <c r="P1389" s="13" t="str">
        <f>IF($O1389="ACS", "True Search", IF($O1389="Arja", "Evolutionary Search", IF($O1389="AVATAR", "True Pattern", IF($O1389="CapGen", "Search Like Pattern", IF($O1389="Cardumen", "True Semantic", IF($O1389="DynaMoth", "True Semantic", IF($O1389="FixMiner", "True Pattern", IF($O1389="GenProg-A", "Evolutionary Search", IF($O1389="Hercules", "Learning Pattern", IF($O1389="Jaid", "True Semantic",
IF($O1389="Kali-A", "True Search", IF($O1389="kPAR", "True Pattern", IF($O1389="Nopol", "True Semantic", IF($O1389="RSRepair-A", "Evolutionary Search", IF($O1389="SequenceR", "Deep Learning", IF($O1389="SimFix", "Search Like Pattern", IF($O1389="SketchFix", "True Pattern", IF($O1389="SOFix", "True Pattern", IF($O1389="ssFix", "Search Like Pattern", IF($O1389="TBar", "True Pattern", ""))))))))))))))))))))</f>
        <v>True Pattern</v>
      </c>
      <c r="Q1389" s="13" t="str">
        <f>IF(NOT(ISERR(SEARCH("*_Buggy",$A1389))), "Buggy", IF(NOT(ISERR(SEARCH("*_Fixed",$A1389))), "Fixed", IF(NOT(ISERR(SEARCH("*_Repaired",$A1389))), "Repaired", "")))</f>
        <v>Repaired</v>
      </c>
      <c r="R1389" s="13" t="s">
        <v>1668</v>
      </c>
      <c r="S1389" s="25">
        <v>1</v>
      </c>
      <c r="T1389" s="25">
        <v>1</v>
      </c>
      <c r="U1389" s="25">
        <v>1</v>
      </c>
      <c r="V1389" s="13">
        <v>1</v>
      </c>
      <c r="W1389" s="13" t="str">
        <f>MID(A1389, SEARCH("_", A1389) +1, SEARCH("_", A1389, SEARCH("_", A1389) +1) - SEARCH("_", A1389) -1)</f>
        <v>Math-85</v>
      </c>
      <c r="Y1389" s="1" t="str">
        <f t="shared" si="62"/>
        <v>NO</v>
      </c>
      <c r="Z1389" s="1" t="str">
        <f t="shared" si="63"/>
        <v>NO</v>
      </c>
      <c r="AA1389" t="s">
        <v>1704</v>
      </c>
      <c r="AB1389" t="s">
        <v>1704</v>
      </c>
      <c r="AC1389" s="1" t="s">
        <v>1705</v>
      </c>
      <c r="AD1389" s="1" t="s">
        <v>1704</v>
      </c>
      <c r="AE1389" s="1" t="s">
        <v>1705</v>
      </c>
      <c r="AF1389" s="1" t="s">
        <v>1704</v>
      </c>
    </row>
    <row r="1390" spans="1:32" ht="15" x14ac:dyDescent="0.35">
      <c r="A1390" s="5" t="s">
        <v>1160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>LEFT($A1390,FIND("_",$A1390)-1)</f>
        <v>kPAR</v>
      </c>
      <c r="P1390" s="13" t="str">
        <f>IF($O1390="ACS", "True Search", IF($O1390="Arja", "Evolutionary Search", IF($O1390="AVATAR", "True Pattern", IF($O1390="CapGen", "Search Like Pattern", IF($O1390="Cardumen", "True Semantic", IF($O1390="DynaMoth", "True Semantic", IF($O1390="FixMiner", "True Pattern", IF($O1390="GenProg-A", "Evolutionary Search", IF($O1390="Hercules", "Learning Pattern", IF($O1390="Jaid", "True Semantic",
IF($O1390="Kali-A", "True Search", IF($O1390="kPAR", "True Pattern", IF($O1390="Nopol", "True Semantic", IF($O1390="RSRepair-A", "Evolutionary Search", IF($O1390="SequenceR", "Deep Learning", IF($O1390="SimFix", "Search Like Pattern", IF($O1390="SketchFix", "True Pattern", IF($O1390="SOFix", "True Pattern", IF($O1390="ssFix", "Search Like Pattern", IF($O1390="TBar", "True Pattern", ""))))))))))))))))))))</f>
        <v>True Pattern</v>
      </c>
      <c r="Q1390" s="13" t="str">
        <f>IF(NOT(ISERR(SEARCH("*_Buggy",$A1390))), "Buggy", IF(NOT(ISERR(SEARCH("*_Fixed",$A1390))), "Fixed", IF(NOT(ISERR(SEARCH("*_Repaired",$A1390))), "Repaired", "")))</f>
        <v>Repaired</v>
      </c>
      <c r="R1390" s="13" t="s">
        <v>1669</v>
      </c>
      <c r="S1390" s="25">
        <v>1</v>
      </c>
      <c r="T1390" s="25">
        <v>1</v>
      </c>
      <c r="U1390" s="25">
        <v>1</v>
      </c>
      <c r="V1390" s="13">
        <v>1</v>
      </c>
      <c r="W1390" s="13" t="str">
        <f>MID(A1390, SEARCH("_", A1390) +1, SEARCH("_", A1390, SEARCH("_", A1390) +1) - SEARCH("_", A1390) -1)</f>
        <v>Math-88</v>
      </c>
      <c r="Y1390" s="1" t="str">
        <f t="shared" si="62"/>
        <v>NO</v>
      </c>
      <c r="Z1390" s="1" t="str">
        <f t="shared" si="63"/>
        <v>NO</v>
      </c>
      <c r="AA1390" t="s">
        <v>1704</v>
      </c>
      <c r="AB1390" t="s">
        <v>1704</v>
      </c>
      <c r="AC1390" s="1" t="s">
        <v>1704</v>
      </c>
      <c r="AD1390" s="1" t="s">
        <v>1704</v>
      </c>
      <c r="AE1390" s="1" t="s">
        <v>1704</v>
      </c>
      <c r="AF1390" s="1" t="s">
        <v>1704</v>
      </c>
    </row>
    <row r="1391" spans="1:32" ht="15" x14ac:dyDescent="0.35">
      <c r="A1391" s="5" t="s">
        <v>492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>LEFT($A1391,FIND("_",$A1391)-1)</f>
        <v>kPAR</v>
      </c>
      <c r="P1391" s="13" t="str">
        <f>IF($O1391="ACS", "True Search", IF($O1391="Arja", "Evolutionary Search", IF($O1391="AVATAR", "True Pattern", IF($O1391="CapGen", "Search Like Pattern", IF($O1391="Cardumen", "True Semantic", IF($O1391="DynaMoth", "True Semantic", IF($O1391="FixMiner", "True Pattern", IF($O1391="GenProg-A", "Evolutionary Search", IF($O1391="Hercules", "Learning Pattern", IF($O1391="Jaid", "True Semantic",
IF($O1391="Kali-A", "True Search", IF($O1391="kPAR", "True Pattern", IF($O1391="Nopol", "True Semantic", IF($O1391="RSRepair-A", "Evolutionary Search", IF($O1391="SequenceR", "Deep Learning", IF($O1391="SimFix", "Search Like Pattern", IF($O1391="SketchFix", "True Pattern", IF($O1391="SOFix", "True Pattern", IF($O1391="ssFix", "Search Like Pattern", IF($O1391="TBar", "True Pattern", ""))))))))))))))))))))</f>
        <v>True Pattern</v>
      </c>
      <c r="Q1391" s="13" t="str">
        <f>IF(NOT(ISERR(SEARCH("*_Buggy",$A1391))), "Buggy", IF(NOT(ISERR(SEARCH("*_Fixed",$A1391))), "Fixed", IF(NOT(ISERR(SEARCH("*_Repaired",$A1391))), "Repaired", "")))</f>
        <v>Repaired</v>
      </c>
      <c r="R1391" s="13" t="s">
        <v>1668</v>
      </c>
      <c r="S1391" s="25">
        <v>1</v>
      </c>
      <c r="T1391" s="25">
        <v>6</v>
      </c>
      <c r="U1391" s="25">
        <v>1</v>
      </c>
      <c r="V1391" s="13">
        <v>6</v>
      </c>
      <c r="W1391" s="13" t="str">
        <f>MID(A1391, SEARCH("_", A1391) +1, SEARCH("_", A1391, SEARCH("_", A1391) +1) - SEARCH("_", A1391) -1)</f>
        <v>Math-89</v>
      </c>
      <c r="Y1391" s="1" t="str">
        <f t="shared" si="62"/>
        <v>NO</v>
      </c>
      <c r="Z1391" s="1" t="str">
        <f t="shared" si="63"/>
        <v>NO</v>
      </c>
      <c r="AA1391" t="s">
        <v>1704</v>
      </c>
      <c r="AB1391" t="s">
        <v>1704</v>
      </c>
      <c r="AC1391" s="1" t="s">
        <v>1704</v>
      </c>
      <c r="AD1391" s="1" t="s">
        <v>1704</v>
      </c>
      <c r="AE1391" s="1" t="s">
        <v>1704</v>
      </c>
      <c r="AF1391" s="1" t="s">
        <v>1705</v>
      </c>
    </row>
    <row r="1392" spans="1:32" ht="15" x14ac:dyDescent="0.35">
      <c r="A1392" s="7" t="s">
        <v>203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>LEFT($A1392,FIND("_",$A1392)-1)</f>
        <v>Nopol</v>
      </c>
      <c r="P1392" s="13" t="str">
        <f>IF($O1392="ACS", "True Search", IF($O1392="Arja", "Evolutionary Search", IF($O1392="AVATAR", "True Pattern", IF($O1392="CapGen", "Search Like Pattern", IF($O1392="Cardumen", "True Semantic", IF($O1392="DynaMoth", "True Semantic", IF($O1392="FixMiner", "True Pattern", IF($O1392="GenProg-A", "Evolutionary Search", IF($O1392="Hercules", "Learning Pattern", IF($O1392="Jaid", "True Semantic",
IF($O1392="Kali-A", "True Search", IF($O1392="kPAR", "True Pattern", IF($O1392="Nopol", "True Semantic", IF($O1392="RSRepair-A", "Evolutionary Search", IF($O1392="SequenceR", "Deep Learning", IF($O1392="SimFix", "Search Like Pattern", IF($O1392="SketchFix", "True Pattern", IF($O1392="SOFix", "True Pattern", IF($O1392="ssFix", "Search Like Pattern", IF($O1392="TBar", "True Pattern", ""))))))))))))))))))))</f>
        <v>True Semantic</v>
      </c>
      <c r="Q1392" s="13" t="str">
        <f>IF(NOT(ISERR(SEARCH("*_Buggy",$A1392))), "Buggy", IF(NOT(ISERR(SEARCH("*_Fixed",$A1392))), "Fixed", IF(NOT(ISERR(SEARCH("*_Repaired",$A1392))), "Repaired", "")))</f>
        <v>Repaired</v>
      </c>
      <c r="R1392" s="13" t="s">
        <v>1669</v>
      </c>
      <c r="S1392" s="25">
        <v>1</v>
      </c>
      <c r="T1392" s="25">
        <v>9</v>
      </c>
      <c r="U1392" s="25">
        <v>7</v>
      </c>
      <c r="V1392" s="13">
        <v>9</v>
      </c>
      <c r="W1392" s="13" t="str">
        <f>MID(A1392, SEARCH("_", A1392) +1, SEARCH("_", A1392, SEARCH("_", A1392) +1) - SEARCH("_", A1392) -1)</f>
        <v>Chart-13</v>
      </c>
      <c r="Y1392" s="1" t="str">
        <f t="shared" si="62"/>
        <v>NO</v>
      </c>
      <c r="Z1392" s="1" t="str">
        <f t="shared" si="63"/>
        <v>NO</v>
      </c>
      <c r="AA1392" t="s">
        <v>1704</v>
      </c>
      <c r="AB1392" t="s">
        <v>1704</v>
      </c>
      <c r="AC1392" s="1" t="s">
        <v>1704</v>
      </c>
      <c r="AD1392" s="1" t="s">
        <v>1704</v>
      </c>
      <c r="AE1392" s="1" t="s">
        <v>1704</v>
      </c>
      <c r="AF1392" s="1" t="s">
        <v>1704</v>
      </c>
    </row>
    <row r="1393" spans="1:32" ht="15" x14ac:dyDescent="0.35">
      <c r="A1393" s="5" t="s">
        <v>1177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>LEFT($A1393,FIND("_",$A1393)-1)</f>
        <v>Nopol</v>
      </c>
      <c r="P1393" s="13" t="str">
        <f>IF($O1393="ACS", "True Search", IF($O1393="Arja", "Evolutionary Search", IF($O1393="AVATAR", "True Pattern", IF($O1393="CapGen", "Search Like Pattern", IF($O1393="Cardumen", "True Semantic", IF($O1393="DynaMoth", "True Semantic", IF($O1393="FixMiner", "True Pattern", IF($O1393="GenProg-A", "Evolutionary Search", IF($O1393="Hercules", "Learning Pattern", IF($O1393="Jaid", "True Semantic",
IF($O1393="Kali-A", "True Search", IF($O1393="kPAR", "True Pattern", IF($O1393="Nopol", "True Semantic", IF($O1393="RSRepair-A", "Evolutionary Search", IF($O1393="SequenceR", "Deep Learning", IF($O1393="SimFix", "Search Like Pattern", IF($O1393="SketchFix", "True Pattern", IF($O1393="SOFix", "True Pattern", IF($O1393="ssFix", "Search Like Pattern", IF($O1393="TBar", "True Pattern", ""))))))))))))))))))))</f>
        <v>True Semantic</v>
      </c>
      <c r="Q1393" s="13" t="str">
        <f>IF(NOT(ISERR(SEARCH("*_Buggy",$A1393))), "Buggy", IF(NOT(ISERR(SEARCH("*_Fixed",$A1393))), "Fixed", IF(NOT(ISERR(SEARCH("*_Repaired",$A1393))), "Repaired", "")))</f>
        <v>Repaired</v>
      </c>
      <c r="R1393" s="13" t="s">
        <v>1669</v>
      </c>
      <c r="S1393" s="25">
        <v>1</v>
      </c>
      <c r="T1393" s="25">
        <v>3</v>
      </c>
      <c r="U1393" s="25">
        <v>1</v>
      </c>
      <c r="V1393" s="13">
        <v>3</v>
      </c>
      <c r="W1393" s="13" t="str">
        <f>MID(A1393, SEARCH("_", A1393) +1, SEARCH("_", A1393, SEARCH("_", A1393) +1) - SEARCH("_", A1393) -1)</f>
        <v>Chart-17</v>
      </c>
      <c r="Y1393" s="1" t="str">
        <f t="shared" si="62"/>
        <v>NO</v>
      </c>
      <c r="Z1393" s="1" t="str">
        <f t="shared" si="63"/>
        <v>NO</v>
      </c>
      <c r="AA1393" t="s">
        <v>1704</v>
      </c>
      <c r="AB1393" t="s">
        <v>1704</v>
      </c>
      <c r="AC1393" s="1" t="s">
        <v>1704</v>
      </c>
      <c r="AD1393" s="1" t="s">
        <v>1705</v>
      </c>
      <c r="AE1393" s="1" t="s">
        <v>1704</v>
      </c>
      <c r="AF1393" s="1" t="s">
        <v>1705</v>
      </c>
    </row>
    <row r="1394" spans="1:32" ht="15" x14ac:dyDescent="0.35">
      <c r="A1394" s="7" t="s">
        <v>377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>LEFT($A1394,FIND("_",$A1394)-1)</f>
        <v>Nopol</v>
      </c>
      <c r="P1394" s="13" t="str">
        <f>IF($O1394="ACS", "True Search", IF($O1394="Arja", "Evolutionary Search", IF($O1394="AVATAR", "True Pattern", IF($O1394="CapGen", "Search Like Pattern", IF($O1394="Cardumen", "True Semantic", IF($O1394="DynaMoth", "True Semantic", IF($O1394="FixMiner", "True Pattern", IF($O1394="GenProg-A", "Evolutionary Search", IF($O1394="Hercules", "Learning Pattern", IF($O1394="Jaid", "True Semantic",
IF($O1394="Kali-A", "True Search", IF($O1394="kPAR", "True Pattern", IF($O1394="Nopol", "True Semantic", IF($O1394="RSRepair-A", "Evolutionary Search", IF($O1394="SequenceR", "Deep Learning", IF($O1394="SimFix", "Search Like Pattern", IF($O1394="SketchFix", "True Pattern", IF($O1394="SOFix", "True Pattern", IF($O1394="ssFix", "Search Like Pattern", IF($O1394="TBar", "True Pattern", ""))))))))))))))))))))</f>
        <v>True Semantic</v>
      </c>
      <c r="Q1394" s="13" t="str">
        <f>IF(NOT(ISERR(SEARCH("*_Buggy",$A1394))), "Buggy", IF(NOT(ISERR(SEARCH("*_Fixed",$A1394))), "Fixed", IF(NOT(ISERR(SEARCH("*_Repaired",$A1394))), "Repaired", "")))</f>
        <v>Repaired</v>
      </c>
      <c r="R1394" s="13" t="s">
        <v>1669</v>
      </c>
      <c r="S1394" s="25">
        <v>1</v>
      </c>
      <c r="T1394" s="25">
        <v>9</v>
      </c>
      <c r="U1394" s="25">
        <v>7</v>
      </c>
      <c r="V1394" s="13">
        <v>9</v>
      </c>
      <c r="W1394" s="13" t="str">
        <f>MID(A1394, SEARCH("_", A1394) +1, SEARCH("_", A1394, SEARCH("_", A1394) +1) - SEARCH("_", A1394) -1)</f>
        <v>Chart-25</v>
      </c>
      <c r="Y1394" s="1" t="str">
        <f t="shared" si="62"/>
        <v>NO</v>
      </c>
      <c r="Z1394" s="1" t="str">
        <f t="shared" si="63"/>
        <v>NO</v>
      </c>
      <c r="AA1394" t="s">
        <v>1704</v>
      </c>
      <c r="AB1394" t="s">
        <v>1704</v>
      </c>
      <c r="AC1394" s="1" t="s">
        <v>1704</v>
      </c>
      <c r="AD1394" s="1" t="s">
        <v>1704</v>
      </c>
      <c r="AE1394" s="1" t="s">
        <v>1704</v>
      </c>
      <c r="AF1394" s="1" t="s">
        <v>1705</v>
      </c>
    </row>
    <row r="1395" spans="1:32" ht="15" x14ac:dyDescent="0.35">
      <c r="A1395" s="5" t="s">
        <v>654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>LEFT($A1395,FIND("_",$A1395)-1)</f>
        <v>Nopol</v>
      </c>
      <c r="P1395" s="13" t="str">
        <f>IF($O1395="ACS", "True Search", IF($O1395="Arja", "Evolutionary Search", IF($O1395="AVATAR", "True Pattern", IF($O1395="CapGen", "Search Like Pattern", IF($O1395="Cardumen", "True Semantic", IF($O1395="DynaMoth", "True Semantic", IF($O1395="FixMiner", "True Pattern", IF($O1395="GenProg-A", "Evolutionary Search", IF($O1395="Hercules", "Learning Pattern", IF($O1395="Jaid", "True Semantic",
IF($O1395="Kali-A", "True Search", IF($O1395="kPAR", "True Pattern", IF($O1395="Nopol", "True Semantic", IF($O1395="RSRepair-A", "Evolutionary Search", IF($O1395="SequenceR", "Deep Learning", IF($O1395="SimFix", "Search Like Pattern", IF($O1395="SketchFix", "True Pattern", IF($O1395="SOFix", "True Pattern", IF($O1395="ssFix", "Search Like Pattern", IF($O1395="TBar", "True Pattern", ""))))))))))))))))))))</f>
        <v>True Semantic</v>
      </c>
      <c r="Q1395" s="13" t="str">
        <f>IF(NOT(ISERR(SEARCH("*_Buggy",$A1395))), "Buggy", IF(NOT(ISERR(SEARCH("*_Fixed",$A1395))), "Fixed", IF(NOT(ISERR(SEARCH("*_Repaired",$A1395))), "Repaired", "")))</f>
        <v>Repaired</v>
      </c>
      <c r="R1395" s="13" t="s">
        <v>1669</v>
      </c>
      <c r="S1395" s="25">
        <v>1</v>
      </c>
      <c r="T1395" s="25">
        <v>1</v>
      </c>
      <c r="U1395" s="25">
        <v>1</v>
      </c>
      <c r="V1395" s="13">
        <v>1</v>
      </c>
      <c r="W1395" s="13" t="str">
        <f>MID(A1395, SEARCH("_", A1395) +1, SEARCH("_", A1395, SEARCH("_", A1395) +1) - SEARCH("_", A1395) -1)</f>
        <v>Chart-5</v>
      </c>
      <c r="Y1395" s="1" t="str">
        <f t="shared" si="62"/>
        <v>NO</v>
      </c>
      <c r="Z1395" s="1" t="str">
        <f t="shared" si="63"/>
        <v>NO</v>
      </c>
      <c r="AA1395" t="s">
        <v>1704</v>
      </c>
      <c r="AB1395" t="s">
        <v>1704</v>
      </c>
      <c r="AC1395" s="1" t="s">
        <v>1704</v>
      </c>
      <c r="AD1395" s="1" t="s">
        <v>1704</v>
      </c>
      <c r="AE1395" s="1" t="s">
        <v>1704</v>
      </c>
      <c r="AF1395" s="1" t="s">
        <v>1704</v>
      </c>
    </row>
    <row r="1396" spans="1:32" ht="15" x14ac:dyDescent="0.35">
      <c r="A1396" s="7" t="s">
        <v>90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>LEFT($A1396,FIND("_",$A1396)-1)</f>
        <v>Nopol</v>
      </c>
      <c r="P1396" s="13" t="str">
        <f>IF($O1396="ACS", "True Search", IF($O1396="Arja", "Evolutionary Search", IF($O1396="AVATAR", "True Pattern", IF($O1396="CapGen", "Search Like Pattern", IF($O1396="Cardumen", "True Semantic", IF($O1396="DynaMoth", "True Semantic", IF($O1396="FixMiner", "True Pattern", IF($O1396="GenProg-A", "Evolutionary Search", IF($O1396="Hercules", "Learning Pattern", IF($O1396="Jaid", "True Semantic",
IF($O1396="Kali-A", "True Search", IF($O1396="kPAR", "True Pattern", IF($O1396="Nopol", "True Semantic", IF($O1396="RSRepair-A", "Evolutionary Search", IF($O1396="SequenceR", "Deep Learning", IF($O1396="SimFix", "Search Like Pattern", IF($O1396="SketchFix", "True Pattern", IF($O1396="SOFix", "True Pattern", IF($O1396="ssFix", "Search Like Pattern", IF($O1396="TBar", "True Pattern", ""))))))))))))))))))))</f>
        <v>True Semantic</v>
      </c>
      <c r="Q1396" s="13" t="str">
        <f>IF(NOT(ISERR(SEARCH("*_Buggy",$A1396))), "Buggy", IF(NOT(ISERR(SEARCH("*_Fixed",$A1396))), "Fixed", IF(NOT(ISERR(SEARCH("*_Repaired",$A1396))), "Repaired", "")))</f>
        <v>Repaired</v>
      </c>
      <c r="R1396" s="13" t="s">
        <v>1669</v>
      </c>
      <c r="S1396" s="25">
        <v>1</v>
      </c>
      <c r="T1396" s="25">
        <v>1</v>
      </c>
      <c r="U1396" s="25">
        <v>1</v>
      </c>
      <c r="V1396" s="13">
        <v>1</v>
      </c>
      <c r="W1396" s="13" t="str">
        <f>MID(A1396, SEARCH("_", A1396) +1, SEARCH("_", A1396, SEARCH("_", A1396) +1) - SEARCH("_", A1396) -1)</f>
        <v>Chart-9</v>
      </c>
      <c r="Y1396" s="1" t="str">
        <f t="shared" si="62"/>
        <v>NO</v>
      </c>
      <c r="Z1396" s="1" t="str">
        <f t="shared" si="63"/>
        <v>NO</v>
      </c>
      <c r="AA1396" t="s">
        <v>1704</v>
      </c>
      <c r="AB1396" t="s">
        <v>1704</v>
      </c>
      <c r="AC1396" s="1" t="s">
        <v>1705</v>
      </c>
      <c r="AD1396" s="1" t="s">
        <v>1704</v>
      </c>
      <c r="AE1396" s="1" t="s">
        <v>1705</v>
      </c>
      <c r="AF1396" s="1" t="s">
        <v>1704</v>
      </c>
    </row>
    <row r="1397" spans="1:32" ht="15" x14ac:dyDescent="0.35">
      <c r="A1397" s="5" t="s">
        <v>1253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>LEFT($A1397,FIND("_",$A1397)-1)</f>
        <v>Nopol</v>
      </c>
      <c r="P1397" s="13" t="str">
        <f>IF($O1397="ACS", "True Search", IF($O1397="Arja", "Evolutionary Search", IF($O1397="AVATAR", "True Pattern", IF($O1397="CapGen", "Search Like Pattern", IF($O1397="Cardumen", "True Semantic", IF($O1397="DynaMoth", "True Semantic", IF($O1397="FixMiner", "True Pattern", IF($O1397="GenProg-A", "Evolutionary Search", IF($O1397="Hercules", "Learning Pattern", IF($O1397="Jaid", "True Semantic",
IF($O1397="Kali-A", "True Search", IF($O1397="kPAR", "True Pattern", IF($O1397="Nopol", "True Semantic", IF($O1397="RSRepair-A", "Evolutionary Search", IF($O1397="SequenceR", "Deep Learning", IF($O1397="SimFix", "Search Like Pattern", IF($O1397="SketchFix", "True Pattern", IF($O1397="SOFix", "True Pattern", IF($O1397="ssFix", "Search Like Pattern", IF($O1397="TBar", "True Pattern", ""))))))))))))))))))))</f>
        <v>True Semantic</v>
      </c>
      <c r="Q1397" s="13" t="str">
        <f>IF(NOT(ISERR(SEARCH("*_Buggy",$A1397))), "Buggy", IF(NOT(ISERR(SEARCH("*_Fixed",$A1397))), "Fixed", IF(NOT(ISERR(SEARCH("*_Repaired",$A1397))), "Repaired", "")))</f>
        <v>Repaired</v>
      </c>
      <c r="R1397" s="13" t="s">
        <v>1669</v>
      </c>
      <c r="S1397" s="25">
        <v>3</v>
      </c>
      <c r="T1397" s="25">
        <v>9</v>
      </c>
      <c r="U1397" s="25">
        <v>7</v>
      </c>
      <c r="V1397" s="13">
        <v>11</v>
      </c>
      <c r="W1397" s="13" t="str">
        <f>MID(A1397, SEARCH("_", A1397) +1, SEARCH("_", A1397, SEARCH("_", A1397) +1) - SEARCH("_", A1397) -1)</f>
        <v>Lang-44</v>
      </c>
      <c r="Y1397" s="1" t="str">
        <f t="shared" si="62"/>
        <v>NO</v>
      </c>
      <c r="Z1397" s="1" t="str">
        <f t="shared" si="63"/>
        <v>YES</v>
      </c>
      <c r="AA1397" t="s">
        <v>1704</v>
      </c>
      <c r="AB1397" t="s">
        <v>1704</v>
      </c>
      <c r="AC1397" s="1" t="s">
        <v>1704</v>
      </c>
      <c r="AD1397" s="1" t="s">
        <v>1704</v>
      </c>
      <c r="AE1397" s="1" t="s">
        <v>1704</v>
      </c>
      <c r="AF1397" s="1" t="s">
        <v>1705</v>
      </c>
    </row>
    <row r="1398" spans="1:32" ht="15" x14ac:dyDescent="0.35">
      <c r="A1398" s="5" t="s">
        <v>731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>LEFT($A1398,FIND("_",$A1398)-1)</f>
        <v>Nopol</v>
      </c>
      <c r="P1398" s="13" t="str">
        <f>IF($O1398="ACS", "True Search", IF($O1398="Arja", "Evolutionary Search", IF($O1398="AVATAR", "True Pattern", IF($O1398="CapGen", "Search Like Pattern", IF($O1398="Cardumen", "True Semantic", IF($O1398="DynaMoth", "True Semantic", IF($O1398="FixMiner", "True Pattern", IF($O1398="GenProg-A", "Evolutionary Search", IF($O1398="Hercules", "Learning Pattern", IF($O1398="Jaid", "True Semantic",
IF($O1398="Kali-A", "True Search", IF($O1398="kPAR", "True Pattern", IF($O1398="Nopol", "True Semantic", IF($O1398="RSRepair-A", "Evolutionary Search", IF($O1398="SequenceR", "Deep Learning", IF($O1398="SimFix", "Search Like Pattern", IF($O1398="SketchFix", "True Pattern", IF($O1398="SOFix", "True Pattern", IF($O1398="ssFix", "Search Like Pattern", IF($O1398="TBar", "True Pattern", ""))))))))))))))))))))</f>
        <v>True Semantic</v>
      </c>
      <c r="Q1398" s="13" t="str">
        <f>IF(NOT(ISERR(SEARCH("*_Buggy",$A1398))), "Buggy", IF(NOT(ISERR(SEARCH("*_Fixed",$A1398))), "Fixed", IF(NOT(ISERR(SEARCH("*_Repaired",$A1398))), "Repaired", "")))</f>
        <v>Repaired</v>
      </c>
      <c r="R1398" s="13" t="s">
        <v>1668</v>
      </c>
      <c r="S1398" s="25">
        <v>1</v>
      </c>
      <c r="T1398" s="25">
        <v>3</v>
      </c>
      <c r="U1398" s="25">
        <v>1</v>
      </c>
      <c r="V1398" s="13">
        <v>3</v>
      </c>
      <c r="W1398" s="13" t="str">
        <f>MID(A1398, SEARCH("_", A1398) +1, SEARCH("_", A1398, SEARCH("_", A1398) +1) - SEARCH("_", A1398) -1)</f>
        <v>Lang-46</v>
      </c>
      <c r="Y1398" s="1" t="str">
        <f t="shared" si="62"/>
        <v>NO</v>
      </c>
      <c r="Z1398" s="1" t="str">
        <f t="shared" si="63"/>
        <v>NO</v>
      </c>
      <c r="AA1398" t="s">
        <v>1704</v>
      </c>
      <c r="AB1398" t="s">
        <v>1704</v>
      </c>
      <c r="AC1398" s="1" t="s">
        <v>1704</v>
      </c>
      <c r="AD1398" s="1" t="s">
        <v>1704</v>
      </c>
      <c r="AE1398" s="1" t="s">
        <v>1704</v>
      </c>
      <c r="AF1398" s="1" t="s">
        <v>1705</v>
      </c>
    </row>
    <row r="1399" spans="1:32" ht="15" x14ac:dyDescent="0.35">
      <c r="A1399" s="5" t="s">
        <v>758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>LEFT($A1399,FIND("_",$A1399)-1)</f>
        <v>Nopol</v>
      </c>
      <c r="P1399" s="13" t="str">
        <f>IF($O1399="ACS", "True Search", IF($O1399="Arja", "Evolutionary Search", IF($O1399="AVATAR", "True Pattern", IF($O1399="CapGen", "Search Like Pattern", IF($O1399="Cardumen", "True Semantic", IF($O1399="DynaMoth", "True Semantic", IF($O1399="FixMiner", "True Pattern", IF($O1399="GenProg-A", "Evolutionary Search", IF($O1399="Hercules", "Learning Pattern", IF($O1399="Jaid", "True Semantic",
IF($O1399="Kali-A", "True Search", IF($O1399="kPAR", "True Pattern", IF($O1399="Nopol", "True Semantic", IF($O1399="RSRepair-A", "Evolutionary Search", IF($O1399="SequenceR", "Deep Learning", IF($O1399="SimFix", "Search Like Pattern", IF($O1399="SketchFix", "True Pattern", IF($O1399="SOFix", "True Pattern", IF($O1399="ssFix", "Search Like Pattern", IF($O1399="TBar", "True Pattern", ""))))))))))))))))))))</f>
        <v>True Semantic</v>
      </c>
      <c r="Q1399" s="13" t="str">
        <f>IF(NOT(ISERR(SEARCH("*_Buggy",$A1399))), "Buggy", IF(NOT(ISERR(SEARCH("*_Fixed",$A1399))), "Fixed", IF(NOT(ISERR(SEARCH("*_Repaired",$A1399))), "Repaired", "")))</f>
        <v>Repaired</v>
      </c>
      <c r="R1399" s="13" t="s">
        <v>1669</v>
      </c>
      <c r="S1399" s="25">
        <v>1</v>
      </c>
      <c r="T1399" s="25">
        <v>4</v>
      </c>
      <c r="U1399" s="25">
        <v>4</v>
      </c>
      <c r="V1399" s="13">
        <v>4</v>
      </c>
      <c r="W1399" s="13" t="str">
        <f>MID(A1399, SEARCH("_", A1399) +1, SEARCH("_", A1399, SEARCH("_", A1399) +1) - SEARCH("_", A1399) -1)</f>
        <v>Lang-51</v>
      </c>
      <c r="Y1399" s="1" t="str">
        <f t="shared" si="62"/>
        <v>NO</v>
      </c>
      <c r="Z1399" s="1" t="str">
        <f t="shared" si="63"/>
        <v>NO</v>
      </c>
      <c r="AA1399" t="s">
        <v>1704</v>
      </c>
      <c r="AB1399" t="s">
        <v>1704</v>
      </c>
      <c r="AC1399" s="1" t="s">
        <v>1704</v>
      </c>
      <c r="AD1399" s="1" t="s">
        <v>1704</v>
      </c>
      <c r="AE1399" s="1" t="s">
        <v>1704</v>
      </c>
      <c r="AF1399" s="1" t="s">
        <v>1704</v>
      </c>
    </row>
    <row r="1400" spans="1:32" ht="15" x14ac:dyDescent="0.35">
      <c r="A1400" s="5" t="s">
        <v>259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>LEFT($A1400,FIND("_",$A1400)-1)</f>
        <v>Nopol</v>
      </c>
      <c r="P1400" s="13" t="str">
        <f>IF($O1400="ACS", "True Search", IF($O1400="Arja", "Evolutionary Search", IF($O1400="AVATAR", "True Pattern", IF($O1400="CapGen", "Search Like Pattern", IF($O1400="Cardumen", "True Semantic", IF($O1400="DynaMoth", "True Semantic", IF($O1400="FixMiner", "True Pattern", IF($O1400="GenProg-A", "Evolutionary Search", IF($O1400="Hercules", "Learning Pattern", IF($O1400="Jaid", "True Semantic",
IF($O1400="Kali-A", "True Search", IF($O1400="kPAR", "True Pattern", IF($O1400="Nopol", "True Semantic", IF($O1400="RSRepair-A", "Evolutionary Search", IF($O1400="SequenceR", "Deep Learning", IF($O1400="SimFix", "Search Like Pattern", IF($O1400="SketchFix", "True Pattern", IF($O1400="SOFix", "True Pattern", IF($O1400="ssFix", "Search Like Pattern", IF($O1400="TBar", "True Pattern", ""))))))))))))))))))))</f>
        <v>True Semantic</v>
      </c>
      <c r="Q1400" s="13" t="str">
        <f>IF(NOT(ISERR(SEARCH("*_Buggy",$A1400))), "Buggy", IF(NOT(ISERR(SEARCH("*_Fixed",$A1400))), "Fixed", IF(NOT(ISERR(SEARCH("*_Repaired",$A1400))), "Repaired", "")))</f>
        <v>Repaired</v>
      </c>
      <c r="R1400" s="13" t="s">
        <v>1669</v>
      </c>
      <c r="S1400" s="25">
        <v>1</v>
      </c>
      <c r="T1400" s="25">
        <v>5</v>
      </c>
      <c r="U1400" s="25">
        <v>3</v>
      </c>
      <c r="V1400" s="13">
        <v>5</v>
      </c>
      <c r="W1400" s="13" t="str">
        <f>MID(A1400, SEARCH("_", A1400) +1, SEARCH("_", A1400, SEARCH("_", A1400) +1) - SEARCH("_", A1400) -1)</f>
        <v>Lang-53</v>
      </c>
      <c r="Y1400" s="1" t="str">
        <f t="shared" si="62"/>
        <v>NO</v>
      </c>
      <c r="Z1400" s="1" t="str">
        <f t="shared" si="63"/>
        <v>NO</v>
      </c>
      <c r="AA1400" t="s">
        <v>1704</v>
      </c>
      <c r="AB1400" t="s">
        <v>1704</v>
      </c>
      <c r="AC1400" s="1" t="s">
        <v>1704</v>
      </c>
      <c r="AD1400" s="1" t="s">
        <v>1704</v>
      </c>
      <c r="AE1400" s="1" t="s">
        <v>1704</v>
      </c>
      <c r="AF1400" s="1" t="s">
        <v>1705</v>
      </c>
    </row>
    <row r="1401" spans="1:32" ht="15" x14ac:dyDescent="0.35">
      <c r="A1401" s="7" t="s">
        <v>495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>LEFT($A1401,FIND("_",$A1401)-1)</f>
        <v>Nopol</v>
      </c>
      <c r="P1401" s="13" t="str">
        <f>IF($O1401="ACS", "True Search", IF($O1401="Arja", "Evolutionary Search", IF($O1401="AVATAR", "True Pattern", IF($O1401="CapGen", "Search Like Pattern", IF($O1401="Cardumen", "True Semantic", IF($O1401="DynaMoth", "True Semantic", IF($O1401="FixMiner", "True Pattern", IF($O1401="GenProg-A", "Evolutionary Search", IF($O1401="Hercules", "Learning Pattern", IF($O1401="Jaid", "True Semantic",
IF($O1401="Kali-A", "True Search", IF($O1401="kPAR", "True Pattern", IF($O1401="Nopol", "True Semantic", IF($O1401="RSRepair-A", "Evolutionary Search", IF($O1401="SequenceR", "Deep Learning", IF($O1401="SimFix", "Search Like Pattern", IF($O1401="SketchFix", "True Pattern", IF($O1401="SOFix", "True Pattern", IF($O1401="ssFix", "Search Like Pattern", IF($O1401="TBar", "True Pattern", ""))))))))))))))))))))</f>
        <v>True Semantic</v>
      </c>
      <c r="Q1401" s="13" t="str">
        <f>IF(NOT(ISERR(SEARCH("*_Buggy",$A1401))), "Buggy", IF(NOT(ISERR(SEARCH("*_Fixed",$A1401))), "Fixed", IF(NOT(ISERR(SEARCH("*_Repaired",$A1401))), "Repaired", "")))</f>
        <v>Repaired</v>
      </c>
      <c r="R1401" s="13" t="s">
        <v>1669</v>
      </c>
      <c r="S1401" s="25">
        <v>1</v>
      </c>
      <c r="T1401" s="25">
        <v>3</v>
      </c>
      <c r="U1401" s="25">
        <v>1</v>
      </c>
      <c r="V1401" s="13">
        <v>3</v>
      </c>
      <c r="W1401" s="13" t="str">
        <f>MID(A1401, SEARCH("_", A1401) +1, SEARCH("_", A1401, SEARCH("_", A1401) +1) - SEARCH("_", A1401) -1)</f>
        <v>Lang-55</v>
      </c>
      <c r="Y1401" s="1" t="str">
        <f t="shared" si="62"/>
        <v>NO</v>
      </c>
      <c r="Z1401" s="1" t="str">
        <f t="shared" si="63"/>
        <v>NO</v>
      </c>
      <c r="AA1401" t="s">
        <v>1704</v>
      </c>
      <c r="AB1401" t="s">
        <v>1704</v>
      </c>
      <c r="AC1401" s="1" t="s">
        <v>1704</v>
      </c>
      <c r="AD1401" s="1" t="s">
        <v>1704</v>
      </c>
      <c r="AE1401" s="1" t="s">
        <v>1704</v>
      </c>
      <c r="AF1401" s="1" t="s">
        <v>1705</v>
      </c>
    </row>
    <row r="1402" spans="1:32" ht="15" x14ac:dyDescent="0.35">
      <c r="A1402" s="5" t="s">
        <v>1063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>LEFT($A1402,FIND("_",$A1402)-1)</f>
        <v>Nopol</v>
      </c>
      <c r="P1402" s="13" t="str">
        <f>IF($O1402="ACS", "True Search", IF($O1402="Arja", "Evolutionary Search", IF($O1402="AVATAR", "True Pattern", IF($O1402="CapGen", "Search Like Pattern", IF($O1402="Cardumen", "True Semantic", IF($O1402="DynaMoth", "True Semantic", IF($O1402="FixMiner", "True Pattern", IF($O1402="GenProg-A", "Evolutionary Search", IF($O1402="Hercules", "Learning Pattern", IF($O1402="Jaid", "True Semantic",
IF($O1402="Kali-A", "True Search", IF($O1402="kPAR", "True Pattern", IF($O1402="Nopol", "True Semantic", IF($O1402="RSRepair-A", "Evolutionary Search", IF($O1402="SequenceR", "Deep Learning", IF($O1402="SimFix", "Search Like Pattern", IF($O1402="SketchFix", "True Pattern", IF($O1402="SOFix", "True Pattern", IF($O1402="ssFix", "Search Like Pattern", IF($O1402="TBar", "True Pattern", ""))))))))))))))))))))</f>
        <v>True Semantic</v>
      </c>
      <c r="Q1402" s="13" t="str">
        <f>IF(NOT(ISERR(SEARCH("*_Buggy",$A1402))), "Buggy", IF(NOT(ISERR(SEARCH("*_Fixed",$A1402))), "Fixed", IF(NOT(ISERR(SEARCH("*_Repaired",$A1402))), "Repaired", "")))</f>
        <v>Repaired</v>
      </c>
      <c r="R1402" s="13" t="s">
        <v>1669</v>
      </c>
      <c r="S1402" s="25">
        <v>2</v>
      </c>
      <c r="T1402" s="25">
        <v>2</v>
      </c>
      <c r="U1402" s="25">
        <v>5</v>
      </c>
      <c r="V1402" s="13">
        <v>5</v>
      </c>
      <c r="W1402" s="13" t="str">
        <f>MID(A1402, SEARCH("_", A1402) +1, SEARCH("_", A1402, SEARCH("_", A1402) +1) - SEARCH("_", A1402) -1)</f>
        <v>Lang-58</v>
      </c>
      <c r="Y1402" s="1" t="str">
        <f t="shared" si="62"/>
        <v>NO</v>
      </c>
      <c r="Z1402" s="1" t="str">
        <f t="shared" si="63"/>
        <v>YES</v>
      </c>
      <c r="AA1402" t="s">
        <v>1704</v>
      </c>
      <c r="AB1402" t="s">
        <v>1704</v>
      </c>
      <c r="AC1402" s="1" t="s">
        <v>1704</v>
      </c>
      <c r="AD1402" s="1" t="s">
        <v>1704</v>
      </c>
      <c r="AE1402" s="1" t="s">
        <v>1704</v>
      </c>
      <c r="AF1402" s="1" t="s">
        <v>1705</v>
      </c>
    </row>
    <row r="1403" spans="1:32" ht="15" x14ac:dyDescent="0.35">
      <c r="A1403" s="5" t="s">
        <v>517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>LEFT($A1403,FIND("_",$A1403)-1)</f>
        <v>Nopol</v>
      </c>
      <c r="P1403" s="13" t="str">
        <f>IF($O1403="ACS", "True Search", IF($O1403="Arja", "Evolutionary Search", IF($O1403="AVATAR", "True Pattern", IF($O1403="CapGen", "Search Like Pattern", IF($O1403="Cardumen", "True Semantic", IF($O1403="DynaMoth", "True Semantic", IF($O1403="FixMiner", "True Pattern", IF($O1403="GenProg-A", "Evolutionary Search", IF($O1403="Hercules", "Learning Pattern", IF($O1403="Jaid", "True Semantic",
IF($O1403="Kali-A", "True Search", IF($O1403="kPAR", "True Pattern", IF($O1403="Nopol", "True Semantic", IF($O1403="RSRepair-A", "Evolutionary Search", IF($O1403="SequenceR", "Deep Learning", IF($O1403="SimFix", "Search Like Pattern", IF($O1403="SketchFix", "True Pattern", IF($O1403="SOFix", "True Pattern", IF($O1403="ssFix", "Search Like Pattern", IF($O1403="TBar", "True Pattern", ""))))))))))))))))))))</f>
        <v>True Semantic</v>
      </c>
      <c r="Q1403" s="13" t="str">
        <f>IF(NOT(ISERR(SEARCH("*_Buggy",$A1403))), "Buggy", IF(NOT(ISERR(SEARCH("*_Fixed",$A1403))), "Fixed", IF(NOT(ISERR(SEARCH("*_Repaired",$A1403))), "Repaired", "")))</f>
        <v>Repaired</v>
      </c>
      <c r="R1403" s="13" t="s">
        <v>1669</v>
      </c>
      <c r="S1403" s="25">
        <v>1</v>
      </c>
      <c r="T1403" s="25">
        <v>3</v>
      </c>
      <c r="U1403" s="25">
        <v>1</v>
      </c>
      <c r="V1403" s="13">
        <v>3</v>
      </c>
      <c r="W1403" s="13" t="str">
        <f>MID(A1403, SEARCH("_", A1403) +1, SEARCH("_", A1403, SEARCH("_", A1403) +1) - SEARCH("_", A1403) -1)</f>
        <v>Math-105</v>
      </c>
      <c r="Y1403" s="1" t="str">
        <f t="shared" si="62"/>
        <v>NO</v>
      </c>
      <c r="Z1403" s="1" t="str">
        <f t="shared" si="63"/>
        <v>NO</v>
      </c>
      <c r="AA1403" t="s">
        <v>1704</v>
      </c>
      <c r="AB1403" t="s">
        <v>1704</v>
      </c>
      <c r="AC1403" s="1" t="s">
        <v>1704</v>
      </c>
      <c r="AD1403" s="1" t="s">
        <v>1704</v>
      </c>
      <c r="AE1403" s="1" t="s">
        <v>1704</v>
      </c>
      <c r="AF1403" s="1" t="s">
        <v>1704</v>
      </c>
    </row>
    <row r="1404" spans="1:32" ht="15" x14ac:dyDescent="0.35">
      <c r="A1404" s="7" t="s">
        <v>365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>LEFT($A1404,FIND("_",$A1404)-1)</f>
        <v>Nopol</v>
      </c>
      <c r="P1404" s="13" t="str">
        <f>IF($O1404="ACS", "True Search", IF($O1404="Arja", "Evolutionary Search", IF($O1404="AVATAR", "True Pattern", IF($O1404="CapGen", "Search Like Pattern", IF($O1404="Cardumen", "True Semantic", IF($O1404="DynaMoth", "True Semantic", IF($O1404="FixMiner", "True Pattern", IF($O1404="GenProg-A", "Evolutionary Search", IF($O1404="Hercules", "Learning Pattern", IF($O1404="Jaid", "True Semantic",
IF($O1404="Kali-A", "True Search", IF($O1404="kPAR", "True Pattern", IF($O1404="Nopol", "True Semantic", IF($O1404="RSRepair-A", "Evolutionary Search", IF($O1404="SequenceR", "Deep Learning", IF($O1404="SimFix", "Search Like Pattern", IF($O1404="SketchFix", "True Pattern", IF($O1404="SOFix", "True Pattern", IF($O1404="ssFix", "Search Like Pattern", IF($O1404="TBar", "True Pattern", ""))))))))))))))))))))</f>
        <v>True Semantic</v>
      </c>
      <c r="Q1404" s="13" t="str">
        <f>IF(NOT(ISERR(SEARCH("*_Buggy",$A1404))), "Buggy", IF(NOT(ISERR(SEARCH("*_Fixed",$A1404))), "Fixed", IF(NOT(ISERR(SEARCH("*_Repaired",$A1404))), "Repaired", "")))</f>
        <v>Repaired</v>
      </c>
      <c r="R1404" s="13" t="s">
        <v>1669</v>
      </c>
      <c r="S1404" s="25">
        <v>1</v>
      </c>
      <c r="T1404" s="25">
        <v>3</v>
      </c>
      <c r="U1404" s="25">
        <v>1</v>
      </c>
      <c r="V1404" s="13">
        <v>3</v>
      </c>
      <c r="W1404" s="13" t="str">
        <f>MID(A1404, SEARCH("_", A1404) +1, SEARCH("_", A1404, SEARCH("_", A1404) +1) - SEARCH("_", A1404) -1)</f>
        <v>Math-18</v>
      </c>
      <c r="Y1404" s="1" t="str">
        <f t="shared" si="62"/>
        <v>NO</v>
      </c>
      <c r="Z1404" s="1" t="str">
        <f t="shared" si="63"/>
        <v>NO</v>
      </c>
      <c r="AA1404" t="s">
        <v>1704</v>
      </c>
      <c r="AB1404" t="s">
        <v>1704</v>
      </c>
      <c r="AC1404" s="1" t="s">
        <v>1704</v>
      </c>
      <c r="AD1404" s="1" t="s">
        <v>1704</v>
      </c>
      <c r="AE1404" s="1" t="s">
        <v>1704</v>
      </c>
      <c r="AF1404" s="1" t="s">
        <v>1705</v>
      </c>
    </row>
    <row r="1405" spans="1:32" ht="15" x14ac:dyDescent="0.35">
      <c r="A1405" s="5" t="s">
        <v>271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>LEFT($A1405,FIND("_",$A1405)-1)</f>
        <v>Nopol</v>
      </c>
      <c r="P1405" s="13" t="str">
        <f>IF($O1405="ACS", "True Search", IF($O1405="Arja", "Evolutionary Search", IF($O1405="AVATAR", "True Pattern", IF($O1405="CapGen", "Search Like Pattern", IF($O1405="Cardumen", "True Semantic", IF($O1405="DynaMoth", "True Semantic", IF($O1405="FixMiner", "True Pattern", IF($O1405="GenProg-A", "Evolutionary Search", IF($O1405="Hercules", "Learning Pattern", IF($O1405="Jaid", "True Semantic",
IF($O1405="Kali-A", "True Search", IF($O1405="kPAR", "True Pattern", IF($O1405="Nopol", "True Semantic", IF($O1405="RSRepair-A", "Evolutionary Search", IF($O1405="SequenceR", "Deep Learning", IF($O1405="SimFix", "Search Like Pattern", IF($O1405="SketchFix", "True Pattern", IF($O1405="SOFix", "True Pattern", IF($O1405="ssFix", "Search Like Pattern", IF($O1405="TBar", "True Pattern", ""))))))))))))))))))))</f>
        <v>True Semantic</v>
      </c>
      <c r="Q1405" s="13" t="str">
        <f>IF(NOT(ISERR(SEARCH("*_Buggy",$A1405))), "Buggy", IF(NOT(ISERR(SEARCH("*_Fixed",$A1405))), "Fixed", IF(NOT(ISERR(SEARCH("*_Repaired",$A1405))), "Repaired", "")))</f>
        <v>Repaired</v>
      </c>
      <c r="R1405" s="13" t="s">
        <v>1669</v>
      </c>
      <c r="S1405" s="25">
        <v>1</v>
      </c>
      <c r="T1405" s="25">
        <v>3</v>
      </c>
      <c r="U1405" s="25">
        <v>1</v>
      </c>
      <c r="V1405" s="13">
        <v>3</v>
      </c>
      <c r="W1405" s="13" t="str">
        <f>MID(A1405, SEARCH("_", A1405) +1, SEARCH("_", A1405, SEARCH("_", A1405) +1) - SEARCH("_", A1405) -1)</f>
        <v>Math-20</v>
      </c>
      <c r="Y1405" s="1" t="str">
        <f t="shared" si="62"/>
        <v>NO</v>
      </c>
      <c r="Z1405" s="1" t="str">
        <f t="shared" si="63"/>
        <v>NO</v>
      </c>
      <c r="AA1405" t="s">
        <v>1704</v>
      </c>
      <c r="AB1405" t="s">
        <v>1704</v>
      </c>
      <c r="AC1405" s="1" t="s">
        <v>1704</v>
      </c>
      <c r="AD1405" s="1" t="s">
        <v>1705</v>
      </c>
      <c r="AE1405" s="1" t="s">
        <v>1704</v>
      </c>
      <c r="AF1405" s="1" t="s">
        <v>1705</v>
      </c>
    </row>
    <row r="1406" spans="1:32" ht="15" x14ac:dyDescent="0.35">
      <c r="A1406" s="5" t="s">
        <v>381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>LEFT($A1406,FIND("_",$A1406)-1)</f>
        <v>Nopol</v>
      </c>
      <c r="P1406" s="13" t="str">
        <f>IF($O1406="ACS", "True Search", IF($O1406="Arja", "Evolutionary Search", IF($O1406="AVATAR", "True Pattern", IF($O1406="CapGen", "Search Like Pattern", IF($O1406="Cardumen", "True Semantic", IF($O1406="DynaMoth", "True Semantic", IF($O1406="FixMiner", "True Pattern", IF($O1406="GenProg-A", "Evolutionary Search", IF($O1406="Hercules", "Learning Pattern", IF($O1406="Jaid", "True Semantic",
IF($O1406="Kali-A", "True Search", IF($O1406="kPAR", "True Pattern", IF($O1406="Nopol", "True Semantic", IF($O1406="RSRepair-A", "Evolutionary Search", IF($O1406="SequenceR", "Deep Learning", IF($O1406="SimFix", "Search Like Pattern", IF($O1406="SketchFix", "True Pattern", IF($O1406="SOFix", "True Pattern", IF($O1406="ssFix", "Search Like Pattern", IF($O1406="TBar", "True Pattern", ""))))))))))))))))))))</f>
        <v>True Semantic</v>
      </c>
      <c r="Q1406" s="13" t="str">
        <f>IF(NOT(ISERR(SEARCH("*_Buggy",$A1406))), "Buggy", IF(NOT(ISERR(SEARCH("*_Fixed",$A1406))), "Fixed", IF(NOT(ISERR(SEARCH("*_Repaired",$A1406))), "Repaired", "")))</f>
        <v>Repaired</v>
      </c>
      <c r="R1406" s="13" t="s">
        <v>1669</v>
      </c>
      <c r="S1406" s="25">
        <v>1</v>
      </c>
      <c r="T1406" s="25">
        <v>4</v>
      </c>
      <c r="U1406" s="25">
        <v>2</v>
      </c>
      <c r="V1406" s="13">
        <v>4</v>
      </c>
      <c r="W1406" s="13" t="str">
        <f>MID(A1406, SEARCH("_", A1406) +1, SEARCH("_", A1406, SEARCH("_", A1406) +1) - SEARCH("_", A1406) -1)</f>
        <v>Math-33</v>
      </c>
      <c r="Y1406" s="1" t="str">
        <f t="shared" si="62"/>
        <v>NO</v>
      </c>
      <c r="Z1406" s="1" t="str">
        <f t="shared" si="63"/>
        <v>NO</v>
      </c>
      <c r="AA1406" t="s">
        <v>1704</v>
      </c>
      <c r="AB1406" t="s">
        <v>1704</v>
      </c>
      <c r="AC1406" s="1" t="s">
        <v>1704</v>
      </c>
      <c r="AD1406" s="1" t="s">
        <v>1704</v>
      </c>
      <c r="AE1406" s="1" t="s">
        <v>1704</v>
      </c>
      <c r="AF1406" s="1" t="s">
        <v>1704</v>
      </c>
    </row>
    <row r="1407" spans="1:32" ht="15" x14ac:dyDescent="0.35">
      <c r="A1407" s="7" t="s">
        <v>470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>LEFT($A1407,FIND("_",$A1407)-1)</f>
        <v>Nopol</v>
      </c>
      <c r="P1407" s="13" t="str">
        <f>IF($O1407="ACS", "True Search", IF($O1407="Arja", "Evolutionary Search", IF($O1407="AVATAR", "True Pattern", IF($O1407="CapGen", "Search Like Pattern", IF($O1407="Cardumen", "True Semantic", IF($O1407="DynaMoth", "True Semantic", IF($O1407="FixMiner", "True Pattern", IF($O1407="GenProg-A", "Evolutionary Search", IF($O1407="Hercules", "Learning Pattern", IF($O1407="Jaid", "True Semantic",
IF($O1407="Kali-A", "True Search", IF($O1407="kPAR", "True Pattern", IF($O1407="Nopol", "True Semantic", IF($O1407="RSRepair-A", "Evolutionary Search", IF($O1407="SequenceR", "Deep Learning", IF($O1407="SimFix", "Search Like Pattern", IF($O1407="SketchFix", "True Pattern", IF($O1407="SOFix", "True Pattern", IF($O1407="ssFix", "Search Like Pattern", IF($O1407="TBar", "True Pattern", ""))))))))))))))))))))</f>
        <v>True Semantic</v>
      </c>
      <c r="Q1407" s="13" t="str">
        <f>IF(NOT(ISERR(SEARCH("*_Buggy",$A1407))), "Buggy", IF(NOT(ISERR(SEARCH("*_Fixed",$A1407))), "Fixed", IF(NOT(ISERR(SEARCH("*_Repaired",$A1407))), "Repaired", "")))</f>
        <v>Repaired</v>
      </c>
      <c r="R1407" s="13" t="s">
        <v>1669</v>
      </c>
      <c r="S1407" s="25">
        <v>2</v>
      </c>
      <c r="T1407" s="25">
        <v>9</v>
      </c>
      <c r="U1407" s="25">
        <v>7</v>
      </c>
      <c r="V1407" s="13">
        <v>9</v>
      </c>
      <c r="W1407" s="13" t="str">
        <f>MID(A1407, SEARCH("_", A1407) +1, SEARCH("_", A1407, SEARCH("_", A1407) +1) - SEARCH("_", A1407) -1)</f>
        <v>Math-42</v>
      </c>
      <c r="Y1407" s="1" t="str">
        <f t="shared" si="62"/>
        <v>NO</v>
      </c>
      <c r="Z1407" s="1" t="str">
        <f t="shared" si="63"/>
        <v>YES</v>
      </c>
      <c r="AA1407" t="s">
        <v>1704</v>
      </c>
      <c r="AB1407" t="s">
        <v>1705</v>
      </c>
      <c r="AC1407" s="1" t="s">
        <v>1704</v>
      </c>
      <c r="AD1407" s="1" t="s">
        <v>1704</v>
      </c>
      <c r="AE1407" s="1" t="s">
        <v>1704</v>
      </c>
      <c r="AF1407" s="1" t="s">
        <v>1705</v>
      </c>
    </row>
    <row r="1408" spans="1:32" ht="15" x14ac:dyDescent="0.35">
      <c r="A1408" s="5" t="s">
        <v>846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>LEFT($A1408,FIND("_",$A1408)-1)</f>
        <v>Nopol</v>
      </c>
      <c r="P1408" s="13" t="str">
        <f>IF($O1408="ACS", "True Search", IF($O1408="Arja", "Evolutionary Search", IF($O1408="AVATAR", "True Pattern", IF($O1408="CapGen", "Search Like Pattern", IF($O1408="Cardumen", "True Semantic", IF($O1408="DynaMoth", "True Semantic", IF($O1408="FixMiner", "True Pattern", IF($O1408="GenProg-A", "Evolutionary Search", IF($O1408="Hercules", "Learning Pattern", IF($O1408="Jaid", "True Semantic",
IF($O1408="Kali-A", "True Search", IF($O1408="kPAR", "True Pattern", IF($O1408="Nopol", "True Semantic", IF($O1408="RSRepair-A", "Evolutionary Search", IF($O1408="SequenceR", "Deep Learning", IF($O1408="SimFix", "Search Like Pattern", IF($O1408="SketchFix", "True Pattern", IF($O1408="SOFix", "True Pattern", IF($O1408="ssFix", "Search Like Pattern", IF($O1408="TBar", "True Pattern", ""))))))))))))))))))))</f>
        <v>True Semantic</v>
      </c>
      <c r="Q1408" s="13" t="str">
        <f>IF(NOT(ISERR(SEARCH("*_Buggy",$A1408))), "Buggy", IF(NOT(ISERR(SEARCH("*_Fixed",$A1408))), "Fixed", IF(NOT(ISERR(SEARCH("*_Repaired",$A1408))), "Repaired", "")))</f>
        <v>Repaired</v>
      </c>
      <c r="R1408" s="13" t="s">
        <v>1669</v>
      </c>
      <c r="S1408" s="25">
        <v>1</v>
      </c>
      <c r="T1408" s="25">
        <v>6</v>
      </c>
      <c r="U1408" s="25">
        <v>2</v>
      </c>
      <c r="V1408" s="13">
        <v>6</v>
      </c>
      <c r="W1408" s="13" t="str">
        <f>MID(A1408, SEARCH("_", A1408) +1, SEARCH("_", A1408, SEARCH("_", A1408) +1) - SEARCH("_", A1408) -1)</f>
        <v>Math-49</v>
      </c>
      <c r="Y1408" s="1" t="str">
        <f t="shared" si="62"/>
        <v>NO</v>
      </c>
      <c r="Z1408" s="1" t="str">
        <f t="shared" si="63"/>
        <v>NO</v>
      </c>
      <c r="AA1408" t="s">
        <v>1704</v>
      </c>
      <c r="AB1408" t="s">
        <v>1704</v>
      </c>
      <c r="AC1408" s="1" t="s">
        <v>1704</v>
      </c>
      <c r="AD1408" s="1" t="s">
        <v>1704</v>
      </c>
      <c r="AE1408" s="1" t="s">
        <v>1704</v>
      </c>
      <c r="AF1408" s="1" t="s">
        <v>1705</v>
      </c>
    </row>
    <row r="1409" spans="1:32" ht="15" x14ac:dyDescent="0.35">
      <c r="A1409" s="5" t="s">
        <v>150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>LEFT($A1409,FIND("_",$A1409)-1)</f>
        <v>Nopol</v>
      </c>
      <c r="P1409" s="13" t="str">
        <f>IF($O1409="ACS", "True Search", IF($O1409="Arja", "Evolutionary Search", IF($O1409="AVATAR", "True Pattern", IF($O1409="CapGen", "Search Like Pattern", IF($O1409="Cardumen", "True Semantic", IF($O1409="DynaMoth", "True Semantic", IF($O1409="FixMiner", "True Pattern", IF($O1409="GenProg-A", "Evolutionary Search", IF($O1409="Hercules", "Learning Pattern", IF($O1409="Jaid", "True Semantic",
IF($O1409="Kali-A", "True Search", IF($O1409="kPAR", "True Pattern", IF($O1409="Nopol", "True Semantic", IF($O1409="RSRepair-A", "Evolutionary Search", IF($O1409="SequenceR", "Deep Learning", IF($O1409="SimFix", "Search Like Pattern", IF($O1409="SketchFix", "True Pattern", IF($O1409="SOFix", "True Pattern", IF($O1409="ssFix", "Search Like Pattern", IF($O1409="TBar", "True Pattern", ""))))))))))))))))))))</f>
        <v>True Semantic</v>
      </c>
      <c r="Q1409" s="13" t="str">
        <f>IF(NOT(ISERR(SEARCH("*_Buggy",$A1409))), "Buggy", IF(NOT(ISERR(SEARCH("*_Fixed",$A1409))), "Fixed", IF(NOT(ISERR(SEARCH("*_Repaired",$A1409))), "Repaired", "")))</f>
        <v>Repaired</v>
      </c>
      <c r="R1409" s="13" t="s">
        <v>1668</v>
      </c>
      <c r="S1409" s="25">
        <v>1</v>
      </c>
      <c r="T1409" s="25">
        <v>5</v>
      </c>
      <c r="U1409" s="25">
        <v>3</v>
      </c>
      <c r="V1409" s="13">
        <v>5</v>
      </c>
      <c r="W1409" s="13" t="str">
        <f>MID(A1409, SEARCH("_", A1409) +1, SEARCH("_", A1409, SEARCH("_", A1409) +1) - SEARCH("_", A1409) -1)</f>
        <v>Math-50</v>
      </c>
      <c r="Y1409" s="1" t="str">
        <f t="shared" si="62"/>
        <v>NO</v>
      </c>
      <c r="Z1409" s="1" t="str">
        <f t="shared" si="63"/>
        <v>NO</v>
      </c>
      <c r="AA1409" t="s">
        <v>1704</v>
      </c>
      <c r="AB1409" t="s">
        <v>1704</v>
      </c>
      <c r="AC1409" s="1" t="s">
        <v>1704</v>
      </c>
      <c r="AD1409" s="1" t="s">
        <v>1705</v>
      </c>
      <c r="AE1409" s="1" t="s">
        <v>1704</v>
      </c>
      <c r="AF1409" s="1" t="s">
        <v>1705</v>
      </c>
    </row>
    <row r="1410" spans="1:32" ht="15" x14ac:dyDescent="0.35">
      <c r="A1410" s="7" t="s">
        <v>953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>LEFT($A1410,FIND("_",$A1410)-1)</f>
        <v>Nopol</v>
      </c>
      <c r="P1410" s="13" t="str">
        <f>IF($O1410="ACS", "True Search", IF($O1410="Arja", "Evolutionary Search", IF($O1410="AVATAR", "True Pattern", IF($O1410="CapGen", "Search Like Pattern", IF($O1410="Cardumen", "True Semantic", IF($O1410="DynaMoth", "True Semantic", IF($O1410="FixMiner", "True Pattern", IF($O1410="GenProg-A", "Evolutionary Search", IF($O1410="Hercules", "Learning Pattern", IF($O1410="Jaid", "True Semantic",
IF($O1410="Kali-A", "True Search", IF($O1410="kPAR", "True Pattern", IF($O1410="Nopol", "True Semantic", IF($O1410="RSRepair-A", "Evolutionary Search", IF($O1410="SequenceR", "Deep Learning", IF($O1410="SimFix", "Search Like Pattern", IF($O1410="SketchFix", "True Pattern", IF($O1410="SOFix", "True Pattern", IF($O1410="ssFix", "Search Like Pattern", IF($O1410="TBar", "True Pattern", ""))))))))))))))))))))</f>
        <v>True Semantic</v>
      </c>
      <c r="Q1410" s="13" t="str">
        <f>IF(NOT(ISERR(SEARCH("*_Buggy",$A1410))), "Buggy", IF(NOT(ISERR(SEARCH("*_Fixed",$A1410))), "Fixed", IF(NOT(ISERR(SEARCH("*_Repaired",$A1410))), "Repaired", "")))</f>
        <v>Repaired</v>
      </c>
      <c r="R1410" s="13" t="s">
        <v>1669</v>
      </c>
      <c r="S1410" s="25">
        <v>2</v>
      </c>
      <c r="T1410" s="25">
        <v>8</v>
      </c>
      <c r="U1410" s="25">
        <v>6</v>
      </c>
      <c r="V1410" s="13">
        <v>9</v>
      </c>
      <c r="W1410" s="13" t="str">
        <f>MID(A1410, SEARCH("_", A1410) +1, SEARCH("_", A1410, SEARCH("_", A1410) +1) - SEARCH("_", A1410) -1)</f>
        <v>Math-69</v>
      </c>
      <c r="Y1410" s="1" t="str">
        <f t="shared" si="62"/>
        <v>NO</v>
      </c>
      <c r="Z1410" s="1" t="str">
        <f t="shared" si="63"/>
        <v>YES</v>
      </c>
      <c r="AA1410" t="s">
        <v>1704</v>
      </c>
      <c r="AB1410" t="s">
        <v>1704</v>
      </c>
      <c r="AC1410" s="1" t="s">
        <v>1704</v>
      </c>
      <c r="AD1410" s="1" t="s">
        <v>1704</v>
      </c>
      <c r="AE1410" s="1" t="s">
        <v>1704</v>
      </c>
      <c r="AF1410" s="1" t="s">
        <v>1704</v>
      </c>
    </row>
    <row r="1411" spans="1:32" ht="15" x14ac:dyDescent="0.35">
      <c r="A1411" s="5" t="s">
        <v>510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>LEFT($A1411,FIND("_",$A1411)-1)</f>
        <v>Nopol</v>
      </c>
      <c r="P1411" s="13" t="str">
        <f>IF($O1411="ACS", "True Search", IF($O1411="Arja", "Evolutionary Search", IF($O1411="AVATAR", "True Pattern", IF($O1411="CapGen", "Search Like Pattern", IF($O1411="Cardumen", "True Semantic", IF($O1411="DynaMoth", "True Semantic", IF($O1411="FixMiner", "True Pattern", IF($O1411="GenProg-A", "Evolutionary Search", IF($O1411="Hercules", "Learning Pattern", IF($O1411="Jaid", "True Semantic",
IF($O1411="Kali-A", "True Search", IF($O1411="kPAR", "True Pattern", IF($O1411="Nopol", "True Semantic", IF($O1411="RSRepair-A", "Evolutionary Search", IF($O1411="SequenceR", "Deep Learning", IF($O1411="SimFix", "Search Like Pattern", IF($O1411="SketchFix", "True Pattern", IF($O1411="SOFix", "True Pattern", IF($O1411="ssFix", "Search Like Pattern", IF($O1411="TBar", "True Pattern", ""))))))))))))))))))))</f>
        <v>True Semantic</v>
      </c>
      <c r="Q1411" s="13" t="str">
        <f>IF(NOT(ISERR(SEARCH("*_Buggy",$A1411))), "Buggy", IF(NOT(ISERR(SEARCH("*_Fixed",$A1411))), "Fixed", IF(NOT(ISERR(SEARCH("*_Repaired",$A1411))), "Repaired", "")))</f>
        <v>Repaired</v>
      </c>
      <c r="R1411" s="13" t="s">
        <v>1669</v>
      </c>
      <c r="S1411" s="25">
        <v>1</v>
      </c>
      <c r="T1411" s="25">
        <v>3</v>
      </c>
      <c r="U1411" s="25">
        <v>1</v>
      </c>
      <c r="V1411" s="13">
        <v>3</v>
      </c>
      <c r="W1411" s="13" t="str">
        <f>MID(A1411, SEARCH("_", A1411) +1, SEARCH("_", A1411, SEARCH("_", A1411) +1) - SEARCH("_", A1411) -1)</f>
        <v>Math-7</v>
      </c>
      <c r="Y1411" s="1" t="str">
        <f t="shared" si="62"/>
        <v>NO</v>
      </c>
      <c r="Z1411" s="1" t="str">
        <f t="shared" si="63"/>
        <v>NO</v>
      </c>
      <c r="AA1411" t="s">
        <v>1704</v>
      </c>
      <c r="AB1411" t="s">
        <v>1704</v>
      </c>
      <c r="AC1411" s="1" t="s">
        <v>1704</v>
      </c>
      <c r="AD1411" s="1" t="s">
        <v>1704</v>
      </c>
      <c r="AE1411" s="1" t="s">
        <v>1704</v>
      </c>
      <c r="AF1411" s="1" t="s">
        <v>1705</v>
      </c>
    </row>
    <row r="1412" spans="1:32" ht="15" x14ac:dyDescent="0.35">
      <c r="A1412" s="5" t="s">
        <v>910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>LEFT($A1412,FIND("_",$A1412)-1)</f>
        <v>Nopol</v>
      </c>
      <c r="P1412" s="13" t="str">
        <f>IF($O1412="ACS", "True Search", IF($O1412="Arja", "Evolutionary Search", IF($O1412="AVATAR", "True Pattern", IF($O1412="CapGen", "Search Like Pattern", IF($O1412="Cardumen", "True Semantic", IF($O1412="DynaMoth", "True Semantic", IF($O1412="FixMiner", "True Pattern", IF($O1412="GenProg-A", "Evolutionary Search", IF($O1412="Hercules", "Learning Pattern", IF($O1412="Jaid", "True Semantic",
IF($O1412="Kali-A", "True Search", IF($O1412="kPAR", "True Pattern", IF($O1412="Nopol", "True Semantic", IF($O1412="RSRepair-A", "Evolutionary Search", IF($O1412="SequenceR", "Deep Learning", IF($O1412="SimFix", "Search Like Pattern", IF($O1412="SketchFix", "True Pattern", IF($O1412="SOFix", "True Pattern", IF($O1412="ssFix", "Search Like Pattern", IF($O1412="TBar", "True Pattern", ""))))))))))))))))))))</f>
        <v>True Semantic</v>
      </c>
      <c r="Q1412" s="13" t="str">
        <f>IF(NOT(ISERR(SEARCH("*_Buggy",$A1412))), "Buggy", IF(NOT(ISERR(SEARCH("*_Fixed",$A1412))), "Fixed", IF(NOT(ISERR(SEARCH("*_Repaired",$A1412))), "Repaired", "")))</f>
        <v>Repaired</v>
      </c>
      <c r="R1412" s="13" t="s">
        <v>1669</v>
      </c>
      <c r="S1412" s="25">
        <v>1</v>
      </c>
      <c r="T1412" s="25">
        <v>6</v>
      </c>
      <c r="U1412" s="25">
        <v>4</v>
      </c>
      <c r="V1412" s="13">
        <v>6</v>
      </c>
      <c r="W1412" s="13" t="str">
        <f>MID(A1412, SEARCH("_", A1412) +1, SEARCH("_", A1412, SEARCH("_", A1412) +1) - SEARCH("_", A1412) -1)</f>
        <v>Math-80</v>
      </c>
      <c r="Y1412" s="1" t="str">
        <f t="shared" si="62"/>
        <v>NO</v>
      </c>
      <c r="Z1412" s="1" t="str">
        <f t="shared" si="63"/>
        <v>NO</v>
      </c>
      <c r="AA1412" t="s">
        <v>1704</v>
      </c>
      <c r="AB1412" t="s">
        <v>1704</v>
      </c>
      <c r="AC1412" s="1" t="s">
        <v>1704</v>
      </c>
      <c r="AD1412" s="1" t="s">
        <v>1704</v>
      </c>
      <c r="AE1412" s="1" t="s">
        <v>1704</v>
      </c>
      <c r="AF1412" s="1" t="s">
        <v>1704</v>
      </c>
    </row>
    <row r="1413" spans="1:32" ht="15" x14ac:dyDescent="0.35">
      <c r="A1413" s="7" t="s">
        <v>876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>LEFT($A1413,FIND("_",$A1413)-1)</f>
        <v>Nopol</v>
      </c>
      <c r="P1413" s="13" t="str">
        <f>IF($O1413="ACS", "True Search", IF($O1413="Arja", "Evolutionary Search", IF($O1413="AVATAR", "True Pattern", IF($O1413="CapGen", "Search Like Pattern", IF($O1413="Cardumen", "True Semantic", IF($O1413="DynaMoth", "True Semantic", IF($O1413="FixMiner", "True Pattern", IF($O1413="GenProg-A", "Evolutionary Search", IF($O1413="Hercules", "Learning Pattern", IF($O1413="Jaid", "True Semantic",
IF($O1413="Kali-A", "True Search", IF($O1413="kPAR", "True Pattern", IF($O1413="Nopol", "True Semantic", IF($O1413="RSRepair-A", "Evolutionary Search", IF($O1413="SequenceR", "Deep Learning", IF($O1413="SimFix", "Search Like Pattern", IF($O1413="SketchFix", "True Pattern", IF($O1413="SOFix", "True Pattern", IF($O1413="ssFix", "Search Like Pattern", IF($O1413="TBar", "True Pattern", ""))))))))))))))))))))</f>
        <v>True Semantic</v>
      </c>
      <c r="Q1413" s="13" t="str">
        <f>IF(NOT(ISERR(SEARCH("*_Buggy",$A1413))), "Buggy", IF(NOT(ISERR(SEARCH("*_Fixed",$A1413))), "Fixed", IF(NOT(ISERR(SEARCH("*_Repaired",$A1413))), "Repaired", "")))</f>
        <v>Repaired</v>
      </c>
      <c r="R1413" s="13" t="s">
        <v>1669</v>
      </c>
      <c r="S1413" s="25">
        <v>1</v>
      </c>
      <c r="T1413" s="25">
        <v>3</v>
      </c>
      <c r="U1413" s="25">
        <v>1</v>
      </c>
      <c r="V1413" s="13">
        <v>3</v>
      </c>
      <c r="W1413" s="13" t="str">
        <f>MID(A1413, SEARCH("_", A1413) +1, SEARCH("_", A1413, SEARCH("_", A1413) +1) - SEARCH("_", A1413) -1)</f>
        <v>Math-81</v>
      </c>
      <c r="Y1413" s="1" t="str">
        <f t="shared" si="62"/>
        <v>NO</v>
      </c>
      <c r="Z1413" s="1" t="str">
        <f t="shared" si="63"/>
        <v>NO</v>
      </c>
      <c r="AA1413" t="s">
        <v>1704</v>
      </c>
      <c r="AB1413" t="s">
        <v>1704</v>
      </c>
      <c r="AC1413" s="1" t="s">
        <v>1704</v>
      </c>
      <c r="AD1413" s="1" t="s">
        <v>1704</v>
      </c>
      <c r="AE1413" s="1" t="s">
        <v>1704</v>
      </c>
      <c r="AF1413" s="1" t="s">
        <v>1705</v>
      </c>
    </row>
    <row r="1414" spans="1:32" ht="15" x14ac:dyDescent="0.35">
      <c r="A1414" s="5" t="s">
        <v>925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>LEFT($A1414,FIND("_",$A1414)-1)</f>
        <v>Nopol</v>
      </c>
      <c r="P1414" s="13" t="str">
        <f>IF($O1414="ACS", "True Search", IF($O1414="Arja", "Evolutionary Search", IF($O1414="AVATAR", "True Pattern", IF($O1414="CapGen", "Search Like Pattern", IF($O1414="Cardumen", "True Semantic", IF($O1414="DynaMoth", "True Semantic", IF($O1414="FixMiner", "True Pattern", IF($O1414="GenProg-A", "Evolutionary Search", IF($O1414="Hercules", "Learning Pattern", IF($O1414="Jaid", "True Semantic",
IF($O1414="Kali-A", "True Search", IF($O1414="kPAR", "True Pattern", IF($O1414="Nopol", "True Semantic", IF($O1414="RSRepair-A", "Evolutionary Search", IF($O1414="SequenceR", "Deep Learning", IF($O1414="SimFix", "Search Like Pattern", IF($O1414="SketchFix", "True Pattern", IF($O1414="SOFix", "True Pattern", IF($O1414="ssFix", "Search Like Pattern", IF($O1414="TBar", "True Pattern", ""))))))))))))))))))))</f>
        <v>True Semantic</v>
      </c>
      <c r="Q1414" s="13" t="str">
        <f>IF(NOT(ISERR(SEARCH("*_Buggy",$A1414))), "Buggy", IF(NOT(ISERR(SEARCH("*_Fixed",$A1414))), "Fixed", IF(NOT(ISERR(SEARCH("*_Repaired",$A1414))), "Repaired", "")))</f>
        <v>Repaired</v>
      </c>
      <c r="R1414" s="13" t="s">
        <v>1669</v>
      </c>
      <c r="S1414" s="25">
        <v>1</v>
      </c>
      <c r="T1414" s="25">
        <v>3</v>
      </c>
      <c r="U1414" s="25">
        <v>1</v>
      </c>
      <c r="V1414" s="13">
        <v>3</v>
      </c>
      <c r="W1414" s="13" t="str">
        <f>MID(A1414, SEARCH("_", A1414) +1, SEARCH("_", A1414, SEARCH("_", A1414) +1) - SEARCH("_", A1414) -1)</f>
        <v>Math-82</v>
      </c>
      <c r="Y1414" s="1" t="str">
        <f t="shared" si="62"/>
        <v>NO</v>
      </c>
      <c r="Z1414" s="1" t="str">
        <f t="shared" si="63"/>
        <v>NO</v>
      </c>
      <c r="AA1414" t="s">
        <v>1704</v>
      </c>
      <c r="AB1414" t="s">
        <v>1704</v>
      </c>
      <c r="AC1414" s="1" t="s">
        <v>1704</v>
      </c>
      <c r="AD1414" s="1" t="s">
        <v>1704</v>
      </c>
      <c r="AE1414" s="1" t="s">
        <v>1704</v>
      </c>
      <c r="AF1414" s="1" t="s">
        <v>1704</v>
      </c>
    </row>
    <row r="1415" spans="1:32" ht="15" x14ac:dyDescent="0.35">
      <c r="A1415" s="5" t="s">
        <v>637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>LEFT($A1415,FIND("_",$A1415)-1)</f>
        <v>Nopol</v>
      </c>
      <c r="P1415" s="13" t="str">
        <f>IF($O1415="ACS", "True Search", IF($O1415="Arja", "Evolutionary Search", IF($O1415="AVATAR", "True Pattern", IF($O1415="CapGen", "Search Like Pattern", IF($O1415="Cardumen", "True Semantic", IF($O1415="DynaMoth", "True Semantic", IF($O1415="FixMiner", "True Pattern", IF($O1415="GenProg-A", "Evolutionary Search", IF($O1415="Hercules", "Learning Pattern", IF($O1415="Jaid", "True Semantic",
IF($O1415="Kali-A", "True Search", IF($O1415="kPAR", "True Pattern", IF($O1415="Nopol", "True Semantic", IF($O1415="RSRepair-A", "Evolutionary Search", IF($O1415="SequenceR", "Deep Learning", IF($O1415="SimFix", "Search Like Pattern", IF($O1415="SketchFix", "True Pattern", IF($O1415="SOFix", "True Pattern", IF($O1415="ssFix", "Search Like Pattern", IF($O1415="TBar", "True Pattern", ""))))))))))))))))))))</f>
        <v>True Semantic</v>
      </c>
      <c r="Q1415" s="13" t="str">
        <f>IF(NOT(ISERR(SEARCH("*_Buggy",$A1415))), "Buggy", IF(NOT(ISERR(SEARCH("*_Fixed",$A1415))), "Fixed", IF(NOT(ISERR(SEARCH("*_Repaired",$A1415))), "Repaired", "")))</f>
        <v>Repaired</v>
      </c>
      <c r="R1415" s="13" t="s">
        <v>1669</v>
      </c>
      <c r="S1415" s="25">
        <v>2</v>
      </c>
      <c r="T1415" s="25">
        <v>6</v>
      </c>
      <c r="U1415" s="25">
        <v>6</v>
      </c>
      <c r="V1415" s="13">
        <v>6</v>
      </c>
      <c r="W1415" s="13" t="str">
        <f>MID(A1415, SEARCH("_", A1415) +1, SEARCH("_", A1415, SEARCH("_", A1415) +1) - SEARCH("_", A1415) -1)</f>
        <v>Math-85</v>
      </c>
      <c r="Y1415" s="1" t="str">
        <f t="shared" si="62"/>
        <v>NO</v>
      </c>
      <c r="Z1415" s="1" t="str">
        <f t="shared" si="63"/>
        <v>YES</v>
      </c>
      <c r="AA1415" t="s">
        <v>1704</v>
      </c>
      <c r="AB1415" t="s">
        <v>1704</v>
      </c>
      <c r="AC1415" s="1" t="s">
        <v>1704</v>
      </c>
      <c r="AD1415" s="1" t="s">
        <v>1704</v>
      </c>
      <c r="AE1415" s="1" t="s">
        <v>1704</v>
      </c>
      <c r="AF1415" s="1" t="s">
        <v>1704</v>
      </c>
    </row>
    <row r="1416" spans="1:32" ht="15" x14ac:dyDescent="0.35">
      <c r="A1416" s="5" t="s">
        <v>936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>LEFT($A1416,FIND("_",$A1416)-1)</f>
        <v>Nopol</v>
      </c>
      <c r="P1416" s="13" t="str">
        <f>IF($O1416="ACS", "True Search", IF($O1416="Arja", "Evolutionary Search", IF($O1416="AVATAR", "True Pattern", IF($O1416="CapGen", "Search Like Pattern", IF($O1416="Cardumen", "True Semantic", IF($O1416="DynaMoth", "True Semantic", IF($O1416="FixMiner", "True Pattern", IF($O1416="GenProg-A", "Evolutionary Search", IF($O1416="Hercules", "Learning Pattern", IF($O1416="Jaid", "True Semantic",
IF($O1416="Kali-A", "True Search", IF($O1416="kPAR", "True Pattern", IF($O1416="Nopol", "True Semantic", IF($O1416="RSRepair-A", "Evolutionary Search", IF($O1416="SequenceR", "Deep Learning", IF($O1416="SimFix", "Search Like Pattern", IF($O1416="SketchFix", "True Pattern", IF($O1416="SOFix", "True Pattern", IF($O1416="ssFix", "Search Like Pattern", IF($O1416="TBar", "True Pattern", ""))))))))))))))))))))</f>
        <v>True Semantic</v>
      </c>
      <c r="Q1416" s="13" t="str">
        <f>IF(NOT(ISERR(SEARCH("*_Buggy",$A1416))), "Buggy", IF(NOT(ISERR(SEARCH("*_Fixed",$A1416))), "Fixed", IF(NOT(ISERR(SEARCH("*_Repaired",$A1416))), "Repaired", "")))</f>
        <v>Repaired</v>
      </c>
      <c r="R1416" s="13" t="s">
        <v>1669</v>
      </c>
      <c r="S1416" s="25">
        <v>2</v>
      </c>
      <c r="T1416" s="25">
        <v>3</v>
      </c>
      <c r="U1416" s="25">
        <v>1</v>
      </c>
      <c r="V1416" s="13">
        <v>3</v>
      </c>
      <c r="W1416" s="13" t="str">
        <f>MID(A1416, SEARCH("_", A1416) +1, SEARCH("_", A1416, SEARCH("_", A1416) +1) - SEARCH("_", A1416) -1)</f>
        <v>Math-87</v>
      </c>
      <c r="Y1416" s="1" t="str">
        <f t="shared" si="62"/>
        <v>NO</v>
      </c>
      <c r="Z1416" s="1" t="str">
        <f t="shared" si="63"/>
        <v>YES</v>
      </c>
      <c r="AA1416" t="s">
        <v>1704</v>
      </c>
      <c r="AB1416" t="s">
        <v>1705</v>
      </c>
      <c r="AC1416" s="1" t="s">
        <v>1704</v>
      </c>
      <c r="AD1416" s="1" t="s">
        <v>1704</v>
      </c>
      <c r="AE1416" s="1" t="s">
        <v>1704</v>
      </c>
      <c r="AF1416" s="1" t="s">
        <v>1705</v>
      </c>
    </row>
    <row r="1417" spans="1:32" ht="15" x14ac:dyDescent="0.35">
      <c r="A1417" s="7" t="s">
        <v>964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>LEFT($A1417,FIND("_",$A1417)-1)</f>
        <v>Nopol</v>
      </c>
      <c r="P1417" s="13" t="str">
        <f>IF($O1417="ACS", "True Search", IF($O1417="Arja", "Evolutionary Search", IF($O1417="AVATAR", "True Pattern", IF($O1417="CapGen", "Search Like Pattern", IF($O1417="Cardumen", "True Semantic", IF($O1417="DynaMoth", "True Semantic", IF($O1417="FixMiner", "True Pattern", IF($O1417="GenProg-A", "Evolutionary Search", IF($O1417="Hercules", "Learning Pattern", IF($O1417="Jaid", "True Semantic",
IF($O1417="Kali-A", "True Search", IF($O1417="kPAR", "True Pattern", IF($O1417="Nopol", "True Semantic", IF($O1417="RSRepair-A", "Evolutionary Search", IF($O1417="SequenceR", "Deep Learning", IF($O1417="SimFix", "Search Like Pattern", IF($O1417="SketchFix", "True Pattern", IF($O1417="SOFix", "True Pattern", IF($O1417="ssFix", "Search Like Pattern", IF($O1417="TBar", "True Pattern", ""))))))))))))))))))))</f>
        <v>True Semantic</v>
      </c>
      <c r="Q1417" s="13" t="str">
        <f>IF(NOT(ISERR(SEARCH("*_Buggy",$A1417))), "Buggy", IF(NOT(ISERR(SEARCH("*_Fixed",$A1417))), "Fixed", IF(NOT(ISERR(SEARCH("*_Repaired",$A1417))), "Repaired", "")))</f>
        <v>Repaired</v>
      </c>
      <c r="R1417" s="13" t="s">
        <v>1669</v>
      </c>
      <c r="S1417" s="25">
        <v>1</v>
      </c>
      <c r="T1417" s="25">
        <v>3</v>
      </c>
      <c r="U1417" s="25">
        <v>1</v>
      </c>
      <c r="V1417" s="13">
        <v>3</v>
      </c>
      <c r="W1417" s="13" t="str">
        <f>MID(A1417, SEARCH("_", A1417) +1, SEARCH("_", A1417, SEARCH("_", A1417) +1) - SEARCH("_", A1417) -1)</f>
        <v>Math-88</v>
      </c>
      <c r="Y1417" s="1" t="str">
        <f t="shared" si="62"/>
        <v>NO</v>
      </c>
      <c r="Z1417" s="1" t="str">
        <f t="shared" si="63"/>
        <v>NO</v>
      </c>
      <c r="AA1417" t="s">
        <v>1704</v>
      </c>
      <c r="AB1417" t="s">
        <v>1704</v>
      </c>
      <c r="AC1417" s="1" t="s">
        <v>1704</v>
      </c>
      <c r="AD1417" s="1" t="s">
        <v>1704</v>
      </c>
      <c r="AE1417" s="1" t="s">
        <v>1704</v>
      </c>
      <c r="AF1417" s="1" t="s">
        <v>1705</v>
      </c>
    </row>
    <row r="1418" spans="1:32" ht="15" x14ac:dyDescent="0.35">
      <c r="A1418" s="7" t="s">
        <v>909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>LEFT($A1418,FIND("_",$A1418)-1)</f>
        <v>Nopol</v>
      </c>
      <c r="P1418" s="13" t="str">
        <f>IF($O1418="ACS", "True Search", IF($O1418="Arja", "Evolutionary Search", IF($O1418="AVATAR", "True Pattern", IF($O1418="CapGen", "Search Like Pattern", IF($O1418="Cardumen", "True Semantic", IF($O1418="DynaMoth", "True Semantic", IF($O1418="FixMiner", "True Pattern", IF($O1418="GenProg-A", "Evolutionary Search", IF($O1418="Hercules", "Learning Pattern", IF($O1418="Jaid", "True Semantic",
IF($O1418="Kali-A", "True Search", IF($O1418="kPAR", "True Pattern", IF($O1418="Nopol", "True Semantic", IF($O1418="RSRepair-A", "Evolutionary Search", IF($O1418="SequenceR", "Deep Learning", IF($O1418="SimFix", "Search Like Pattern", IF($O1418="SketchFix", "True Pattern", IF($O1418="SOFix", "True Pattern", IF($O1418="ssFix", "Search Like Pattern", IF($O1418="TBar", "True Pattern", ""))))))))))))))))))))</f>
        <v>True Semantic</v>
      </c>
      <c r="Q1418" s="13" t="str">
        <f>IF(NOT(ISERR(SEARCH("*_Buggy",$A1418))), "Buggy", IF(NOT(ISERR(SEARCH("*_Fixed",$A1418))), "Fixed", IF(NOT(ISERR(SEARCH("*_Repaired",$A1418))), "Repaired", "")))</f>
        <v>Repaired</v>
      </c>
      <c r="R1418" s="13" t="s">
        <v>1669</v>
      </c>
      <c r="S1418" s="25">
        <v>1</v>
      </c>
      <c r="T1418" s="25">
        <v>1</v>
      </c>
      <c r="U1418" s="25">
        <v>1</v>
      </c>
      <c r="V1418" s="13">
        <v>1</v>
      </c>
      <c r="W1418" s="13" t="str">
        <f>MID(A1418, SEARCH("_", A1418) +1, SEARCH("_", A1418, SEARCH("_", A1418) +1) - SEARCH("_", A1418) -1)</f>
        <v>Time-14</v>
      </c>
      <c r="Y1418" s="1" t="str">
        <f t="shared" si="62"/>
        <v>NO</v>
      </c>
      <c r="Z1418" s="1" t="str">
        <f t="shared" si="63"/>
        <v>NO</v>
      </c>
      <c r="AA1418" t="s">
        <v>1704</v>
      </c>
      <c r="AB1418" t="s">
        <v>1704</v>
      </c>
      <c r="AC1418" s="1" t="s">
        <v>1704</v>
      </c>
      <c r="AD1418" s="1" t="s">
        <v>1704</v>
      </c>
      <c r="AE1418" s="1" t="s">
        <v>1704</v>
      </c>
      <c r="AF1418" s="1" t="s">
        <v>1704</v>
      </c>
    </row>
    <row r="1419" spans="1:32" ht="15" x14ac:dyDescent="0.35">
      <c r="A1419" s="5" t="s">
        <v>1611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>LEFT($A1419,FIND("_",$A1419)-1)</f>
        <v>RSRepair-A</v>
      </c>
      <c r="P1419" s="13" t="str">
        <f>IF($O1419="ACS", "True Search", IF($O1419="Arja", "Evolutionary Search", IF($O1419="AVATAR", "True Pattern", IF($O1419="CapGen", "Search Like Pattern", IF($O1419="Cardumen", "True Semantic", IF($O1419="DynaMoth", "True Semantic", IF($O1419="FixMiner", "True Pattern", IF($O1419="GenProg-A", "Evolutionary Search", IF($O1419="Hercules", "Learning Pattern", IF($O1419="Jaid", "True Semantic",
IF($O1419="Kali-A", "True Search", IF($O1419="kPAR", "True Pattern", IF($O1419="Nopol", "True Semantic", IF($O1419="RSRepair-A", "Evolutionary Search", IF($O1419="SequenceR", "Deep Learning", IF($O1419="SimFix", "Search Like Pattern", IF($O1419="SketchFix", "True Pattern", IF($O1419="SOFix", "True Pattern", IF($O1419="ssFix", "Search Like Pattern", IF($O1419="TBar", "True Pattern", ""))))))))))))))))))))</f>
        <v>Evolutionary Search</v>
      </c>
      <c r="Q1419" s="13" t="str">
        <f>IF(NOT(ISERR(SEARCH("*_Buggy",$A1419))), "Buggy", IF(NOT(ISERR(SEARCH("*_Fixed",$A1419))), "Fixed", IF(NOT(ISERR(SEARCH("*_Repaired",$A1419))), "Repaired", "")))</f>
        <v>Repaired</v>
      </c>
      <c r="R1419" s="13" t="s">
        <v>1669</v>
      </c>
      <c r="S1419" s="25">
        <v>1</v>
      </c>
      <c r="T1419" s="25">
        <v>0</v>
      </c>
      <c r="U1419" s="13">
        <v>3</v>
      </c>
      <c r="V1419" s="13">
        <v>3</v>
      </c>
      <c r="W1419" s="13" t="str">
        <f>MID(A1419, SEARCH("_", A1419) +1, SEARCH("_", A1419, SEARCH("_", A1419) +1) - SEARCH("_", A1419) -1)</f>
        <v>Chart-1</v>
      </c>
      <c r="Y1419" s="1" t="str">
        <f t="shared" si="62"/>
        <v>NO</v>
      </c>
      <c r="Z1419" s="1" t="str">
        <f t="shared" si="63"/>
        <v>NO</v>
      </c>
      <c r="AA1419" t="s">
        <v>1704</v>
      </c>
      <c r="AB1419" t="s">
        <v>1704</v>
      </c>
      <c r="AC1419" s="1" t="s">
        <v>1704</v>
      </c>
      <c r="AD1419" s="1" t="s">
        <v>1704</v>
      </c>
      <c r="AE1419" s="1" t="s">
        <v>1704</v>
      </c>
      <c r="AF1419" s="1" t="s">
        <v>1704</v>
      </c>
    </row>
    <row r="1420" spans="1:32" ht="15" x14ac:dyDescent="0.35">
      <c r="A1420" s="5" t="s">
        <v>1612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>LEFT($A1420,FIND("_",$A1420)-1)</f>
        <v>RSRepair-A</v>
      </c>
      <c r="P1420" s="13" t="str">
        <f>IF($O1420="ACS", "True Search", IF($O1420="Arja", "Evolutionary Search", IF($O1420="AVATAR", "True Pattern", IF($O1420="CapGen", "Search Like Pattern", IF($O1420="Cardumen", "True Semantic", IF($O1420="DynaMoth", "True Semantic", IF($O1420="FixMiner", "True Pattern", IF($O1420="GenProg-A", "Evolutionary Search", IF($O1420="Hercules", "Learning Pattern", IF($O1420="Jaid", "True Semantic",
IF($O1420="Kali-A", "True Search", IF($O1420="kPAR", "True Pattern", IF($O1420="Nopol", "True Semantic", IF($O1420="RSRepair-A", "Evolutionary Search", IF($O1420="SequenceR", "Deep Learning", IF($O1420="SimFix", "Search Like Pattern", IF($O1420="SketchFix", "True Pattern", IF($O1420="SOFix", "True Pattern", IF($O1420="ssFix", "Search Like Pattern", IF($O1420="TBar", "True Pattern", ""))))))))))))))))))))</f>
        <v>Evolutionary Search</v>
      </c>
      <c r="Q1420" s="13" t="str">
        <f>IF(NOT(ISERR(SEARCH("*_Buggy",$A1420))), "Buggy", IF(NOT(ISERR(SEARCH("*_Fixed",$A1420))), "Fixed", IF(NOT(ISERR(SEARCH("*_Repaired",$A1420))), "Repaired", "")))</f>
        <v>Repaired</v>
      </c>
      <c r="R1420" s="13" t="s">
        <v>1669</v>
      </c>
      <c r="S1420" s="25">
        <v>1</v>
      </c>
      <c r="T1420" s="25">
        <v>5</v>
      </c>
      <c r="U1420" s="25">
        <v>1</v>
      </c>
      <c r="V1420" s="13">
        <v>5</v>
      </c>
      <c r="W1420" s="13" t="str">
        <f>MID(A1420, SEARCH("_", A1420) +1, SEARCH("_", A1420, SEARCH("_", A1420) +1) - SEARCH("_", A1420) -1)</f>
        <v>Chart-12</v>
      </c>
      <c r="Y1420" s="1" t="str">
        <f t="shared" si="62"/>
        <v>NO</v>
      </c>
      <c r="Z1420" s="1" t="str">
        <f t="shared" si="63"/>
        <v>NO</v>
      </c>
      <c r="AA1420" t="s">
        <v>1704</v>
      </c>
      <c r="AB1420" t="s">
        <v>1704</v>
      </c>
      <c r="AC1420" s="1" t="s">
        <v>1704</v>
      </c>
      <c r="AD1420" s="1" t="s">
        <v>1704</v>
      </c>
      <c r="AE1420" s="1" t="s">
        <v>1704</v>
      </c>
      <c r="AF1420" s="1" t="s">
        <v>1704</v>
      </c>
    </row>
    <row r="1421" spans="1:32" ht="15" x14ac:dyDescent="0.35">
      <c r="A1421" s="7" t="s">
        <v>1613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>LEFT($A1421,FIND("_",$A1421)-1)</f>
        <v>RSRepair-A</v>
      </c>
      <c r="P1421" s="13" t="str">
        <f>IF($O1421="ACS", "True Search", IF($O1421="Arja", "Evolutionary Search", IF($O1421="AVATAR", "True Pattern", IF($O1421="CapGen", "Search Like Pattern", IF($O1421="Cardumen", "True Semantic", IF($O1421="DynaMoth", "True Semantic", IF($O1421="FixMiner", "True Pattern", IF($O1421="GenProg-A", "Evolutionary Search", IF($O1421="Hercules", "Learning Pattern", IF($O1421="Jaid", "True Semantic",
IF($O1421="Kali-A", "True Search", IF($O1421="kPAR", "True Pattern", IF($O1421="Nopol", "True Semantic", IF($O1421="RSRepair-A", "Evolutionary Search", IF($O1421="SequenceR", "Deep Learning", IF($O1421="SimFix", "Search Like Pattern", IF($O1421="SketchFix", "True Pattern", IF($O1421="SOFix", "True Pattern", IF($O1421="ssFix", "Search Like Pattern", IF($O1421="TBar", "True Pattern", ""))))))))))))))))))))</f>
        <v>Evolutionary Search</v>
      </c>
      <c r="Q1421" s="13" t="str">
        <f>IF(NOT(ISERR(SEARCH("*_Buggy",$A1421))), "Buggy", IF(NOT(ISERR(SEARCH("*_Fixed",$A1421))), "Fixed", IF(NOT(ISERR(SEARCH("*_Repaired",$A1421))), "Repaired", "")))</f>
        <v>Repaired</v>
      </c>
      <c r="R1421" s="13" t="s">
        <v>1669</v>
      </c>
      <c r="S1421" s="25">
        <v>1</v>
      </c>
      <c r="T1421" s="25">
        <v>1</v>
      </c>
      <c r="U1421" s="25">
        <v>10</v>
      </c>
      <c r="V1421" s="13">
        <v>10</v>
      </c>
      <c r="W1421" s="13" t="str">
        <f>MID(A1421, SEARCH("_", A1421) +1, SEARCH("_", A1421, SEARCH("_", A1421) +1) - SEARCH("_", A1421) -1)</f>
        <v>Chart-5</v>
      </c>
      <c r="Y1421" s="1" t="str">
        <f t="shared" si="62"/>
        <v>NO</v>
      </c>
      <c r="Z1421" s="1" t="str">
        <f t="shared" si="63"/>
        <v>NO</v>
      </c>
      <c r="AA1421" t="s">
        <v>1704</v>
      </c>
      <c r="AB1421" t="s">
        <v>1704</v>
      </c>
      <c r="AC1421" s="1" t="s">
        <v>1704</v>
      </c>
      <c r="AD1421" s="1" t="s">
        <v>1704</v>
      </c>
      <c r="AE1421" s="1" t="s">
        <v>1704</v>
      </c>
      <c r="AF1421" s="1" t="s">
        <v>1705</v>
      </c>
    </row>
    <row r="1422" spans="1:32" ht="15" x14ac:dyDescent="0.35">
      <c r="A1422" s="5" t="s">
        <v>1614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>LEFT($A1422,FIND("_",$A1422)-1)</f>
        <v>RSRepair-A</v>
      </c>
      <c r="P1422" s="13" t="str">
        <f>IF($O1422="ACS", "True Search", IF($O1422="Arja", "Evolutionary Search", IF($O1422="AVATAR", "True Pattern", IF($O1422="CapGen", "Search Like Pattern", IF($O1422="Cardumen", "True Semantic", IF($O1422="DynaMoth", "True Semantic", IF($O1422="FixMiner", "True Pattern", IF($O1422="GenProg-A", "Evolutionary Search", IF($O1422="Hercules", "Learning Pattern", IF($O1422="Jaid", "True Semantic",
IF($O1422="Kali-A", "True Search", IF($O1422="kPAR", "True Pattern", IF($O1422="Nopol", "True Semantic", IF($O1422="RSRepair-A", "Evolutionary Search", IF($O1422="SequenceR", "Deep Learning", IF($O1422="SimFix", "Search Like Pattern", IF($O1422="SketchFix", "True Pattern", IF($O1422="SOFix", "True Pattern", IF($O1422="ssFix", "Search Like Pattern", IF($O1422="TBar", "True Pattern", ""))))))))))))))))))))</f>
        <v>Evolutionary Search</v>
      </c>
      <c r="Q1422" s="13" t="str">
        <f>IF(NOT(ISERR(SEARCH("*_Buggy",$A1422))), "Buggy", IF(NOT(ISERR(SEARCH("*_Fixed",$A1422))), "Fixed", IF(NOT(ISERR(SEARCH("*_Repaired",$A1422))), "Repaired", "")))</f>
        <v>Repaired</v>
      </c>
      <c r="R1422" s="13" t="s">
        <v>1669</v>
      </c>
      <c r="S1422" s="25">
        <v>1</v>
      </c>
      <c r="T1422" s="25">
        <v>1</v>
      </c>
      <c r="U1422" s="25">
        <v>2</v>
      </c>
      <c r="V1422" s="13">
        <v>2</v>
      </c>
      <c r="W1422" s="13" t="str">
        <f>MID(A1422, SEARCH("_", A1422) +1, SEARCH("_", A1422, SEARCH("_", A1422) +1) - SEARCH("_", A1422) -1)</f>
        <v>Closure-10</v>
      </c>
      <c r="Y1422" s="1" t="str">
        <f t="shared" si="62"/>
        <v>NO</v>
      </c>
      <c r="Z1422" s="1" t="str">
        <f t="shared" si="63"/>
        <v>NO</v>
      </c>
      <c r="AA1422" t="s">
        <v>1704</v>
      </c>
      <c r="AB1422" t="s">
        <v>1704</v>
      </c>
      <c r="AC1422" s="1" t="s">
        <v>1704</v>
      </c>
      <c r="AD1422" s="1" t="s">
        <v>1704</v>
      </c>
      <c r="AE1422" s="1" t="s">
        <v>1704</v>
      </c>
      <c r="AF1422" s="1" t="s">
        <v>1704</v>
      </c>
    </row>
    <row r="1423" spans="1:32" ht="28.8" x14ac:dyDescent="0.35">
      <c r="A1423" s="5" t="s">
        <v>1615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>LEFT($A1423,FIND("_",$A1423)-1)</f>
        <v>RSRepair-A</v>
      </c>
      <c r="P1423" s="13" t="str">
        <f>IF($O1423="ACS", "True Search", IF($O1423="Arja", "Evolutionary Search", IF($O1423="AVATAR", "True Pattern", IF($O1423="CapGen", "Search Like Pattern", IF($O1423="Cardumen", "True Semantic", IF($O1423="DynaMoth", "True Semantic", IF($O1423="FixMiner", "True Pattern", IF($O1423="GenProg-A", "Evolutionary Search", IF($O1423="Hercules", "Learning Pattern", IF($O1423="Jaid", "True Semantic",
IF($O1423="Kali-A", "True Search", IF($O1423="kPAR", "True Pattern", IF($O1423="Nopol", "True Semantic", IF($O1423="RSRepair-A", "Evolutionary Search", IF($O1423="SequenceR", "Deep Learning", IF($O1423="SimFix", "Search Like Pattern", IF($O1423="SketchFix", "True Pattern", IF($O1423="SOFix", "True Pattern", IF($O1423="ssFix", "Search Like Pattern", IF($O1423="TBar", "True Pattern", ""))))))))))))))))))))</f>
        <v>Evolutionary Search</v>
      </c>
      <c r="Q1423" s="13" t="str">
        <f>IF(NOT(ISERR(SEARCH("*_Buggy",$A1423))), "Buggy", IF(NOT(ISERR(SEARCH("*_Fixed",$A1423))), "Fixed", IF(NOT(ISERR(SEARCH("*_Repaired",$A1423))), "Repaired", "")))</f>
        <v>Repaired</v>
      </c>
      <c r="R1423" s="13" t="s">
        <v>1669</v>
      </c>
      <c r="S1423" s="25">
        <v>1</v>
      </c>
      <c r="T1423" s="25">
        <v>0</v>
      </c>
      <c r="U1423" s="13">
        <v>2</v>
      </c>
      <c r="V1423" s="13">
        <v>2</v>
      </c>
      <c r="W1423" s="13" t="str">
        <f>MID(A1423, SEARCH("_", A1423) +1, SEARCH("_", A1423, SEARCH("_", A1423) +1) - SEARCH("_", A1423) -1)</f>
        <v>Closure-112</v>
      </c>
      <c r="Y1423" s="1" t="str">
        <f t="shared" si="62"/>
        <v>NO</v>
      </c>
      <c r="Z1423" s="1" t="str">
        <f t="shared" si="63"/>
        <v>NO</v>
      </c>
      <c r="AA1423" t="s">
        <v>1704</v>
      </c>
      <c r="AB1423" t="s">
        <v>1704</v>
      </c>
      <c r="AC1423" s="1" t="s">
        <v>1704</v>
      </c>
      <c r="AD1423" s="1" t="s">
        <v>1705</v>
      </c>
      <c r="AE1423" s="1" t="s">
        <v>1704</v>
      </c>
      <c r="AF1423" s="1" t="s">
        <v>1705</v>
      </c>
    </row>
    <row r="1424" spans="1:32" ht="28.8" x14ac:dyDescent="0.35">
      <c r="A1424" s="7" t="s">
        <v>1616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>LEFT($A1424,FIND("_",$A1424)-1)</f>
        <v>RSRepair-A</v>
      </c>
      <c r="P1424" s="13" t="str">
        <f>IF($O1424="ACS", "True Search", IF($O1424="Arja", "Evolutionary Search", IF($O1424="AVATAR", "True Pattern", IF($O1424="CapGen", "Search Like Pattern", IF($O1424="Cardumen", "True Semantic", IF($O1424="DynaMoth", "True Semantic", IF($O1424="FixMiner", "True Pattern", IF($O1424="GenProg-A", "Evolutionary Search", IF($O1424="Hercules", "Learning Pattern", IF($O1424="Jaid", "True Semantic",
IF($O1424="Kali-A", "True Search", IF($O1424="kPAR", "True Pattern", IF($O1424="Nopol", "True Semantic", IF($O1424="RSRepair-A", "Evolutionary Search", IF($O1424="SequenceR", "Deep Learning", IF($O1424="SimFix", "Search Like Pattern", IF($O1424="SketchFix", "True Pattern", IF($O1424="SOFix", "True Pattern", IF($O1424="ssFix", "Search Like Pattern", IF($O1424="TBar", "True Pattern", ""))))))))))))))))))))</f>
        <v>Evolutionary Search</v>
      </c>
      <c r="Q1424" s="13" t="str">
        <f>IF(NOT(ISERR(SEARCH("*_Buggy",$A1424))), "Buggy", IF(NOT(ISERR(SEARCH("*_Fixed",$A1424))), "Fixed", IF(NOT(ISERR(SEARCH("*_Repaired",$A1424))), "Repaired", "")))</f>
        <v>Repaired</v>
      </c>
      <c r="R1424" s="13" t="s">
        <v>1668</v>
      </c>
      <c r="S1424" s="25">
        <v>1</v>
      </c>
      <c r="T1424" s="25">
        <v>0</v>
      </c>
      <c r="U1424" s="13">
        <v>1</v>
      </c>
      <c r="V1424" s="13">
        <v>1</v>
      </c>
      <c r="W1424" s="13" t="str">
        <f>MID(A1424, SEARCH("_", A1424) +1, SEARCH("_", A1424, SEARCH("_", A1424) +1) - SEARCH("_", A1424) -1)</f>
        <v>Closure-115</v>
      </c>
      <c r="Y1424" s="1" t="str">
        <f t="shared" si="62"/>
        <v>NO</v>
      </c>
      <c r="Z1424" s="1" t="str">
        <f t="shared" si="63"/>
        <v>NO</v>
      </c>
      <c r="AA1424" t="s">
        <v>1704</v>
      </c>
      <c r="AB1424" t="s">
        <v>1704</v>
      </c>
      <c r="AC1424" s="1" t="s">
        <v>1704</v>
      </c>
      <c r="AD1424" s="1" t="s">
        <v>1704</v>
      </c>
      <c r="AE1424" s="1" t="s">
        <v>1704</v>
      </c>
      <c r="AF1424" s="1" t="s">
        <v>1704</v>
      </c>
    </row>
    <row r="1425" spans="1:32" ht="28.8" x14ac:dyDescent="0.35">
      <c r="A1425" s="5" t="s">
        <v>1617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>LEFT($A1425,FIND("_",$A1425)-1)</f>
        <v>RSRepair-A</v>
      </c>
      <c r="P1425" s="13" t="str">
        <f>IF($O1425="ACS", "True Search", IF($O1425="Arja", "Evolutionary Search", IF($O1425="AVATAR", "True Pattern", IF($O1425="CapGen", "Search Like Pattern", IF($O1425="Cardumen", "True Semantic", IF($O1425="DynaMoth", "True Semantic", IF($O1425="FixMiner", "True Pattern", IF($O1425="GenProg-A", "Evolutionary Search", IF($O1425="Hercules", "Learning Pattern", IF($O1425="Jaid", "True Semantic",
IF($O1425="Kali-A", "True Search", IF($O1425="kPAR", "True Pattern", IF($O1425="Nopol", "True Semantic", IF($O1425="RSRepair-A", "Evolutionary Search", IF($O1425="SequenceR", "Deep Learning", IF($O1425="SimFix", "Search Like Pattern", IF($O1425="SketchFix", "True Pattern", IF($O1425="SOFix", "True Pattern", IF($O1425="ssFix", "Search Like Pattern", IF($O1425="TBar", "True Pattern", ""))))))))))))))))))))</f>
        <v>Evolutionary Search</v>
      </c>
      <c r="Q1425" s="13" t="str">
        <f>IF(NOT(ISERR(SEARCH("*_Buggy",$A1425))), "Buggy", IF(NOT(ISERR(SEARCH("*_Fixed",$A1425))), "Fixed", IF(NOT(ISERR(SEARCH("*_Repaired",$A1425))), "Repaired", "")))</f>
        <v>Repaired</v>
      </c>
      <c r="R1425" s="13" t="s">
        <v>1669</v>
      </c>
      <c r="S1425" s="25">
        <v>1</v>
      </c>
      <c r="T1425" s="25">
        <v>0</v>
      </c>
      <c r="U1425" s="13">
        <v>28</v>
      </c>
      <c r="V1425" s="13">
        <v>28</v>
      </c>
      <c r="W1425" s="13" t="str">
        <f>MID(A1425, SEARCH("_", A1425) +1, SEARCH("_", A1425, SEARCH("_", A1425) +1) - SEARCH("_", A1425) -1)</f>
        <v>Closure-117</v>
      </c>
      <c r="Y1425" s="1" t="str">
        <f t="shared" si="62"/>
        <v>NO</v>
      </c>
      <c r="Z1425" s="1" t="str">
        <f t="shared" si="63"/>
        <v>NO</v>
      </c>
      <c r="AA1425" t="s">
        <v>1704</v>
      </c>
      <c r="AB1425" t="s">
        <v>1704</v>
      </c>
      <c r="AC1425" s="1" t="s">
        <v>1704</v>
      </c>
      <c r="AD1425" s="1" t="s">
        <v>1704</v>
      </c>
      <c r="AE1425" s="1" t="s">
        <v>1704</v>
      </c>
      <c r="AF1425" s="1" t="s">
        <v>1705</v>
      </c>
    </row>
    <row r="1426" spans="1:32" ht="28.8" x14ac:dyDescent="0.35">
      <c r="A1426" s="5" t="s">
        <v>1618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>LEFT($A1426,FIND("_",$A1426)-1)</f>
        <v>RSRepair-A</v>
      </c>
      <c r="P1426" s="13" t="str">
        <f>IF($O1426="ACS", "True Search", IF($O1426="Arja", "Evolutionary Search", IF($O1426="AVATAR", "True Pattern", IF($O1426="CapGen", "Search Like Pattern", IF($O1426="Cardumen", "True Semantic", IF($O1426="DynaMoth", "True Semantic", IF($O1426="FixMiner", "True Pattern", IF($O1426="GenProg-A", "Evolutionary Search", IF($O1426="Hercules", "Learning Pattern", IF($O1426="Jaid", "True Semantic",
IF($O1426="Kali-A", "True Search", IF($O1426="kPAR", "True Pattern", IF($O1426="Nopol", "True Semantic", IF($O1426="RSRepair-A", "Evolutionary Search", IF($O1426="SequenceR", "Deep Learning", IF($O1426="SimFix", "Search Like Pattern", IF($O1426="SketchFix", "True Pattern", IF($O1426="SOFix", "True Pattern", IF($O1426="ssFix", "Search Like Pattern", IF($O1426="TBar", "True Pattern", ""))))))))))))))))))))</f>
        <v>Evolutionary Search</v>
      </c>
      <c r="Q1426" s="13" t="str">
        <f>IF(NOT(ISERR(SEARCH("*_Buggy",$A1426))), "Buggy", IF(NOT(ISERR(SEARCH("*_Fixed",$A1426))), "Fixed", IF(NOT(ISERR(SEARCH("*_Repaired",$A1426))), "Repaired", "")))</f>
        <v>Repaired</v>
      </c>
      <c r="R1426" s="13" t="s">
        <v>1669</v>
      </c>
      <c r="S1426" s="25">
        <v>1</v>
      </c>
      <c r="T1426" s="25">
        <v>0</v>
      </c>
      <c r="U1426" s="13">
        <v>1</v>
      </c>
      <c r="V1426" s="13">
        <v>1</v>
      </c>
      <c r="W1426" s="13" t="str">
        <f>MID(A1426, SEARCH("_", A1426) +1, SEARCH("_", A1426, SEARCH("_", A1426) +1) - SEARCH("_", A1426) -1)</f>
        <v>Closure-120</v>
      </c>
      <c r="Y1426" s="1" t="str">
        <f t="shared" si="62"/>
        <v>NO</v>
      </c>
      <c r="Z1426" s="1" t="str">
        <f t="shared" si="63"/>
        <v>NO</v>
      </c>
      <c r="AA1426" t="s">
        <v>1704</v>
      </c>
      <c r="AB1426" t="s">
        <v>1704</v>
      </c>
      <c r="AC1426" s="1" t="s">
        <v>1704</v>
      </c>
      <c r="AD1426" s="1" t="s">
        <v>1704</v>
      </c>
      <c r="AE1426" s="1" t="s">
        <v>1704</v>
      </c>
      <c r="AF1426" s="1" t="s">
        <v>1704</v>
      </c>
    </row>
    <row r="1427" spans="1:32" ht="28.8" x14ac:dyDescent="0.35">
      <c r="A1427" s="5" t="s">
        <v>1619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>LEFT($A1427,FIND("_",$A1427)-1)</f>
        <v>RSRepair-A</v>
      </c>
      <c r="P1427" s="13" t="str">
        <f>IF($O1427="ACS", "True Search", IF($O1427="Arja", "Evolutionary Search", IF($O1427="AVATAR", "True Pattern", IF($O1427="CapGen", "Search Like Pattern", IF($O1427="Cardumen", "True Semantic", IF($O1427="DynaMoth", "True Semantic", IF($O1427="FixMiner", "True Pattern", IF($O1427="GenProg-A", "Evolutionary Search", IF($O1427="Hercules", "Learning Pattern", IF($O1427="Jaid", "True Semantic",
IF($O1427="Kali-A", "True Search", IF($O1427="kPAR", "True Pattern", IF($O1427="Nopol", "True Semantic", IF($O1427="RSRepair-A", "Evolutionary Search", IF($O1427="SequenceR", "Deep Learning", IF($O1427="SimFix", "Search Like Pattern", IF($O1427="SketchFix", "True Pattern", IF($O1427="SOFix", "True Pattern", IF($O1427="ssFix", "Search Like Pattern", IF($O1427="TBar", "True Pattern", ""))))))))))))))))))))</f>
        <v>Evolutionary Search</v>
      </c>
      <c r="Q1427" s="13" t="str">
        <f>IF(NOT(ISERR(SEARCH("*_Buggy",$A1427))), "Buggy", IF(NOT(ISERR(SEARCH("*_Fixed",$A1427))), "Fixed", IF(NOT(ISERR(SEARCH("*_Repaired",$A1427))), "Repaired", "")))</f>
        <v>Repaired</v>
      </c>
      <c r="R1427" s="13" t="s">
        <v>1669</v>
      </c>
      <c r="S1427" s="25">
        <v>1</v>
      </c>
      <c r="T1427" s="25">
        <v>0</v>
      </c>
      <c r="U1427" s="13">
        <v>1</v>
      </c>
      <c r="V1427" s="13">
        <v>1</v>
      </c>
      <c r="W1427" s="13" t="str">
        <f>MID(A1427, SEARCH("_", A1427) +1, SEARCH("_", A1427, SEARCH("_", A1427) +1) - SEARCH("_", A1427) -1)</f>
        <v>Closure-121</v>
      </c>
      <c r="Y1427" s="1" t="str">
        <f t="shared" si="62"/>
        <v>NO</v>
      </c>
      <c r="Z1427" s="1" t="str">
        <f t="shared" si="63"/>
        <v>NO</v>
      </c>
      <c r="AA1427" t="s">
        <v>1704</v>
      </c>
      <c r="AB1427" t="s">
        <v>1704</v>
      </c>
      <c r="AC1427" s="1" t="s">
        <v>1704</v>
      </c>
      <c r="AD1427" s="1" t="s">
        <v>1704</v>
      </c>
      <c r="AE1427" s="1" t="s">
        <v>1704</v>
      </c>
      <c r="AF1427" s="1" t="s">
        <v>1704</v>
      </c>
    </row>
    <row r="1428" spans="1:32" ht="28.8" x14ac:dyDescent="0.35">
      <c r="A1428" s="7" t="s">
        <v>1620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>LEFT($A1428,FIND("_",$A1428)-1)</f>
        <v>RSRepair-A</v>
      </c>
      <c r="P1428" s="13" t="str">
        <f>IF($O1428="ACS", "True Search", IF($O1428="Arja", "Evolutionary Search", IF($O1428="AVATAR", "True Pattern", IF($O1428="CapGen", "Search Like Pattern", IF($O1428="Cardumen", "True Semantic", IF($O1428="DynaMoth", "True Semantic", IF($O1428="FixMiner", "True Pattern", IF($O1428="GenProg-A", "Evolutionary Search", IF($O1428="Hercules", "Learning Pattern", IF($O1428="Jaid", "True Semantic",
IF($O1428="Kali-A", "True Search", IF($O1428="kPAR", "True Pattern", IF($O1428="Nopol", "True Semantic", IF($O1428="RSRepair-A", "Evolutionary Search", IF($O1428="SequenceR", "Deep Learning", IF($O1428="SimFix", "Search Like Pattern", IF($O1428="SketchFix", "True Pattern", IF($O1428="SOFix", "True Pattern", IF($O1428="ssFix", "Search Like Pattern", IF($O1428="TBar", "True Pattern", ""))))))))))))))))))))</f>
        <v>Evolutionary Search</v>
      </c>
      <c r="Q1428" s="13" t="str">
        <f>IF(NOT(ISERR(SEARCH("*_Buggy",$A1428))), "Buggy", IF(NOT(ISERR(SEARCH("*_Fixed",$A1428))), "Fixed", IF(NOT(ISERR(SEARCH("*_Repaired",$A1428))), "Repaired", "")))</f>
        <v>Repaired</v>
      </c>
      <c r="R1428" s="13" t="s">
        <v>1669</v>
      </c>
      <c r="S1428" s="25">
        <v>1</v>
      </c>
      <c r="T1428" s="25">
        <v>1</v>
      </c>
      <c r="U1428" s="25">
        <v>10</v>
      </c>
      <c r="V1428" s="13">
        <v>10</v>
      </c>
      <c r="W1428" s="13" t="str">
        <f>MID(A1428, SEARCH("_", A1428) +1, SEARCH("_", A1428, SEARCH("_", A1428) +1) - SEARCH("_", A1428) -1)</f>
        <v>Closure-124</v>
      </c>
      <c r="Y1428" s="1" t="str">
        <f t="shared" si="62"/>
        <v>NO</v>
      </c>
      <c r="Z1428" s="1" t="str">
        <f t="shared" si="63"/>
        <v>NO</v>
      </c>
      <c r="AA1428" t="s">
        <v>1704</v>
      </c>
      <c r="AB1428" t="s">
        <v>1704</v>
      </c>
      <c r="AC1428" s="1" t="s">
        <v>1704</v>
      </c>
      <c r="AD1428" s="1" t="s">
        <v>1704</v>
      </c>
      <c r="AE1428" s="1" t="s">
        <v>1704</v>
      </c>
      <c r="AF1428" s="1" t="s">
        <v>1705</v>
      </c>
    </row>
    <row r="1429" spans="1:32" ht="28.8" x14ac:dyDescent="0.35">
      <c r="A1429" s="7" t="s">
        <v>1621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>LEFT($A1429,FIND("_",$A1429)-1)</f>
        <v>RSRepair-A</v>
      </c>
      <c r="P1429" s="13" t="str">
        <f>IF($O1429="ACS", "True Search", IF($O1429="Arja", "Evolutionary Search", IF($O1429="AVATAR", "True Pattern", IF($O1429="CapGen", "Search Like Pattern", IF($O1429="Cardumen", "True Semantic", IF($O1429="DynaMoth", "True Semantic", IF($O1429="FixMiner", "True Pattern", IF($O1429="GenProg-A", "Evolutionary Search", IF($O1429="Hercules", "Learning Pattern", IF($O1429="Jaid", "True Semantic",
IF($O1429="Kali-A", "True Search", IF($O1429="kPAR", "True Pattern", IF($O1429="Nopol", "True Semantic", IF($O1429="RSRepair-A", "Evolutionary Search", IF($O1429="SequenceR", "Deep Learning", IF($O1429="SimFix", "Search Like Pattern", IF($O1429="SketchFix", "True Pattern", IF($O1429="SOFix", "True Pattern", IF($O1429="ssFix", "Search Like Pattern", IF($O1429="TBar", "True Pattern", ""))))))))))))))))))))</f>
        <v>Evolutionary Search</v>
      </c>
      <c r="Q1429" s="13" t="str">
        <f>IF(NOT(ISERR(SEARCH("*_Buggy",$A1429))), "Buggy", IF(NOT(ISERR(SEARCH("*_Fixed",$A1429))), "Fixed", IF(NOT(ISERR(SEARCH("*_Repaired",$A1429))), "Repaired", "")))</f>
        <v>Repaired</v>
      </c>
      <c r="R1429" s="13" t="s">
        <v>1669</v>
      </c>
      <c r="S1429" s="25">
        <v>1</v>
      </c>
      <c r="T1429" s="25">
        <v>1</v>
      </c>
      <c r="U1429" s="25">
        <v>6</v>
      </c>
      <c r="V1429" s="13">
        <v>6</v>
      </c>
      <c r="W1429" s="13" t="str">
        <f>MID(A1429, SEARCH("_", A1429) +1, SEARCH("_", A1429, SEARCH("_", A1429) +1) - SEARCH("_", A1429) -1)</f>
        <v>Closure-125</v>
      </c>
      <c r="Y1429" s="1" t="str">
        <f t="shared" si="62"/>
        <v>NO</v>
      </c>
      <c r="Z1429" s="1" t="str">
        <f t="shared" si="63"/>
        <v>NO</v>
      </c>
      <c r="AA1429" t="s">
        <v>1704</v>
      </c>
      <c r="AB1429" t="s">
        <v>1704</v>
      </c>
      <c r="AC1429" s="1" t="s">
        <v>1704</v>
      </c>
      <c r="AD1429" s="1" t="s">
        <v>1704</v>
      </c>
      <c r="AE1429" s="1" t="s">
        <v>1704</v>
      </c>
      <c r="AF1429" s="1" t="s">
        <v>1704</v>
      </c>
    </row>
    <row r="1430" spans="1:32" ht="15" x14ac:dyDescent="0.35">
      <c r="A1430" s="7" t="s">
        <v>1622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>LEFT($A1430,FIND("_",$A1430)-1)</f>
        <v>RSRepair-A</v>
      </c>
      <c r="P1430" s="13" t="str">
        <f>IF($O1430="ACS", "True Search", IF($O1430="Arja", "Evolutionary Search", IF($O1430="AVATAR", "True Pattern", IF($O1430="CapGen", "Search Like Pattern", IF($O1430="Cardumen", "True Semantic", IF($O1430="DynaMoth", "True Semantic", IF($O1430="FixMiner", "True Pattern", IF($O1430="GenProg-A", "Evolutionary Search", IF($O1430="Hercules", "Learning Pattern", IF($O1430="Jaid", "True Semantic",
IF($O1430="Kali-A", "True Search", IF($O1430="kPAR", "True Pattern", IF($O1430="Nopol", "True Semantic", IF($O1430="RSRepair-A", "Evolutionary Search", IF($O1430="SequenceR", "Deep Learning", IF($O1430="SimFix", "Search Like Pattern", IF($O1430="SketchFix", "True Pattern", IF($O1430="SOFix", "True Pattern", IF($O1430="ssFix", "Search Like Pattern", IF($O1430="TBar", "True Pattern", ""))))))))))))))))))))</f>
        <v>Evolutionary Search</v>
      </c>
      <c r="Q1430" s="13" t="str">
        <f>IF(NOT(ISERR(SEARCH("*_Buggy",$A1430))), "Buggy", IF(NOT(ISERR(SEARCH("*_Fixed",$A1430))), "Fixed", IF(NOT(ISERR(SEARCH("*_Repaired",$A1430))), "Repaired", "")))</f>
        <v>Repaired</v>
      </c>
      <c r="R1430" s="13" t="s">
        <v>1668</v>
      </c>
      <c r="S1430" s="25">
        <v>1</v>
      </c>
      <c r="T1430" s="25">
        <v>2</v>
      </c>
      <c r="U1430" s="25">
        <v>1</v>
      </c>
      <c r="V1430" s="13">
        <v>2</v>
      </c>
      <c r="W1430" s="13" t="str">
        <f>MID(A1430, SEARCH("_", A1430) +1, SEARCH("_", A1430, SEARCH("_", A1430) +1) - SEARCH("_", A1430) -1)</f>
        <v>Closure-21</v>
      </c>
      <c r="Y1430" s="1" t="str">
        <f t="shared" si="62"/>
        <v>NO</v>
      </c>
      <c r="Z1430" s="1" t="str">
        <f t="shared" si="63"/>
        <v>NO</v>
      </c>
      <c r="AA1430" t="s">
        <v>1704</v>
      </c>
      <c r="AB1430" t="s">
        <v>1704</v>
      </c>
      <c r="AC1430" s="1" t="s">
        <v>1704</v>
      </c>
      <c r="AD1430" s="1" t="s">
        <v>1704</v>
      </c>
      <c r="AE1430" s="1" t="s">
        <v>1704</v>
      </c>
      <c r="AF1430" s="1" t="s">
        <v>1705</v>
      </c>
    </row>
    <row r="1431" spans="1:32" ht="15" x14ac:dyDescent="0.35">
      <c r="A1431" s="5" t="s">
        <v>1623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>LEFT($A1431,FIND("_",$A1431)-1)</f>
        <v>RSRepair-A</v>
      </c>
      <c r="P1431" s="13" t="str">
        <f>IF($O1431="ACS", "True Search", IF($O1431="Arja", "Evolutionary Search", IF($O1431="AVATAR", "True Pattern", IF($O1431="CapGen", "Search Like Pattern", IF($O1431="Cardumen", "True Semantic", IF($O1431="DynaMoth", "True Semantic", IF($O1431="FixMiner", "True Pattern", IF($O1431="GenProg-A", "Evolutionary Search", IF($O1431="Hercules", "Learning Pattern", IF($O1431="Jaid", "True Semantic",
IF($O1431="Kali-A", "True Search", IF($O1431="kPAR", "True Pattern", IF($O1431="Nopol", "True Semantic", IF($O1431="RSRepair-A", "Evolutionary Search", IF($O1431="SequenceR", "Deep Learning", IF($O1431="SimFix", "Search Like Pattern", IF($O1431="SketchFix", "True Pattern", IF($O1431="SOFix", "True Pattern", IF($O1431="ssFix", "Search Like Pattern", IF($O1431="TBar", "True Pattern", ""))))))))))))))))))))</f>
        <v>Evolutionary Search</v>
      </c>
      <c r="Q1431" s="13" t="str">
        <f>IF(NOT(ISERR(SEARCH("*_Buggy",$A1431))), "Buggy", IF(NOT(ISERR(SEARCH("*_Fixed",$A1431))), "Fixed", IF(NOT(ISERR(SEARCH("*_Repaired",$A1431))), "Repaired", "")))</f>
        <v>Repaired</v>
      </c>
      <c r="R1431" s="13" t="s">
        <v>1668</v>
      </c>
      <c r="S1431" s="25">
        <v>1</v>
      </c>
      <c r="T1431" s="25">
        <v>0</v>
      </c>
      <c r="U1431" s="13">
        <v>14</v>
      </c>
      <c r="V1431" s="13">
        <v>14</v>
      </c>
      <c r="W1431" s="13" t="str">
        <f>MID(A1431, SEARCH("_", A1431) +1, SEARCH("_", A1431, SEARCH("_", A1431) +1) - SEARCH("_", A1431) -1)</f>
        <v>Closure-22</v>
      </c>
      <c r="Y1431" s="1" t="str">
        <f t="shared" si="62"/>
        <v>NO</v>
      </c>
      <c r="Z1431" s="1" t="str">
        <f t="shared" si="63"/>
        <v>NO</v>
      </c>
      <c r="AA1431" t="s">
        <v>1704</v>
      </c>
      <c r="AB1431" t="s">
        <v>1704</v>
      </c>
      <c r="AC1431" s="1" t="s">
        <v>1704</v>
      </c>
      <c r="AD1431" s="1" t="s">
        <v>1704</v>
      </c>
      <c r="AE1431" s="1" t="s">
        <v>1704</v>
      </c>
      <c r="AF1431" s="1" t="s">
        <v>1705</v>
      </c>
    </row>
    <row r="1432" spans="1:32" ht="15" x14ac:dyDescent="0.35">
      <c r="A1432" s="7" t="s">
        <v>1624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>LEFT($A1432,FIND("_",$A1432)-1)</f>
        <v>RSRepair-A</v>
      </c>
      <c r="P1432" s="13" t="str">
        <f>IF($O1432="ACS", "True Search", IF($O1432="Arja", "Evolutionary Search", IF($O1432="AVATAR", "True Pattern", IF($O1432="CapGen", "Search Like Pattern", IF($O1432="Cardumen", "True Semantic", IF($O1432="DynaMoth", "True Semantic", IF($O1432="FixMiner", "True Pattern", IF($O1432="GenProg-A", "Evolutionary Search", IF($O1432="Hercules", "Learning Pattern", IF($O1432="Jaid", "True Semantic",
IF($O1432="Kali-A", "True Search", IF($O1432="kPAR", "True Pattern", IF($O1432="Nopol", "True Semantic", IF($O1432="RSRepair-A", "Evolutionary Search", IF($O1432="SequenceR", "Deep Learning", IF($O1432="SimFix", "Search Like Pattern", IF($O1432="SketchFix", "True Pattern", IF($O1432="SOFix", "True Pattern", IF($O1432="ssFix", "Search Like Pattern", IF($O1432="TBar", "True Pattern", ""))))))))))))))))))))</f>
        <v>Evolutionary Search</v>
      </c>
      <c r="Q1432" s="13" t="str">
        <f>IF(NOT(ISERR(SEARCH("*_Buggy",$A1432))), "Buggy", IF(NOT(ISERR(SEARCH("*_Fixed",$A1432))), "Fixed", IF(NOT(ISERR(SEARCH("*_Repaired",$A1432))), "Repaired", "")))</f>
        <v>Repaired</v>
      </c>
      <c r="R1432" s="13" t="s">
        <v>1669</v>
      </c>
      <c r="S1432" s="25">
        <v>1</v>
      </c>
      <c r="T1432" s="25">
        <v>1</v>
      </c>
      <c r="U1432" s="25">
        <v>14</v>
      </c>
      <c r="V1432" s="13">
        <v>14</v>
      </c>
      <c r="W1432" s="13" t="str">
        <f>MID(A1432, SEARCH("_", A1432) +1, SEARCH("_", A1432, SEARCH("_", A1432) +1) - SEARCH("_", A1432) -1)</f>
        <v>Closure-3</v>
      </c>
      <c r="Y1432" s="1" t="str">
        <f t="shared" si="62"/>
        <v>NO</v>
      </c>
      <c r="Z1432" s="1" t="str">
        <f t="shared" si="63"/>
        <v>NO</v>
      </c>
      <c r="AA1432" t="s">
        <v>1704</v>
      </c>
      <c r="AB1432" t="s">
        <v>1704</v>
      </c>
      <c r="AC1432" s="1" t="s">
        <v>1704</v>
      </c>
      <c r="AD1432" s="1" t="s">
        <v>1704</v>
      </c>
      <c r="AE1432" s="1" t="s">
        <v>1704</v>
      </c>
      <c r="AF1432" s="1" t="s">
        <v>1705</v>
      </c>
    </row>
    <row r="1433" spans="1:32" ht="15" x14ac:dyDescent="0.35">
      <c r="A1433" s="5" t="s">
        <v>1625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>LEFT($A1433,FIND("_",$A1433)-1)</f>
        <v>RSRepair-A</v>
      </c>
      <c r="P1433" s="13" t="str">
        <f>IF($O1433="ACS", "True Search", IF($O1433="Arja", "Evolutionary Search", IF($O1433="AVATAR", "True Pattern", IF($O1433="CapGen", "Search Like Pattern", IF($O1433="Cardumen", "True Semantic", IF($O1433="DynaMoth", "True Semantic", IF($O1433="FixMiner", "True Pattern", IF($O1433="GenProg-A", "Evolutionary Search", IF($O1433="Hercules", "Learning Pattern", IF($O1433="Jaid", "True Semantic",
IF($O1433="Kali-A", "True Search", IF($O1433="kPAR", "True Pattern", IF($O1433="Nopol", "True Semantic", IF($O1433="RSRepair-A", "Evolutionary Search", IF($O1433="SequenceR", "Deep Learning", IF($O1433="SimFix", "Search Like Pattern", IF($O1433="SketchFix", "True Pattern", IF($O1433="SOFix", "True Pattern", IF($O1433="ssFix", "Search Like Pattern", IF($O1433="TBar", "True Pattern", ""))))))))))))))))))))</f>
        <v>Evolutionary Search</v>
      </c>
      <c r="Q1433" s="13" t="str">
        <f>IF(NOT(ISERR(SEARCH("*_Buggy",$A1433))), "Buggy", IF(NOT(ISERR(SEARCH("*_Fixed",$A1433))), "Fixed", IF(NOT(ISERR(SEARCH("*_Repaired",$A1433))), "Repaired", "")))</f>
        <v>Repaired</v>
      </c>
      <c r="R1433" s="13" t="s">
        <v>1669</v>
      </c>
      <c r="S1433" s="25">
        <v>1</v>
      </c>
      <c r="T1433" s="25">
        <v>1</v>
      </c>
      <c r="U1433" s="25">
        <v>22</v>
      </c>
      <c r="V1433" s="13">
        <v>22</v>
      </c>
      <c r="W1433" s="13" t="str">
        <f>MID(A1433, SEARCH("_", A1433) +1, SEARCH("_", A1433, SEARCH("_", A1433) +1) - SEARCH("_", A1433) -1)</f>
        <v>Closure-33</v>
      </c>
      <c r="Y1433" s="1" t="str">
        <f t="shared" si="62"/>
        <v>NO</v>
      </c>
      <c r="Z1433" s="1" t="str">
        <f t="shared" si="63"/>
        <v>NO</v>
      </c>
      <c r="AA1433" t="s">
        <v>1704</v>
      </c>
      <c r="AB1433" t="s">
        <v>1704</v>
      </c>
      <c r="AC1433" s="1" t="s">
        <v>1704</v>
      </c>
      <c r="AD1433" s="1" t="s">
        <v>1705</v>
      </c>
      <c r="AE1433" s="1" t="s">
        <v>1704</v>
      </c>
      <c r="AF1433" s="1" t="s">
        <v>1705</v>
      </c>
    </row>
    <row r="1434" spans="1:32" ht="15" x14ac:dyDescent="0.35">
      <c r="A1434" s="5" t="s">
        <v>1626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>LEFT($A1434,FIND("_",$A1434)-1)</f>
        <v>RSRepair-A</v>
      </c>
      <c r="P1434" s="13" t="str">
        <f>IF($O1434="ACS", "True Search", IF($O1434="Arja", "Evolutionary Search", IF($O1434="AVATAR", "True Pattern", IF($O1434="CapGen", "Search Like Pattern", IF($O1434="Cardumen", "True Semantic", IF($O1434="DynaMoth", "True Semantic", IF($O1434="FixMiner", "True Pattern", IF($O1434="GenProg-A", "Evolutionary Search", IF($O1434="Hercules", "Learning Pattern", IF($O1434="Jaid", "True Semantic",
IF($O1434="Kali-A", "True Search", IF($O1434="kPAR", "True Pattern", IF($O1434="Nopol", "True Semantic", IF($O1434="RSRepair-A", "Evolutionary Search", IF($O1434="SequenceR", "Deep Learning", IF($O1434="SimFix", "Search Like Pattern", IF($O1434="SketchFix", "True Pattern", IF($O1434="SOFix", "True Pattern", IF($O1434="ssFix", "Search Like Pattern", IF($O1434="TBar", "True Pattern", ""))))))))))))))))))))</f>
        <v>Evolutionary Search</v>
      </c>
      <c r="Q1434" s="13" t="str">
        <f>IF(NOT(ISERR(SEARCH("*_Buggy",$A1434))), "Buggy", IF(NOT(ISERR(SEARCH("*_Fixed",$A1434))), "Fixed", IF(NOT(ISERR(SEARCH("*_Repaired",$A1434))), "Repaired", "")))</f>
        <v>Repaired</v>
      </c>
      <c r="R1434" s="13" t="s">
        <v>1669</v>
      </c>
      <c r="S1434" s="25">
        <v>1</v>
      </c>
      <c r="T1434" s="25">
        <v>1</v>
      </c>
      <c r="U1434" s="25">
        <v>1</v>
      </c>
      <c r="V1434" s="13">
        <v>1</v>
      </c>
      <c r="W1434" s="13" t="str">
        <f>MID(A1434, SEARCH("_", A1434) +1, SEARCH("_", A1434, SEARCH("_", A1434) +1) - SEARCH("_", A1434) -1)</f>
        <v>Closure-55</v>
      </c>
      <c r="Y1434" s="1" t="str">
        <f t="shared" si="62"/>
        <v>NO</v>
      </c>
      <c r="Z1434" s="1" t="str">
        <f t="shared" si="63"/>
        <v>NO</v>
      </c>
      <c r="AA1434" t="s">
        <v>1704</v>
      </c>
      <c r="AB1434" t="s">
        <v>1704</v>
      </c>
      <c r="AC1434" s="1" t="s">
        <v>1704</v>
      </c>
      <c r="AD1434" s="1" t="s">
        <v>1704</v>
      </c>
      <c r="AE1434" s="1" t="s">
        <v>1704</v>
      </c>
      <c r="AF1434" s="1" t="s">
        <v>1704</v>
      </c>
    </row>
    <row r="1435" spans="1:32" ht="15" x14ac:dyDescent="0.35">
      <c r="A1435" s="7" t="s">
        <v>1627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>LEFT($A1435,FIND("_",$A1435)-1)</f>
        <v>RSRepair-A</v>
      </c>
      <c r="P1435" s="13" t="str">
        <f>IF($O1435="ACS", "True Search", IF($O1435="Arja", "Evolutionary Search", IF($O1435="AVATAR", "True Pattern", IF($O1435="CapGen", "Search Like Pattern", IF($O1435="Cardumen", "True Semantic", IF($O1435="DynaMoth", "True Semantic", IF($O1435="FixMiner", "True Pattern", IF($O1435="GenProg-A", "Evolutionary Search", IF($O1435="Hercules", "Learning Pattern", IF($O1435="Jaid", "True Semantic",
IF($O1435="Kali-A", "True Search", IF($O1435="kPAR", "True Pattern", IF($O1435="Nopol", "True Semantic", IF($O1435="RSRepair-A", "Evolutionary Search", IF($O1435="SequenceR", "Deep Learning", IF($O1435="SimFix", "Search Like Pattern", IF($O1435="SketchFix", "True Pattern", IF($O1435="SOFix", "True Pattern", IF($O1435="ssFix", "Search Like Pattern", IF($O1435="TBar", "True Pattern", ""))))))))))))))))))))</f>
        <v>Evolutionary Search</v>
      </c>
      <c r="Q1435" s="13" t="str">
        <f>IF(NOT(ISERR(SEARCH("*_Buggy",$A1435))), "Buggy", IF(NOT(ISERR(SEARCH("*_Fixed",$A1435))), "Fixed", IF(NOT(ISERR(SEARCH("*_Repaired",$A1435))), "Repaired", "")))</f>
        <v>Repaired</v>
      </c>
      <c r="R1435" s="13" t="s">
        <v>1669</v>
      </c>
      <c r="S1435" s="25">
        <v>1</v>
      </c>
      <c r="T1435" s="25">
        <v>1</v>
      </c>
      <c r="U1435" s="25">
        <v>1</v>
      </c>
      <c r="V1435" s="13">
        <v>1</v>
      </c>
      <c r="W1435" s="13" t="str">
        <f>MID(A1435, SEARCH("_", A1435) +1, SEARCH("_", A1435, SEARCH("_", A1435) +1) - SEARCH("_", A1435) -1)</f>
        <v>Closure-75</v>
      </c>
      <c r="Y1435" s="1" t="str">
        <f t="shared" si="62"/>
        <v>NO</v>
      </c>
      <c r="Z1435" s="1" t="str">
        <f t="shared" si="63"/>
        <v>NO</v>
      </c>
      <c r="AA1435" t="s">
        <v>1704</v>
      </c>
      <c r="AB1435" t="s">
        <v>1704</v>
      </c>
      <c r="AC1435" s="1" t="s">
        <v>1704</v>
      </c>
      <c r="AD1435" s="1" t="s">
        <v>1704</v>
      </c>
      <c r="AE1435" s="1" t="s">
        <v>1704</v>
      </c>
      <c r="AF1435" s="1" t="s">
        <v>1704</v>
      </c>
    </row>
    <row r="1436" spans="1:32" ht="15" x14ac:dyDescent="0.35">
      <c r="A1436" s="7" t="s">
        <v>1628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>LEFT($A1436,FIND("_",$A1436)-1)</f>
        <v>RSRepair-A</v>
      </c>
      <c r="P1436" s="13" t="str">
        <f>IF($O1436="ACS", "True Search", IF($O1436="Arja", "Evolutionary Search", IF($O1436="AVATAR", "True Pattern", IF($O1436="CapGen", "Search Like Pattern", IF($O1436="Cardumen", "True Semantic", IF($O1436="DynaMoth", "True Semantic", IF($O1436="FixMiner", "True Pattern", IF($O1436="GenProg-A", "Evolutionary Search", IF($O1436="Hercules", "Learning Pattern", IF($O1436="Jaid", "True Semantic",
IF($O1436="Kali-A", "True Search", IF($O1436="kPAR", "True Pattern", IF($O1436="Nopol", "True Semantic", IF($O1436="RSRepair-A", "Evolutionary Search", IF($O1436="SequenceR", "Deep Learning", IF($O1436="SimFix", "Search Like Pattern", IF($O1436="SketchFix", "True Pattern", IF($O1436="SOFix", "True Pattern", IF($O1436="ssFix", "Search Like Pattern", IF($O1436="TBar", "True Pattern", ""))))))))))))))))))))</f>
        <v>Evolutionary Search</v>
      </c>
      <c r="Q1436" s="13" t="str">
        <f>IF(NOT(ISERR(SEARCH("*_Buggy",$A1436))), "Buggy", IF(NOT(ISERR(SEARCH("*_Fixed",$A1436))), "Fixed", IF(NOT(ISERR(SEARCH("*_Repaired",$A1436))), "Repaired", "")))</f>
        <v>Repaired</v>
      </c>
      <c r="R1436" s="13" t="s">
        <v>1668</v>
      </c>
      <c r="S1436" s="25">
        <v>1</v>
      </c>
      <c r="T1436" s="25">
        <v>1</v>
      </c>
      <c r="U1436" s="25">
        <v>4</v>
      </c>
      <c r="V1436" s="13">
        <v>4</v>
      </c>
      <c r="W1436" s="13" t="str">
        <f>MID(A1436, SEARCH("_", A1436) +1, SEARCH("_", A1436, SEARCH("_", A1436) +1) - SEARCH("_", A1436) -1)</f>
        <v>Closure-86</v>
      </c>
      <c r="Y1436" s="1" t="str">
        <f t="shared" si="62"/>
        <v>NO</v>
      </c>
      <c r="Z1436" s="1" t="str">
        <f t="shared" si="63"/>
        <v>NO</v>
      </c>
      <c r="AA1436" t="s">
        <v>1704</v>
      </c>
      <c r="AB1436" t="s">
        <v>1704</v>
      </c>
      <c r="AC1436" s="1" t="s">
        <v>1704</v>
      </c>
      <c r="AD1436" s="1" t="s">
        <v>1704</v>
      </c>
      <c r="AE1436" s="1" t="s">
        <v>1704</v>
      </c>
      <c r="AF1436" s="1" t="s">
        <v>1704</v>
      </c>
    </row>
    <row r="1437" spans="1:32" ht="15" x14ac:dyDescent="0.35">
      <c r="A1437" s="5" t="s">
        <v>1629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>LEFT($A1437,FIND("_",$A1437)-1)</f>
        <v>RSRepair-A</v>
      </c>
      <c r="P1437" s="13" t="str">
        <f>IF($O1437="ACS", "True Search", IF($O1437="Arja", "Evolutionary Search", IF($O1437="AVATAR", "True Pattern", IF($O1437="CapGen", "Search Like Pattern", IF($O1437="Cardumen", "True Semantic", IF($O1437="DynaMoth", "True Semantic", IF($O1437="FixMiner", "True Pattern", IF($O1437="GenProg-A", "Evolutionary Search", IF($O1437="Hercules", "Learning Pattern", IF($O1437="Jaid", "True Semantic",
IF($O1437="Kali-A", "True Search", IF($O1437="kPAR", "True Pattern", IF($O1437="Nopol", "True Semantic", IF($O1437="RSRepair-A", "Evolutionary Search", IF($O1437="SequenceR", "Deep Learning", IF($O1437="SimFix", "Search Like Pattern", IF($O1437="SketchFix", "True Pattern", IF($O1437="SOFix", "True Pattern", IF($O1437="ssFix", "Search Like Pattern", IF($O1437="TBar", "True Pattern", ""))))))))))))))))))))</f>
        <v>Evolutionary Search</v>
      </c>
      <c r="Q1437" s="13" t="str">
        <f>IF(NOT(ISERR(SEARCH("*_Buggy",$A1437))), "Buggy", IF(NOT(ISERR(SEARCH("*_Fixed",$A1437))), "Fixed", IF(NOT(ISERR(SEARCH("*_Repaired",$A1437))), "Repaired", "")))</f>
        <v>Repaired</v>
      </c>
      <c r="R1437" s="13" t="s">
        <v>1669</v>
      </c>
      <c r="S1437" s="25">
        <v>1</v>
      </c>
      <c r="T1437" s="25">
        <v>0</v>
      </c>
      <c r="U1437" s="13">
        <v>4</v>
      </c>
      <c r="V1437" s="13">
        <v>4</v>
      </c>
      <c r="W1437" s="13" t="str">
        <f>MID(A1437, SEARCH("_", A1437) +1, SEARCH("_", A1437, SEARCH("_", A1437) +1) - SEARCH("_", A1437) -1)</f>
        <v>Closure-88</v>
      </c>
      <c r="Y1437" s="1" t="str">
        <f t="shared" si="62"/>
        <v>NO</v>
      </c>
      <c r="Z1437" s="1" t="str">
        <f t="shared" si="63"/>
        <v>NO</v>
      </c>
      <c r="AA1437" t="s">
        <v>1704</v>
      </c>
      <c r="AB1437" t="s">
        <v>1704</v>
      </c>
      <c r="AC1437" s="1" t="s">
        <v>1704</v>
      </c>
      <c r="AD1437" s="1" t="s">
        <v>1704</v>
      </c>
      <c r="AE1437" s="1" t="s">
        <v>1704</v>
      </c>
      <c r="AF1437" s="1" t="s">
        <v>1705</v>
      </c>
    </row>
    <row r="1438" spans="1:32" ht="15" x14ac:dyDescent="0.35">
      <c r="A1438" s="5" t="s">
        <v>1630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>LEFT($A1438,FIND("_",$A1438)-1)</f>
        <v>RSRepair-A</v>
      </c>
      <c r="P1438" s="13" t="str">
        <f>IF($O1438="ACS", "True Search", IF($O1438="Arja", "Evolutionary Search", IF($O1438="AVATAR", "True Pattern", IF($O1438="CapGen", "Search Like Pattern", IF($O1438="Cardumen", "True Semantic", IF($O1438="DynaMoth", "True Semantic", IF($O1438="FixMiner", "True Pattern", IF($O1438="GenProg-A", "Evolutionary Search", IF($O1438="Hercules", "Learning Pattern", IF($O1438="Jaid", "True Semantic",
IF($O1438="Kali-A", "True Search", IF($O1438="kPAR", "True Pattern", IF($O1438="Nopol", "True Semantic", IF($O1438="RSRepair-A", "Evolutionary Search", IF($O1438="SequenceR", "Deep Learning", IF($O1438="SimFix", "Search Like Pattern", IF($O1438="SketchFix", "True Pattern", IF($O1438="SOFix", "True Pattern", IF($O1438="ssFix", "Search Like Pattern", IF($O1438="TBar", "True Pattern", ""))))))))))))))))))))</f>
        <v>Evolutionary Search</v>
      </c>
      <c r="Q1438" s="13" t="str">
        <f>IF(NOT(ISERR(SEARCH("*_Buggy",$A1438))), "Buggy", IF(NOT(ISERR(SEARCH("*_Fixed",$A1438))), "Fixed", IF(NOT(ISERR(SEARCH("*_Repaired",$A1438))), "Repaired", "")))</f>
        <v>Repaired</v>
      </c>
      <c r="R1438" s="13" t="s">
        <v>1669</v>
      </c>
      <c r="S1438" s="25">
        <v>1</v>
      </c>
      <c r="T1438" s="25">
        <v>1</v>
      </c>
      <c r="U1438" s="25">
        <v>1</v>
      </c>
      <c r="V1438" s="13">
        <v>1</v>
      </c>
      <c r="W1438" s="13" t="str">
        <f>MID(A1438, SEARCH("_", A1438) +1, SEARCH("_", A1438, SEARCH("_", A1438) +1) - SEARCH("_", A1438) -1)</f>
        <v>Lang-13</v>
      </c>
      <c r="Y1438" s="1" t="str">
        <f t="shared" si="62"/>
        <v>NO</v>
      </c>
      <c r="Z1438" s="1" t="str">
        <f t="shared" si="63"/>
        <v>NO</v>
      </c>
      <c r="AA1438" t="s">
        <v>1704</v>
      </c>
      <c r="AB1438" t="s">
        <v>1704</v>
      </c>
      <c r="AC1438" s="1" t="s">
        <v>1704</v>
      </c>
      <c r="AD1438" s="1" t="s">
        <v>1704</v>
      </c>
      <c r="AE1438" s="1" t="s">
        <v>1704</v>
      </c>
      <c r="AF1438" s="1" t="s">
        <v>1704</v>
      </c>
    </row>
    <row r="1439" spans="1:32" ht="15" x14ac:dyDescent="0.35">
      <c r="A1439" s="5" t="s">
        <v>1631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>LEFT($A1439,FIND("_",$A1439)-1)</f>
        <v>RSRepair-A</v>
      </c>
      <c r="P1439" s="13" t="str">
        <f>IF($O1439="ACS", "True Search", IF($O1439="Arja", "Evolutionary Search", IF($O1439="AVATAR", "True Pattern", IF($O1439="CapGen", "Search Like Pattern", IF($O1439="Cardumen", "True Semantic", IF($O1439="DynaMoth", "True Semantic", IF($O1439="FixMiner", "True Pattern", IF($O1439="GenProg-A", "Evolutionary Search", IF($O1439="Hercules", "Learning Pattern", IF($O1439="Jaid", "True Semantic",
IF($O1439="Kali-A", "True Search", IF($O1439="kPAR", "True Pattern", IF($O1439="Nopol", "True Semantic", IF($O1439="RSRepair-A", "Evolutionary Search", IF($O1439="SequenceR", "Deep Learning", IF($O1439="SimFix", "Search Like Pattern", IF($O1439="SketchFix", "True Pattern", IF($O1439="SOFix", "True Pattern", IF($O1439="ssFix", "Search Like Pattern", IF($O1439="TBar", "True Pattern", ""))))))))))))))))))))</f>
        <v>Evolutionary Search</v>
      </c>
      <c r="Q1439" s="13" t="str">
        <f>IF(NOT(ISERR(SEARCH("*_Buggy",$A1439))), "Buggy", IF(NOT(ISERR(SEARCH("*_Fixed",$A1439))), "Fixed", IF(NOT(ISERR(SEARCH("*_Repaired",$A1439))), "Repaired", "")))</f>
        <v>Repaired</v>
      </c>
      <c r="R1439" s="13" t="s">
        <v>1669</v>
      </c>
      <c r="S1439" s="25">
        <v>1</v>
      </c>
      <c r="T1439" s="25">
        <v>1</v>
      </c>
      <c r="U1439" s="25">
        <v>1</v>
      </c>
      <c r="V1439" s="13">
        <v>1</v>
      </c>
      <c r="W1439" s="13" t="str">
        <f>MID(A1439, SEARCH("_", A1439) +1, SEARCH("_", A1439, SEARCH("_", A1439) +1) - SEARCH("_", A1439) -1)</f>
        <v>Lang-16</v>
      </c>
      <c r="Y1439" s="1" t="str">
        <f t="shared" si="62"/>
        <v>NO</v>
      </c>
      <c r="Z1439" s="1" t="str">
        <f t="shared" si="63"/>
        <v>NO</v>
      </c>
      <c r="AA1439" t="s">
        <v>1704</v>
      </c>
      <c r="AB1439" t="s">
        <v>1704</v>
      </c>
      <c r="AC1439" s="1" t="s">
        <v>1705</v>
      </c>
      <c r="AD1439" s="1" t="s">
        <v>1704</v>
      </c>
      <c r="AE1439" s="1" t="s">
        <v>1705</v>
      </c>
      <c r="AF1439" s="1" t="s">
        <v>1704</v>
      </c>
    </row>
    <row r="1440" spans="1:32" ht="15" x14ac:dyDescent="0.35">
      <c r="A1440" s="5" t="s">
        <v>1632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>LEFT($A1440,FIND("_",$A1440)-1)</f>
        <v>RSRepair-A</v>
      </c>
      <c r="P1440" s="13" t="str">
        <f>IF($O1440="ACS", "True Search", IF($O1440="Arja", "Evolutionary Search", IF($O1440="AVATAR", "True Pattern", IF($O1440="CapGen", "Search Like Pattern", IF($O1440="Cardumen", "True Semantic", IF($O1440="DynaMoth", "True Semantic", IF($O1440="FixMiner", "True Pattern", IF($O1440="GenProg-A", "Evolutionary Search", IF($O1440="Hercules", "Learning Pattern", IF($O1440="Jaid", "True Semantic",
IF($O1440="Kali-A", "True Search", IF($O1440="kPAR", "True Pattern", IF($O1440="Nopol", "True Semantic", IF($O1440="RSRepair-A", "Evolutionary Search", IF($O1440="SequenceR", "Deep Learning", IF($O1440="SimFix", "Search Like Pattern", IF($O1440="SketchFix", "True Pattern", IF($O1440="SOFix", "True Pattern", IF($O1440="ssFix", "Search Like Pattern", IF($O1440="TBar", "True Pattern", ""))))))))))))))))))))</f>
        <v>Evolutionary Search</v>
      </c>
      <c r="Q1440" s="13" t="str">
        <f>IF(NOT(ISERR(SEARCH("*_Buggy",$A1440))), "Buggy", IF(NOT(ISERR(SEARCH("*_Fixed",$A1440))), "Fixed", IF(NOT(ISERR(SEARCH("*_Repaired",$A1440))), "Repaired", "")))</f>
        <v>Repaired</v>
      </c>
      <c r="R1440" s="13" t="s">
        <v>1669</v>
      </c>
      <c r="S1440" s="25">
        <v>1</v>
      </c>
      <c r="T1440" s="25">
        <v>1</v>
      </c>
      <c r="U1440" s="25">
        <v>1</v>
      </c>
      <c r="V1440" s="13">
        <v>1</v>
      </c>
      <c r="W1440" s="13" t="str">
        <f>MID(A1440, SEARCH("_", A1440) +1, SEARCH("_", A1440, SEARCH("_", A1440) +1) - SEARCH("_", A1440) -1)</f>
        <v>Lang-43</v>
      </c>
      <c r="Y1440" s="1" t="str">
        <f t="shared" si="62"/>
        <v>NO</v>
      </c>
      <c r="Z1440" s="1" t="str">
        <f t="shared" si="63"/>
        <v>NO</v>
      </c>
      <c r="AA1440" t="s">
        <v>1704</v>
      </c>
      <c r="AB1440" t="s">
        <v>1704</v>
      </c>
      <c r="AC1440" s="1" t="s">
        <v>1705</v>
      </c>
      <c r="AD1440" s="1" t="s">
        <v>1704</v>
      </c>
      <c r="AE1440" s="1" t="s">
        <v>1705</v>
      </c>
      <c r="AF1440" s="1" t="s">
        <v>1704</v>
      </c>
    </row>
    <row r="1441" spans="1:32" ht="15" x14ac:dyDescent="0.35">
      <c r="A1441" s="7" t="s">
        <v>1633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>LEFT($A1441,FIND("_",$A1441)-1)</f>
        <v>RSRepair-A</v>
      </c>
      <c r="P1441" s="13" t="str">
        <f>IF($O1441="ACS", "True Search", IF($O1441="Arja", "Evolutionary Search", IF($O1441="AVATAR", "True Pattern", IF($O1441="CapGen", "Search Like Pattern", IF($O1441="Cardumen", "True Semantic", IF($O1441="DynaMoth", "True Semantic", IF($O1441="FixMiner", "True Pattern", IF($O1441="GenProg-A", "Evolutionary Search", IF($O1441="Hercules", "Learning Pattern", IF($O1441="Jaid", "True Semantic",
IF($O1441="Kali-A", "True Search", IF($O1441="kPAR", "True Pattern", IF($O1441="Nopol", "True Semantic", IF($O1441="RSRepair-A", "Evolutionary Search", IF($O1441="SequenceR", "Deep Learning", IF($O1441="SimFix", "Search Like Pattern", IF($O1441="SketchFix", "True Pattern", IF($O1441="SOFix", "True Pattern", IF($O1441="ssFix", "Search Like Pattern", IF($O1441="TBar", "True Pattern", ""))))))))))))))))))))</f>
        <v>Evolutionary Search</v>
      </c>
      <c r="Q1441" s="13" t="str">
        <f>IF(NOT(ISERR(SEARCH("*_Buggy",$A1441))), "Buggy", IF(NOT(ISERR(SEARCH("*_Fixed",$A1441))), "Fixed", IF(NOT(ISERR(SEARCH("*_Repaired",$A1441))), "Repaired", "")))</f>
        <v>Repaired</v>
      </c>
      <c r="R1441" s="13" t="s">
        <v>1668</v>
      </c>
      <c r="S1441" s="25">
        <v>1</v>
      </c>
      <c r="T1441" s="25">
        <v>3</v>
      </c>
      <c r="U1441" s="25">
        <v>1</v>
      </c>
      <c r="V1441" s="13">
        <v>3</v>
      </c>
      <c r="W1441" s="13" t="str">
        <f>MID(A1441, SEARCH("_", A1441) +1, SEARCH("_", A1441, SEARCH("_", A1441) +1) - SEARCH("_", A1441) -1)</f>
        <v>Lang-46</v>
      </c>
      <c r="Y1441" s="1" t="str">
        <f t="shared" si="62"/>
        <v>NO</v>
      </c>
      <c r="Z1441" s="1" t="str">
        <f t="shared" si="63"/>
        <v>NO</v>
      </c>
      <c r="AA1441" t="s">
        <v>1704</v>
      </c>
      <c r="AB1441" t="s">
        <v>1704</v>
      </c>
      <c r="AC1441" s="1" t="s">
        <v>1704</v>
      </c>
      <c r="AD1441" s="1" t="s">
        <v>1704</v>
      </c>
      <c r="AE1441" s="1" t="s">
        <v>1704</v>
      </c>
      <c r="AF1441" s="1" t="s">
        <v>1705</v>
      </c>
    </row>
    <row r="1442" spans="1:32" ht="15" x14ac:dyDescent="0.35">
      <c r="A1442" s="5" t="s">
        <v>1634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>LEFT($A1442,FIND("_",$A1442)-1)</f>
        <v>RSRepair-A</v>
      </c>
      <c r="P1442" s="13" t="str">
        <f>IF($O1442="ACS", "True Search", IF($O1442="Arja", "Evolutionary Search", IF($O1442="AVATAR", "True Pattern", IF($O1442="CapGen", "Search Like Pattern", IF($O1442="Cardumen", "True Semantic", IF($O1442="DynaMoth", "True Semantic", IF($O1442="FixMiner", "True Pattern", IF($O1442="GenProg-A", "Evolutionary Search", IF($O1442="Hercules", "Learning Pattern", IF($O1442="Jaid", "True Semantic",
IF($O1442="Kali-A", "True Search", IF($O1442="kPAR", "True Pattern", IF($O1442="Nopol", "True Semantic", IF($O1442="RSRepair-A", "Evolutionary Search", IF($O1442="SequenceR", "Deep Learning", IF($O1442="SimFix", "Search Like Pattern", IF($O1442="SketchFix", "True Pattern", IF($O1442="SOFix", "True Pattern", IF($O1442="ssFix", "Search Like Pattern", IF($O1442="TBar", "True Pattern", ""))))))))))))))))))))</f>
        <v>Evolutionary Search</v>
      </c>
      <c r="Q1442" s="13" t="str">
        <f>IF(NOT(ISERR(SEARCH("*_Buggy",$A1442))), "Buggy", IF(NOT(ISERR(SEARCH("*_Fixed",$A1442))), "Fixed", IF(NOT(ISERR(SEARCH("*_Repaired",$A1442))), "Repaired", "")))</f>
        <v>Repaired</v>
      </c>
      <c r="R1442" s="13" t="s">
        <v>1669</v>
      </c>
      <c r="S1442" s="25">
        <v>1</v>
      </c>
      <c r="T1442" s="25">
        <v>2</v>
      </c>
      <c r="U1442" s="25">
        <v>1</v>
      </c>
      <c r="V1442" s="13">
        <v>2</v>
      </c>
      <c r="W1442" s="13" t="str">
        <f>MID(A1442, SEARCH("_", A1442) +1, SEARCH("_", A1442, SEARCH("_", A1442) +1) - SEARCH("_", A1442) -1)</f>
        <v>Lang-59</v>
      </c>
      <c r="Y1442" s="1" t="str">
        <f t="shared" si="62"/>
        <v>NO</v>
      </c>
      <c r="Z1442" s="1" t="str">
        <f t="shared" si="63"/>
        <v>NO</v>
      </c>
      <c r="AA1442" t="s">
        <v>1704</v>
      </c>
      <c r="AB1442" t="s">
        <v>1704</v>
      </c>
      <c r="AC1442" s="1" t="s">
        <v>1704</v>
      </c>
      <c r="AD1442" s="1" t="s">
        <v>1704</v>
      </c>
      <c r="AE1442" s="1" t="s">
        <v>1704</v>
      </c>
      <c r="AF1442" s="1" t="s">
        <v>1704</v>
      </c>
    </row>
    <row r="1443" spans="1:32" ht="15" x14ac:dyDescent="0.35">
      <c r="A1443" s="5" t="s">
        <v>1635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>LEFT($A1443,FIND("_",$A1443)-1)</f>
        <v>RSRepair-A</v>
      </c>
      <c r="P1443" s="13" t="str">
        <f>IF($O1443="ACS", "True Search", IF($O1443="Arja", "Evolutionary Search", IF($O1443="AVATAR", "True Pattern", IF($O1443="CapGen", "Search Like Pattern", IF($O1443="Cardumen", "True Semantic", IF($O1443="DynaMoth", "True Semantic", IF($O1443="FixMiner", "True Pattern", IF($O1443="GenProg-A", "Evolutionary Search", IF($O1443="Hercules", "Learning Pattern", IF($O1443="Jaid", "True Semantic",
IF($O1443="Kali-A", "True Search", IF($O1443="kPAR", "True Pattern", IF($O1443="Nopol", "True Semantic", IF($O1443="RSRepair-A", "Evolutionary Search", IF($O1443="SequenceR", "Deep Learning", IF($O1443="SimFix", "Search Like Pattern", IF($O1443="SketchFix", "True Pattern", IF($O1443="SOFix", "True Pattern", IF($O1443="ssFix", "Search Like Pattern", IF($O1443="TBar", "True Pattern", ""))))))))))))))))))))</f>
        <v>Evolutionary Search</v>
      </c>
      <c r="Q1443" s="13" t="str">
        <f>IF(NOT(ISERR(SEARCH("*_Buggy",$A1443))), "Buggy", IF(NOT(ISERR(SEARCH("*_Fixed",$A1443))), "Fixed", IF(NOT(ISERR(SEARCH("*_Repaired",$A1443))), "Repaired", "")))</f>
        <v>Repaired</v>
      </c>
      <c r="R1443" s="13" t="s">
        <v>1669</v>
      </c>
      <c r="S1443" s="25">
        <v>2</v>
      </c>
      <c r="T1443" s="25">
        <v>0</v>
      </c>
      <c r="U1443" s="13">
        <v>2</v>
      </c>
      <c r="V1443" s="13">
        <v>2</v>
      </c>
      <c r="W1443" s="13" t="str">
        <f>MID(A1443, SEARCH("_", A1443) +1, SEARCH("_", A1443, SEARCH("_", A1443) +1) - SEARCH("_", A1443) -1)</f>
        <v>Lang-63</v>
      </c>
      <c r="Y1443" s="1" t="str">
        <f t="shared" si="62"/>
        <v>YES</v>
      </c>
      <c r="Z1443" s="1" t="str">
        <f t="shared" si="63"/>
        <v>NO</v>
      </c>
      <c r="AA1443" t="s">
        <v>1704</v>
      </c>
      <c r="AB1443" t="s">
        <v>1704</v>
      </c>
      <c r="AC1443" s="1" t="s">
        <v>1704</v>
      </c>
      <c r="AD1443" s="1" t="s">
        <v>1704</v>
      </c>
      <c r="AE1443" s="1" t="s">
        <v>1704</v>
      </c>
      <c r="AF1443" s="1" t="s">
        <v>1705</v>
      </c>
    </row>
    <row r="1444" spans="1:32" ht="15" x14ac:dyDescent="0.35">
      <c r="A1444" s="7" t="s">
        <v>1636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>LEFT($A1444,FIND("_",$A1444)-1)</f>
        <v>RSRepair-A</v>
      </c>
      <c r="P1444" s="13" t="str">
        <f>IF($O1444="ACS", "True Search", IF($O1444="Arja", "Evolutionary Search", IF($O1444="AVATAR", "True Pattern", IF($O1444="CapGen", "Search Like Pattern", IF($O1444="Cardumen", "True Semantic", IF($O1444="DynaMoth", "True Semantic", IF($O1444="FixMiner", "True Pattern", IF($O1444="GenProg-A", "Evolutionary Search", IF($O1444="Hercules", "Learning Pattern", IF($O1444="Jaid", "True Semantic",
IF($O1444="Kali-A", "True Search", IF($O1444="kPAR", "True Pattern", IF($O1444="Nopol", "True Semantic", IF($O1444="RSRepair-A", "Evolutionary Search", IF($O1444="SequenceR", "Deep Learning", IF($O1444="SimFix", "Search Like Pattern", IF($O1444="SketchFix", "True Pattern", IF($O1444="SOFix", "True Pattern", IF($O1444="ssFix", "Search Like Pattern", IF($O1444="TBar", "True Pattern", ""))))))))))))))))))))</f>
        <v>Evolutionary Search</v>
      </c>
      <c r="Q1444" s="13" t="str">
        <f>IF(NOT(ISERR(SEARCH("*_Buggy",$A1444))), "Buggy", IF(NOT(ISERR(SEARCH("*_Fixed",$A1444))), "Fixed", IF(NOT(ISERR(SEARCH("*_Repaired",$A1444))), "Repaired", "")))</f>
        <v>Repaired</v>
      </c>
      <c r="R1444" s="13" t="s">
        <v>1669</v>
      </c>
      <c r="S1444" s="25">
        <v>1</v>
      </c>
      <c r="T1444" s="25">
        <v>1</v>
      </c>
      <c r="U1444" s="25">
        <v>1</v>
      </c>
      <c r="V1444" s="13">
        <v>1</v>
      </c>
      <c r="W1444" s="13" t="str">
        <f>MID(A1444, SEARCH("_", A1444) +1, SEARCH("_", A1444, SEARCH("_", A1444) +1) - SEARCH("_", A1444) -1)</f>
        <v>Lang-7</v>
      </c>
      <c r="Y1444" s="1" t="str">
        <f t="shared" si="62"/>
        <v>NO</v>
      </c>
      <c r="Z1444" s="1" t="str">
        <f t="shared" si="63"/>
        <v>NO</v>
      </c>
      <c r="AA1444" t="s">
        <v>1704</v>
      </c>
      <c r="AB1444" t="s">
        <v>1704</v>
      </c>
      <c r="AC1444" s="1" t="s">
        <v>1704</v>
      </c>
      <c r="AD1444" s="1" t="s">
        <v>1704</v>
      </c>
      <c r="AE1444" s="1" t="s">
        <v>1704</v>
      </c>
      <c r="AF1444" s="1" t="s">
        <v>1704</v>
      </c>
    </row>
    <row r="1445" spans="1:32" ht="15" x14ac:dyDescent="0.35">
      <c r="A1445" s="7" t="s">
        <v>1637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>LEFT($A1445,FIND("_",$A1445)-1)</f>
        <v>RSRepair-A</v>
      </c>
      <c r="P1445" s="13" t="str">
        <f>IF($O1445="ACS", "True Search", IF($O1445="Arja", "Evolutionary Search", IF($O1445="AVATAR", "True Pattern", IF($O1445="CapGen", "Search Like Pattern", IF($O1445="Cardumen", "True Semantic", IF($O1445="DynaMoth", "True Semantic", IF($O1445="FixMiner", "True Pattern", IF($O1445="GenProg-A", "Evolutionary Search", IF($O1445="Hercules", "Learning Pattern", IF($O1445="Jaid", "True Semantic",
IF($O1445="Kali-A", "True Search", IF($O1445="kPAR", "True Pattern", IF($O1445="Nopol", "True Semantic", IF($O1445="RSRepair-A", "Evolutionary Search", IF($O1445="SequenceR", "Deep Learning", IF($O1445="SimFix", "Search Like Pattern", IF($O1445="SketchFix", "True Pattern", IF($O1445="SOFix", "True Pattern", IF($O1445="ssFix", "Search Like Pattern", IF($O1445="TBar", "True Pattern", ""))))))))))))))))))))</f>
        <v>Evolutionary Search</v>
      </c>
      <c r="Q1445" s="13" t="str">
        <f>IF(NOT(ISERR(SEARCH("*_Buggy",$A1445))), "Buggy", IF(NOT(ISERR(SEARCH("*_Fixed",$A1445))), "Fixed", IF(NOT(ISERR(SEARCH("*_Repaired",$A1445))), "Repaired", "")))</f>
        <v>Repaired</v>
      </c>
      <c r="R1445" s="13" t="s">
        <v>1669</v>
      </c>
      <c r="S1445" s="25">
        <v>1</v>
      </c>
      <c r="T1445" s="25">
        <v>0</v>
      </c>
      <c r="U1445" s="13">
        <v>7</v>
      </c>
      <c r="V1445" s="13">
        <v>7</v>
      </c>
      <c r="W1445" s="13" t="str">
        <f>MID(A1445, SEARCH("_", A1445) +1, SEARCH("_", A1445, SEARCH("_", A1445) +1) - SEARCH("_", A1445) -1)</f>
        <v>Math-28</v>
      </c>
      <c r="Y1445" s="1" t="str">
        <f t="shared" si="62"/>
        <v>NO</v>
      </c>
      <c r="Z1445" s="1" t="str">
        <f t="shared" si="63"/>
        <v>NO</v>
      </c>
      <c r="AA1445" t="s">
        <v>1704</v>
      </c>
      <c r="AB1445" t="s">
        <v>1704</v>
      </c>
      <c r="AC1445" s="1" t="s">
        <v>1704</v>
      </c>
      <c r="AD1445" s="1" t="s">
        <v>1704</v>
      </c>
      <c r="AE1445" s="1" t="s">
        <v>1704</v>
      </c>
      <c r="AF1445" s="1" t="s">
        <v>1705</v>
      </c>
    </row>
    <row r="1446" spans="1:32" ht="15" x14ac:dyDescent="0.35">
      <c r="A1446" s="7" t="s">
        <v>1638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>LEFT($A1446,FIND("_",$A1446)-1)</f>
        <v>RSRepair-A</v>
      </c>
      <c r="P1446" s="13" t="str">
        <f>IF($O1446="ACS", "True Search", IF($O1446="Arja", "Evolutionary Search", IF($O1446="AVATAR", "True Pattern", IF($O1446="CapGen", "Search Like Pattern", IF($O1446="Cardumen", "True Semantic", IF($O1446="DynaMoth", "True Semantic", IF($O1446="FixMiner", "True Pattern", IF($O1446="GenProg-A", "Evolutionary Search", IF($O1446="Hercules", "Learning Pattern", IF($O1446="Jaid", "True Semantic",
IF($O1446="Kali-A", "True Search", IF($O1446="kPAR", "True Pattern", IF($O1446="Nopol", "True Semantic", IF($O1446="RSRepair-A", "Evolutionary Search", IF($O1446="SequenceR", "Deep Learning", IF($O1446="SimFix", "Search Like Pattern", IF($O1446="SketchFix", "True Pattern", IF($O1446="SOFix", "True Pattern", IF($O1446="ssFix", "Search Like Pattern", IF($O1446="TBar", "True Pattern", ""))))))))))))))))))))</f>
        <v>Evolutionary Search</v>
      </c>
      <c r="Q1446" s="13" t="str">
        <f>IF(NOT(ISERR(SEARCH("*_Buggy",$A1446))), "Buggy", IF(NOT(ISERR(SEARCH("*_Fixed",$A1446))), "Fixed", IF(NOT(ISERR(SEARCH("*_Repaired",$A1446))), "Repaired", "")))</f>
        <v>Repaired</v>
      </c>
      <c r="R1446" s="13" t="s">
        <v>1669</v>
      </c>
      <c r="S1446" s="25">
        <v>1</v>
      </c>
      <c r="T1446" s="25">
        <v>0</v>
      </c>
      <c r="U1446" s="13">
        <v>3</v>
      </c>
      <c r="V1446" s="13">
        <v>3</v>
      </c>
      <c r="W1446" s="13" t="str">
        <f>MID(A1446, SEARCH("_", A1446) +1, SEARCH("_", A1446, SEARCH("_", A1446) +1) - SEARCH("_", A1446) -1)</f>
        <v>Math-33</v>
      </c>
      <c r="Y1446" s="1" t="str">
        <f t="shared" ref="Y1446:Y1509" si="64">IF(AND(S1446&gt;1,S1446=V1446), "YES", "NO")</f>
        <v>NO</v>
      </c>
      <c r="Z1446" s="1" t="str">
        <f t="shared" ref="Z1446:Z1509" si="65">IF(AND(S1446&gt;1,S1446&lt;V1446), "YES", "NO")</f>
        <v>NO</v>
      </c>
      <c r="AA1446" t="s">
        <v>1704</v>
      </c>
      <c r="AB1446" t="s">
        <v>1704</v>
      </c>
      <c r="AC1446" s="1" t="s">
        <v>1704</v>
      </c>
      <c r="AD1446" s="1" t="s">
        <v>1704</v>
      </c>
      <c r="AE1446" s="1" t="s">
        <v>1704</v>
      </c>
      <c r="AF1446" s="1" t="s">
        <v>1704</v>
      </c>
    </row>
    <row r="1447" spans="1:32" ht="15" x14ac:dyDescent="0.35">
      <c r="A1447" s="5" t="s">
        <v>1639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>LEFT($A1447,FIND("_",$A1447)-1)</f>
        <v>RSRepair-A</v>
      </c>
      <c r="P1447" s="13" t="str">
        <f>IF($O1447="ACS", "True Search", IF($O1447="Arja", "Evolutionary Search", IF($O1447="AVATAR", "True Pattern", IF($O1447="CapGen", "Search Like Pattern", IF($O1447="Cardumen", "True Semantic", IF($O1447="DynaMoth", "True Semantic", IF($O1447="FixMiner", "True Pattern", IF($O1447="GenProg-A", "Evolutionary Search", IF($O1447="Hercules", "Learning Pattern", IF($O1447="Jaid", "True Semantic",
IF($O1447="Kali-A", "True Search", IF($O1447="kPAR", "True Pattern", IF($O1447="Nopol", "True Semantic", IF($O1447="RSRepair-A", "Evolutionary Search", IF($O1447="SequenceR", "Deep Learning", IF($O1447="SimFix", "Search Like Pattern", IF($O1447="SketchFix", "True Pattern", IF($O1447="SOFix", "True Pattern", IF($O1447="ssFix", "Search Like Pattern", IF($O1447="TBar", "True Pattern", ""))))))))))))))))))))</f>
        <v>Evolutionary Search</v>
      </c>
      <c r="Q1447" s="13" t="str">
        <f>IF(NOT(ISERR(SEARCH("*_Buggy",$A1447))), "Buggy", IF(NOT(ISERR(SEARCH("*_Fixed",$A1447))), "Fixed", IF(NOT(ISERR(SEARCH("*_Repaired",$A1447))), "Repaired", "")))</f>
        <v>Repaired</v>
      </c>
      <c r="R1447" s="13" t="s">
        <v>1669</v>
      </c>
      <c r="S1447" s="25">
        <v>1</v>
      </c>
      <c r="T1447" s="25">
        <v>2</v>
      </c>
      <c r="U1447" s="25">
        <v>1</v>
      </c>
      <c r="V1447" s="13">
        <v>2</v>
      </c>
      <c r="W1447" s="13" t="str">
        <f>MID(A1447, SEARCH("_", A1447) +1, SEARCH("_", A1447, SEARCH("_", A1447) +1) - SEARCH("_", A1447) -1)</f>
        <v>Math-40</v>
      </c>
      <c r="Y1447" s="1" t="str">
        <f t="shared" si="64"/>
        <v>NO</v>
      </c>
      <c r="Z1447" s="1" t="str">
        <f t="shared" si="65"/>
        <v>NO</v>
      </c>
      <c r="AA1447" t="s">
        <v>1704</v>
      </c>
      <c r="AB1447" t="s">
        <v>1704</v>
      </c>
      <c r="AC1447" s="1" t="s">
        <v>1704</v>
      </c>
      <c r="AD1447" s="1" t="s">
        <v>1704</v>
      </c>
      <c r="AE1447" s="1" t="s">
        <v>1704</v>
      </c>
      <c r="AF1447" s="1" t="s">
        <v>1705</v>
      </c>
    </row>
    <row r="1448" spans="1:32" ht="15" x14ac:dyDescent="0.35">
      <c r="A1448" s="5" t="s">
        <v>1640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>LEFT($A1448,FIND("_",$A1448)-1)</f>
        <v>RSRepair-A</v>
      </c>
      <c r="P1448" s="13" t="str">
        <f>IF($O1448="ACS", "True Search", IF($O1448="Arja", "Evolutionary Search", IF($O1448="AVATAR", "True Pattern", IF($O1448="CapGen", "Search Like Pattern", IF($O1448="Cardumen", "True Semantic", IF($O1448="DynaMoth", "True Semantic", IF($O1448="FixMiner", "True Pattern", IF($O1448="GenProg-A", "Evolutionary Search", IF($O1448="Hercules", "Learning Pattern", IF($O1448="Jaid", "True Semantic",
IF($O1448="Kali-A", "True Search", IF($O1448="kPAR", "True Pattern", IF($O1448="Nopol", "True Semantic", IF($O1448="RSRepair-A", "Evolutionary Search", IF($O1448="SequenceR", "Deep Learning", IF($O1448="SimFix", "Search Like Pattern", IF($O1448="SketchFix", "True Pattern", IF($O1448="SOFix", "True Pattern", IF($O1448="ssFix", "Search Like Pattern", IF($O1448="TBar", "True Pattern", ""))))))))))))))))))))</f>
        <v>Evolutionary Search</v>
      </c>
      <c r="Q1448" s="13" t="str">
        <f>IF(NOT(ISERR(SEARCH("*_Buggy",$A1448))), "Buggy", IF(NOT(ISERR(SEARCH("*_Fixed",$A1448))), "Fixed", IF(NOT(ISERR(SEARCH("*_Repaired",$A1448))), "Repaired", "")))</f>
        <v>Repaired</v>
      </c>
      <c r="R1448" s="13" t="s">
        <v>1668</v>
      </c>
      <c r="S1448" s="25">
        <v>1</v>
      </c>
      <c r="T1448" s="25">
        <v>1</v>
      </c>
      <c r="U1448" s="25">
        <v>1</v>
      </c>
      <c r="V1448" s="13">
        <v>1</v>
      </c>
      <c r="W1448" s="13" t="str">
        <f>MID(A1448, SEARCH("_", A1448) +1, SEARCH("_", A1448, SEARCH("_", A1448) +1) - SEARCH("_", A1448) -1)</f>
        <v>Math-5</v>
      </c>
      <c r="Y1448" s="1" t="str">
        <f t="shared" si="64"/>
        <v>NO</v>
      </c>
      <c r="Z1448" s="1" t="str">
        <f t="shared" si="65"/>
        <v>NO</v>
      </c>
      <c r="AA1448" t="s">
        <v>1704</v>
      </c>
      <c r="AB1448" t="s">
        <v>1704</v>
      </c>
      <c r="AC1448" s="1" t="s">
        <v>1705</v>
      </c>
      <c r="AD1448" s="1" t="s">
        <v>1704</v>
      </c>
      <c r="AE1448" s="1" t="s">
        <v>1705</v>
      </c>
      <c r="AF1448" s="1" t="s">
        <v>1704</v>
      </c>
    </row>
    <row r="1449" spans="1:32" ht="15" x14ac:dyDescent="0.35">
      <c r="A1449" s="7" t="s">
        <v>1641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>LEFT($A1449,FIND("_",$A1449)-1)</f>
        <v>RSRepair-A</v>
      </c>
      <c r="P1449" s="13" t="str">
        <f>IF($O1449="ACS", "True Search", IF($O1449="Arja", "Evolutionary Search", IF($O1449="AVATAR", "True Pattern", IF($O1449="CapGen", "Search Like Pattern", IF($O1449="Cardumen", "True Semantic", IF($O1449="DynaMoth", "True Semantic", IF($O1449="FixMiner", "True Pattern", IF($O1449="GenProg-A", "Evolutionary Search", IF($O1449="Hercules", "Learning Pattern", IF($O1449="Jaid", "True Semantic",
IF($O1449="Kali-A", "True Search", IF($O1449="kPAR", "True Pattern", IF($O1449="Nopol", "True Semantic", IF($O1449="RSRepair-A", "Evolutionary Search", IF($O1449="SequenceR", "Deep Learning", IF($O1449="SimFix", "Search Like Pattern", IF($O1449="SketchFix", "True Pattern", IF($O1449="SOFix", "True Pattern", IF($O1449="ssFix", "Search Like Pattern", IF($O1449="TBar", "True Pattern", ""))))))))))))))))))))</f>
        <v>Evolutionary Search</v>
      </c>
      <c r="Q1449" s="13" t="str">
        <f>IF(NOT(ISERR(SEARCH("*_Buggy",$A1449))), "Buggy", IF(NOT(ISERR(SEARCH("*_Fixed",$A1449))), "Fixed", IF(NOT(ISERR(SEARCH("*_Repaired",$A1449))), "Repaired", "")))</f>
        <v>Repaired</v>
      </c>
      <c r="R1449" s="13" t="s">
        <v>1668</v>
      </c>
      <c r="S1449" s="25">
        <v>1</v>
      </c>
      <c r="T1449" s="25">
        <v>1</v>
      </c>
      <c r="U1449" s="25">
        <v>5</v>
      </c>
      <c r="V1449" s="13">
        <v>5</v>
      </c>
      <c r="W1449" s="13" t="str">
        <f>MID(A1449, SEARCH("_", A1449) +1, SEARCH("_", A1449, SEARCH("_", A1449) +1) - SEARCH("_", A1449) -1)</f>
        <v>Math-50</v>
      </c>
      <c r="Y1449" s="1" t="str">
        <f t="shared" si="64"/>
        <v>NO</v>
      </c>
      <c r="Z1449" s="1" t="str">
        <f t="shared" si="65"/>
        <v>NO</v>
      </c>
      <c r="AA1449" t="s">
        <v>1704</v>
      </c>
      <c r="AB1449" t="s">
        <v>1704</v>
      </c>
      <c r="AC1449" s="1" t="s">
        <v>1704</v>
      </c>
      <c r="AD1449" s="1" t="s">
        <v>1705</v>
      </c>
      <c r="AE1449" s="1" t="s">
        <v>1704</v>
      </c>
      <c r="AF1449" s="1" t="s">
        <v>1705</v>
      </c>
    </row>
    <row r="1450" spans="1:32" ht="15" x14ac:dyDescent="0.35">
      <c r="A1450" s="5" t="s">
        <v>1642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>LEFT($A1450,FIND("_",$A1450)-1)</f>
        <v>RSRepair-A</v>
      </c>
      <c r="P1450" s="13" t="str">
        <f>IF($O1450="ACS", "True Search", IF($O1450="Arja", "Evolutionary Search", IF($O1450="AVATAR", "True Pattern", IF($O1450="CapGen", "Search Like Pattern", IF($O1450="Cardumen", "True Semantic", IF($O1450="DynaMoth", "True Semantic", IF($O1450="FixMiner", "True Pattern", IF($O1450="GenProg-A", "Evolutionary Search", IF($O1450="Hercules", "Learning Pattern", IF($O1450="Jaid", "True Semantic",
IF($O1450="Kali-A", "True Search", IF($O1450="kPAR", "True Pattern", IF($O1450="Nopol", "True Semantic", IF($O1450="RSRepair-A", "Evolutionary Search", IF($O1450="SequenceR", "Deep Learning", IF($O1450="SimFix", "Search Like Pattern", IF($O1450="SketchFix", "True Pattern", IF($O1450="SOFix", "True Pattern", IF($O1450="ssFix", "Search Like Pattern", IF($O1450="TBar", "True Pattern", ""))))))))))))))))))))</f>
        <v>Evolutionary Search</v>
      </c>
      <c r="Q1450" s="13" t="str">
        <f>IF(NOT(ISERR(SEARCH("*_Buggy",$A1450))), "Buggy", IF(NOT(ISERR(SEARCH("*_Fixed",$A1450))), "Fixed", IF(NOT(ISERR(SEARCH("*_Repaired",$A1450))), "Repaired", "")))</f>
        <v>Repaired</v>
      </c>
      <c r="R1450" s="13" t="s">
        <v>1669</v>
      </c>
      <c r="S1450" s="25">
        <v>1</v>
      </c>
      <c r="T1450" s="25">
        <v>3</v>
      </c>
      <c r="U1450" s="25">
        <v>1</v>
      </c>
      <c r="V1450" s="13">
        <v>3</v>
      </c>
      <c r="W1450" s="13" t="str">
        <f>MID(A1450, SEARCH("_", A1450) +1, SEARCH("_", A1450, SEARCH("_", A1450) +1) - SEARCH("_", A1450) -1)</f>
        <v>Math-53</v>
      </c>
      <c r="Y1450" s="1" t="str">
        <f t="shared" si="64"/>
        <v>NO</v>
      </c>
      <c r="Z1450" s="1" t="str">
        <f t="shared" si="65"/>
        <v>NO</v>
      </c>
      <c r="AA1450" t="s">
        <v>1704</v>
      </c>
      <c r="AB1450" t="s">
        <v>1704</v>
      </c>
      <c r="AC1450" s="1" t="s">
        <v>1704</v>
      </c>
      <c r="AD1450" s="1" t="s">
        <v>1705</v>
      </c>
      <c r="AE1450" s="1" t="s">
        <v>1704</v>
      </c>
      <c r="AF1450" s="1" t="s">
        <v>1705</v>
      </c>
    </row>
    <row r="1451" spans="1:32" ht="15" x14ac:dyDescent="0.35">
      <c r="A1451" s="7" t="s">
        <v>1643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>LEFT($A1451,FIND("_",$A1451)-1)</f>
        <v>RSRepair-A</v>
      </c>
      <c r="P1451" s="13" t="str">
        <f>IF($O1451="ACS", "True Search", IF($O1451="Arja", "Evolutionary Search", IF($O1451="AVATAR", "True Pattern", IF($O1451="CapGen", "Search Like Pattern", IF($O1451="Cardumen", "True Semantic", IF($O1451="DynaMoth", "True Semantic", IF($O1451="FixMiner", "True Pattern", IF($O1451="GenProg-A", "Evolutionary Search", IF($O1451="Hercules", "Learning Pattern", IF($O1451="Jaid", "True Semantic",
IF($O1451="Kali-A", "True Search", IF($O1451="kPAR", "True Pattern", IF($O1451="Nopol", "True Semantic", IF($O1451="RSRepair-A", "Evolutionary Search", IF($O1451="SequenceR", "Deep Learning", IF($O1451="SimFix", "Search Like Pattern", IF($O1451="SketchFix", "True Pattern", IF($O1451="SOFix", "True Pattern", IF($O1451="ssFix", "Search Like Pattern", IF($O1451="TBar", "True Pattern", ""))))))))))))))))))))</f>
        <v>Evolutionary Search</v>
      </c>
      <c r="Q1451" s="13" t="str">
        <f>IF(NOT(ISERR(SEARCH("*_Buggy",$A1451))), "Buggy", IF(NOT(ISERR(SEARCH("*_Fixed",$A1451))), "Fixed", IF(NOT(ISERR(SEARCH("*_Repaired",$A1451))), "Repaired", "")))</f>
        <v>Repaired</v>
      </c>
      <c r="R1451" s="13" t="s">
        <v>1668</v>
      </c>
      <c r="S1451" s="25">
        <v>1</v>
      </c>
      <c r="T1451" s="25">
        <v>1</v>
      </c>
      <c r="U1451" s="25">
        <v>1</v>
      </c>
      <c r="V1451" s="13">
        <v>1</v>
      </c>
      <c r="W1451" s="13" t="str">
        <f>MID(A1451, SEARCH("_", A1451) +1, SEARCH("_", A1451, SEARCH("_", A1451) +1) - SEARCH("_", A1451) -1)</f>
        <v>Math-58</v>
      </c>
      <c r="Y1451" s="1" t="str">
        <f t="shared" si="64"/>
        <v>NO</v>
      </c>
      <c r="Z1451" s="1" t="str">
        <f t="shared" si="65"/>
        <v>NO</v>
      </c>
      <c r="AA1451" t="s">
        <v>1704</v>
      </c>
      <c r="AB1451" t="s">
        <v>1704</v>
      </c>
      <c r="AC1451" s="1" t="s">
        <v>1705</v>
      </c>
      <c r="AD1451" s="1" t="s">
        <v>1704</v>
      </c>
      <c r="AE1451" s="1" t="s">
        <v>1705</v>
      </c>
      <c r="AF1451" s="1" t="s">
        <v>1704</v>
      </c>
    </row>
    <row r="1452" spans="1:32" ht="15" x14ac:dyDescent="0.35">
      <c r="A1452" s="5" t="s">
        <v>1644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>LEFT($A1452,FIND("_",$A1452)-1)</f>
        <v>RSRepair-A</v>
      </c>
      <c r="P1452" s="13" t="str">
        <f>IF($O1452="ACS", "True Search", IF($O1452="Arja", "Evolutionary Search", IF($O1452="AVATAR", "True Pattern", IF($O1452="CapGen", "Search Like Pattern", IF($O1452="Cardumen", "True Semantic", IF($O1452="DynaMoth", "True Semantic", IF($O1452="FixMiner", "True Pattern", IF($O1452="GenProg-A", "Evolutionary Search", IF($O1452="Hercules", "Learning Pattern", IF($O1452="Jaid", "True Semantic",
IF($O1452="Kali-A", "True Search", IF($O1452="kPAR", "True Pattern", IF($O1452="Nopol", "True Semantic", IF($O1452="RSRepair-A", "Evolutionary Search", IF($O1452="SequenceR", "Deep Learning", IF($O1452="SimFix", "Search Like Pattern", IF($O1452="SketchFix", "True Pattern", IF($O1452="SOFix", "True Pattern", IF($O1452="ssFix", "Search Like Pattern", IF($O1452="TBar", "True Pattern", ""))))))))))))))))))))</f>
        <v>Evolutionary Search</v>
      </c>
      <c r="Q1452" s="13" t="str">
        <f>IF(NOT(ISERR(SEARCH("*_Buggy",$A1452))), "Buggy", IF(NOT(ISERR(SEARCH("*_Fixed",$A1452))), "Fixed", IF(NOT(ISERR(SEARCH("*_Repaired",$A1452))), "Repaired", "")))</f>
        <v>Repaired</v>
      </c>
      <c r="R1452" s="13" t="s">
        <v>1668</v>
      </c>
      <c r="S1452" s="25">
        <v>1</v>
      </c>
      <c r="T1452" s="25">
        <v>1</v>
      </c>
      <c r="U1452" s="25">
        <v>1</v>
      </c>
      <c r="V1452" s="13">
        <v>1</v>
      </c>
      <c r="W1452" s="13" t="str">
        <f>MID(A1452, SEARCH("_", A1452) +1, SEARCH("_", A1452, SEARCH("_", A1452) +1) - SEARCH("_", A1452) -1)</f>
        <v>Math-70</v>
      </c>
      <c r="Y1452" s="1" t="str">
        <f t="shared" si="64"/>
        <v>NO</v>
      </c>
      <c r="Z1452" s="1" t="str">
        <f t="shared" si="65"/>
        <v>NO</v>
      </c>
      <c r="AA1452" t="s">
        <v>1704</v>
      </c>
      <c r="AB1452" t="s">
        <v>1704</v>
      </c>
      <c r="AC1452" s="1" t="s">
        <v>1705</v>
      </c>
      <c r="AD1452" s="1" t="s">
        <v>1704</v>
      </c>
      <c r="AE1452" s="1" t="s">
        <v>1705</v>
      </c>
      <c r="AF1452" s="1" t="s">
        <v>1704</v>
      </c>
    </row>
    <row r="1453" spans="1:32" ht="15" x14ac:dyDescent="0.35">
      <c r="A1453" s="5" t="s">
        <v>1645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>LEFT($A1453,FIND("_",$A1453)-1)</f>
        <v>RSRepair-A</v>
      </c>
      <c r="P1453" s="13" t="str">
        <f>IF($O1453="ACS", "True Search", IF($O1453="Arja", "Evolutionary Search", IF($O1453="AVATAR", "True Pattern", IF($O1453="CapGen", "Search Like Pattern", IF($O1453="Cardumen", "True Semantic", IF($O1453="DynaMoth", "True Semantic", IF($O1453="FixMiner", "True Pattern", IF($O1453="GenProg-A", "Evolutionary Search", IF($O1453="Hercules", "Learning Pattern", IF($O1453="Jaid", "True Semantic",
IF($O1453="Kali-A", "True Search", IF($O1453="kPAR", "True Pattern", IF($O1453="Nopol", "True Semantic", IF($O1453="RSRepair-A", "Evolutionary Search", IF($O1453="SequenceR", "Deep Learning", IF($O1453="SimFix", "Search Like Pattern", IF($O1453="SketchFix", "True Pattern", IF($O1453="SOFix", "True Pattern", IF($O1453="ssFix", "Search Like Pattern", IF($O1453="TBar", "True Pattern", ""))))))))))))))))))))</f>
        <v>Evolutionary Search</v>
      </c>
      <c r="Q1453" s="13" t="str">
        <f>IF(NOT(ISERR(SEARCH("*_Buggy",$A1453))), "Buggy", IF(NOT(ISERR(SEARCH("*_Fixed",$A1453))), "Fixed", IF(NOT(ISERR(SEARCH("*_Repaired",$A1453))), "Repaired", "")))</f>
        <v>Repaired</v>
      </c>
      <c r="R1453" s="13" t="s">
        <v>1669</v>
      </c>
      <c r="S1453" s="25">
        <v>1</v>
      </c>
      <c r="T1453" s="25">
        <v>6</v>
      </c>
      <c r="U1453" s="25">
        <v>1</v>
      </c>
      <c r="V1453" s="13">
        <v>6</v>
      </c>
      <c r="W1453" s="13" t="str">
        <f>MID(A1453, SEARCH("_", A1453) +1, SEARCH("_", A1453, SEARCH("_", A1453) +1) - SEARCH("_", A1453) -1)</f>
        <v>Math-80</v>
      </c>
      <c r="Y1453" s="1" t="str">
        <f t="shared" si="64"/>
        <v>NO</v>
      </c>
      <c r="Z1453" s="1" t="str">
        <f t="shared" si="65"/>
        <v>NO</v>
      </c>
      <c r="AA1453" t="s">
        <v>1704</v>
      </c>
      <c r="AB1453" t="s">
        <v>1704</v>
      </c>
      <c r="AC1453" s="1" t="s">
        <v>1704</v>
      </c>
      <c r="AD1453" s="1" t="s">
        <v>1704</v>
      </c>
      <c r="AE1453" s="1" t="s">
        <v>1704</v>
      </c>
      <c r="AF1453" s="1" t="s">
        <v>1704</v>
      </c>
    </row>
    <row r="1454" spans="1:32" ht="15" x14ac:dyDescent="0.35">
      <c r="A1454" s="7" t="s">
        <v>1646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>LEFT($A1454,FIND("_",$A1454)-1)</f>
        <v>RSRepair-A</v>
      </c>
      <c r="P1454" s="13" t="str">
        <f>IF($O1454="ACS", "True Search", IF($O1454="Arja", "Evolutionary Search", IF($O1454="AVATAR", "True Pattern", IF($O1454="CapGen", "Search Like Pattern", IF($O1454="Cardumen", "True Semantic", IF($O1454="DynaMoth", "True Semantic", IF($O1454="FixMiner", "True Pattern", IF($O1454="GenProg-A", "Evolutionary Search", IF($O1454="Hercules", "Learning Pattern", IF($O1454="Jaid", "True Semantic",
IF($O1454="Kali-A", "True Search", IF($O1454="kPAR", "True Pattern", IF($O1454="Nopol", "True Semantic", IF($O1454="RSRepair-A", "Evolutionary Search", IF($O1454="SequenceR", "Deep Learning", IF($O1454="SimFix", "Search Like Pattern", IF($O1454="SketchFix", "True Pattern", IF($O1454="SOFix", "True Pattern", IF($O1454="ssFix", "Search Like Pattern", IF($O1454="TBar", "True Pattern", ""))))))))))))))))))))</f>
        <v>Evolutionary Search</v>
      </c>
      <c r="Q1454" s="13" t="str">
        <f>IF(NOT(ISERR(SEARCH("*_Buggy",$A1454))), "Buggy", IF(NOT(ISERR(SEARCH("*_Fixed",$A1454))), "Fixed", IF(NOT(ISERR(SEARCH("*_Repaired",$A1454))), "Repaired", "")))</f>
        <v>Repaired</v>
      </c>
      <c r="R1454" s="13" t="s">
        <v>1669</v>
      </c>
      <c r="S1454" s="25">
        <v>1</v>
      </c>
      <c r="T1454" s="25">
        <v>0</v>
      </c>
      <c r="U1454" s="13">
        <v>21</v>
      </c>
      <c r="V1454" s="13">
        <v>21</v>
      </c>
      <c r="W1454" s="13" t="str">
        <f>MID(A1454, SEARCH("_", A1454) +1, SEARCH("_", A1454, SEARCH("_", A1454) +1) - SEARCH("_", A1454) -1)</f>
        <v>Math-81</v>
      </c>
      <c r="Y1454" s="1" t="str">
        <f t="shared" si="64"/>
        <v>NO</v>
      </c>
      <c r="Z1454" s="1" t="str">
        <f t="shared" si="65"/>
        <v>NO</v>
      </c>
      <c r="AA1454" t="s">
        <v>1704</v>
      </c>
      <c r="AB1454" t="s">
        <v>1704</v>
      </c>
      <c r="AC1454" s="1" t="s">
        <v>1704</v>
      </c>
      <c r="AD1454" s="1" t="s">
        <v>1704</v>
      </c>
      <c r="AE1454" s="1" t="s">
        <v>1704</v>
      </c>
      <c r="AF1454" s="1" t="s">
        <v>1705</v>
      </c>
    </row>
    <row r="1455" spans="1:32" ht="15" x14ac:dyDescent="0.35">
      <c r="A1455" s="5" t="s">
        <v>1647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>LEFT($A1455,FIND("_",$A1455)-1)</f>
        <v>RSRepair-A</v>
      </c>
      <c r="P1455" s="13" t="str">
        <f>IF($O1455="ACS", "True Search", IF($O1455="Arja", "Evolutionary Search", IF($O1455="AVATAR", "True Pattern", IF($O1455="CapGen", "Search Like Pattern", IF($O1455="Cardumen", "True Semantic", IF($O1455="DynaMoth", "True Semantic", IF($O1455="FixMiner", "True Pattern", IF($O1455="GenProg-A", "Evolutionary Search", IF($O1455="Hercules", "Learning Pattern", IF($O1455="Jaid", "True Semantic",
IF($O1455="Kali-A", "True Search", IF($O1455="kPAR", "True Pattern", IF($O1455="Nopol", "True Semantic", IF($O1455="RSRepair-A", "Evolutionary Search", IF($O1455="SequenceR", "Deep Learning", IF($O1455="SimFix", "Search Like Pattern", IF($O1455="SketchFix", "True Pattern", IF($O1455="SOFix", "True Pattern", IF($O1455="ssFix", "Search Like Pattern", IF($O1455="TBar", "True Pattern", ""))))))))))))))))))))</f>
        <v>Evolutionary Search</v>
      </c>
      <c r="Q1455" s="13" t="str">
        <f>IF(NOT(ISERR(SEARCH("*_Buggy",$A1455))), "Buggy", IF(NOT(ISERR(SEARCH("*_Fixed",$A1455))), "Fixed", IF(NOT(ISERR(SEARCH("*_Repaired",$A1455))), "Repaired", "")))</f>
        <v>Repaired</v>
      </c>
      <c r="R1455" s="13" t="s">
        <v>1669</v>
      </c>
      <c r="S1455" s="25">
        <v>1</v>
      </c>
      <c r="T1455" s="25">
        <v>0</v>
      </c>
      <c r="U1455" s="13">
        <v>1</v>
      </c>
      <c r="V1455" s="13">
        <v>1</v>
      </c>
      <c r="W1455" s="13" t="str">
        <f>MID(A1455, SEARCH("_", A1455) +1, SEARCH("_", A1455, SEARCH("_", A1455) +1) - SEARCH("_", A1455) -1)</f>
        <v>Math-82</v>
      </c>
      <c r="Y1455" s="1" t="str">
        <f t="shared" si="64"/>
        <v>NO</v>
      </c>
      <c r="Z1455" s="1" t="str">
        <f t="shared" si="65"/>
        <v>NO</v>
      </c>
      <c r="AA1455" t="s">
        <v>1704</v>
      </c>
      <c r="AB1455" t="s">
        <v>1704</v>
      </c>
      <c r="AC1455" s="1" t="s">
        <v>1705</v>
      </c>
      <c r="AD1455" s="1" t="s">
        <v>1704</v>
      </c>
      <c r="AE1455" s="1" t="s">
        <v>1705</v>
      </c>
      <c r="AF1455" s="1" t="s">
        <v>1704</v>
      </c>
    </row>
    <row r="1456" spans="1:32" ht="15" x14ac:dyDescent="0.35">
      <c r="A1456" s="7" t="s">
        <v>1648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>LEFT($A1456,FIND("_",$A1456)-1)</f>
        <v>RSRepair-A</v>
      </c>
      <c r="P1456" s="13" t="str">
        <f>IF($O1456="ACS", "True Search", IF($O1456="Arja", "Evolutionary Search", IF($O1456="AVATAR", "True Pattern", IF($O1456="CapGen", "Search Like Pattern", IF($O1456="Cardumen", "True Semantic", IF($O1456="DynaMoth", "True Semantic", IF($O1456="FixMiner", "True Pattern", IF($O1456="GenProg-A", "Evolutionary Search", IF($O1456="Hercules", "Learning Pattern", IF($O1456="Jaid", "True Semantic",
IF($O1456="Kali-A", "True Search", IF($O1456="kPAR", "True Pattern", IF($O1456="Nopol", "True Semantic", IF($O1456="RSRepair-A", "Evolutionary Search", IF($O1456="SequenceR", "Deep Learning", IF($O1456="SimFix", "Search Like Pattern", IF($O1456="SketchFix", "True Pattern", IF($O1456="SOFix", "True Pattern", IF($O1456="ssFix", "Search Like Pattern", IF($O1456="TBar", "True Pattern", ""))))))))))))))))))))</f>
        <v>Evolutionary Search</v>
      </c>
      <c r="Q1456" s="13" t="str">
        <f>IF(NOT(ISERR(SEARCH("*_Buggy",$A1456))), "Buggy", IF(NOT(ISERR(SEARCH("*_Fixed",$A1456))), "Fixed", IF(NOT(ISERR(SEARCH("*_Repaired",$A1456))), "Repaired", "")))</f>
        <v>Repaired</v>
      </c>
      <c r="R1456" s="13" t="s">
        <v>1669</v>
      </c>
      <c r="S1456" s="25">
        <v>1</v>
      </c>
      <c r="T1456" s="25">
        <v>1</v>
      </c>
      <c r="U1456" s="25">
        <v>6</v>
      </c>
      <c r="V1456" s="13">
        <v>6</v>
      </c>
      <c r="W1456" s="13" t="str">
        <f>MID(A1456, SEARCH("_", A1456) +1, SEARCH("_", A1456, SEARCH("_", A1456) +1) - SEARCH("_", A1456) -1)</f>
        <v>Math-84</v>
      </c>
      <c r="Y1456" s="1" t="str">
        <f t="shared" si="64"/>
        <v>NO</v>
      </c>
      <c r="Z1456" s="1" t="str">
        <f t="shared" si="65"/>
        <v>NO</v>
      </c>
      <c r="AA1456" t="s">
        <v>1704</v>
      </c>
      <c r="AB1456" t="s">
        <v>1704</v>
      </c>
      <c r="AC1456" s="1" t="s">
        <v>1704</v>
      </c>
      <c r="AD1456" s="1" t="s">
        <v>1704</v>
      </c>
      <c r="AE1456" s="1" t="s">
        <v>1704</v>
      </c>
      <c r="AF1456" s="1" t="s">
        <v>1705</v>
      </c>
    </row>
    <row r="1457" spans="1:32" ht="15" x14ac:dyDescent="0.35">
      <c r="A1457" s="7" t="s">
        <v>1649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>LEFT($A1457,FIND("_",$A1457)-1)</f>
        <v>RSRepair-A</v>
      </c>
      <c r="P1457" s="13" t="str">
        <f>IF($O1457="ACS", "True Search", IF($O1457="Arja", "Evolutionary Search", IF($O1457="AVATAR", "True Pattern", IF($O1457="CapGen", "Search Like Pattern", IF($O1457="Cardumen", "True Semantic", IF($O1457="DynaMoth", "True Semantic", IF($O1457="FixMiner", "True Pattern", IF($O1457="GenProg-A", "Evolutionary Search", IF($O1457="Hercules", "Learning Pattern", IF($O1457="Jaid", "True Semantic",
IF($O1457="Kali-A", "True Search", IF($O1457="kPAR", "True Pattern", IF($O1457="Nopol", "True Semantic", IF($O1457="RSRepair-A", "Evolutionary Search", IF($O1457="SequenceR", "Deep Learning", IF($O1457="SimFix", "Search Like Pattern", IF($O1457="SketchFix", "True Pattern", IF($O1457="SOFix", "True Pattern", IF($O1457="ssFix", "Search Like Pattern", IF($O1457="TBar", "True Pattern", ""))))))))))))))))))))</f>
        <v>Evolutionary Search</v>
      </c>
      <c r="Q1457" s="13" t="str">
        <f>IF(NOT(ISERR(SEARCH("*_Buggy",$A1457))), "Buggy", IF(NOT(ISERR(SEARCH("*_Fixed",$A1457))), "Fixed", IF(NOT(ISERR(SEARCH("*_Repaired",$A1457))), "Repaired", "")))</f>
        <v>Repaired</v>
      </c>
      <c r="R1457" s="13" t="s">
        <v>1669</v>
      </c>
      <c r="S1457" s="25">
        <v>1</v>
      </c>
      <c r="T1457" s="25">
        <v>0</v>
      </c>
      <c r="U1457" s="13">
        <v>9</v>
      </c>
      <c r="V1457" s="13">
        <v>9</v>
      </c>
      <c r="W1457" s="13" t="str">
        <f>MID(A1457, SEARCH("_", A1457) +1, SEARCH("_", A1457, SEARCH("_", A1457) +1) - SEARCH("_", A1457) -1)</f>
        <v>Math-85</v>
      </c>
      <c r="Y1457" s="1" t="str">
        <f t="shared" si="64"/>
        <v>NO</v>
      </c>
      <c r="Z1457" s="1" t="str">
        <f t="shared" si="65"/>
        <v>NO</v>
      </c>
      <c r="AA1457" t="s">
        <v>1704</v>
      </c>
      <c r="AB1457" t="s">
        <v>1704</v>
      </c>
      <c r="AC1457" s="1" t="s">
        <v>1704</v>
      </c>
      <c r="AD1457" s="1" t="s">
        <v>1704</v>
      </c>
      <c r="AE1457" s="1" t="s">
        <v>1704</v>
      </c>
      <c r="AF1457" s="1" t="s">
        <v>1704</v>
      </c>
    </row>
    <row r="1458" spans="1:32" ht="15" x14ac:dyDescent="0.35">
      <c r="A1458" s="5" t="s">
        <v>1650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>LEFT($A1458,FIND("_",$A1458)-1)</f>
        <v>RSRepair-A</v>
      </c>
      <c r="P1458" s="13" t="str">
        <f>IF($O1458="ACS", "True Search", IF($O1458="Arja", "Evolutionary Search", IF($O1458="AVATAR", "True Pattern", IF($O1458="CapGen", "Search Like Pattern", IF($O1458="Cardumen", "True Semantic", IF($O1458="DynaMoth", "True Semantic", IF($O1458="FixMiner", "True Pattern", IF($O1458="GenProg-A", "Evolutionary Search", IF($O1458="Hercules", "Learning Pattern", IF($O1458="Jaid", "True Semantic",
IF($O1458="Kali-A", "True Search", IF($O1458="kPAR", "True Pattern", IF($O1458="Nopol", "True Semantic", IF($O1458="RSRepair-A", "Evolutionary Search", IF($O1458="SequenceR", "Deep Learning", IF($O1458="SimFix", "Search Like Pattern", IF($O1458="SketchFix", "True Pattern", IF($O1458="SOFix", "True Pattern", IF($O1458="ssFix", "Search Like Pattern", IF($O1458="TBar", "True Pattern", ""))))))))))))))))))))</f>
        <v>Evolutionary Search</v>
      </c>
      <c r="Q1458" s="13" t="str">
        <f>IF(NOT(ISERR(SEARCH("*_Buggy",$A1458))), "Buggy", IF(NOT(ISERR(SEARCH("*_Fixed",$A1458))), "Fixed", IF(NOT(ISERR(SEARCH("*_Repaired",$A1458))), "Repaired", "")))</f>
        <v>Repaired</v>
      </c>
      <c r="R1458" s="13" t="s">
        <v>1669</v>
      </c>
      <c r="S1458" s="25">
        <v>1</v>
      </c>
      <c r="T1458" s="25">
        <v>3</v>
      </c>
      <c r="U1458" s="25">
        <v>1</v>
      </c>
      <c r="V1458" s="13">
        <v>3</v>
      </c>
      <c r="W1458" s="13" t="str">
        <f>MID(A1458, SEARCH("_", A1458) +1, SEARCH("_", A1458, SEARCH("_", A1458) +1) - SEARCH("_", A1458) -1)</f>
        <v>Math-88</v>
      </c>
      <c r="Y1458" s="1" t="str">
        <f t="shared" si="64"/>
        <v>NO</v>
      </c>
      <c r="Z1458" s="1" t="str">
        <f t="shared" si="65"/>
        <v>NO</v>
      </c>
      <c r="AA1458" t="s">
        <v>1704</v>
      </c>
      <c r="AB1458" t="s">
        <v>1704</v>
      </c>
      <c r="AC1458" s="1" t="s">
        <v>1704</v>
      </c>
      <c r="AD1458" s="1" t="s">
        <v>1704</v>
      </c>
      <c r="AE1458" s="1" t="s">
        <v>1704</v>
      </c>
      <c r="AF1458" s="1" t="s">
        <v>1705</v>
      </c>
    </row>
    <row r="1459" spans="1:32" ht="15" x14ac:dyDescent="0.35">
      <c r="A1459" s="5" t="s">
        <v>1651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>LEFT($A1459,FIND("_",$A1459)-1)</f>
        <v>RSRepair-A</v>
      </c>
      <c r="P1459" s="13" t="str">
        <f>IF($O1459="ACS", "True Search", IF($O1459="Arja", "Evolutionary Search", IF($O1459="AVATAR", "True Pattern", IF($O1459="CapGen", "Search Like Pattern", IF($O1459="Cardumen", "True Semantic", IF($O1459="DynaMoth", "True Semantic", IF($O1459="FixMiner", "True Pattern", IF($O1459="GenProg-A", "Evolutionary Search", IF($O1459="Hercules", "Learning Pattern", IF($O1459="Jaid", "True Semantic",
IF($O1459="Kali-A", "True Search", IF($O1459="kPAR", "True Pattern", IF($O1459="Nopol", "True Semantic", IF($O1459="RSRepair-A", "Evolutionary Search", IF($O1459="SequenceR", "Deep Learning", IF($O1459="SimFix", "Search Like Pattern", IF($O1459="SketchFix", "True Pattern", IF($O1459="SOFix", "True Pattern", IF($O1459="ssFix", "Search Like Pattern", IF($O1459="TBar", "True Pattern", ""))))))))))))))))))))</f>
        <v>Evolutionary Search</v>
      </c>
      <c r="Q1459" s="13" t="str">
        <f>IF(NOT(ISERR(SEARCH("*_Buggy",$A1459))), "Buggy", IF(NOT(ISERR(SEARCH("*_Fixed",$A1459))), "Fixed", IF(NOT(ISERR(SEARCH("*_Repaired",$A1459))), "Repaired", "")))</f>
        <v>Repaired</v>
      </c>
      <c r="R1459" s="13" t="s">
        <v>1669</v>
      </c>
      <c r="S1459" s="25">
        <v>1</v>
      </c>
      <c r="T1459" s="25">
        <v>1</v>
      </c>
      <c r="U1459" s="25">
        <v>2</v>
      </c>
      <c r="V1459" s="13">
        <v>2</v>
      </c>
      <c r="W1459" s="13" t="str">
        <f>MID(A1459, SEARCH("_", A1459) +1, SEARCH("_", A1459, SEARCH("_", A1459) +1) - SEARCH("_", A1459) -1)</f>
        <v>Math-95</v>
      </c>
      <c r="Y1459" s="1" t="str">
        <f t="shared" si="64"/>
        <v>NO</v>
      </c>
      <c r="Z1459" s="1" t="str">
        <f t="shared" si="65"/>
        <v>NO</v>
      </c>
      <c r="AA1459" t="s">
        <v>1704</v>
      </c>
      <c r="AB1459" t="s">
        <v>1704</v>
      </c>
      <c r="AC1459" s="1" t="s">
        <v>1704</v>
      </c>
      <c r="AD1459" s="1" t="s">
        <v>1704</v>
      </c>
      <c r="AE1459" s="1" t="s">
        <v>1704</v>
      </c>
      <c r="AF1459" s="1" t="s">
        <v>1705</v>
      </c>
    </row>
    <row r="1460" spans="1:32" ht="15" x14ac:dyDescent="0.35">
      <c r="A1460" s="5" t="s">
        <v>1104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>LEFT($A1460,FIND("_",$A1460)-1)</f>
        <v>SimFix</v>
      </c>
      <c r="P1460" s="13" t="str">
        <f>IF($O1460="ACS", "True Search", IF($O1460="Arja", "Evolutionary Search", IF($O1460="AVATAR", "True Pattern", IF($O1460="CapGen", "Search Like Pattern", IF($O1460="Cardumen", "True Semantic", IF($O1460="DynaMoth", "True Semantic", IF($O1460="FixMiner", "True Pattern", IF($O1460="GenProg-A", "Evolutionary Search", IF($O1460="Hercules", "Learning Pattern", IF($O1460="Jaid", "True Semantic",
IF($O1460="Kali-A", "True Search", IF($O1460="kPAR", "True Pattern", IF($O1460="Nopol", "True Semantic", IF($O1460="RSRepair-A", "Evolutionary Search", IF($O1460="SequenceR", "Deep Learning", IF($O1460="SimFix", "Search Like Pattern", IF($O1460="SketchFix", "True Pattern", IF($O1460="SOFix", "True Pattern", IF($O1460="ssFix", "Search Like Pattern", IF($O1460="TBar", "True Pattern", ""))))))))))))))))))))</f>
        <v>Search Like Pattern</v>
      </c>
      <c r="Q1460" s="13" t="str">
        <f>IF(NOT(ISERR(SEARCH("*_Buggy",$A1460))), "Buggy", IF(NOT(ISERR(SEARCH("*_Fixed",$A1460))), "Fixed", IF(NOT(ISERR(SEARCH("*_Repaired",$A1460))), "Repaired", "")))</f>
        <v>Repaired</v>
      </c>
      <c r="R1460" s="13" t="s">
        <v>1668</v>
      </c>
      <c r="S1460" s="25">
        <v>2</v>
      </c>
      <c r="T1460" s="13">
        <v>7</v>
      </c>
      <c r="U1460" s="25">
        <v>0</v>
      </c>
      <c r="V1460" s="13">
        <v>7</v>
      </c>
      <c r="W1460" s="13" t="str">
        <f>MID(A1460, SEARCH("_", A1460) +1, SEARCH("_", A1460, SEARCH("_", A1460) +1) - SEARCH("_", A1460) -1)</f>
        <v>Chart-1</v>
      </c>
      <c r="Y1460" s="1" t="str">
        <f t="shared" si="64"/>
        <v>NO</v>
      </c>
      <c r="Z1460" s="1" t="str">
        <f t="shared" si="65"/>
        <v>YES</v>
      </c>
      <c r="AA1460" t="s">
        <v>1704</v>
      </c>
      <c r="AB1460" t="s">
        <v>1704</v>
      </c>
      <c r="AC1460" s="1" t="s">
        <v>1704</v>
      </c>
      <c r="AD1460" s="1" t="s">
        <v>1704</v>
      </c>
      <c r="AE1460" s="1" t="s">
        <v>1704</v>
      </c>
      <c r="AF1460" s="1" t="s">
        <v>1704</v>
      </c>
    </row>
    <row r="1461" spans="1:32" ht="15" x14ac:dyDescent="0.35">
      <c r="A1461" s="7" t="s">
        <v>1075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>LEFT($A1461,FIND("_",$A1461)-1)</f>
        <v>SimFix</v>
      </c>
      <c r="P1461" s="13" t="str">
        <f>IF($O1461="ACS", "True Search", IF($O1461="Arja", "Evolutionary Search", IF($O1461="AVATAR", "True Pattern", IF($O1461="CapGen", "Search Like Pattern", IF($O1461="Cardumen", "True Semantic", IF($O1461="DynaMoth", "True Semantic", IF($O1461="FixMiner", "True Pattern", IF($O1461="GenProg-A", "Evolutionary Search", IF($O1461="Hercules", "Learning Pattern", IF($O1461="Jaid", "True Semantic",
IF($O1461="Kali-A", "True Search", IF($O1461="kPAR", "True Pattern", IF($O1461="Nopol", "True Semantic", IF($O1461="RSRepair-A", "Evolutionary Search", IF($O1461="SequenceR", "Deep Learning", IF($O1461="SimFix", "Search Like Pattern", IF($O1461="SketchFix", "True Pattern", IF($O1461="SOFix", "True Pattern", IF($O1461="ssFix", "Search Like Pattern", IF($O1461="TBar", "True Pattern", ""))))))))))))))))))))</f>
        <v>Search Like Pattern</v>
      </c>
      <c r="Q1461" s="13" t="str">
        <f>IF(NOT(ISERR(SEARCH("*_Buggy",$A1461))), "Buggy", IF(NOT(ISERR(SEARCH("*_Fixed",$A1461))), "Fixed", IF(NOT(ISERR(SEARCH("*_Repaired",$A1461))), "Repaired", "")))</f>
        <v>Repaired</v>
      </c>
      <c r="R1461" s="13" t="s">
        <v>1669</v>
      </c>
      <c r="S1461" s="25">
        <v>2</v>
      </c>
      <c r="T1461" s="13">
        <v>10</v>
      </c>
      <c r="U1461" s="25">
        <v>0</v>
      </c>
      <c r="V1461" s="13">
        <v>10</v>
      </c>
      <c r="W1461" s="13" t="str">
        <f>MID(A1461, SEARCH("_", A1461) +1, SEARCH("_", A1461, SEARCH("_", A1461) +1) - SEARCH("_", A1461) -1)</f>
        <v>Chart-12</v>
      </c>
      <c r="Y1461" s="1" t="str">
        <f t="shared" si="64"/>
        <v>NO</v>
      </c>
      <c r="Z1461" s="1" t="str">
        <f t="shared" si="65"/>
        <v>YES</v>
      </c>
      <c r="AA1461" t="s">
        <v>1704</v>
      </c>
      <c r="AB1461" t="s">
        <v>1704</v>
      </c>
      <c r="AC1461" s="1" t="s">
        <v>1704</v>
      </c>
      <c r="AD1461" s="1" t="s">
        <v>1704</v>
      </c>
      <c r="AE1461" s="1" t="s">
        <v>1704</v>
      </c>
      <c r="AF1461" s="1" t="s">
        <v>1704</v>
      </c>
    </row>
    <row r="1462" spans="1:32" ht="15" x14ac:dyDescent="0.35">
      <c r="A1462" s="5" t="s">
        <v>1187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>LEFT($A1462,FIND("_",$A1462)-1)</f>
        <v>SimFix</v>
      </c>
      <c r="P1462" s="13" t="str">
        <f>IF($O1462="ACS", "True Search", IF($O1462="Arja", "Evolutionary Search", IF($O1462="AVATAR", "True Pattern", IF($O1462="CapGen", "Search Like Pattern", IF($O1462="Cardumen", "True Semantic", IF($O1462="DynaMoth", "True Semantic", IF($O1462="FixMiner", "True Pattern", IF($O1462="GenProg-A", "Evolutionary Search", IF($O1462="Hercules", "Learning Pattern", IF($O1462="Jaid", "True Semantic",
IF($O1462="Kali-A", "True Search", IF($O1462="kPAR", "True Pattern", IF($O1462="Nopol", "True Semantic", IF($O1462="RSRepair-A", "Evolutionary Search", IF($O1462="SequenceR", "Deep Learning", IF($O1462="SimFix", "Search Like Pattern", IF($O1462="SketchFix", "True Pattern", IF($O1462="SOFix", "True Pattern", IF($O1462="ssFix", "Search Like Pattern", IF($O1462="TBar", "True Pattern", ""))))))))))))))))))))</f>
        <v>Search Like Pattern</v>
      </c>
      <c r="Q1462" s="13" t="str">
        <f>IF(NOT(ISERR(SEARCH("*_Buggy",$A1462))), "Buggy", IF(NOT(ISERR(SEARCH("*_Fixed",$A1462))), "Fixed", IF(NOT(ISERR(SEARCH("*_Repaired",$A1462))), "Repaired", "")))</f>
        <v>Repaired</v>
      </c>
      <c r="R1462" s="13" t="s">
        <v>1669</v>
      </c>
      <c r="S1462" s="25">
        <v>6</v>
      </c>
      <c r="T1462" s="13">
        <v>34</v>
      </c>
      <c r="U1462" s="25">
        <v>0</v>
      </c>
      <c r="V1462" s="13">
        <v>34</v>
      </c>
      <c r="W1462" s="13" t="str">
        <f>MID(A1462, SEARCH("_", A1462) +1, SEARCH("_", A1462, SEARCH("_", A1462) +1) - SEARCH("_", A1462) -1)</f>
        <v>Chart-22</v>
      </c>
      <c r="Y1462" s="1" t="str">
        <f t="shared" si="64"/>
        <v>NO</v>
      </c>
      <c r="Z1462" s="1" t="str">
        <f t="shared" si="65"/>
        <v>YES</v>
      </c>
      <c r="AA1462" t="s">
        <v>1704</v>
      </c>
      <c r="AB1462" t="s">
        <v>1705</v>
      </c>
      <c r="AC1462" s="1" t="s">
        <v>1704</v>
      </c>
      <c r="AD1462" s="1" t="s">
        <v>1704</v>
      </c>
      <c r="AE1462" s="1" t="s">
        <v>1704</v>
      </c>
      <c r="AF1462" s="1" t="s">
        <v>1705</v>
      </c>
    </row>
    <row r="1463" spans="1:32" ht="15" x14ac:dyDescent="0.35">
      <c r="A1463" s="5" t="s">
        <v>869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>LEFT($A1463,FIND("_",$A1463)-1)</f>
        <v>SimFix</v>
      </c>
      <c r="P1463" s="13" t="str">
        <f>IF($O1463="ACS", "True Search", IF($O1463="Arja", "Evolutionary Search", IF($O1463="AVATAR", "True Pattern", IF($O1463="CapGen", "Search Like Pattern", IF($O1463="Cardumen", "True Semantic", IF($O1463="DynaMoth", "True Semantic", IF($O1463="FixMiner", "True Pattern", IF($O1463="GenProg-A", "Evolutionary Search", IF($O1463="Hercules", "Learning Pattern", IF($O1463="Jaid", "True Semantic",
IF($O1463="Kali-A", "True Search", IF($O1463="kPAR", "True Pattern", IF($O1463="Nopol", "True Semantic", IF($O1463="RSRepair-A", "Evolutionary Search", IF($O1463="SequenceR", "Deep Learning", IF($O1463="SimFix", "Search Like Pattern", IF($O1463="SketchFix", "True Pattern", IF($O1463="SOFix", "True Pattern", IF($O1463="ssFix", "Search Like Pattern", IF($O1463="TBar", "True Pattern", ""))))))))))))))))))))</f>
        <v>Search Like Pattern</v>
      </c>
      <c r="Q1463" s="13" t="str">
        <f>IF(NOT(ISERR(SEARCH("*_Buggy",$A1463))), "Buggy", IF(NOT(ISERR(SEARCH("*_Fixed",$A1463))), "Fixed", IF(NOT(ISERR(SEARCH("*_Repaired",$A1463))), "Repaired", "")))</f>
        <v>Repaired</v>
      </c>
      <c r="R1463" s="13" t="s">
        <v>1669</v>
      </c>
      <c r="S1463" s="25">
        <v>2</v>
      </c>
      <c r="T1463" s="13">
        <v>9</v>
      </c>
      <c r="U1463" s="25">
        <v>0</v>
      </c>
      <c r="V1463" s="13">
        <v>9</v>
      </c>
      <c r="W1463" s="13" t="str">
        <f>MID(A1463, SEARCH("_", A1463) +1, SEARCH("_", A1463, SEARCH("_", A1463) +1) - SEARCH("_", A1463) -1)</f>
        <v>Chart-25</v>
      </c>
      <c r="Y1463" s="1" t="str">
        <f t="shared" si="64"/>
        <v>NO</v>
      </c>
      <c r="Z1463" s="1" t="str">
        <f t="shared" si="65"/>
        <v>YES</v>
      </c>
      <c r="AA1463" t="s">
        <v>1704</v>
      </c>
      <c r="AB1463" t="s">
        <v>1705</v>
      </c>
      <c r="AC1463" s="1" t="s">
        <v>1704</v>
      </c>
      <c r="AD1463" s="1" t="s">
        <v>1704</v>
      </c>
      <c r="AE1463" s="1" t="s">
        <v>1704</v>
      </c>
      <c r="AF1463" s="1" t="s">
        <v>1705</v>
      </c>
    </row>
    <row r="1464" spans="1:32" ht="15" x14ac:dyDescent="0.35">
      <c r="A1464" s="5" t="s">
        <v>187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>LEFT($A1464,FIND("_",$A1464)-1)</f>
        <v>SimFix</v>
      </c>
      <c r="P1464" s="13" t="str">
        <f>IF($O1464="ACS", "True Search", IF($O1464="Arja", "Evolutionary Search", IF($O1464="AVATAR", "True Pattern", IF($O1464="CapGen", "Search Like Pattern", IF($O1464="Cardumen", "True Semantic", IF($O1464="DynaMoth", "True Semantic", IF($O1464="FixMiner", "True Pattern", IF($O1464="GenProg-A", "Evolutionary Search", IF($O1464="Hercules", "Learning Pattern", IF($O1464="Jaid", "True Semantic",
IF($O1464="Kali-A", "True Search", IF($O1464="kPAR", "True Pattern", IF($O1464="Nopol", "True Semantic", IF($O1464="RSRepair-A", "Evolutionary Search", IF($O1464="SequenceR", "Deep Learning", IF($O1464="SimFix", "Search Like Pattern", IF($O1464="SketchFix", "True Pattern", IF($O1464="SOFix", "True Pattern", IF($O1464="ssFix", "Search Like Pattern", IF($O1464="TBar", "True Pattern", ""))))))))))))))))))))</f>
        <v>Search Like Pattern</v>
      </c>
      <c r="Q1464" s="13" t="str">
        <f>IF(NOT(ISERR(SEARCH("*_Buggy",$A1464))), "Buggy", IF(NOT(ISERR(SEARCH("*_Fixed",$A1464))), "Fixed", IF(NOT(ISERR(SEARCH("*_Repaired",$A1464))), "Repaired", "")))</f>
        <v>Repaired</v>
      </c>
      <c r="R1464" s="13" t="s">
        <v>1669</v>
      </c>
      <c r="S1464" s="25">
        <v>2</v>
      </c>
      <c r="T1464" s="13">
        <v>9</v>
      </c>
      <c r="U1464" s="25">
        <v>0</v>
      </c>
      <c r="V1464" s="13">
        <v>9</v>
      </c>
      <c r="W1464" s="13" t="str">
        <f>MID(A1464, SEARCH("_", A1464) +1, SEARCH("_", A1464, SEARCH("_", A1464) +1) - SEARCH("_", A1464) -1)</f>
        <v>Closure-11</v>
      </c>
      <c r="Y1464" s="1" t="str">
        <f t="shared" si="64"/>
        <v>NO</v>
      </c>
      <c r="Z1464" s="1" t="str">
        <f t="shared" si="65"/>
        <v>YES</v>
      </c>
      <c r="AA1464" t="s">
        <v>1704</v>
      </c>
      <c r="AB1464" t="s">
        <v>1704</v>
      </c>
      <c r="AC1464" s="1" t="s">
        <v>1704</v>
      </c>
      <c r="AD1464" s="1" t="s">
        <v>1704</v>
      </c>
      <c r="AE1464" s="1" t="s">
        <v>1704</v>
      </c>
      <c r="AF1464" s="1" t="s">
        <v>1705</v>
      </c>
    </row>
    <row r="1465" spans="1:32" ht="15" x14ac:dyDescent="0.35">
      <c r="A1465" s="5" t="s">
        <v>727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>LEFT($A1465,FIND("_",$A1465)-1)</f>
        <v>SimFix</v>
      </c>
      <c r="P1465" s="13" t="str">
        <f>IF($O1465="ACS", "True Search", IF($O1465="Arja", "Evolutionary Search", IF($O1465="AVATAR", "True Pattern", IF($O1465="CapGen", "Search Like Pattern", IF($O1465="Cardumen", "True Semantic", IF($O1465="DynaMoth", "True Semantic", IF($O1465="FixMiner", "True Pattern", IF($O1465="GenProg-A", "Evolutionary Search", IF($O1465="Hercules", "Learning Pattern", IF($O1465="Jaid", "True Semantic",
IF($O1465="Kali-A", "True Search", IF($O1465="kPAR", "True Pattern", IF($O1465="Nopol", "True Semantic", IF($O1465="RSRepair-A", "Evolutionary Search", IF($O1465="SequenceR", "Deep Learning", IF($O1465="SimFix", "Search Like Pattern", IF($O1465="SketchFix", "True Pattern", IF($O1465="SOFix", "True Pattern", IF($O1465="ssFix", "Search Like Pattern", IF($O1465="TBar", "True Pattern", ""))))))))))))))))))))</f>
        <v>Search Like Pattern</v>
      </c>
      <c r="Q1465" s="13" t="str">
        <f>IF(NOT(ISERR(SEARCH("*_Buggy",$A1465))), "Buggy", IF(NOT(ISERR(SEARCH("*_Fixed",$A1465))), "Fixed", IF(NOT(ISERR(SEARCH("*_Repaired",$A1465))), "Repaired", "")))</f>
        <v>Repaired</v>
      </c>
      <c r="R1465" s="13" t="s">
        <v>1668</v>
      </c>
      <c r="S1465" s="25">
        <v>2</v>
      </c>
      <c r="T1465" s="13">
        <v>7</v>
      </c>
      <c r="U1465" s="25">
        <v>0</v>
      </c>
      <c r="V1465" s="13">
        <v>7</v>
      </c>
      <c r="W1465" s="13" t="str">
        <f>MID(A1465, SEARCH("_", A1465) +1, SEARCH("_", A1465, SEARCH("_", A1465) +1) - SEARCH("_", A1465) -1)</f>
        <v>Closure-115</v>
      </c>
      <c r="Y1465" s="1" t="str">
        <f t="shared" si="64"/>
        <v>NO</v>
      </c>
      <c r="Z1465" s="1" t="str">
        <f t="shared" si="65"/>
        <v>YES</v>
      </c>
      <c r="AA1465" t="s">
        <v>1704</v>
      </c>
      <c r="AB1465" t="s">
        <v>1705</v>
      </c>
      <c r="AC1465" s="1" t="s">
        <v>1704</v>
      </c>
      <c r="AD1465" s="1" t="s">
        <v>1704</v>
      </c>
      <c r="AE1465" s="1" t="s">
        <v>1704</v>
      </c>
      <c r="AF1465" s="1" t="s">
        <v>1705</v>
      </c>
    </row>
    <row r="1466" spans="1:32" ht="15" x14ac:dyDescent="0.35">
      <c r="A1466" s="5" t="s">
        <v>1087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>LEFT($A1466,FIND("_",$A1466)-1)</f>
        <v>SimFix</v>
      </c>
      <c r="P1466" s="13" t="str">
        <f>IF($O1466="ACS", "True Search", IF($O1466="Arja", "Evolutionary Search", IF($O1466="AVATAR", "True Pattern", IF($O1466="CapGen", "Search Like Pattern", IF($O1466="Cardumen", "True Semantic", IF($O1466="DynaMoth", "True Semantic", IF($O1466="FixMiner", "True Pattern", IF($O1466="GenProg-A", "Evolutionary Search", IF($O1466="Hercules", "Learning Pattern", IF($O1466="Jaid", "True Semantic",
IF($O1466="Kali-A", "True Search", IF($O1466="kPAR", "True Pattern", IF($O1466="Nopol", "True Semantic", IF($O1466="RSRepair-A", "Evolutionary Search", IF($O1466="SequenceR", "Deep Learning", IF($O1466="SimFix", "Search Like Pattern", IF($O1466="SketchFix", "True Pattern", IF($O1466="SOFix", "True Pattern", IF($O1466="ssFix", "Search Like Pattern", IF($O1466="TBar", "True Pattern", ""))))))))))))))))))))</f>
        <v>Search Like Pattern</v>
      </c>
      <c r="Q1466" s="13" t="str">
        <f>IF(NOT(ISERR(SEARCH("*_Buggy",$A1466))), "Buggy", IF(NOT(ISERR(SEARCH("*_Fixed",$A1466))), "Fixed", IF(NOT(ISERR(SEARCH("*_Repaired",$A1466))), "Repaired", "")))</f>
        <v>Repaired</v>
      </c>
      <c r="R1466" s="13" t="s">
        <v>1669</v>
      </c>
      <c r="S1466" s="25">
        <v>2</v>
      </c>
      <c r="T1466" s="13">
        <v>10</v>
      </c>
      <c r="U1466" s="25">
        <v>0</v>
      </c>
      <c r="V1466" s="13">
        <v>10</v>
      </c>
      <c r="W1466" s="13" t="str">
        <f>MID(A1466, SEARCH("_", A1466) +1, SEARCH("_", A1466, SEARCH("_", A1466) +1) - SEARCH("_", A1466) -1)</f>
        <v>Closure-125</v>
      </c>
      <c r="Y1466" s="1" t="str">
        <f t="shared" si="64"/>
        <v>NO</v>
      </c>
      <c r="Z1466" s="1" t="str">
        <f t="shared" si="65"/>
        <v>YES</v>
      </c>
      <c r="AA1466" t="s">
        <v>1704</v>
      </c>
      <c r="AB1466" t="s">
        <v>1704</v>
      </c>
      <c r="AC1466" s="1" t="s">
        <v>1704</v>
      </c>
      <c r="AD1466" s="1" t="s">
        <v>1704</v>
      </c>
      <c r="AE1466" s="1" t="s">
        <v>1704</v>
      </c>
      <c r="AF1466" s="1" t="s">
        <v>1704</v>
      </c>
    </row>
    <row r="1467" spans="1:32" ht="15" x14ac:dyDescent="0.35">
      <c r="A1467" s="7" t="s">
        <v>1099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>LEFT($A1467,FIND("_",$A1467)-1)</f>
        <v>SimFix</v>
      </c>
      <c r="P1467" s="13" t="str">
        <f>IF($O1467="ACS", "True Search", IF($O1467="Arja", "Evolutionary Search", IF($O1467="AVATAR", "True Pattern", IF($O1467="CapGen", "Search Like Pattern", IF($O1467="Cardumen", "True Semantic", IF($O1467="DynaMoth", "True Semantic", IF($O1467="FixMiner", "True Pattern", IF($O1467="GenProg-A", "Evolutionary Search", IF($O1467="Hercules", "Learning Pattern", IF($O1467="Jaid", "True Semantic",
IF($O1467="Kali-A", "True Search", IF($O1467="kPAR", "True Pattern", IF($O1467="Nopol", "True Semantic", IF($O1467="RSRepair-A", "Evolutionary Search", IF($O1467="SequenceR", "Deep Learning", IF($O1467="SimFix", "Search Like Pattern", IF($O1467="SketchFix", "True Pattern", IF($O1467="SOFix", "True Pattern", IF($O1467="ssFix", "Search Like Pattern", IF($O1467="TBar", "True Pattern", ""))))))))))))))))))))</f>
        <v>Search Like Pattern</v>
      </c>
      <c r="Q1467" s="13" t="str">
        <f>IF(NOT(ISERR(SEARCH("*_Buggy",$A1467))), "Buggy", IF(NOT(ISERR(SEARCH("*_Fixed",$A1467))), "Fixed", IF(NOT(ISERR(SEARCH("*_Repaired",$A1467))), "Repaired", "")))</f>
        <v>Repaired</v>
      </c>
      <c r="R1467" s="13" t="s">
        <v>1668</v>
      </c>
      <c r="S1467" s="25">
        <v>2</v>
      </c>
      <c r="T1467" s="13">
        <v>7</v>
      </c>
      <c r="U1467" s="25">
        <v>0</v>
      </c>
      <c r="V1467" s="13">
        <v>7</v>
      </c>
      <c r="W1467" s="13" t="str">
        <f>MID(A1467, SEARCH("_", A1467) +1, SEARCH("_", A1467, SEARCH("_", A1467) +1) - SEARCH("_", A1467) -1)</f>
        <v>Closure-14</v>
      </c>
      <c r="Y1467" s="1" t="str">
        <f t="shared" si="64"/>
        <v>NO</v>
      </c>
      <c r="Z1467" s="1" t="str">
        <f t="shared" si="65"/>
        <v>YES</v>
      </c>
      <c r="AA1467" t="s">
        <v>1704</v>
      </c>
      <c r="AB1467" t="s">
        <v>1704</v>
      </c>
      <c r="AC1467" s="1" t="s">
        <v>1704</v>
      </c>
      <c r="AD1467" s="1" t="s">
        <v>1704</v>
      </c>
      <c r="AE1467" s="1" t="s">
        <v>1704</v>
      </c>
      <c r="AF1467" s="1" t="s">
        <v>1704</v>
      </c>
    </row>
    <row r="1468" spans="1:32" ht="15" x14ac:dyDescent="0.35">
      <c r="A1468" s="7" t="s">
        <v>1241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>LEFT($A1468,FIND("_",$A1468)-1)</f>
        <v>SimFix</v>
      </c>
      <c r="P1468" s="13" t="str">
        <f>IF($O1468="ACS", "True Search", IF($O1468="Arja", "Evolutionary Search", IF($O1468="AVATAR", "True Pattern", IF($O1468="CapGen", "Search Like Pattern", IF($O1468="Cardumen", "True Semantic", IF($O1468="DynaMoth", "True Semantic", IF($O1468="FixMiner", "True Pattern", IF($O1468="GenProg-A", "Evolutionary Search", IF($O1468="Hercules", "Learning Pattern", IF($O1468="Jaid", "True Semantic",
IF($O1468="Kali-A", "True Search", IF($O1468="kPAR", "True Pattern", IF($O1468="Nopol", "True Semantic", IF($O1468="RSRepair-A", "Evolutionary Search", IF($O1468="SequenceR", "Deep Learning", IF($O1468="SimFix", "Search Like Pattern", IF($O1468="SketchFix", "True Pattern", IF($O1468="SOFix", "True Pattern", IF($O1468="ssFix", "Search Like Pattern", IF($O1468="TBar", "True Pattern", ""))))))))))))))))))))</f>
        <v>Search Like Pattern</v>
      </c>
      <c r="Q1468" s="13" t="str">
        <f>IF(NOT(ISERR(SEARCH("*_Buggy",$A1468))), "Buggy", IF(NOT(ISERR(SEARCH("*_Fixed",$A1468))), "Fixed", IF(NOT(ISERR(SEARCH("*_Repaired",$A1468))), "Repaired", "")))</f>
        <v>Repaired</v>
      </c>
      <c r="R1468" s="13" t="s">
        <v>1668</v>
      </c>
      <c r="S1468" s="25">
        <v>2</v>
      </c>
      <c r="T1468" s="13">
        <v>10</v>
      </c>
      <c r="U1468" s="25">
        <v>0</v>
      </c>
      <c r="V1468" s="13">
        <v>10</v>
      </c>
      <c r="W1468" s="13" t="str">
        <f>MID(A1468, SEARCH("_", A1468) +1, SEARCH("_", A1468, SEARCH("_", A1468) +1) - SEARCH("_", A1468) -1)</f>
        <v>Closure-19</v>
      </c>
      <c r="Y1468" s="1" t="str">
        <f t="shared" si="64"/>
        <v>NO</v>
      </c>
      <c r="Z1468" s="1" t="str">
        <f t="shared" si="65"/>
        <v>YES</v>
      </c>
      <c r="AA1468" t="s">
        <v>1704</v>
      </c>
      <c r="AB1468" t="s">
        <v>1704</v>
      </c>
      <c r="AC1468" s="1" t="s">
        <v>1704</v>
      </c>
      <c r="AD1468" s="1" t="s">
        <v>1704</v>
      </c>
      <c r="AE1468" s="1" t="s">
        <v>1704</v>
      </c>
      <c r="AF1468" s="1" t="s">
        <v>1705</v>
      </c>
    </row>
    <row r="1469" spans="1:32" ht="15" x14ac:dyDescent="0.35">
      <c r="A1469" s="5" t="s">
        <v>950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>LEFT($A1469,FIND("_",$A1469)-1)</f>
        <v>SimFix</v>
      </c>
      <c r="P1469" s="13" t="str">
        <f>IF($O1469="ACS", "True Search", IF($O1469="Arja", "Evolutionary Search", IF($O1469="AVATAR", "True Pattern", IF($O1469="CapGen", "Search Like Pattern", IF($O1469="Cardumen", "True Semantic", IF($O1469="DynaMoth", "True Semantic", IF($O1469="FixMiner", "True Pattern", IF($O1469="GenProg-A", "Evolutionary Search", IF($O1469="Hercules", "Learning Pattern", IF($O1469="Jaid", "True Semantic",
IF($O1469="Kali-A", "True Search", IF($O1469="kPAR", "True Pattern", IF($O1469="Nopol", "True Semantic", IF($O1469="RSRepair-A", "Evolutionary Search", IF($O1469="SequenceR", "Deep Learning", IF($O1469="SimFix", "Search Like Pattern", IF($O1469="SketchFix", "True Pattern", IF($O1469="SOFix", "True Pattern", IF($O1469="ssFix", "Search Like Pattern", IF($O1469="TBar", "True Pattern", ""))))))))))))))))))))</f>
        <v>Search Like Pattern</v>
      </c>
      <c r="Q1469" s="13" t="str">
        <f>IF(NOT(ISERR(SEARCH("*_Buggy",$A1469))), "Buggy", IF(NOT(ISERR(SEARCH("*_Fixed",$A1469))), "Fixed", IF(NOT(ISERR(SEARCH("*_Repaired",$A1469))), "Repaired", "")))</f>
        <v>Repaired</v>
      </c>
      <c r="R1469" s="13" t="s">
        <v>1669</v>
      </c>
      <c r="S1469" s="25">
        <v>2</v>
      </c>
      <c r="T1469" s="13">
        <v>9</v>
      </c>
      <c r="U1469" s="25">
        <v>0</v>
      </c>
      <c r="V1469" s="13">
        <v>9</v>
      </c>
      <c r="W1469" s="13" t="str">
        <f>MID(A1469, SEARCH("_", A1469) +1, SEARCH("_", A1469, SEARCH("_", A1469) +1) - SEARCH("_", A1469) -1)</f>
        <v>Closure-21</v>
      </c>
      <c r="Y1469" s="1" t="str">
        <f t="shared" si="64"/>
        <v>NO</v>
      </c>
      <c r="Z1469" s="1" t="str">
        <f t="shared" si="65"/>
        <v>YES</v>
      </c>
      <c r="AA1469" t="s">
        <v>1704</v>
      </c>
      <c r="AB1469" t="s">
        <v>1705</v>
      </c>
      <c r="AC1469" s="1" t="s">
        <v>1704</v>
      </c>
      <c r="AD1469" s="1" t="s">
        <v>1704</v>
      </c>
      <c r="AE1469" s="1" t="s">
        <v>1704</v>
      </c>
      <c r="AF1469" s="1" t="s">
        <v>1705</v>
      </c>
    </row>
    <row r="1470" spans="1:32" ht="15" x14ac:dyDescent="0.35">
      <c r="A1470" s="7" t="s">
        <v>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>LEFT($A1470,FIND("_",$A1470)-1)</f>
        <v>SimFix</v>
      </c>
      <c r="P1470" s="13" t="str">
        <f>IF($O1470="ACS", "True Search", IF($O1470="Arja", "Evolutionary Search", IF($O1470="AVATAR", "True Pattern", IF($O1470="CapGen", "Search Like Pattern", IF($O1470="Cardumen", "True Semantic", IF($O1470="DynaMoth", "True Semantic", IF($O1470="FixMiner", "True Pattern", IF($O1470="GenProg-A", "Evolutionary Search", IF($O1470="Hercules", "Learning Pattern", IF($O1470="Jaid", "True Semantic",
IF($O1470="Kali-A", "True Search", IF($O1470="kPAR", "True Pattern", IF($O1470="Nopol", "True Semantic", IF($O1470="RSRepair-A", "Evolutionary Search", IF($O1470="SequenceR", "Deep Learning", IF($O1470="SimFix", "Search Like Pattern", IF($O1470="SketchFix", "True Pattern", IF($O1470="SOFix", "True Pattern", IF($O1470="ssFix", "Search Like Pattern", IF($O1470="TBar", "True Pattern", ""))))))))))))))))))))</f>
        <v>Search Like Pattern</v>
      </c>
      <c r="Q1470" s="13" t="str">
        <f>IF(NOT(ISERR(SEARCH("*_Buggy",$A1470))), "Buggy", IF(NOT(ISERR(SEARCH("*_Fixed",$A1470))), "Fixed", IF(NOT(ISERR(SEARCH("*_Repaired",$A1470))), "Repaired", "")))</f>
        <v>Repaired</v>
      </c>
      <c r="R1470" s="13" t="s">
        <v>1669</v>
      </c>
      <c r="S1470" s="25">
        <v>2</v>
      </c>
      <c r="T1470" s="13">
        <v>9</v>
      </c>
      <c r="U1470" s="25">
        <v>0</v>
      </c>
      <c r="V1470" s="13">
        <v>9</v>
      </c>
      <c r="W1470" s="13" t="str">
        <f>MID(A1470, SEARCH("_", A1470) +1, SEARCH("_", A1470, SEARCH("_", A1470) +1) - SEARCH("_", A1470) -1)</f>
        <v>Closure-22</v>
      </c>
      <c r="Y1470" s="1" t="str">
        <f t="shared" si="64"/>
        <v>NO</v>
      </c>
      <c r="Z1470" s="1" t="str">
        <f t="shared" si="65"/>
        <v>YES</v>
      </c>
      <c r="AA1470" t="s">
        <v>1704</v>
      </c>
      <c r="AB1470" t="s">
        <v>1705</v>
      </c>
      <c r="AC1470" s="1" t="s">
        <v>1704</v>
      </c>
      <c r="AD1470" s="1" t="s">
        <v>1704</v>
      </c>
      <c r="AE1470" s="1" t="s">
        <v>1704</v>
      </c>
      <c r="AF1470" s="1" t="s">
        <v>1705</v>
      </c>
    </row>
    <row r="1471" spans="1:32" ht="15" x14ac:dyDescent="0.35">
      <c r="A1471" s="5" t="s">
        <v>480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>LEFT($A1471,FIND("_",$A1471)-1)</f>
        <v>SimFix</v>
      </c>
      <c r="P1471" s="13" t="str">
        <f>IF($O1471="ACS", "True Search", IF($O1471="Arja", "Evolutionary Search", IF($O1471="AVATAR", "True Pattern", IF($O1471="CapGen", "Search Like Pattern", IF($O1471="Cardumen", "True Semantic", IF($O1471="DynaMoth", "True Semantic", IF($O1471="FixMiner", "True Pattern", IF($O1471="GenProg-A", "Evolutionary Search", IF($O1471="Hercules", "Learning Pattern", IF($O1471="Jaid", "True Semantic",
IF($O1471="Kali-A", "True Search", IF($O1471="kPAR", "True Pattern", IF($O1471="Nopol", "True Semantic", IF($O1471="RSRepair-A", "Evolutionary Search", IF($O1471="SequenceR", "Deep Learning", IF($O1471="SimFix", "Search Like Pattern", IF($O1471="SketchFix", "True Pattern", IF($O1471="SOFix", "True Pattern", IF($O1471="ssFix", "Search Like Pattern", IF($O1471="TBar", "True Pattern", ""))))))))))))))))))))</f>
        <v>Search Like Pattern</v>
      </c>
      <c r="Q1471" s="13" t="str">
        <f>IF(NOT(ISERR(SEARCH("*_Buggy",$A1471))), "Buggy", IF(NOT(ISERR(SEARCH("*_Fixed",$A1471))), "Fixed", IF(NOT(ISERR(SEARCH("*_Repaired",$A1471))), "Repaired", "")))</f>
        <v>Repaired</v>
      </c>
      <c r="R1471" s="13" t="s">
        <v>1669</v>
      </c>
      <c r="S1471" s="25">
        <v>2</v>
      </c>
      <c r="T1471" s="13">
        <v>7</v>
      </c>
      <c r="U1471" s="25">
        <v>0</v>
      </c>
      <c r="V1471" s="13">
        <v>7</v>
      </c>
      <c r="W1471" s="13" t="str">
        <f>MID(A1471, SEARCH("_", A1471) +1, SEARCH("_", A1471, SEARCH("_", A1471) +1) - SEARCH("_", A1471) -1)</f>
        <v>Closure-38</v>
      </c>
      <c r="Y1471" s="1" t="str">
        <f t="shared" si="64"/>
        <v>NO</v>
      </c>
      <c r="Z1471" s="1" t="str">
        <f t="shared" si="65"/>
        <v>YES</v>
      </c>
      <c r="AA1471" t="s">
        <v>1704</v>
      </c>
      <c r="AB1471" t="s">
        <v>1704</v>
      </c>
      <c r="AC1471" s="1" t="s">
        <v>1704</v>
      </c>
      <c r="AD1471" s="1" t="s">
        <v>1704</v>
      </c>
      <c r="AE1471" s="1" t="s">
        <v>1704</v>
      </c>
      <c r="AF1471" s="1" t="s">
        <v>1704</v>
      </c>
    </row>
    <row r="1472" spans="1:32" ht="15" x14ac:dyDescent="0.35">
      <c r="A1472" s="7" t="s">
        <v>548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>LEFT($A1472,FIND("_",$A1472)-1)</f>
        <v>SimFix</v>
      </c>
      <c r="P1472" s="13" t="str">
        <f>IF($O1472="ACS", "True Search", IF($O1472="Arja", "Evolutionary Search", IF($O1472="AVATAR", "True Pattern", IF($O1472="CapGen", "Search Like Pattern", IF($O1472="Cardumen", "True Semantic", IF($O1472="DynaMoth", "True Semantic", IF($O1472="FixMiner", "True Pattern", IF($O1472="GenProg-A", "Evolutionary Search", IF($O1472="Hercules", "Learning Pattern", IF($O1472="Jaid", "True Semantic",
IF($O1472="Kali-A", "True Search", IF($O1472="kPAR", "True Pattern", IF($O1472="Nopol", "True Semantic", IF($O1472="RSRepair-A", "Evolutionary Search", IF($O1472="SequenceR", "Deep Learning", IF($O1472="SimFix", "Search Like Pattern", IF($O1472="SketchFix", "True Pattern", IF($O1472="SOFix", "True Pattern", IF($O1472="ssFix", "Search Like Pattern", IF($O1472="TBar", "True Pattern", ""))))))))))))))))))))</f>
        <v>Search Like Pattern</v>
      </c>
      <c r="Q1472" s="13" t="str">
        <f>IF(NOT(ISERR(SEARCH("*_Buggy",$A1472))), "Buggy", IF(NOT(ISERR(SEARCH("*_Fixed",$A1472))), "Fixed", IF(NOT(ISERR(SEARCH("*_Repaired",$A1472))), "Repaired", "")))</f>
        <v>Repaired</v>
      </c>
      <c r="R1472" s="13" t="s">
        <v>1669</v>
      </c>
      <c r="S1472" s="25">
        <v>2</v>
      </c>
      <c r="T1472" s="13">
        <v>14</v>
      </c>
      <c r="U1472" s="25">
        <v>0</v>
      </c>
      <c r="V1472" s="13">
        <v>14</v>
      </c>
      <c r="W1472" s="13" t="str">
        <f>MID(A1472, SEARCH("_", A1472) +1, SEARCH("_", A1472, SEARCH("_", A1472) +1) - SEARCH("_", A1472) -1)</f>
        <v>Closure-46</v>
      </c>
      <c r="Y1472" s="1" t="str">
        <f t="shared" si="64"/>
        <v>NO</v>
      </c>
      <c r="Z1472" s="1" t="str">
        <f t="shared" si="65"/>
        <v>YES</v>
      </c>
      <c r="AA1472" t="s">
        <v>1704</v>
      </c>
      <c r="AB1472" t="s">
        <v>1704</v>
      </c>
      <c r="AC1472" s="1" t="s">
        <v>1704</v>
      </c>
      <c r="AD1472" s="1" t="s">
        <v>1704</v>
      </c>
      <c r="AE1472" s="1" t="s">
        <v>1704</v>
      </c>
      <c r="AF1472" s="1" t="s">
        <v>1705</v>
      </c>
    </row>
    <row r="1473" spans="1:32" ht="15" x14ac:dyDescent="0.35">
      <c r="A1473" s="5" t="s">
        <v>580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>LEFT($A1473,FIND("_",$A1473)-1)</f>
        <v>SimFix</v>
      </c>
      <c r="P1473" s="13" t="str">
        <f>IF($O1473="ACS", "True Search", IF($O1473="Arja", "Evolutionary Search", IF($O1473="AVATAR", "True Pattern", IF($O1473="CapGen", "Search Like Pattern", IF($O1473="Cardumen", "True Semantic", IF($O1473="DynaMoth", "True Semantic", IF($O1473="FixMiner", "True Pattern", IF($O1473="GenProg-A", "Evolutionary Search", IF($O1473="Hercules", "Learning Pattern", IF($O1473="Jaid", "True Semantic",
IF($O1473="Kali-A", "True Search", IF($O1473="kPAR", "True Pattern", IF($O1473="Nopol", "True Semantic", IF($O1473="RSRepair-A", "Evolutionary Search", IF($O1473="SequenceR", "Deep Learning", IF($O1473="SimFix", "Search Like Pattern", IF($O1473="SketchFix", "True Pattern", IF($O1473="SOFix", "True Pattern", IF($O1473="ssFix", "Search Like Pattern", IF($O1473="TBar", "True Pattern", ""))))))))))))))))))))</f>
        <v>Search Like Pattern</v>
      </c>
      <c r="Q1473" s="13" t="str">
        <f>IF(NOT(ISERR(SEARCH("*_Buggy",$A1473))), "Buggy", IF(NOT(ISERR(SEARCH("*_Fixed",$A1473))), "Fixed", IF(NOT(ISERR(SEARCH("*_Repaired",$A1473))), "Repaired", "")))</f>
        <v>Repaired</v>
      </c>
      <c r="R1473" s="13" t="s">
        <v>1668</v>
      </c>
      <c r="S1473" s="25">
        <v>2</v>
      </c>
      <c r="T1473" s="13">
        <v>7</v>
      </c>
      <c r="U1473" s="25">
        <v>0</v>
      </c>
      <c r="V1473" s="13">
        <v>7</v>
      </c>
      <c r="W1473" s="13" t="str">
        <f>MID(A1473, SEARCH("_", A1473) +1, SEARCH("_", A1473, SEARCH("_", A1473) +1) - SEARCH("_", A1473) -1)</f>
        <v>Closure-57</v>
      </c>
      <c r="Y1473" s="1" t="str">
        <f t="shared" si="64"/>
        <v>NO</v>
      </c>
      <c r="Z1473" s="1" t="str">
        <f t="shared" si="65"/>
        <v>YES</v>
      </c>
      <c r="AA1473" t="s">
        <v>1704</v>
      </c>
      <c r="AB1473" t="s">
        <v>1704</v>
      </c>
      <c r="AC1473" s="1" t="s">
        <v>1704</v>
      </c>
      <c r="AD1473" s="1" t="s">
        <v>1704</v>
      </c>
      <c r="AE1473" s="1" t="s">
        <v>1704</v>
      </c>
      <c r="AF1473" s="1" t="s">
        <v>1704</v>
      </c>
    </row>
    <row r="1474" spans="1:32" ht="15" x14ac:dyDescent="0.35">
      <c r="A1474" s="5" t="s">
        <v>343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>LEFT($A1474,FIND("_",$A1474)-1)</f>
        <v>SimFix</v>
      </c>
      <c r="P1474" s="13" t="str">
        <f>IF($O1474="ACS", "True Search", IF($O1474="Arja", "Evolutionary Search", IF($O1474="AVATAR", "True Pattern", IF($O1474="CapGen", "Search Like Pattern", IF($O1474="Cardumen", "True Semantic", IF($O1474="DynaMoth", "True Semantic", IF($O1474="FixMiner", "True Pattern", IF($O1474="GenProg-A", "Evolutionary Search", IF($O1474="Hercules", "Learning Pattern", IF($O1474="Jaid", "True Semantic",
IF($O1474="Kali-A", "True Search", IF($O1474="kPAR", "True Pattern", IF($O1474="Nopol", "True Semantic", IF($O1474="RSRepair-A", "Evolutionary Search", IF($O1474="SequenceR", "Deep Learning", IF($O1474="SimFix", "Search Like Pattern", IF($O1474="SketchFix", "True Pattern", IF($O1474="SOFix", "True Pattern", IF($O1474="ssFix", "Search Like Pattern", IF($O1474="TBar", "True Pattern", ""))))))))))))))))))))</f>
        <v>Search Like Pattern</v>
      </c>
      <c r="Q1474" s="13" t="str">
        <f>IF(NOT(ISERR(SEARCH("*_Buggy",$A1474))), "Buggy", IF(NOT(ISERR(SEARCH("*_Fixed",$A1474))), "Fixed", IF(NOT(ISERR(SEARCH("*_Repaired",$A1474))), "Repaired", "")))</f>
        <v>Repaired</v>
      </c>
      <c r="R1474" s="13" t="s">
        <v>1669</v>
      </c>
      <c r="S1474" s="25">
        <v>2</v>
      </c>
      <c r="T1474" s="13">
        <v>9</v>
      </c>
      <c r="U1474" s="25">
        <v>0</v>
      </c>
      <c r="V1474" s="13">
        <v>9</v>
      </c>
      <c r="W1474" s="13" t="str">
        <f>MID(A1474, SEARCH("_", A1474) +1, SEARCH("_", A1474, SEARCH("_", A1474) +1) - SEARCH("_", A1474) -1)</f>
        <v>Closure-6</v>
      </c>
      <c r="Y1474" s="1" t="str">
        <f t="shared" si="64"/>
        <v>NO</v>
      </c>
      <c r="Z1474" s="1" t="str">
        <f t="shared" si="65"/>
        <v>YES</v>
      </c>
      <c r="AA1474" t="s">
        <v>1704</v>
      </c>
      <c r="AB1474" t="s">
        <v>1705</v>
      </c>
      <c r="AC1474" s="1" t="s">
        <v>1704</v>
      </c>
      <c r="AD1474" s="1" t="s">
        <v>1704</v>
      </c>
      <c r="AE1474" s="1" t="s">
        <v>1704</v>
      </c>
      <c r="AF1474" s="1" t="s">
        <v>1705</v>
      </c>
    </row>
    <row r="1475" spans="1:32" ht="15" x14ac:dyDescent="0.35">
      <c r="A1475" s="7" t="s">
        <v>368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>LEFT($A1475,FIND("_",$A1475)-1)</f>
        <v>SimFix</v>
      </c>
      <c r="P1475" s="13" t="str">
        <f>IF($O1475="ACS", "True Search", IF($O1475="Arja", "Evolutionary Search", IF($O1475="AVATAR", "True Pattern", IF($O1475="CapGen", "Search Like Pattern", IF($O1475="Cardumen", "True Semantic", IF($O1475="DynaMoth", "True Semantic", IF($O1475="FixMiner", "True Pattern", IF($O1475="GenProg-A", "Evolutionary Search", IF($O1475="Hercules", "Learning Pattern", IF($O1475="Jaid", "True Semantic",
IF($O1475="Kali-A", "True Search", IF($O1475="kPAR", "True Pattern", IF($O1475="Nopol", "True Semantic", IF($O1475="RSRepair-A", "Evolutionary Search", IF($O1475="SequenceR", "Deep Learning", IF($O1475="SimFix", "Search Like Pattern", IF($O1475="SketchFix", "True Pattern", IF($O1475="SOFix", "True Pattern", IF($O1475="ssFix", "Search Like Pattern", IF($O1475="TBar", "True Pattern", ""))))))))))))))))))))</f>
        <v>Search Like Pattern</v>
      </c>
      <c r="Q1475" s="13" t="str">
        <f>IF(NOT(ISERR(SEARCH("*_Buggy",$A1475))), "Buggy", IF(NOT(ISERR(SEARCH("*_Fixed",$A1475))), "Fixed", IF(NOT(ISERR(SEARCH("*_Repaired",$A1475))), "Repaired", "")))</f>
        <v>Repaired</v>
      </c>
      <c r="R1475" s="13" t="s">
        <v>1668</v>
      </c>
      <c r="S1475" s="25">
        <v>2</v>
      </c>
      <c r="T1475" s="13">
        <v>15</v>
      </c>
      <c r="U1475" s="25">
        <v>0</v>
      </c>
      <c r="V1475" s="13">
        <v>15</v>
      </c>
      <c r="W1475" s="13" t="str">
        <f>MID(A1475, SEARCH("_", A1475) +1, SEARCH("_", A1475, SEARCH("_", A1475) +1) - SEARCH("_", A1475) -1)</f>
        <v>Closure-62</v>
      </c>
      <c r="Y1475" s="1" t="str">
        <f t="shared" si="64"/>
        <v>NO</v>
      </c>
      <c r="Z1475" s="1" t="str">
        <f t="shared" si="65"/>
        <v>YES</v>
      </c>
      <c r="AA1475" t="s">
        <v>1704</v>
      </c>
      <c r="AB1475" t="s">
        <v>1704</v>
      </c>
      <c r="AC1475" s="1" t="s">
        <v>1704</v>
      </c>
      <c r="AD1475" s="1" t="s">
        <v>1704</v>
      </c>
      <c r="AE1475" s="1" t="s">
        <v>1704</v>
      </c>
      <c r="AF1475" s="1" t="s">
        <v>1704</v>
      </c>
    </row>
    <row r="1476" spans="1:32" ht="15" x14ac:dyDescent="0.35">
      <c r="A1476" s="7" t="s">
        <v>948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>LEFT($A1476,FIND("_",$A1476)-1)</f>
        <v>SimFix</v>
      </c>
      <c r="P1476" s="13" t="str">
        <f>IF($O1476="ACS", "True Search", IF($O1476="Arja", "Evolutionary Search", IF($O1476="AVATAR", "True Pattern", IF($O1476="CapGen", "Search Like Pattern", IF($O1476="Cardumen", "True Semantic", IF($O1476="DynaMoth", "True Semantic", IF($O1476="FixMiner", "True Pattern", IF($O1476="GenProg-A", "Evolutionary Search", IF($O1476="Hercules", "Learning Pattern", IF($O1476="Jaid", "True Semantic",
IF($O1476="Kali-A", "True Search", IF($O1476="kPAR", "True Pattern", IF($O1476="Nopol", "True Semantic", IF($O1476="RSRepair-A", "Evolutionary Search", IF($O1476="SequenceR", "Deep Learning", IF($O1476="SimFix", "Search Like Pattern", IF($O1476="SketchFix", "True Pattern", IF($O1476="SOFix", "True Pattern", IF($O1476="ssFix", "Search Like Pattern", IF($O1476="TBar", "True Pattern", ""))))))))))))))))))))</f>
        <v>Search Like Pattern</v>
      </c>
      <c r="Q1476" s="13" t="str">
        <f>IF(NOT(ISERR(SEARCH("*_Buggy",$A1476))), "Buggy", IF(NOT(ISERR(SEARCH("*_Fixed",$A1476))), "Fixed", IF(NOT(ISERR(SEARCH("*_Repaired",$A1476))), "Repaired", "")))</f>
        <v>Repaired</v>
      </c>
      <c r="R1476" s="13" t="s">
        <v>1668</v>
      </c>
      <c r="S1476" s="25">
        <v>2</v>
      </c>
      <c r="T1476" s="13">
        <v>9</v>
      </c>
      <c r="U1476" s="25">
        <v>0</v>
      </c>
      <c r="V1476" s="13">
        <v>9</v>
      </c>
      <c r="W1476" s="13" t="str">
        <f>MID(A1476, SEARCH("_", A1476) +1, SEARCH("_", A1476, SEARCH("_", A1476) +1) - SEARCH("_", A1476) -1)</f>
        <v>Closure-73</v>
      </c>
      <c r="Y1476" s="1" t="str">
        <f t="shared" si="64"/>
        <v>NO</v>
      </c>
      <c r="Z1476" s="1" t="str">
        <f t="shared" si="65"/>
        <v>YES</v>
      </c>
      <c r="AA1476" t="s">
        <v>1704</v>
      </c>
      <c r="AB1476" t="s">
        <v>1704</v>
      </c>
      <c r="AC1476" s="1" t="s">
        <v>1704</v>
      </c>
      <c r="AD1476" s="1" t="s">
        <v>1704</v>
      </c>
      <c r="AE1476" s="1" t="s">
        <v>1704</v>
      </c>
      <c r="AF1476" s="1" t="s">
        <v>1704</v>
      </c>
    </row>
    <row r="1477" spans="1:32" ht="15" x14ac:dyDescent="0.35">
      <c r="A1477" s="7" t="s">
        <v>568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>LEFT($A1477,FIND("_",$A1477)-1)</f>
        <v>SimFix</v>
      </c>
      <c r="P1477" s="13" t="str">
        <f>IF($O1477="ACS", "True Search", IF($O1477="Arja", "Evolutionary Search", IF($O1477="AVATAR", "True Pattern", IF($O1477="CapGen", "Search Like Pattern", IF($O1477="Cardumen", "True Semantic", IF($O1477="DynaMoth", "True Semantic", IF($O1477="FixMiner", "True Pattern", IF($O1477="GenProg-A", "Evolutionary Search", IF($O1477="Hercules", "Learning Pattern", IF($O1477="Jaid", "True Semantic",
IF($O1477="Kali-A", "True Search", IF($O1477="kPAR", "True Pattern", IF($O1477="Nopol", "True Semantic", IF($O1477="RSRepair-A", "Evolutionary Search", IF($O1477="SequenceR", "Deep Learning", IF($O1477="SimFix", "Search Like Pattern", IF($O1477="SketchFix", "True Pattern", IF($O1477="SOFix", "True Pattern", IF($O1477="ssFix", "Search Like Pattern", IF($O1477="TBar", "True Pattern", ""))))))))))))))))))))</f>
        <v>Search Like Pattern</v>
      </c>
      <c r="Q1477" s="13" t="str">
        <f>IF(NOT(ISERR(SEARCH("*_Buggy",$A1477))), "Buggy", IF(NOT(ISERR(SEARCH("*_Fixed",$A1477))), "Fixed", IF(NOT(ISERR(SEARCH("*_Repaired",$A1477))), "Repaired", "")))</f>
        <v>Repaired</v>
      </c>
      <c r="R1477" s="13" t="s">
        <v>1669</v>
      </c>
      <c r="S1477" s="25">
        <v>2</v>
      </c>
      <c r="T1477" s="13">
        <v>12</v>
      </c>
      <c r="U1477" s="25">
        <v>0</v>
      </c>
      <c r="V1477" s="13">
        <v>12</v>
      </c>
      <c r="W1477" s="13" t="str">
        <f>MID(A1477, SEARCH("_", A1477) +1, SEARCH("_", A1477, SEARCH("_", A1477) +1) - SEARCH("_", A1477) -1)</f>
        <v>Lang-1</v>
      </c>
      <c r="Y1477" s="1" t="str">
        <f t="shared" si="64"/>
        <v>NO</v>
      </c>
      <c r="Z1477" s="1" t="str">
        <f t="shared" si="65"/>
        <v>YES</v>
      </c>
      <c r="AA1477" t="s">
        <v>1704</v>
      </c>
      <c r="AB1477" t="s">
        <v>1705</v>
      </c>
      <c r="AC1477" s="1" t="s">
        <v>1704</v>
      </c>
      <c r="AD1477" s="1" t="s">
        <v>1704</v>
      </c>
      <c r="AE1477" s="1" t="s">
        <v>1704</v>
      </c>
      <c r="AF1477" s="1" t="s">
        <v>1705</v>
      </c>
    </row>
    <row r="1478" spans="1:32" ht="15" x14ac:dyDescent="0.35">
      <c r="A1478" s="7" t="s">
        <v>1064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>LEFT($A1478,FIND("_",$A1478)-1)</f>
        <v>SimFix</v>
      </c>
      <c r="P1478" s="13" t="str">
        <f>IF($O1478="ACS", "True Search", IF($O1478="Arja", "Evolutionary Search", IF($O1478="AVATAR", "True Pattern", IF($O1478="CapGen", "Search Like Pattern", IF($O1478="Cardumen", "True Semantic", IF($O1478="DynaMoth", "True Semantic", IF($O1478="FixMiner", "True Pattern", IF($O1478="GenProg-A", "Evolutionary Search", IF($O1478="Hercules", "Learning Pattern", IF($O1478="Jaid", "True Semantic",
IF($O1478="Kali-A", "True Search", IF($O1478="kPAR", "True Pattern", IF($O1478="Nopol", "True Semantic", IF($O1478="RSRepair-A", "Evolutionary Search", IF($O1478="SequenceR", "Deep Learning", IF($O1478="SimFix", "Search Like Pattern", IF($O1478="SketchFix", "True Pattern", IF($O1478="SOFix", "True Pattern", IF($O1478="ssFix", "Search Like Pattern", IF($O1478="TBar", "True Pattern", ""))))))))))))))))))))</f>
        <v>Search Like Pattern</v>
      </c>
      <c r="Q1478" s="13" t="str">
        <f>IF(NOT(ISERR(SEARCH("*_Buggy",$A1478))), "Buggy", IF(NOT(ISERR(SEARCH("*_Fixed",$A1478))), "Fixed", IF(NOT(ISERR(SEARCH("*_Repaired",$A1478))), "Repaired", "")))</f>
        <v>Repaired</v>
      </c>
      <c r="R1478" s="13" t="s">
        <v>1669</v>
      </c>
      <c r="S1478" s="25">
        <v>2</v>
      </c>
      <c r="T1478" s="13">
        <v>14</v>
      </c>
      <c r="U1478" s="25">
        <v>0</v>
      </c>
      <c r="V1478" s="13">
        <v>14</v>
      </c>
      <c r="W1478" s="13" t="str">
        <f>MID(A1478, SEARCH("_", A1478) +1, SEARCH("_", A1478, SEARCH("_", A1478) +1) - SEARCH("_", A1478) -1)</f>
        <v>Lang-12</v>
      </c>
      <c r="Y1478" s="1" t="str">
        <f t="shared" si="64"/>
        <v>NO</v>
      </c>
      <c r="Z1478" s="1" t="str">
        <f t="shared" si="65"/>
        <v>YES</v>
      </c>
      <c r="AA1478" t="s">
        <v>1704</v>
      </c>
      <c r="AB1478" t="s">
        <v>1705</v>
      </c>
      <c r="AC1478" s="1" t="s">
        <v>1704</v>
      </c>
      <c r="AD1478" s="1" t="s">
        <v>1704</v>
      </c>
      <c r="AE1478" s="1" t="s">
        <v>1704</v>
      </c>
      <c r="AF1478" s="1" t="s">
        <v>1705</v>
      </c>
    </row>
    <row r="1479" spans="1:32" ht="15" x14ac:dyDescent="0.35">
      <c r="A1479" s="5" t="s">
        <v>1261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>LEFT($A1479,FIND("_",$A1479)-1)</f>
        <v>SimFix</v>
      </c>
      <c r="P1479" s="13" t="str">
        <f>IF($O1479="ACS", "True Search", IF($O1479="Arja", "Evolutionary Search", IF($O1479="AVATAR", "True Pattern", IF($O1479="CapGen", "Search Like Pattern", IF($O1479="Cardumen", "True Semantic", IF($O1479="DynaMoth", "True Semantic", IF($O1479="FixMiner", "True Pattern", IF($O1479="GenProg-A", "Evolutionary Search", IF($O1479="Hercules", "Learning Pattern", IF($O1479="Jaid", "True Semantic",
IF($O1479="Kali-A", "True Search", IF($O1479="kPAR", "True Pattern", IF($O1479="Nopol", "True Semantic", IF($O1479="RSRepair-A", "Evolutionary Search", IF($O1479="SequenceR", "Deep Learning", IF($O1479="SimFix", "Search Like Pattern", IF($O1479="SketchFix", "True Pattern", IF($O1479="SOFix", "True Pattern", IF($O1479="ssFix", "Search Like Pattern", IF($O1479="TBar", "True Pattern", ""))))))))))))))))))))</f>
        <v>Search Like Pattern</v>
      </c>
      <c r="Q1479" s="13" t="str">
        <f>IF(NOT(ISERR(SEARCH("*_Buggy",$A1479))), "Buggy", IF(NOT(ISERR(SEARCH("*_Fixed",$A1479))), "Fixed", IF(NOT(ISERR(SEARCH("*_Repaired",$A1479))), "Repaired", "")))</f>
        <v>Repaired</v>
      </c>
      <c r="R1479" s="13" t="s">
        <v>1669</v>
      </c>
      <c r="S1479" s="25">
        <v>2</v>
      </c>
      <c r="T1479" s="13">
        <v>8</v>
      </c>
      <c r="U1479" s="25">
        <v>0</v>
      </c>
      <c r="V1479" s="13">
        <v>8</v>
      </c>
      <c r="W1479" s="13" t="str">
        <f>MID(A1479, SEARCH("_", A1479) +1, SEARCH("_", A1479, SEARCH("_", A1479) +1) - SEARCH("_", A1479) -1)</f>
        <v>Lang-16</v>
      </c>
      <c r="Y1479" s="1" t="str">
        <f t="shared" si="64"/>
        <v>NO</v>
      </c>
      <c r="Z1479" s="1" t="str">
        <f t="shared" si="65"/>
        <v>YES</v>
      </c>
      <c r="AA1479" t="s">
        <v>1704</v>
      </c>
      <c r="AB1479" t="s">
        <v>1704</v>
      </c>
      <c r="AC1479" s="1" t="s">
        <v>1704</v>
      </c>
      <c r="AD1479" s="1" t="s">
        <v>1704</v>
      </c>
      <c r="AE1479" s="1" t="s">
        <v>1704</v>
      </c>
      <c r="AF1479" s="1" t="s">
        <v>1704</v>
      </c>
    </row>
    <row r="1480" spans="1:32" ht="15" x14ac:dyDescent="0.35">
      <c r="A1480" s="5" t="s">
        <v>494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>LEFT($A1480,FIND("_",$A1480)-1)</f>
        <v>SimFix</v>
      </c>
      <c r="P1480" s="13" t="str">
        <f>IF($O1480="ACS", "True Search", IF($O1480="Arja", "Evolutionary Search", IF($O1480="AVATAR", "True Pattern", IF($O1480="CapGen", "Search Like Pattern", IF($O1480="Cardumen", "True Semantic", IF($O1480="DynaMoth", "True Semantic", IF($O1480="FixMiner", "True Pattern", IF($O1480="GenProg-A", "Evolutionary Search", IF($O1480="Hercules", "Learning Pattern", IF($O1480="Jaid", "True Semantic",
IF($O1480="Kali-A", "True Search", IF($O1480="kPAR", "True Pattern", IF($O1480="Nopol", "True Semantic", IF($O1480="RSRepair-A", "Evolutionary Search", IF($O1480="SequenceR", "Deep Learning", IF($O1480="SimFix", "Search Like Pattern", IF($O1480="SketchFix", "True Pattern", IF($O1480="SOFix", "True Pattern", IF($O1480="ssFix", "Search Like Pattern", IF($O1480="TBar", "True Pattern", ""))))))))))))))))))))</f>
        <v>Search Like Pattern</v>
      </c>
      <c r="Q1480" s="13" t="str">
        <f>IF(NOT(ISERR(SEARCH("*_Buggy",$A1480))), "Buggy", IF(NOT(ISERR(SEARCH("*_Fixed",$A1480))), "Fixed", IF(NOT(ISERR(SEARCH("*_Repaired",$A1480))), "Repaired", "")))</f>
        <v>Repaired</v>
      </c>
      <c r="R1480" s="13" t="s">
        <v>1669</v>
      </c>
      <c r="S1480" s="25">
        <v>2</v>
      </c>
      <c r="T1480" s="13">
        <v>8</v>
      </c>
      <c r="U1480" s="25">
        <v>0</v>
      </c>
      <c r="V1480" s="13">
        <v>8</v>
      </c>
      <c r="W1480" s="13" t="str">
        <f>MID(A1480, SEARCH("_", A1480) +1, SEARCH("_", A1480, SEARCH("_", A1480) +1) - SEARCH("_", A1480) -1)</f>
        <v>Lang-27</v>
      </c>
      <c r="Y1480" s="1" t="str">
        <f t="shared" si="64"/>
        <v>NO</v>
      </c>
      <c r="Z1480" s="1" t="str">
        <f t="shared" si="65"/>
        <v>YES</v>
      </c>
      <c r="AA1480" t="s">
        <v>1704</v>
      </c>
      <c r="AB1480" t="s">
        <v>1705</v>
      </c>
      <c r="AC1480" s="1" t="s">
        <v>1704</v>
      </c>
      <c r="AD1480" s="1" t="s">
        <v>1704</v>
      </c>
      <c r="AE1480" s="1" t="s">
        <v>1704</v>
      </c>
      <c r="AF1480" s="1" t="s">
        <v>1705</v>
      </c>
    </row>
    <row r="1481" spans="1:32" ht="15" x14ac:dyDescent="0.35">
      <c r="A1481" s="7" t="s">
        <v>190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>LEFT($A1481,FIND("_",$A1481)-1)</f>
        <v>SimFix</v>
      </c>
      <c r="P1481" s="13" t="str">
        <f>IF($O1481="ACS", "True Search", IF($O1481="Arja", "Evolutionary Search", IF($O1481="AVATAR", "True Pattern", IF($O1481="CapGen", "Search Like Pattern", IF($O1481="Cardumen", "True Semantic", IF($O1481="DynaMoth", "True Semantic", IF($O1481="FixMiner", "True Pattern", IF($O1481="GenProg-A", "Evolutionary Search", IF($O1481="Hercules", "Learning Pattern", IF($O1481="Jaid", "True Semantic",
IF($O1481="Kali-A", "True Search", IF($O1481="kPAR", "True Pattern", IF($O1481="Nopol", "True Semantic", IF($O1481="RSRepair-A", "Evolutionary Search", IF($O1481="SequenceR", "Deep Learning", IF($O1481="SimFix", "Search Like Pattern", IF($O1481="SketchFix", "True Pattern", IF($O1481="SOFix", "True Pattern", IF($O1481="ssFix", "Search Like Pattern", IF($O1481="TBar", "True Pattern", ""))))))))))))))))))))</f>
        <v>Search Like Pattern</v>
      </c>
      <c r="Q1481" s="13" t="str">
        <f>IF(NOT(ISERR(SEARCH("*_Buggy",$A1481))), "Buggy", IF(NOT(ISERR(SEARCH("*_Fixed",$A1481))), "Fixed", IF(NOT(ISERR(SEARCH("*_Repaired",$A1481))), "Repaired", "")))</f>
        <v>Repaired</v>
      </c>
      <c r="R1481" s="13" t="s">
        <v>1668</v>
      </c>
      <c r="S1481" s="25">
        <v>2</v>
      </c>
      <c r="T1481" s="13">
        <v>7</v>
      </c>
      <c r="U1481" s="25">
        <v>0</v>
      </c>
      <c r="V1481" s="13">
        <v>7</v>
      </c>
      <c r="W1481" s="13" t="str">
        <f>MID(A1481, SEARCH("_", A1481) +1, SEARCH("_", A1481, SEARCH("_", A1481) +1) - SEARCH("_", A1481) -1)</f>
        <v>Lang-33</v>
      </c>
      <c r="Y1481" s="1" t="str">
        <f t="shared" si="64"/>
        <v>NO</v>
      </c>
      <c r="Z1481" s="1" t="str">
        <f t="shared" si="65"/>
        <v>YES</v>
      </c>
      <c r="AA1481" t="s">
        <v>1704</v>
      </c>
      <c r="AB1481" t="s">
        <v>1704</v>
      </c>
      <c r="AC1481" s="1" t="s">
        <v>1704</v>
      </c>
      <c r="AD1481" s="1" t="s">
        <v>1704</v>
      </c>
      <c r="AE1481" s="1" t="s">
        <v>1704</v>
      </c>
      <c r="AF1481" s="1" t="s">
        <v>1704</v>
      </c>
    </row>
    <row r="1482" spans="1:32" ht="15" x14ac:dyDescent="0.35">
      <c r="A1482" s="7" t="s">
        <v>402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>LEFT($A1482,FIND("_",$A1482)-1)</f>
        <v>SimFix</v>
      </c>
      <c r="P1482" s="13" t="str">
        <f>IF($O1482="ACS", "True Search", IF($O1482="Arja", "Evolutionary Search", IF($O1482="AVATAR", "True Pattern", IF($O1482="CapGen", "Search Like Pattern", IF($O1482="Cardumen", "True Semantic", IF($O1482="DynaMoth", "True Semantic", IF($O1482="FixMiner", "True Pattern", IF($O1482="GenProg-A", "Evolutionary Search", IF($O1482="Hercules", "Learning Pattern", IF($O1482="Jaid", "True Semantic",
IF($O1482="Kali-A", "True Search", IF($O1482="kPAR", "True Pattern", IF($O1482="Nopol", "True Semantic", IF($O1482="RSRepair-A", "Evolutionary Search", IF($O1482="SequenceR", "Deep Learning", IF($O1482="SimFix", "Search Like Pattern", IF($O1482="SketchFix", "True Pattern", IF($O1482="SOFix", "True Pattern", IF($O1482="ssFix", "Search Like Pattern", IF($O1482="TBar", "True Pattern", ""))))))))))))))))))))</f>
        <v>Search Like Pattern</v>
      </c>
      <c r="Q1482" s="13" t="str">
        <f>IF(NOT(ISERR(SEARCH("*_Buggy",$A1482))), "Buggy", IF(NOT(ISERR(SEARCH("*_Fixed",$A1482))), "Fixed", IF(NOT(ISERR(SEARCH("*_Repaired",$A1482))), "Repaired", "")))</f>
        <v>Repaired</v>
      </c>
      <c r="R1482" s="13" t="s">
        <v>1668</v>
      </c>
      <c r="S1482" s="25">
        <v>2</v>
      </c>
      <c r="T1482" s="13">
        <v>13</v>
      </c>
      <c r="U1482" s="25">
        <v>0</v>
      </c>
      <c r="V1482" s="13">
        <v>13</v>
      </c>
      <c r="W1482" s="13" t="str">
        <f>MID(A1482, SEARCH("_", A1482) +1, SEARCH("_", A1482, SEARCH("_", A1482) +1) - SEARCH("_", A1482) -1)</f>
        <v>Lang-39</v>
      </c>
      <c r="Y1482" s="1" t="str">
        <f t="shared" si="64"/>
        <v>NO</v>
      </c>
      <c r="Z1482" s="1" t="str">
        <f t="shared" si="65"/>
        <v>YES</v>
      </c>
      <c r="AA1482" t="s">
        <v>1704</v>
      </c>
      <c r="AB1482" t="s">
        <v>1704</v>
      </c>
      <c r="AC1482" s="1" t="s">
        <v>1704</v>
      </c>
      <c r="AD1482" s="1" t="s">
        <v>1704</v>
      </c>
      <c r="AE1482" s="1" t="s">
        <v>1704</v>
      </c>
      <c r="AF1482" s="1" t="s">
        <v>1705</v>
      </c>
    </row>
    <row r="1483" spans="1:32" ht="15" x14ac:dyDescent="0.35">
      <c r="A1483" s="5" t="s">
        <v>1154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>LEFT($A1483,FIND("_",$A1483)-1)</f>
        <v>SimFix</v>
      </c>
      <c r="P1483" s="13" t="str">
        <f>IF($O1483="ACS", "True Search", IF($O1483="Arja", "Evolutionary Search", IF($O1483="AVATAR", "True Pattern", IF($O1483="CapGen", "Search Like Pattern", IF($O1483="Cardumen", "True Semantic", IF($O1483="DynaMoth", "True Semantic", IF($O1483="FixMiner", "True Pattern", IF($O1483="GenProg-A", "Evolutionary Search", IF($O1483="Hercules", "Learning Pattern", IF($O1483="Jaid", "True Semantic",
IF($O1483="Kali-A", "True Search", IF($O1483="kPAR", "True Pattern", IF($O1483="Nopol", "True Semantic", IF($O1483="RSRepair-A", "Evolutionary Search", IF($O1483="SequenceR", "Deep Learning", IF($O1483="SimFix", "Search Like Pattern", IF($O1483="SketchFix", "True Pattern", IF($O1483="SOFix", "True Pattern", IF($O1483="ssFix", "Search Like Pattern", IF($O1483="TBar", "True Pattern", ""))))))))))))))))))))</f>
        <v>Search Like Pattern</v>
      </c>
      <c r="Q1483" s="13" t="str">
        <f>IF(NOT(ISERR(SEARCH("*_Buggy",$A1483))), "Buggy", IF(NOT(ISERR(SEARCH("*_Fixed",$A1483))), "Fixed", IF(NOT(ISERR(SEARCH("*_Repaired",$A1483))), "Repaired", "")))</f>
        <v>Repaired</v>
      </c>
      <c r="R1483" s="13" t="s">
        <v>1669</v>
      </c>
      <c r="S1483" s="25">
        <v>4</v>
      </c>
      <c r="T1483" s="13">
        <v>16</v>
      </c>
      <c r="U1483" s="25">
        <v>0</v>
      </c>
      <c r="V1483" s="13">
        <v>16</v>
      </c>
      <c r="W1483" s="13" t="str">
        <f>MID(A1483, SEARCH("_", A1483) +1, SEARCH("_", A1483, SEARCH("_", A1483) +1) - SEARCH("_", A1483) -1)</f>
        <v>Lang-41</v>
      </c>
      <c r="Y1483" s="1" t="str">
        <f t="shared" si="64"/>
        <v>NO</v>
      </c>
      <c r="Z1483" s="1" t="str">
        <f t="shared" si="65"/>
        <v>YES</v>
      </c>
      <c r="AA1483" t="s">
        <v>1704</v>
      </c>
      <c r="AB1483" t="s">
        <v>1705</v>
      </c>
      <c r="AC1483" s="1" t="s">
        <v>1704</v>
      </c>
      <c r="AD1483" s="1" t="s">
        <v>1704</v>
      </c>
      <c r="AE1483" s="1" t="s">
        <v>1704</v>
      </c>
      <c r="AF1483" s="1" t="s">
        <v>1705</v>
      </c>
    </row>
    <row r="1484" spans="1:32" ht="15" x14ac:dyDescent="0.35">
      <c r="A1484" s="5" t="s">
        <v>743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>LEFT($A1484,FIND("_",$A1484)-1)</f>
        <v>SimFix</v>
      </c>
      <c r="P1484" s="13" t="str">
        <f>IF($O1484="ACS", "True Search", IF($O1484="Arja", "Evolutionary Search", IF($O1484="AVATAR", "True Pattern", IF($O1484="CapGen", "Search Like Pattern", IF($O1484="Cardumen", "True Semantic", IF($O1484="DynaMoth", "True Semantic", IF($O1484="FixMiner", "True Pattern", IF($O1484="GenProg-A", "Evolutionary Search", IF($O1484="Hercules", "Learning Pattern", IF($O1484="Jaid", "True Semantic",
IF($O1484="Kali-A", "True Search", IF($O1484="kPAR", "True Pattern", IF($O1484="Nopol", "True Semantic", IF($O1484="RSRepair-A", "Evolutionary Search", IF($O1484="SequenceR", "Deep Learning", IF($O1484="SimFix", "Search Like Pattern", IF($O1484="SketchFix", "True Pattern", IF($O1484="SOFix", "True Pattern", IF($O1484="ssFix", "Search Like Pattern", IF($O1484="TBar", "True Pattern", ""))))))))))))))))))))</f>
        <v>Search Like Pattern</v>
      </c>
      <c r="Q1484" s="13" t="str">
        <f>IF(NOT(ISERR(SEARCH("*_Buggy",$A1484))), "Buggy", IF(NOT(ISERR(SEARCH("*_Fixed",$A1484))), "Fixed", IF(NOT(ISERR(SEARCH("*_Repaired",$A1484))), "Repaired", "")))</f>
        <v>Repaired</v>
      </c>
      <c r="R1484" s="13" t="s">
        <v>1668</v>
      </c>
      <c r="S1484" s="25">
        <v>2</v>
      </c>
      <c r="T1484" s="13">
        <v>8</v>
      </c>
      <c r="U1484" s="25">
        <v>0</v>
      </c>
      <c r="V1484" s="13">
        <v>8</v>
      </c>
      <c r="W1484" s="13" t="str">
        <f>MID(A1484, SEARCH("_", A1484) +1, SEARCH("_", A1484, SEARCH("_", A1484) +1) - SEARCH("_", A1484) -1)</f>
        <v>Lang-43</v>
      </c>
      <c r="Y1484" s="1" t="str">
        <f t="shared" si="64"/>
        <v>NO</v>
      </c>
      <c r="Z1484" s="1" t="str">
        <f t="shared" si="65"/>
        <v>YES</v>
      </c>
      <c r="AA1484" t="s">
        <v>1704</v>
      </c>
      <c r="AB1484" t="s">
        <v>1704</v>
      </c>
      <c r="AC1484" s="1" t="s">
        <v>1704</v>
      </c>
      <c r="AD1484" s="1" t="s">
        <v>1704</v>
      </c>
      <c r="AE1484" s="1" t="s">
        <v>1704</v>
      </c>
      <c r="AF1484" s="1" t="s">
        <v>1704</v>
      </c>
    </row>
    <row r="1485" spans="1:32" ht="15" x14ac:dyDescent="0.35">
      <c r="A1485" s="5" t="s">
        <v>155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>LEFT($A1485,FIND("_",$A1485)-1)</f>
        <v>SimFix</v>
      </c>
      <c r="P1485" s="13" t="str">
        <f>IF($O1485="ACS", "True Search", IF($O1485="Arja", "Evolutionary Search", IF($O1485="AVATAR", "True Pattern", IF($O1485="CapGen", "Search Like Pattern", IF($O1485="Cardumen", "True Semantic", IF($O1485="DynaMoth", "True Semantic", IF($O1485="FixMiner", "True Pattern", IF($O1485="GenProg-A", "Evolutionary Search", IF($O1485="Hercules", "Learning Pattern", IF($O1485="Jaid", "True Semantic",
IF($O1485="Kali-A", "True Search", IF($O1485="kPAR", "True Pattern", IF($O1485="Nopol", "True Semantic", IF($O1485="RSRepair-A", "Evolutionary Search", IF($O1485="SequenceR", "Deep Learning", IF($O1485="SimFix", "Search Like Pattern", IF($O1485="SketchFix", "True Pattern", IF($O1485="SOFix", "True Pattern", IF($O1485="ssFix", "Search Like Pattern", IF($O1485="TBar", "True Pattern", ""))))))))))))))))))))</f>
        <v>Search Like Pattern</v>
      </c>
      <c r="Q1485" s="13" t="str">
        <f>IF(NOT(ISERR(SEARCH("*_Buggy",$A1485))), "Buggy", IF(NOT(ISERR(SEARCH("*_Fixed",$A1485))), "Fixed", IF(NOT(ISERR(SEARCH("*_Repaired",$A1485))), "Repaired", "")))</f>
        <v>Repaired</v>
      </c>
      <c r="R1485" s="13" t="s">
        <v>1669</v>
      </c>
      <c r="S1485" s="25">
        <v>2</v>
      </c>
      <c r="T1485" s="13">
        <v>9</v>
      </c>
      <c r="U1485" s="25">
        <v>0</v>
      </c>
      <c r="V1485" s="13">
        <v>9</v>
      </c>
      <c r="W1485" s="13" t="str">
        <f>MID(A1485, SEARCH("_", A1485) +1, SEARCH("_", A1485, SEARCH("_", A1485) +1) - SEARCH("_", A1485) -1)</f>
        <v>Lang-45</v>
      </c>
      <c r="Y1485" s="1" t="str">
        <f t="shared" si="64"/>
        <v>NO</v>
      </c>
      <c r="Z1485" s="1" t="str">
        <f t="shared" si="65"/>
        <v>YES</v>
      </c>
      <c r="AA1485" t="s">
        <v>1704</v>
      </c>
      <c r="AB1485" t="s">
        <v>1704</v>
      </c>
      <c r="AC1485" s="1" t="s">
        <v>1704</v>
      </c>
      <c r="AD1485" s="1" t="s">
        <v>1704</v>
      </c>
      <c r="AE1485" s="1" t="s">
        <v>1704</v>
      </c>
      <c r="AF1485" s="1" t="s">
        <v>1705</v>
      </c>
    </row>
    <row r="1486" spans="1:32" ht="15" x14ac:dyDescent="0.35">
      <c r="A1486" s="5" t="s">
        <v>1275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>LEFT($A1486,FIND("_",$A1486)-1)</f>
        <v>SimFix</v>
      </c>
      <c r="P1486" s="13" t="str">
        <f>IF($O1486="ACS", "True Search", IF($O1486="Arja", "Evolutionary Search", IF($O1486="AVATAR", "True Pattern", IF($O1486="CapGen", "Search Like Pattern", IF($O1486="Cardumen", "True Semantic", IF($O1486="DynaMoth", "True Semantic", IF($O1486="FixMiner", "True Pattern", IF($O1486="GenProg-A", "Evolutionary Search", IF($O1486="Hercules", "Learning Pattern", IF($O1486="Jaid", "True Semantic",
IF($O1486="Kali-A", "True Search", IF($O1486="kPAR", "True Pattern", IF($O1486="Nopol", "True Semantic", IF($O1486="RSRepair-A", "Evolutionary Search", IF($O1486="SequenceR", "Deep Learning", IF($O1486="SimFix", "Search Like Pattern", IF($O1486="SketchFix", "True Pattern", IF($O1486="SOFix", "True Pattern", IF($O1486="ssFix", "Search Like Pattern", IF($O1486="TBar", "True Pattern", ""))))))))))))))))))))</f>
        <v>Search Like Pattern</v>
      </c>
      <c r="Q1486" s="13" t="str">
        <f>IF(NOT(ISERR(SEARCH("*_Buggy",$A1486))), "Buggy", IF(NOT(ISERR(SEARCH("*_Fixed",$A1486))), "Fixed", IF(NOT(ISERR(SEARCH("*_Repaired",$A1486))), "Repaired", "")))</f>
        <v>Repaired</v>
      </c>
      <c r="R1486" s="13" t="s">
        <v>1669</v>
      </c>
      <c r="S1486" s="25">
        <v>4</v>
      </c>
      <c r="T1486" s="13">
        <v>20</v>
      </c>
      <c r="U1486" s="25">
        <v>0</v>
      </c>
      <c r="V1486" s="13">
        <v>20</v>
      </c>
      <c r="W1486" s="13" t="str">
        <f>MID(A1486, SEARCH("_", A1486) +1, SEARCH("_", A1486, SEARCH("_", A1486) +1) - SEARCH("_", A1486) -1)</f>
        <v>Lang-50</v>
      </c>
      <c r="Y1486" s="1" t="str">
        <f t="shared" si="64"/>
        <v>NO</v>
      </c>
      <c r="Z1486" s="1" t="str">
        <f t="shared" si="65"/>
        <v>YES</v>
      </c>
      <c r="AA1486" t="s">
        <v>1704</v>
      </c>
      <c r="AB1486" t="s">
        <v>1705</v>
      </c>
      <c r="AC1486" s="1" t="s">
        <v>1704</v>
      </c>
      <c r="AD1486" s="1" t="s">
        <v>1704</v>
      </c>
      <c r="AE1486" s="1" t="s">
        <v>1704</v>
      </c>
      <c r="AF1486" s="1" t="s">
        <v>1705</v>
      </c>
    </row>
    <row r="1487" spans="1:32" ht="15" x14ac:dyDescent="0.35">
      <c r="A1487" s="5" t="s">
        <v>456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>LEFT($A1487,FIND("_",$A1487)-1)</f>
        <v>SimFix</v>
      </c>
      <c r="P1487" s="13" t="str">
        <f>IF($O1487="ACS", "True Search", IF($O1487="Arja", "Evolutionary Search", IF($O1487="AVATAR", "True Pattern", IF($O1487="CapGen", "Search Like Pattern", IF($O1487="Cardumen", "True Semantic", IF($O1487="DynaMoth", "True Semantic", IF($O1487="FixMiner", "True Pattern", IF($O1487="GenProg-A", "Evolutionary Search", IF($O1487="Hercules", "Learning Pattern", IF($O1487="Jaid", "True Semantic",
IF($O1487="Kali-A", "True Search", IF($O1487="kPAR", "True Pattern", IF($O1487="Nopol", "True Semantic", IF($O1487="RSRepair-A", "Evolutionary Search", IF($O1487="SequenceR", "Deep Learning", IF($O1487="SimFix", "Search Like Pattern", IF($O1487="SketchFix", "True Pattern", IF($O1487="SOFix", "True Pattern", IF($O1487="ssFix", "Search Like Pattern", IF($O1487="TBar", "True Pattern", ""))))))))))))))))))))</f>
        <v>Search Like Pattern</v>
      </c>
      <c r="Q1487" s="13" t="str">
        <f>IF(NOT(ISERR(SEARCH("*_Buggy",$A1487))), "Buggy", IF(NOT(ISERR(SEARCH("*_Fixed",$A1487))), "Fixed", IF(NOT(ISERR(SEARCH("*_Repaired",$A1487))), "Repaired", "")))</f>
        <v>Repaired</v>
      </c>
      <c r="R1487" s="13" t="s">
        <v>1668</v>
      </c>
      <c r="S1487" s="25">
        <v>2</v>
      </c>
      <c r="T1487" s="13">
        <v>12</v>
      </c>
      <c r="U1487" s="25">
        <v>0</v>
      </c>
      <c r="V1487" s="13">
        <v>12</v>
      </c>
      <c r="W1487" s="13" t="str">
        <f>MID(A1487, SEARCH("_", A1487) +1, SEARCH("_", A1487, SEARCH("_", A1487) +1) - SEARCH("_", A1487) -1)</f>
        <v>Lang-58</v>
      </c>
      <c r="Y1487" s="1" t="str">
        <f t="shared" si="64"/>
        <v>NO</v>
      </c>
      <c r="Z1487" s="1" t="str">
        <f t="shared" si="65"/>
        <v>YES</v>
      </c>
      <c r="AA1487" t="s">
        <v>1704</v>
      </c>
      <c r="AB1487" t="s">
        <v>1704</v>
      </c>
      <c r="AC1487" s="1" t="s">
        <v>1704</v>
      </c>
      <c r="AD1487" s="1" t="s">
        <v>1704</v>
      </c>
      <c r="AE1487" s="1" t="s">
        <v>1704</v>
      </c>
      <c r="AF1487" s="1" t="s">
        <v>1705</v>
      </c>
    </row>
    <row r="1488" spans="1:32" ht="15" x14ac:dyDescent="0.35">
      <c r="A1488" s="7" t="s">
        <v>175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>LEFT($A1488,FIND("_",$A1488)-1)</f>
        <v>SimFix</v>
      </c>
      <c r="P1488" s="13" t="str">
        <f>IF($O1488="ACS", "True Search", IF($O1488="Arja", "Evolutionary Search", IF($O1488="AVATAR", "True Pattern", IF($O1488="CapGen", "Search Like Pattern", IF($O1488="Cardumen", "True Semantic", IF($O1488="DynaMoth", "True Semantic", IF($O1488="FixMiner", "True Pattern", IF($O1488="GenProg-A", "Evolutionary Search", IF($O1488="Hercules", "Learning Pattern", IF($O1488="Jaid", "True Semantic",
IF($O1488="Kali-A", "True Search", IF($O1488="kPAR", "True Pattern", IF($O1488="Nopol", "True Semantic", IF($O1488="RSRepair-A", "Evolutionary Search", IF($O1488="SequenceR", "Deep Learning", IF($O1488="SimFix", "Search Like Pattern", IF($O1488="SketchFix", "True Pattern", IF($O1488="SOFix", "True Pattern", IF($O1488="ssFix", "Search Like Pattern", IF($O1488="TBar", "True Pattern", ""))))))))))))))))))))</f>
        <v>Search Like Pattern</v>
      </c>
      <c r="Q1488" s="13" t="str">
        <f>IF(NOT(ISERR(SEARCH("*_Buggy",$A1488))), "Buggy", IF(NOT(ISERR(SEARCH("*_Fixed",$A1488))), "Fixed", IF(NOT(ISERR(SEARCH("*_Repaired",$A1488))), "Repaired", "")))</f>
        <v>Repaired</v>
      </c>
      <c r="R1488" s="13" t="s">
        <v>1668</v>
      </c>
      <c r="S1488" s="25">
        <v>4</v>
      </c>
      <c r="T1488" s="13">
        <v>18</v>
      </c>
      <c r="U1488" s="25">
        <v>0</v>
      </c>
      <c r="V1488" s="13">
        <v>18</v>
      </c>
      <c r="W1488" s="13" t="str">
        <f>MID(A1488, SEARCH("_", A1488) +1, SEARCH("_", A1488, SEARCH("_", A1488) +1) - SEARCH("_", A1488) -1)</f>
        <v>Lang-60</v>
      </c>
      <c r="Y1488" s="1" t="str">
        <f t="shared" si="64"/>
        <v>NO</v>
      </c>
      <c r="Z1488" s="1" t="str">
        <f t="shared" si="65"/>
        <v>YES</v>
      </c>
      <c r="AA1488" t="s">
        <v>1704</v>
      </c>
      <c r="AB1488" t="s">
        <v>1704</v>
      </c>
      <c r="AC1488" s="1" t="s">
        <v>1704</v>
      </c>
      <c r="AD1488" s="1" t="s">
        <v>1704</v>
      </c>
      <c r="AE1488" s="1" t="s">
        <v>1704</v>
      </c>
      <c r="AF1488" s="1" t="s">
        <v>1705</v>
      </c>
    </row>
    <row r="1489" spans="1:32" ht="15" x14ac:dyDescent="0.35">
      <c r="A1489" s="7" t="s">
        <v>118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>LEFT($A1489,FIND("_",$A1489)-1)</f>
        <v>SimFix</v>
      </c>
      <c r="P1489" s="13" t="str">
        <f>IF($O1489="ACS", "True Search", IF($O1489="Arja", "Evolutionary Search", IF($O1489="AVATAR", "True Pattern", IF($O1489="CapGen", "Search Like Pattern", IF($O1489="Cardumen", "True Semantic", IF($O1489="DynaMoth", "True Semantic", IF($O1489="FixMiner", "True Pattern", IF($O1489="GenProg-A", "Evolutionary Search", IF($O1489="Hercules", "Learning Pattern", IF($O1489="Jaid", "True Semantic",
IF($O1489="Kali-A", "True Search", IF($O1489="kPAR", "True Pattern", IF($O1489="Nopol", "True Semantic", IF($O1489="RSRepair-A", "Evolutionary Search", IF($O1489="SequenceR", "Deep Learning", IF($O1489="SimFix", "Search Like Pattern", IF($O1489="SketchFix", "True Pattern", IF($O1489="SOFix", "True Pattern", IF($O1489="ssFix", "Search Like Pattern", IF($O1489="TBar", "True Pattern", ""))))))))))))))))))))</f>
        <v>Search Like Pattern</v>
      </c>
      <c r="Q1489" s="13" t="str">
        <f>IF(NOT(ISERR(SEARCH("*_Buggy",$A1489))), "Buggy", IF(NOT(ISERR(SEARCH("*_Fixed",$A1489))), "Fixed", IF(NOT(ISERR(SEARCH("*_Repaired",$A1489))), "Repaired", "")))</f>
        <v>Repaired</v>
      </c>
      <c r="R1489" s="13" t="s">
        <v>1669</v>
      </c>
      <c r="S1489" s="25">
        <v>2</v>
      </c>
      <c r="T1489" s="13">
        <v>12</v>
      </c>
      <c r="U1489" s="25">
        <v>0</v>
      </c>
      <c r="V1489" s="13">
        <v>12</v>
      </c>
      <c r="W1489" s="13" t="str">
        <f>MID(A1489, SEARCH("_", A1489) +1, SEARCH("_", A1489, SEARCH("_", A1489) +1) - SEARCH("_", A1489) -1)</f>
        <v>Lang-61</v>
      </c>
      <c r="Y1489" s="1" t="str">
        <f t="shared" si="64"/>
        <v>NO</v>
      </c>
      <c r="Z1489" s="1" t="str">
        <f t="shared" si="65"/>
        <v>YES</v>
      </c>
      <c r="AA1489" t="s">
        <v>1704</v>
      </c>
      <c r="AB1489" t="s">
        <v>1704</v>
      </c>
      <c r="AC1489" s="1" t="s">
        <v>1704</v>
      </c>
      <c r="AD1489" s="1" t="s">
        <v>1704</v>
      </c>
      <c r="AE1489" s="1" t="s">
        <v>1704</v>
      </c>
      <c r="AF1489" s="1" t="s">
        <v>1704</v>
      </c>
    </row>
    <row r="1490" spans="1:32" ht="15" x14ac:dyDescent="0.35">
      <c r="A1490" s="7" t="s">
        <v>856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>LEFT($A1490,FIND("_",$A1490)-1)</f>
        <v>SimFix</v>
      </c>
      <c r="P1490" s="13" t="str">
        <f>IF($O1490="ACS", "True Search", IF($O1490="Arja", "Evolutionary Search", IF($O1490="AVATAR", "True Pattern", IF($O1490="CapGen", "Search Like Pattern", IF($O1490="Cardumen", "True Semantic", IF($O1490="DynaMoth", "True Semantic", IF($O1490="FixMiner", "True Pattern", IF($O1490="GenProg-A", "Evolutionary Search", IF($O1490="Hercules", "Learning Pattern", IF($O1490="Jaid", "True Semantic",
IF($O1490="Kali-A", "True Search", IF($O1490="kPAR", "True Pattern", IF($O1490="Nopol", "True Semantic", IF($O1490="RSRepair-A", "Evolutionary Search", IF($O1490="SequenceR", "Deep Learning", IF($O1490="SimFix", "Search Like Pattern", IF($O1490="SketchFix", "True Pattern", IF($O1490="SOFix", "True Pattern", IF($O1490="ssFix", "Search Like Pattern", IF($O1490="TBar", "True Pattern", ""))))))))))))))))))))</f>
        <v>Search Like Pattern</v>
      </c>
      <c r="Q1490" s="13" t="str">
        <f>IF(NOT(ISERR(SEARCH("*_Buggy",$A1490))), "Buggy", IF(NOT(ISERR(SEARCH("*_Fixed",$A1490))), "Fixed", IF(NOT(ISERR(SEARCH("*_Repaired",$A1490))), "Repaired", "")))</f>
        <v>Repaired</v>
      </c>
      <c r="R1490" s="13" t="s">
        <v>1669</v>
      </c>
      <c r="S1490" s="25">
        <v>2</v>
      </c>
      <c r="T1490" s="13">
        <v>11</v>
      </c>
      <c r="U1490" s="25">
        <v>0</v>
      </c>
      <c r="V1490" s="13">
        <v>11</v>
      </c>
      <c r="W1490" s="13" t="str">
        <f>MID(A1490, SEARCH("_", A1490) +1, SEARCH("_", A1490, SEARCH("_", A1490) +1) - SEARCH("_", A1490) -1)</f>
        <v>Lang-63</v>
      </c>
      <c r="Y1490" s="1" t="str">
        <f t="shared" si="64"/>
        <v>NO</v>
      </c>
      <c r="Z1490" s="1" t="str">
        <f t="shared" si="65"/>
        <v>YES</v>
      </c>
      <c r="AA1490" t="s">
        <v>1704</v>
      </c>
      <c r="AB1490" t="s">
        <v>1705</v>
      </c>
      <c r="AC1490" s="1" t="s">
        <v>1704</v>
      </c>
      <c r="AD1490" s="1" t="s">
        <v>1704</v>
      </c>
      <c r="AE1490" s="1" t="s">
        <v>1704</v>
      </c>
      <c r="AF1490" s="1" t="s">
        <v>1705</v>
      </c>
    </row>
    <row r="1491" spans="1:32" ht="15" x14ac:dyDescent="0.35">
      <c r="A1491" s="7" t="s">
        <v>774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>LEFT($A1491,FIND("_",$A1491)-1)</f>
        <v>SimFix</v>
      </c>
      <c r="P1491" s="13" t="str">
        <f>IF($O1491="ACS", "True Search", IF($O1491="Arja", "Evolutionary Search", IF($O1491="AVATAR", "True Pattern", IF($O1491="CapGen", "Search Like Pattern", IF($O1491="Cardumen", "True Semantic", IF($O1491="DynaMoth", "True Semantic", IF($O1491="FixMiner", "True Pattern", IF($O1491="GenProg-A", "Evolutionary Search", IF($O1491="Hercules", "Learning Pattern", IF($O1491="Jaid", "True Semantic",
IF($O1491="Kali-A", "True Search", IF($O1491="kPAR", "True Pattern", IF($O1491="Nopol", "True Semantic", IF($O1491="RSRepair-A", "Evolutionary Search", IF($O1491="SequenceR", "Deep Learning", IF($O1491="SimFix", "Search Like Pattern", IF($O1491="SketchFix", "True Pattern", IF($O1491="SOFix", "True Pattern", IF($O1491="ssFix", "Search Like Pattern", IF($O1491="TBar", "True Pattern", ""))))))))))))))))))))</f>
        <v>Search Like Pattern</v>
      </c>
      <c r="Q1491" s="13" t="str">
        <f>IF(NOT(ISERR(SEARCH("*_Buggy",$A1491))), "Buggy", IF(NOT(ISERR(SEARCH("*_Fixed",$A1491))), "Fixed", IF(NOT(ISERR(SEARCH("*_Repaired",$A1491))), "Repaired", "")))</f>
        <v>Repaired</v>
      </c>
      <c r="R1491" s="13" t="s">
        <v>1668</v>
      </c>
      <c r="S1491" s="25">
        <v>2</v>
      </c>
      <c r="T1491" s="13">
        <v>7</v>
      </c>
      <c r="U1491" s="25">
        <v>0</v>
      </c>
      <c r="V1491" s="13">
        <v>7</v>
      </c>
      <c r="W1491" s="13" t="str">
        <f>MID(A1491, SEARCH("_", A1491) +1, SEARCH("_", A1491, SEARCH("_", A1491) +1) - SEARCH("_", A1491) -1)</f>
        <v>Math-33</v>
      </c>
      <c r="Y1491" s="1" t="str">
        <f t="shared" si="64"/>
        <v>NO</v>
      </c>
      <c r="Z1491" s="1" t="str">
        <f t="shared" si="65"/>
        <v>YES</v>
      </c>
      <c r="AA1491" t="s">
        <v>1704</v>
      </c>
      <c r="AB1491" t="s">
        <v>1704</v>
      </c>
      <c r="AC1491" s="1" t="s">
        <v>1704</v>
      </c>
      <c r="AD1491" s="1" t="s">
        <v>1704</v>
      </c>
      <c r="AE1491" s="1" t="s">
        <v>1704</v>
      </c>
      <c r="AF1491" s="1" t="s">
        <v>1704</v>
      </c>
    </row>
    <row r="1492" spans="1:32" ht="15" x14ac:dyDescent="0.35">
      <c r="A1492" s="7" t="s">
        <v>426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>LEFT($A1492,FIND("_",$A1492)-1)</f>
        <v>SimFix</v>
      </c>
      <c r="P1492" s="13" t="str">
        <f>IF($O1492="ACS", "True Search", IF($O1492="Arja", "Evolutionary Search", IF($O1492="AVATAR", "True Pattern", IF($O1492="CapGen", "Search Like Pattern", IF($O1492="Cardumen", "True Semantic", IF($O1492="DynaMoth", "True Semantic", IF($O1492="FixMiner", "True Pattern", IF($O1492="GenProg-A", "Evolutionary Search", IF($O1492="Hercules", "Learning Pattern", IF($O1492="Jaid", "True Semantic",
IF($O1492="Kali-A", "True Search", IF($O1492="kPAR", "True Pattern", IF($O1492="Nopol", "True Semantic", IF($O1492="RSRepair-A", "Evolutionary Search", IF($O1492="SequenceR", "Deep Learning", IF($O1492="SimFix", "Search Like Pattern", IF($O1492="SketchFix", "True Pattern", IF($O1492="SOFix", "True Pattern", IF($O1492="ssFix", "Search Like Pattern", IF($O1492="TBar", "True Pattern", ""))))))))))))))))))))</f>
        <v>Search Like Pattern</v>
      </c>
      <c r="Q1492" s="13" t="str">
        <f>IF(NOT(ISERR(SEARCH("*_Buggy",$A1492))), "Buggy", IF(NOT(ISERR(SEARCH("*_Fixed",$A1492))), "Fixed", IF(NOT(ISERR(SEARCH("*_Repaired",$A1492))), "Repaired", "")))</f>
        <v>Repaired</v>
      </c>
      <c r="R1492" s="13" t="s">
        <v>1668</v>
      </c>
      <c r="S1492" s="25">
        <v>4</v>
      </c>
      <c r="T1492" s="13">
        <v>18</v>
      </c>
      <c r="U1492" s="25">
        <v>0</v>
      </c>
      <c r="V1492" s="13">
        <v>18</v>
      </c>
      <c r="W1492" s="13" t="str">
        <f>MID(A1492, SEARCH("_", A1492) +1, SEARCH("_", A1492, SEARCH("_", A1492) +1) - SEARCH("_", A1492) -1)</f>
        <v>Math-35</v>
      </c>
      <c r="Y1492" s="1" t="str">
        <f t="shared" si="64"/>
        <v>NO</v>
      </c>
      <c r="Z1492" s="1" t="str">
        <f t="shared" si="65"/>
        <v>YES</v>
      </c>
      <c r="AA1492" t="s">
        <v>1704</v>
      </c>
      <c r="AB1492" t="s">
        <v>1704</v>
      </c>
      <c r="AC1492" s="1" t="s">
        <v>1704</v>
      </c>
      <c r="AD1492" s="1" t="s">
        <v>1704</v>
      </c>
      <c r="AE1492" s="1" t="s">
        <v>1704</v>
      </c>
      <c r="AF1492" s="1" t="s">
        <v>1705</v>
      </c>
    </row>
    <row r="1493" spans="1:32" ht="15" x14ac:dyDescent="0.35">
      <c r="A1493" s="7" t="s">
        <v>520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>LEFT($A1493,FIND("_",$A1493)-1)</f>
        <v>SimFix</v>
      </c>
      <c r="P1493" s="13" t="str">
        <f>IF($O1493="ACS", "True Search", IF($O1493="Arja", "Evolutionary Search", IF($O1493="AVATAR", "True Pattern", IF($O1493="CapGen", "Search Like Pattern", IF($O1493="Cardumen", "True Semantic", IF($O1493="DynaMoth", "True Semantic", IF($O1493="FixMiner", "True Pattern", IF($O1493="GenProg-A", "Evolutionary Search", IF($O1493="Hercules", "Learning Pattern", IF($O1493="Jaid", "True Semantic",
IF($O1493="Kali-A", "True Search", IF($O1493="kPAR", "True Pattern", IF($O1493="Nopol", "True Semantic", IF($O1493="RSRepair-A", "Evolutionary Search", IF($O1493="SequenceR", "Deep Learning", IF($O1493="SimFix", "Search Like Pattern", IF($O1493="SketchFix", "True Pattern", IF($O1493="SOFix", "True Pattern", IF($O1493="ssFix", "Search Like Pattern", IF($O1493="TBar", "True Pattern", ""))))))))))))))))))))</f>
        <v>Search Like Pattern</v>
      </c>
      <c r="Q1493" s="13" t="str">
        <f>IF(NOT(ISERR(SEARCH("*_Buggy",$A1493))), "Buggy", IF(NOT(ISERR(SEARCH("*_Fixed",$A1493))), "Fixed", IF(NOT(ISERR(SEARCH("*_Repaired",$A1493))), "Repaired", "")))</f>
        <v>Repaired</v>
      </c>
      <c r="R1493" s="13" t="s">
        <v>1668</v>
      </c>
      <c r="S1493" s="25">
        <v>2</v>
      </c>
      <c r="T1493" s="13">
        <v>7</v>
      </c>
      <c r="U1493" s="25">
        <v>0</v>
      </c>
      <c r="V1493" s="13">
        <v>7</v>
      </c>
      <c r="W1493" s="13" t="str">
        <f>MID(A1493, SEARCH("_", A1493) +1, SEARCH("_", A1493, SEARCH("_", A1493) +1) - SEARCH("_", A1493) -1)</f>
        <v>Math-41</v>
      </c>
      <c r="Y1493" s="1" t="str">
        <f t="shared" si="64"/>
        <v>NO</v>
      </c>
      <c r="Z1493" s="1" t="str">
        <f t="shared" si="65"/>
        <v>YES</v>
      </c>
      <c r="AA1493" t="s">
        <v>1704</v>
      </c>
      <c r="AB1493" t="s">
        <v>1704</v>
      </c>
      <c r="AC1493" s="1" t="s">
        <v>1704</v>
      </c>
      <c r="AD1493" s="1" t="s">
        <v>1704</v>
      </c>
      <c r="AE1493" s="1" t="s">
        <v>1704</v>
      </c>
      <c r="AF1493" s="1" t="s">
        <v>1704</v>
      </c>
    </row>
    <row r="1494" spans="1:32" ht="15" x14ac:dyDescent="0.35">
      <c r="A1494" s="7" t="s">
        <v>823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>LEFT($A1494,FIND("_",$A1494)-1)</f>
        <v>SimFix</v>
      </c>
      <c r="P1494" s="13" t="str">
        <f>IF($O1494="ACS", "True Search", IF($O1494="Arja", "Evolutionary Search", IF($O1494="AVATAR", "True Pattern", IF($O1494="CapGen", "Search Like Pattern", IF($O1494="Cardumen", "True Semantic", IF($O1494="DynaMoth", "True Semantic", IF($O1494="FixMiner", "True Pattern", IF($O1494="GenProg-A", "Evolutionary Search", IF($O1494="Hercules", "Learning Pattern", IF($O1494="Jaid", "True Semantic",
IF($O1494="Kali-A", "True Search", IF($O1494="kPAR", "True Pattern", IF($O1494="Nopol", "True Semantic", IF($O1494="RSRepair-A", "Evolutionary Search", IF($O1494="SequenceR", "Deep Learning", IF($O1494="SimFix", "Search Like Pattern", IF($O1494="SketchFix", "True Pattern", IF($O1494="SOFix", "True Pattern", IF($O1494="ssFix", "Search Like Pattern", IF($O1494="TBar", "True Pattern", ""))))))))))))))))))))</f>
        <v>Search Like Pattern</v>
      </c>
      <c r="Q1494" s="13" t="str">
        <f>IF(NOT(ISERR(SEARCH("*_Buggy",$A1494))), "Buggy", IF(NOT(ISERR(SEARCH("*_Fixed",$A1494))), "Fixed", IF(NOT(ISERR(SEARCH("*_Repaired",$A1494))), "Repaired", "")))</f>
        <v>Repaired</v>
      </c>
      <c r="R1494" s="13" t="s">
        <v>1669</v>
      </c>
      <c r="S1494" s="25">
        <v>4</v>
      </c>
      <c r="T1494" s="13">
        <v>14</v>
      </c>
      <c r="U1494" s="25">
        <v>0</v>
      </c>
      <c r="V1494" s="13">
        <v>14</v>
      </c>
      <c r="W1494" s="13" t="str">
        <f>MID(A1494, SEARCH("_", A1494) +1, SEARCH("_", A1494, SEARCH("_", A1494) +1) - SEARCH("_", A1494) -1)</f>
        <v>Math-43</v>
      </c>
      <c r="Y1494" s="1" t="str">
        <f t="shared" si="64"/>
        <v>NO</v>
      </c>
      <c r="Z1494" s="1" t="str">
        <f t="shared" si="65"/>
        <v>YES</v>
      </c>
      <c r="AA1494" t="s">
        <v>1704</v>
      </c>
      <c r="AB1494" t="s">
        <v>1704</v>
      </c>
      <c r="AC1494" s="1" t="s">
        <v>1704</v>
      </c>
      <c r="AD1494" s="1" t="s">
        <v>1704</v>
      </c>
      <c r="AE1494" s="1" t="s">
        <v>1704</v>
      </c>
      <c r="AF1494" s="1" t="s">
        <v>1705</v>
      </c>
    </row>
    <row r="1495" spans="1:32" ht="15" x14ac:dyDescent="0.35">
      <c r="A1495" s="7" t="s">
        <v>36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>LEFT($A1495,FIND("_",$A1495)-1)</f>
        <v>SimFix</v>
      </c>
      <c r="P1495" s="13" t="str">
        <f>IF($O1495="ACS", "True Search", IF($O1495="Arja", "Evolutionary Search", IF($O1495="AVATAR", "True Pattern", IF($O1495="CapGen", "Search Like Pattern", IF($O1495="Cardumen", "True Semantic", IF($O1495="DynaMoth", "True Semantic", IF($O1495="FixMiner", "True Pattern", IF($O1495="GenProg-A", "Evolutionary Search", IF($O1495="Hercules", "Learning Pattern", IF($O1495="Jaid", "True Semantic",
IF($O1495="Kali-A", "True Search", IF($O1495="kPAR", "True Pattern", IF($O1495="Nopol", "True Semantic", IF($O1495="RSRepair-A", "Evolutionary Search", IF($O1495="SequenceR", "Deep Learning", IF($O1495="SimFix", "Search Like Pattern", IF($O1495="SketchFix", "True Pattern", IF($O1495="SOFix", "True Pattern", IF($O1495="ssFix", "Search Like Pattern", IF($O1495="TBar", "True Pattern", ""))))))))))))))))))))</f>
        <v>Search Like Pattern</v>
      </c>
      <c r="Q1495" s="13" t="str">
        <f>IF(NOT(ISERR(SEARCH("*_Buggy",$A1495))), "Buggy", IF(NOT(ISERR(SEARCH("*_Fixed",$A1495))), "Fixed", IF(NOT(ISERR(SEARCH("*_Repaired",$A1495))), "Repaired", "")))</f>
        <v>Repaired</v>
      </c>
      <c r="R1495" s="13" t="s">
        <v>1668</v>
      </c>
      <c r="S1495" s="25">
        <v>2</v>
      </c>
      <c r="T1495" s="13">
        <v>7</v>
      </c>
      <c r="U1495" s="25">
        <v>0</v>
      </c>
      <c r="V1495" s="13">
        <v>7</v>
      </c>
      <c r="W1495" s="13" t="str">
        <f>MID(A1495, SEARCH("_", A1495) +1, SEARCH("_", A1495, SEARCH("_", A1495) +1) - SEARCH("_", A1495) -1)</f>
        <v>Math-5</v>
      </c>
      <c r="Y1495" s="1" t="str">
        <f t="shared" si="64"/>
        <v>NO</v>
      </c>
      <c r="Z1495" s="1" t="str">
        <f t="shared" si="65"/>
        <v>YES</v>
      </c>
      <c r="AA1495" t="s">
        <v>1704</v>
      </c>
      <c r="AB1495" t="s">
        <v>1704</v>
      </c>
      <c r="AC1495" s="1" t="s">
        <v>1704</v>
      </c>
      <c r="AD1495" s="1" t="s">
        <v>1704</v>
      </c>
      <c r="AE1495" s="1" t="s">
        <v>1704</v>
      </c>
      <c r="AF1495" s="1" t="s">
        <v>1704</v>
      </c>
    </row>
    <row r="1496" spans="1:32" ht="15" x14ac:dyDescent="0.35">
      <c r="A1496" s="5" t="s">
        <v>626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>LEFT($A1496,FIND("_",$A1496)-1)</f>
        <v>SimFix</v>
      </c>
      <c r="P1496" s="13" t="str">
        <f>IF($O1496="ACS", "True Search", IF($O1496="Arja", "Evolutionary Search", IF($O1496="AVATAR", "True Pattern", IF($O1496="CapGen", "Search Like Pattern", IF($O1496="Cardumen", "True Semantic", IF($O1496="DynaMoth", "True Semantic", IF($O1496="FixMiner", "True Pattern", IF($O1496="GenProg-A", "Evolutionary Search", IF($O1496="Hercules", "Learning Pattern", IF($O1496="Jaid", "True Semantic",
IF($O1496="Kali-A", "True Search", IF($O1496="kPAR", "True Pattern", IF($O1496="Nopol", "True Semantic", IF($O1496="RSRepair-A", "Evolutionary Search", IF($O1496="SequenceR", "Deep Learning", IF($O1496="SimFix", "Search Like Pattern", IF($O1496="SketchFix", "True Pattern", IF($O1496="SOFix", "True Pattern", IF($O1496="ssFix", "Search Like Pattern", IF($O1496="TBar", "True Pattern", ""))))))))))))))))))))</f>
        <v>Search Like Pattern</v>
      </c>
      <c r="Q1496" s="13" t="str">
        <f>IF(NOT(ISERR(SEARCH("*_Buggy",$A1496))), "Buggy", IF(NOT(ISERR(SEARCH("*_Fixed",$A1496))), "Fixed", IF(NOT(ISERR(SEARCH("*_Repaired",$A1496))), "Repaired", "")))</f>
        <v>Repaired</v>
      </c>
      <c r="R1496" s="13" t="s">
        <v>1669</v>
      </c>
      <c r="S1496" s="25">
        <v>2</v>
      </c>
      <c r="T1496" s="13">
        <v>8</v>
      </c>
      <c r="U1496" s="25">
        <v>0</v>
      </c>
      <c r="V1496" s="13">
        <v>8</v>
      </c>
      <c r="W1496" s="13" t="str">
        <f>MID(A1496, SEARCH("_", A1496) +1, SEARCH("_", A1496, SEARCH("_", A1496) +1) - SEARCH("_", A1496) -1)</f>
        <v>Math-50</v>
      </c>
      <c r="Y1496" s="1" t="str">
        <f t="shared" si="64"/>
        <v>NO</v>
      </c>
      <c r="Z1496" s="1" t="str">
        <f t="shared" si="65"/>
        <v>YES</v>
      </c>
      <c r="AA1496" t="s">
        <v>1704</v>
      </c>
      <c r="AB1496" t="s">
        <v>1704</v>
      </c>
      <c r="AC1496" s="1" t="s">
        <v>1704</v>
      </c>
      <c r="AD1496" s="1" t="s">
        <v>1704</v>
      </c>
      <c r="AE1496" s="1" t="s">
        <v>1704</v>
      </c>
      <c r="AF1496" s="1" t="s">
        <v>1705</v>
      </c>
    </row>
    <row r="1497" spans="1:32" ht="15" x14ac:dyDescent="0.35">
      <c r="A1497" s="5" t="s">
        <v>127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>LEFT($A1497,FIND("_",$A1497)-1)</f>
        <v>SimFix</v>
      </c>
      <c r="P1497" s="13" t="str">
        <f>IF($O1497="ACS", "True Search", IF($O1497="Arja", "Evolutionary Search", IF($O1497="AVATAR", "True Pattern", IF($O1497="CapGen", "Search Like Pattern", IF($O1497="Cardumen", "True Semantic", IF($O1497="DynaMoth", "True Semantic", IF($O1497="FixMiner", "True Pattern", IF($O1497="GenProg-A", "Evolutionary Search", IF($O1497="Hercules", "Learning Pattern", IF($O1497="Jaid", "True Semantic",
IF($O1497="Kali-A", "True Search", IF($O1497="kPAR", "True Pattern", IF($O1497="Nopol", "True Semantic", IF($O1497="RSRepair-A", "Evolutionary Search", IF($O1497="SequenceR", "Deep Learning", IF($O1497="SimFix", "Search Like Pattern", IF($O1497="SketchFix", "True Pattern", IF($O1497="SOFix", "True Pattern", IF($O1497="ssFix", "Search Like Pattern", IF($O1497="TBar", "True Pattern", ""))))))))))))))))))))</f>
        <v>Search Like Pattern</v>
      </c>
      <c r="Q1497" s="13" t="str">
        <f>IF(NOT(ISERR(SEARCH("*_Buggy",$A1497))), "Buggy", IF(NOT(ISERR(SEARCH("*_Fixed",$A1497))), "Fixed", IF(NOT(ISERR(SEARCH("*_Repaired",$A1497))), "Repaired", "")))</f>
        <v>Repaired</v>
      </c>
      <c r="R1497" s="13" t="s">
        <v>1668</v>
      </c>
      <c r="S1497" s="25">
        <v>2</v>
      </c>
      <c r="T1497" s="13">
        <v>9</v>
      </c>
      <c r="U1497" s="25">
        <v>0</v>
      </c>
      <c r="V1497" s="13">
        <v>9</v>
      </c>
      <c r="W1497" s="13" t="str">
        <f>MID(A1497, SEARCH("_", A1497) +1, SEARCH("_", A1497, SEARCH("_", A1497) +1) - SEARCH("_", A1497) -1)</f>
        <v>Math-53</v>
      </c>
      <c r="Y1497" s="1" t="str">
        <f t="shared" si="64"/>
        <v>NO</v>
      </c>
      <c r="Z1497" s="1" t="str">
        <f t="shared" si="65"/>
        <v>YES</v>
      </c>
      <c r="AA1497" t="s">
        <v>1704</v>
      </c>
      <c r="AB1497" t="s">
        <v>1704</v>
      </c>
      <c r="AC1497" s="1" t="s">
        <v>1704</v>
      </c>
      <c r="AD1497" s="1" t="s">
        <v>1704</v>
      </c>
      <c r="AE1497" s="1" t="s">
        <v>1704</v>
      </c>
      <c r="AF1497" s="1" t="s">
        <v>1705</v>
      </c>
    </row>
    <row r="1498" spans="1:32" ht="15" x14ac:dyDescent="0.35">
      <c r="A1498" s="5" t="s">
        <v>848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>LEFT($A1498,FIND("_",$A1498)-1)</f>
        <v>SimFix</v>
      </c>
      <c r="P1498" s="13" t="str">
        <f>IF($O1498="ACS", "True Search", IF($O1498="Arja", "Evolutionary Search", IF($O1498="AVATAR", "True Pattern", IF($O1498="CapGen", "Search Like Pattern", IF($O1498="Cardumen", "True Semantic", IF($O1498="DynaMoth", "True Semantic", IF($O1498="FixMiner", "True Pattern", IF($O1498="GenProg-A", "Evolutionary Search", IF($O1498="Hercules", "Learning Pattern", IF($O1498="Jaid", "True Semantic",
IF($O1498="Kali-A", "True Search", IF($O1498="kPAR", "True Pattern", IF($O1498="Nopol", "True Semantic", IF($O1498="RSRepair-A", "Evolutionary Search", IF($O1498="SequenceR", "Deep Learning", IF($O1498="SimFix", "Search Like Pattern", IF($O1498="SketchFix", "True Pattern", IF($O1498="SOFix", "True Pattern", IF($O1498="ssFix", "Search Like Pattern", IF($O1498="TBar", "True Pattern", ""))))))))))))))))))))</f>
        <v>Search Like Pattern</v>
      </c>
      <c r="Q1498" s="13" t="str">
        <f>IF(NOT(ISERR(SEARCH("*_Buggy",$A1498))), "Buggy", IF(NOT(ISERR(SEARCH("*_Fixed",$A1498))), "Fixed", IF(NOT(ISERR(SEARCH("*_Repaired",$A1498))), "Repaired", "")))</f>
        <v>Repaired</v>
      </c>
      <c r="R1498" s="13" t="s">
        <v>1668</v>
      </c>
      <c r="S1498" s="25">
        <v>2</v>
      </c>
      <c r="T1498" s="13">
        <v>12</v>
      </c>
      <c r="U1498" s="25">
        <v>0</v>
      </c>
      <c r="V1498" s="13">
        <v>12</v>
      </c>
      <c r="W1498" s="13" t="str">
        <f>MID(A1498, SEARCH("_", A1498) +1, SEARCH("_", A1498, SEARCH("_", A1498) +1) - SEARCH("_", A1498) -1)</f>
        <v>Math-57</v>
      </c>
      <c r="Y1498" s="1" t="str">
        <f t="shared" si="64"/>
        <v>NO</v>
      </c>
      <c r="Z1498" s="1" t="str">
        <f t="shared" si="65"/>
        <v>YES</v>
      </c>
      <c r="AA1498" t="s">
        <v>1704</v>
      </c>
      <c r="AB1498" t="s">
        <v>1704</v>
      </c>
      <c r="AC1498" s="1" t="s">
        <v>1704</v>
      </c>
      <c r="AD1498" s="1" t="s">
        <v>1704</v>
      </c>
      <c r="AE1498" s="1" t="s">
        <v>1704</v>
      </c>
      <c r="AF1498" s="1" t="s">
        <v>1704</v>
      </c>
    </row>
    <row r="1499" spans="1:32" ht="15" x14ac:dyDescent="0.35">
      <c r="A1499" s="7" t="s">
        <v>1157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>LEFT($A1499,FIND("_",$A1499)-1)</f>
        <v>SimFix</v>
      </c>
      <c r="P1499" s="13" t="str">
        <f>IF($O1499="ACS", "True Search", IF($O1499="Arja", "Evolutionary Search", IF($O1499="AVATAR", "True Pattern", IF($O1499="CapGen", "Search Like Pattern", IF($O1499="Cardumen", "True Semantic", IF($O1499="DynaMoth", "True Semantic", IF($O1499="FixMiner", "True Pattern", IF($O1499="GenProg-A", "Evolutionary Search", IF($O1499="Hercules", "Learning Pattern", IF($O1499="Jaid", "True Semantic",
IF($O1499="Kali-A", "True Search", IF($O1499="kPAR", "True Pattern", IF($O1499="Nopol", "True Semantic", IF($O1499="RSRepair-A", "Evolutionary Search", IF($O1499="SequenceR", "Deep Learning", IF($O1499="SimFix", "Search Like Pattern", IF($O1499="SketchFix", "True Pattern", IF($O1499="SOFix", "True Pattern", IF($O1499="ssFix", "Search Like Pattern", IF($O1499="TBar", "True Pattern", ""))))))))))))))))))))</f>
        <v>Search Like Pattern</v>
      </c>
      <c r="Q1499" s="13" t="str">
        <f>IF(NOT(ISERR(SEARCH("*_Buggy",$A1499))), "Buggy", IF(NOT(ISERR(SEARCH("*_Fixed",$A1499))), "Fixed", IF(NOT(ISERR(SEARCH("*_Repaired",$A1499))), "Repaired", "")))</f>
        <v>Repaired</v>
      </c>
      <c r="R1499" s="13" t="s">
        <v>1668</v>
      </c>
      <c r="S1499" s="25">
        <v>3</v>
      </c>
      <c r="T1499" s="25">
        <v>6</v>
      </c>
      <c r="U1499" s="25">
        <v>1</v>
      </c>
      <c r="V1499" s="13">
        <v>6</v>
      </c>
      <c r="W1499" s="13" t="str">
        <f>MID(A1499, SEARCH("_", A1499) +1, SEARCH("_", A1499, SEARCH("_", A1499) +1) - SEARCH("_", A1499) -1)</f>
        <v>Math-59</v>
      </c>
      <c r="Y1499" s="1" t="str">
        <f t="shared" si="64"/>
        <v>NO</v>
      </c>
      <c r="Z1499" s="1" t="str">
        <f t="shared" si="65"/>
        <v>YES</v>
      </c>
      <c r="AA1499" t="s">
        <v>1704</v>
      </c>
      <c r="AB1499" t="s">
        <v>1704</v>
      </c>
      <c r="AC1499" s="1" t="s">
        <v>1704</v>
      </c>
      <c r="AD1499" s="1" t="s">
        <v>1704</v>
      </c>
      <c r="AE1499" s="1" t="s">
        <v>1704</v>
      </c>
      <c r="AF1499" s="1" t="s">
        <v>1704</v>
      </c>
    </row>
    <row r="1500" spans="1:32" ht="15" x14ac:dyDescent="0.35">
      <c r="A1500" s="5" t="s">
        <v>884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>LEFT($A1500,FIND("_",$A1500)-1)</f>
        <v>SimFix</v>
      </c>
      <c r="P1500" s="13" t="str">
        <f>IF($O1500="ACS", "True Search", IF($O1500="Arja", "Evolutionary Search", IF($O1500="AVATAR", "True Pattern", IF($O1500="CapGen", "Search Like Pattern", IF($O1500="Cardumen", "True Semantic", IF($O1500="DynaMoth", "True Semantic", IF($O1500="FixMiner", "True Pattern", IF($O1500="GenProg-A", "Evolutionary Search", IF($O1500="Hercules", "Learning Pattern", IF($O1500="Jaid", "True Semantic",
IF($O1500="Kali-A", "True Search", IF($O1500="kPAR", "True Pattern", IF($O1500="Nopol", "True Semantic", IF($O1500="RSRepair-A", "Evolutionary Search", IF($O1500="SequenceR", "Deep Learning", IF($O1500="SimFix", "Search Like Pattern", IF($O1500="SketchFix", "True Pattern", IF($O1500="SOFix", "True Pattern", IF($O1500="ssFix", "Search Like Pattern", IF($O1500="TBar", "True Pattern", ""))))))))))))))))))))</f>
        <v>Search Like Pattern</v>
      </c>
      <c r="Q1500" s="13" t="str">
        <f>IF(NOT(ISERR(SEARCH("*_Buggy",$A1500))), "Buggy", IF(NOT(ISERR(SEARCH("*_Fixed",$A1500))), "Fixed", IF(NOT(ISERR(SEARCH("*_Repaired",$A1500))), "Repaired", "")))</f>
        <v>Repaired</v>
      </c>
      <c r="R1500" s="13" t="s">
        <v>1669</v>
      </c>
      <c r="S1500" s="25">
        <v>2</v>
      </c>
      <c r="T1500" s="13">
        <v>5</v>
      </c>
      <c r="U1500" s="25">
        <v>0</v>
      </c>
      <c r="V1500" s="13">
        <v>5</v>
      </c>
      <c r="W1500" s="13" t="str">
        <f>MID(A1500, SEARCH("_", A1500) +1, SEARCH("_", A1500, SEARCH("_", A1500) +1) - SEARCH("_", A1500) -1)</f>
        <v>Math-63</v>
      </c>
      <c r="Y1500" s="1" t="str">
        <f t="shared" si="64"/>
        <v>NO</v>
      </c>
      <c r="Z1500" s="1" t="str">
        <f t="shared" si="65"/>
        <v>YES</v>
      </c>
      <c r="AA1500" t="s">
        <v>1704</v>
      </c>
      <c r="AB1500" t="s">
        <v>1704</v>
      </c>
      <c r="AC1500" s="1" t="s">
        <v>1704</v>
      </c>
      <c r="AD1500" s="1" t="s">
        <v>1704</v>
      </c>
      <c r="AE1500" s="1" t="s">
        <v>1704</v>
      </c>
      <c r="AF1500" s="1" t="s">
        <v>1704</v>
      </c>
    </row>
    <row r="1501" spans="1:32" ht="15" x14ac:dyDescent="0.35">
      <c r="A1501" s="5" t="s">
        <v>235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>LEFT($A1501,FIND("_",$A1501)-1)</f>
        <v>SimFix</v>
      </c>
      <c r="P1501" s="13" t="str">
        <f>IF($O1501="ACS", "True Search", IF($O1501="Arja", "Evolutionary Search", IF($O1501="AVATAR", "True Pattern", IF($O1501="CapGen", "Search Like Pattern", IF($O1501="Cardumen", "True Semantic", IF($O1501="DynaMoth", "True Semantic", IF($O1501="FixMiner", "True Pattern", IF($O1501="GenProg-A", "Evolutionary Search", IF($O1501="Hercules", "Learning Pattern", IF($O1501="Jaid", "True Semantic",
IF($O1501="Kali-A", "True Search", IF($O1501="kPAR", "True Pattern", IF($O1501="Nopol", "True Semantic", IF($O1501="RSRepair-A", "Evolutionary Search", IF($O1501="SequenceR", "Deep Learning", IF($O1501="SimFix", "Search Like Pattern", IF($O1501="SketchFix", "True Pattern", IF($O1501="SOFix", "True Pattern", IF($O1501="ssFix", "Search Like Pattern", IF($O1501="TBar", "True Pattern", ""))))))))))))))))))))</f>
        <v>Search Like Pattern</v>
      </c>
      <c r="Q1501" s="13" t="str">
        <f>IF(NOT(ISERR(SEARCH("*_Buggy",$A1501))), "Buggy", IF(NOT(ISERR(SEARCH("*_Fixed",$A1501))), "Fixed", IF(NOT(ISERR(SEARCH("*_Repaired",$A1501))), "Repaired", "")))</f>
        <v>Repaired</v>
      </c>
      <c r="R1501" s="13" t="s">
        <v>1669</v>
      </c>
      <c r="S1501" s="25">
        <v>2</v>
      </c>
      <c r="T1501" s="13">
        <v>11</v>
      </c>
      <c r="U1501" s="25">
        <v>0</v>
      </c>
      <c r="V1501" s="13">
        <v>11</v>
      </c>
      <c r="W1501" s="13" t="str">
        <f>MID(A1501, SEARCH("_", A1501) +1, SEARCH("_", A1501, SEARCH("_", A1501) +1) - SEARCH("_", A1501) -1)</f>
        <v>Math-69</v>
      </c>
      <c r="Y1501" s="1" t="str">
        <f t="shared" si="64"/>
        <v>NO</v>
      </c>
      <c r="Z1501" s="1" t="str">
        <f t="shared" si="65"/>
        <v>YES</v>
      </c>
      <c r="AA1501" t="s">
        <v>1704</v>
      </c>
      <c r="AB1501" t="s">
        <v>1704</v>
      </c>
      <c r="AC1501" s="1" t="s">
        <v>1704</v>
      </c>
      <c r="AD1501" s="1" t="s">
        <v>1704</v>
      </c>
      <c r="AE1501" s="1" t="s">
        <v>1704</v>
      </c>
      <c r="AF1501" s="1" t="s">
        <v>1704</v>
      </c>
    </row>
    <row r="1502" spans="1:32" ht="15" x14ac:dyDescent="0.35">
      <c r="A1502" s="5" t="s">
        <v>315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>LEFT($A1502,FIND("_",$A1502)-1)</f>
        <v>SimFix</v>
      </c>
      <c r="P1502" s="13" t="str">
        <f>IF($O1502="ACS", "True Search", IF($O1502="Arja", "Evolutionary Search", IF($O1502="AVATAR", "True Pattern", IF($O1502="CapGen", "Search Like Pattern", IF($O1502="Cardumen", "True Semantic", IF($O1502="DynaMoth", "True Semantic", IF($O1502="FixMiner", "True Pattern", IF($O1502="GenProg-A", "Evolutionary Search", IF($O1502="Hercules", "Learning Pattern", IF($O1502="Jaid", "True Semantic",
IF($O1502="Kali-A", "True Search", IF($O1502="kPAR", "True Pattern", IF($O1502="Nopol", "True Semantic", IF($O1502="RSRepair-A", "Evolutionary Search", IF($O1502="SequenceR", "Deep Learning", IF($O1502="SimFix", "Search Like Pattern", IF($O1502="SketchFix", "True Pattern", IF($O1502="SOFix", "True Pattern", IF($O1502="ssFix", "Search Like Pattern", IF($O1502="TBar", "True Pattern", ""))))))))))))))))))))</f>
        <v>Search Like Pattern</v>
      </c>
      <c r="Q1502" s="13" t="str">
        <f>IF(NOT(ISERR(SEARCH("*_Buggy",$A1502))), "Buggy", IF(NOT(ISERR(SEARCH("*_Fixed",$A1502))), "Fixed", IF(NOT(ISERR(SEARCH("*_Repaired",$A1502))), "Repaired", "")))</f>
        <v>Repaired</v>
      </c>
      <c r="R1502" s="13" t="s">
        <v>1668</v>
      </c>
      <c r="S1502" s="25">
        <v>2</v>
      </c>
      <c r="T1502" s="13">
        <v>5</v>
      </c>
      <c r="U1502" s="25">
        <v>0</v>
      </c>
      <c r="V1502" s="13">
        <v>5</v>
      </c>
      <c r="W1502" s="13" t="str">
        <f>MID(A1502, SEARCH("_", A1502) +1, SEARCH("_", A1502, SEARCH("_", A1502) +1) - SEARCH("_", A1502) -1)</f>
        <v>Math-70</v>
      </c>
      <c r="Y1502" s="1" t="str">
        <f t="shared" si="64"/>
        <v>NO</v>
      </c>
      <c r="Z1502" s="1" t="str">
        <f t="shared" si="65"/>
        <v>YES</v>
      </c>
      <c r="AA1502" t="s">
        <v>1704</v>
      </c>
      <c r="AB1502" t="s">
        <v>1704</v>
      </c>
      <c r="AC1502" s="1" t="s">
        <v>1704</v>
      </c>
      <c r="AD1502" s="1" t="s">
        <v>1704</v>
      </c>
      <c r="AE1502" s="1" t="s">
        <v>1704</v>
      </c>
      <c r="AF1502" s="1" t="s">
        <v>1704</v>
      </c>
    </row>
    <row r="1503" spans="1:32" ht="15" x14ac:dyDescent="0.35">
      <c r="A1503" s="7" t="s">
        <v>32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>LEFT($A1503,FIND("_",$A1503)-1)</f>
        <v>SimFix</v>
      </c>
      <c r="P1503" s="13" t="str">
        <f>IF($O1503="ACS", "True Search", IF($O1503="Arja", "Evolutionary Search", IF($O1503="AVATAR", "True Pattern", IF($O1503="CapGen", "Search Like Pattern", IF($O1503="Cardumen", "True Semantic", IF($O1503="DynaMoth", "True Semantic", IF($O1503="FixMiner", "True Pattern", IF($O1503="GenProg-A", "Evolutionary Search", IF($O1503="Hercules", "Learning Pattern", IF($O1503="Jaid", "True Semantic",
IF($O1503="Kali-A", "True Search", IF($O1503="kPAR", "True Pattern", IF($O1503="Nopol", "True Semantic", IF($O1503="RSRepair-A", "Evolutionary Search", IF($O1503="SequenceR", "Deep Learning", IF($O1503="SimFix", "Search Like Pattern", IF($O1503="SketchFix", "True Pattern", IF($O1503="SOFix", "True Pattern", IF($O1503="ssFix", "Search Like Pattern", IF($O1503="TBar", "True Pattern", ""))))))))))))))))))))</f>
        <v>Search Like Pattern</v>
      </c>
      <c r="Q1503" s="13" t="str">
        <f>IF(NOT(ISERR(SEARCH("*_Buggy",$A1503))), "Buggy", IF(NOT(ISERR(SEARCH("*_Fixed",$A1503))), "Fixed", IF(NOT(ISERR(SEARCH("*_Repaired",$A1503))), "Repaired", "")))</f>
        <v>Repaired</v>
      </c>
      <c r="R1503" s="13" t="s">
        <v>1668</v>
      </c>
      <c r="S1503" s="25">
        <v>2</v>
      </c>
      <c r="T1503" s="13">
        <v>11</v>
      </c>
      <c r="U1503" s="25">
        <v>0</v>
      </c>
      <c r="V1503" s="13">
        <v>11</v>
      </c>
      <c r="W1503" s="13" t="str">
        <f>MID(A1503, SEARCH("_", A1503) +1, SEARCH("_", A1503, SEARCH("_", A1503) +1) - SEARCH("_", A1503) -1)</f>
        <v>Math-71</v>
      </c>
      <c r="Y1503" s="1" t="str">
        <f t="shared" si="64"/>
        <v>NO</v>
      </c>
      <c r="Z1503" s="1" t="str">
        <f t="shared" si="65"/>
        <v>YES</v>
      </c>
      <c r="AA1503" t="s">
        <v>1704</v>
      </c>
      <c r="AB1503" t="s">
        <v>1704</v>
      </c>
      <c r="AC1503" s="1" t="s">
        <v>1704</v>
      </c>
      <c r="AD1503" s="1" t="s">
        <v>1704</v>
      </c>
      <c r="AE1503" s="1" t="s">
        <v>1704</v>
      </c>
      <c r="AF1503" s="1" t="s">
        <v>1705</v>
      </c>
    </row>
    <row r="1504" spans="1:32" ht="15" x14ac:dyDescent="0.35">
      <c r="A1504" s="5" t="s">
        <v>1204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>LEFT($A1504,FIND("_",$A1504)-1)</f>
        <v>SimFix</v>
      </c>
      <c r="P1504" s="13" t="str">
        <f>IF($O1504="ACS", "True Search", IF($O1504="Arja", "Evolutionary Search", IF($O1504="AVATAR", "True Pattern", IF($O1504="CapGen", "Search Like Pattern", IF($O1504="Cardumen", "True Semantic", IF($O1504="DynaMoth", "True Semantic", IF($O1504="FixMiner", "True Pattern", IF($O1504="GenProg-A", "Evolutionary Search", IF($O1504="Hercules", "Learning Pattern", IF($O1504="Jaid", "True Semantic",
IF($O1504="Kali-A", "True Search", IF($O1504="kPAR", "True Pattern", IF($O1504="Nopol", "True Semantic", IF($O1504="RSRepair-A", "Evolutionary Search", IF($O1504="SequenceR", "Deep Learning", IF($O1504="SimFix", "Search Like Pattern", IF($O1504="SketchFix", "True Pattern", IF($O1504="SOFix", "True Pattern", IF($O1504="ssFix", "Search Like Pattern", IF($O1504="TBar", "True Pattern", ""))))))))))))))))))))</f>
        <v>Search Like Pattern</v>
      </c>
      <c r="Q1504" s="13" t="str">
        <f>IF(NOT(ISERR(SEARCH("*_Buggy",$A1504))), "Buggy", IF(NOT(ISERR(SEARCH("*_Fixed",$A1504))), "Fixed", IF(NOT(ISERR(SEARCH("*_Repaired",$A1504))), "Repaired", "")))</f>
        <v>Repaired</v>
      </c>
      <c r="R1504" s="13" t="s">
        <v>1668</v>
      </c>
      <c r="S1504" s="25">
        <v>2</v>
      </c>
      <c r="T1504" s="13">
        <v>8</v>
      </c>
      <c r="U1504" s="25">
        <v>0</v>
      </c>
      <c r="V1504" s="13">
        <v>8</v>
      </c>
      <c r="W1504" s="13" t="str">
        <f>MID(A1504, SEARCH("_", A1504) +1, SEARCH("_", A1504, SEARCH("_", A1504) +1) - SEARCH("_", A1504) -1)</f>
        <v>Math-72</v>
      </c>
      <c r="Y1504" s="1" t="str">
        <f t="shared" si="64"/>
        <v>NO</v>
      </c>
      <c r="Z1504" s="1" t="str">
        <f t="shared" si="65"/>
        <v>YES</v>
      </c>
      <c r="AA1504" t="s">
        <v>1704</v>
      </c>
      <c r="AB1504" t="s">
        <v>1704</v>
      </c>
      <c r="AC1504" s="1" t="s">
        <v>1704</v>
      </c>
      <c r="AD1504" s="1" t="s">
        <v>1704</v>
      </c>
      <c r="AE1504" s="1" t="s">
        <v>1704</v>
      </c>
      <c r="AF1504" s="1" t="s">
        <v>1705</v>
      </c>
    </row>
    <row r="1505" spans="1:32" ht="15" x14ac:dyDescent="0.35">
      <c r="A1505" s="7" t="s">
        <v>1208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>LEFT($A1505,FIND("_",$A1505)-1)</f>
        <v>SimFix</v>
      </c>
      <c r="P1505" s="13" t="str">
        <f>IF($O1505="ACS", "True Search", IF($O1505="Arja", "Evolutionary Search", IF($O1505="AVATAR", "True Pattern", IF($O1505="CapGen", "Search Like Pattern", IF($O1505="Cardumen", "True Semantic", IF($O1505="DynaMoth", "True Semantic", IF($O1505="FixMiner", "True Pattern", IF($O1505="GenProg-A", "Evolutionary Search", IF($O1505="Hercules", "Learning Pattern", IF($O1505="Jaid", "True Semantic",
IF($O1505="Kali-A", "True Search", IF($O1505="kPAR", "True Pattern", IF($O1505="Nopol", "True Semantic", IF($O1505="RSRepair-A", "Evolutionary Search", IF($O1505="SequenceR", "Deep Learning", IF($O1505="SimFix", "Search Like Pattern", IF($O1505="SketchFix", "True Pattern", IF($O1505="SOFix", "True Pattern", IF($O1505="ssFix", "Search Like Pattern", IF($O1505="TBar", "True Pattern", ""))))))))))))))))))))</f>
        <v>Search Like Pattern</v>
      </c>
      <c r="Q1505" s="13" t="str">
        <f>IF(NOT(ISERR(SEARCH("*_Buggy",$A1505))), "Buggy", IF(NOT(ISERR(SEARCH("*_Fixed",$A1505))), "Fixed", IF(NOT(ISERR(SEARCH("*_Repaired",$A1505))), "Repaired", "")))</f>
        <v>Repaired</v>
      </c>
      <c r="R1505" s="13" t="s">
        <v>1669</v>
      </c>
      <c r="S1505" s="25">
        <v>2</v>
      </c>
      <c r="T1505" s="13">
        <v>8</v>
      </c>
      <c r="U1505" s="25">
        <v>0</v>
      </c>
      <c r="V1505" s="13">
        <v>8</v>
      </c>
      <c r="W1505" s="13" t="str">
        <f>MID(A1505, SEARCH("_", A1505) +1, SEARCH("_", A1505, SEARCH("_", A1505) +1) - SEARCH("_", A1505) -1)</f>
        <v>Math-73</v>
      </c>
      <c r="Y1505" s="1" t="str">
        <f t="shared" si="64"/>
        <v>NO</v>
      </c>
      <c r="Z1505" s="1" t="str">
        <f t="shared" si="65"/>
        <v>YES</v>
      </c>
      <c r="AA1505" t="s">
        <v>1704</v>
      </c>
      <c r="AB1505" t="s">
        <v>1704</v>
      </c>
      <c r="AC1505" s="1" t="s">
        <v>1704</v>
      </c>
      <c r="AD1505" s="1" t="s">
        <v>1704</v>
      </c>
      <c r="AE1505" s="1" t="s">
        <v>1704</v>
      </c>
      <c r="AF1505" s="1" t="s">
        <v>1705</v>
      </c>
    </row>
    <row r="1506" spans="1:32" ht="15" x14ac:dyDescent="0.35">
      <c r="A1506" s="5" t="s">
        <v>1223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>LEFT($A1506,FIND("_",$A1506)-1)</f>
        <v>SimFix</v>
      </c>
      <c r="P1506" s="13" t="str">
        <f>IF($O1506="ACS", "True Search", IF($O1506="Arja", "Evolutionary Search", IF($O1506="AVATAR", "True Pattern", IF($O1506="CapGen", "Search Like Pattern", IF($O1506="Cardumen", "True Semantic", IF($O1506="DynaMoth", "True Semantic", IF($O1506="FixMiner", "True Pattern", IF($O1506="GenProg-A", "Evolutionary Search", IF($O1506="Hercules", "Learning Pattern", IF($O1506="Jaid", "True Semantic",
IF($O1506="Kali-A", "True Search", IF($O1506="kPAR", "True Pattern", IF($O1506="Nopol", "True Semantic", IF($O1506="RSRepair-A", "Evolutionary Search", IF($O1506="SequenceR", "Deep Learning", IF($O1506="SimFix", "Search Like Pattern", IF($O1506="SketchFix", "True Pattern", IF($O1506="SOFix", "True Pattern", IF($O1506="ssFix", "Search Like Pattern", IF($O1506="TBar", "True Pattern", ""))))))))))))))))))))</f>
        <v>Search Like Pattern</v>
      </c>
      <c r="Q1506" s="13" t="str">
        <f>IF(NOT(ISERR(SEARCH("*_Buggy",$A1506))), "Buggy", IF(NOT(ISERR(SEARCH("*_Fixed",$A1506))), "Fixed", IF(NOT(ISERR(SEARCH("*_Repaired",$A1506))), "Repaired", "")))</f>
        <v>Repaired</v>
      </c>
      <c r="R1506" s="13" t="s">
        <v>1668</v>
      </c>
      <c r="S1506" s="25">
        <v>2</v>
      </c>
      <c r="T1506" s="13">
        <v>5</v>
      </c>
      <c r="U1506" s="25">
        <v>0</v>
      </c>
      <c r="V1506" s="13">
        <v>5</v>
      </c>
      <c r="W1506" s="13" t="str">
        <f>MID(A1506, SEARCH("_", A1506) +1, SEARCH("_", A1506, SEARCH("_", A1506) +1) - SEARCH("_", A1506) -1)</f>
        <v>Math-75</v>
      </c>
      <c r="Y1506" s="1" t="str">
        <f t="shared" si="64"/>
        <v>NO</v>
      </c>
      <c r="Z1506" s="1" t="str">
        <f t="shared" si="65"/>
        <v>YES</v>
      </c>
      <c r="AA1506" t="s">
        <v>1704</v>
      </c>
      <c r="AB1506" t="s">
        <v>1704</v>
      </c>
      <c r="AC1506" s="1" t="s">
        <v>1704</v>
      </c>
      <c r="AD1506" s="1" t="s">
        <v>1704</v>
      </c>
      <c r="AE1506" s="1" t="s">
        <v>1704</v>
      </c>
      <c r="AF1506" s="1" t="s">
        <v>1704</v>
      </c>
    </row>
    <row r="1507" spans="1:32" ht="15" x14ac:dyDescent="0.35">
      <c r="A1507" s="5" t="s">
        <v>647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>LEFT($A1507,FIND("_",$A1507)-1)</f>
        <v>SimFix</v>
      </c>
      <c r="P1507" s="13" t="str">
        <f>IF($O1507="ACS", "True Search", IF($O1507="Arja", "Evolutionary Search", IF($O1507="AVATAR", "True Pattern", IF($O1507="CapGen", "Search Like Pattern", IF($O1507="Cardumen", "True Semantic", IF($O1507="DynaMoth", "True Semantic", IF($O1507="FixMiner", "True Pattern", IF($O1507="GenProg-A", "Evolutionary Search", IF($O1507="Hercules", "Learning Pattern", IF($O1507="Jaid", "True Semantic",
IF($O1507="Kali-A", "True Search", IF($O1507="kPAR", "True Pattern", IF($O1507="Nopol", "True Semantic", IF($O1507="RSRepair-A", "Evolutionary Search", IF($O1507="SequenceR", "Deep Learning", IF($O1507="SimFix", "Search Like Pattern", IF($O1507="SketchFix", "True Pattern", IF($O1507="SOFix", "True Pattern", IF($O1507="ssFix", "Search Like Pattern", IF($O1507="TBar", "True Pattern", ""))))))))))))))))))))</f>
        <v>Search Like Pattern</v>
      </c>
      <c r="Q1507" s="13" t="str">
        <f>IF(NOT(ISERR(SEARCH("*_Buggy",$A1507))), "Buggy", IF(NOT(ISERR(SEARCH("*_Fixed",$A1507))), "Fixed", IF(NOT(ISERR(SEARCH("*_Repaired",$A1507))), "Repaired", "")))</f>
        <v>Repaired</v>
      </c>
      <c r="R1507" s="13" t="s">
        <v>1668</v>
      </c>
      <c r="S1507" s="25">
        <v>2</v>
      </c>
      <c r="T1507" s="13">
        <v>10</v>
      </c>
      <c r="U1507" s="25">
        <v>0</v>
      </c>
      <c r="V1507" s="13">
        <v>10</v>
      </c>
      <c r="W1507" s="13" t="str">
        <f>MID(A1507, SEARCH("_", A1507) +1, SEARCH("_", A1507, SEARCH("_", A1507) +1) - SEARCH("_", A1507) -1)</f>
        <v>Math-79</v>
      </c>
      <c r="Y1507" s="1" t="str">
        <f t="shared" si="64"/>
        <v>NO</v>
      </c>
      <c r="Z1507" s="1" t="str">
        <f t="shared" si="65"/>
        <v>YES</v>
      </c>
      <c r="AA1507" t="s">
        <v>1704</v>
      </c>
      <c r="AB1507" t="s">
        <v>1704</v>
      </c>
      <c r="AC1507" s="1" t="s">
        <v>1704</v>
      </c>
      <c r="AD1507" s="1" t="s">
        <v>1704</v>
      </c>
      <c r="AE1507" s="1" t="s">
        <v>1704</v>
      </c>
      <c r="AF1507" s="1" t="s">
        <v>1705</v>
      </c>
    </row>
    <row r="1508" spans="1:32" ht="15" x14ac:dyDescent="0.35">
      <c r="A1508" s="7" t="s">
        <v>930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>LEFT($A1508,FIND("_",$A1508)-1)</f>
        <v>SimFix</v>
      </c>
      <c r="P1508" s="13" t="str">
        <f>IF($O1508="ACS", "True Search", IF($O1508="Arja", "Evolutionary Search", IF($O1508="AVATAR", "True Pattern", IF($O1508="CapGen", "Search Like Pattern", IF($O1508="Cardumen", "True Semantic", IF($O1508="DynaMoth", "True Semantic", IF($O1508="FixMiner", "True Pattern", IF($O1508="GenProg-A", "Evolutionary Search", IF($O1508="Hercules", "Learning Pattern", IF($O1508="Jaid", "True Semantic",
IF($O1508="Kali-A", "True Search", IF($O1508="kPAR", "True Pattern", IF($O1508="Nopol", "True Semantic", IF($O1508="RSRepair-A", "Evolutionary Search", IF($O1508="SequenceR", "Deep Learning", IF($O1508="SimFix", "Search Like Pattern", IF($O1508="SketchFix", "True Pattern", IF($O1508="SOFix", "True Pattern", IF($O1508="ssFix", "Search Like Pattern", IF($O1508="TBar", "True Pattern", ""))))))))))))))))))))</f>
        <v>Search Like Pattern</v>
      </c>
      <c r="Q1508" s="13" t="str">
        <f>IF(NOT(ISERR(SEARCH("*_Buggy",$A1508))), "Buggy", IF(NOT(ISERR(SEARCH("*_Fixed",$A1508))), "Fixed", IF(NOT(ISERR(SEARCH("*_Repaired",$A1508))), "Repaired", "")))</f>
        <v>Repaired</v>
      </c>
      <c r="R1508" s="13" t="s">
        <v>1669</v>
      </c>
      <c r="S1508" s="25">
        <v>2</v>
      </c>
      <c r="T1508" s="13">
        <v>7</v>
      </c>
      <c r="U1508" s="25">
        <v>0</v>
      </c>
      <c r="V1508" s="13">
        <v>7</v>
      </c>
      <c r="W1508" s="13" t="str">
        <f>MID(A1508, SEARCH("_", A1508) +1, SEARCH("_", A1508, SEARCH("_", A1508) +1) - SEARCH("_", A1508) -1)</f>
        <v>Math-8</v>
      </c>
      <c r="Y1508" s="1" t="str">
        <f t="shared" si="64"/>
        <v>NO</v>
      </c>
      <c r="Z1508" s="1" t="str">
        <f t="shared" si="65"/>
        <v>YES</v>
      </c>
      <c r="AA1508" t="s">
        <v>1704</v>
      </c>
      <c r="AB1508" t="s">
        <v>1704</v>
      </c>
      <c r="AC1508" s="1" t="s">
        <v>1704</v>
      </c>
      <c r="AD1508" s="1" t="s">
        <v>1704</v>
      </c>
      <c r="AE1508" s="1" t="s">
        <v>1704</v>
      </c>
      <c r="AF1508" s="1" t="s">
        <v>1705</v>
      </c>
    </row>
    <row r="1509" spans="1:32" ht="15" x14ac:dyDescent="0.35">
      <c r="A1509" s="5" t="s">
        <v>699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>LEFT($A1509,FIND("_",$A1509)-1)</f>
        <v>SimFix</v>
      </c>
      <c r="P1509" s="13" t="str">
        <f>IF($O1509="ACS", "True Search", IF($O1509="Arja", "Evolutionary Search", IF($O1509="AVATAR", "True Pattern", IF($O1509="CapGen", "Search Like Pattern", IF($O1509="Cardumen", "True Semantic", IF($O1509="DynaMoth", "True Semantic", IF($O1509="FixMiner", "True Pattern", IF($O1509="GenProg-A", "Evolutionary Search", IF($O1509="Hercules", "Learning Pattern", IF($O1509="Jaid", "True Semantic",
IF($O1509="Kali-A", "True Search", IF($O1509="kPAR", "True Pattern", IF($O1509="Nopol", "True Semantic", IF($O1509="RSRepair-A", "Evolutionary Search", IF($O1509="SequenceR", "Deep Learning", IF($O1509="SimFix", "Search Like Pattern", IF($O1509="SketchFix", "True Pattern", IF($O1509="SOFix", "True Pattern", IF($O1509="ssFix", "Search Like Pattern", IF($O1509="TBar", "True Pattern", ""))))))))))))))))))))</f>
        <v>Search Like Pattern</v>
      </c>
      <c r="Q1509" s="13" t="str">
        <f>IF(NOT(ISERR(SEARCH("*_Buggy",$A1509))), "Buggy", IF(NOT(ISERR(SEARCH("*_Fixed",$A1509))), "Fixed", IF(NOT(ISERR(SEARCH("*_Repaired",$A1509))), "Repaired", "")))</f>
        <v>Repaired</v>
      </c>
      <c r="R1509" s="13" t="s">
        <v>1669</v>
      </c>
      <c r="S1509" s="25">
        <v>2</v>
      </c>
      <c r="T1509" s="13">
        <v>9</v>
      </c>
      <c r="U1509" s="25">
        <v>0</v>
      </c>
      <c r="V1509" s="13">
        <v>9</v>
      </c>
      <c r="W1509" s="13" t="str">
        <f>MID(A1509, SEARCH("_", A1509) +1, SEARCH("_", A1509, SEARCH("_", A1509) +1) - SEARCH("_", A1509) -1)</f>
        <v>Math-80</v>
      </c>
      <c r="Y1509" s="1" t="str">
        <f t="shared" si="64"/>
        <v>NO</v>
      </c>
      <c r="Z1509" s="1" t="str">
        <f t="shared" si="65"/>
        <v>YES</v>
      </c>
      <c r="AA1509" t="s">
        <v>1704</v>
      </c>
      <c r="AB1509" t="s">
        <v>1704</v>
      </c>
      <c r="AC1509" s="1" t="s">
        <v>1704</v>
      </c>
      <c r="AD1509" s="1" t="s">
        <v>1704</v>
      </c>
      <c r="AE1509" s="1" t="s">
        <v>1704</v>
      </c>
      <c r="AF1509" s="1" t="s">
        <v>1704</v>
      </c>
    </row>
    <row r="1510" spans="1:32" ht="15" x14ac:dyDescent="0.35">
      <c r="A1510" s="7" t="s">
        <v>766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>LEFT($A1510,FIND("_",$A1510)-1)</f>
        <v>SimFix</v>
      </c>
      <c r="P1510" s="13" t="str">
        <f>IF($O1510="ACS", "True Search", IF($O1510="Arja", "Evolutionary Search", IF($O1510="AVATAR", "True Pattern", IF($O1510="CapGen", "Search Like Pattern", IF($O1510="Cardumen", "True Semantic", IF($O1510="DynaMoth", "True Semantic", IF($O1510="FixMiner", "True Pattern", IF($O1510="GenProg-A", "Evolutionary Search", IF($O1510="Hercules", "Learning Pattern", IF($O1510="Jaid", "True Semantic",
IF($O1510="Kali-A", "True Search", IF($O1510="kPAR", "True Pattern", IF($O1510="Nopol", "True Semantic", IF($O1510="RSRepair-A", "Evolutionary Search", IF($O1510="SequenceR", "Deep Learning", IF($O1510="SimFix", "Search Like Pattern", IF($O1510="SketchFix", "True Pattern", IF($O1510="SOFix", "True Pattern", IF($O1510="ssFix", "Search Like Pattern", IF($O1510="TBar", "True Pattern", ""))))))))))))))))))))</f>
        <v>Search Like Pattern</v>
      </c>
      <c r="Q1510" s="13" t="str">
        <f>IF(NOT(ISERR(SEARCH("*_Buggy",$A1510))), "Buggy", IF(NOT(ISERR(SEARCH("*_Fixed",$A1510))), "Fixed", IF(NOT(ISERR(SEARCH("*_Repaired",$A1510))), "Repaired", "")))</f>
        <v>Repaired</v>
      </c>
      <c r="R1510" s="13" t="s">
        <v>1669</v>
      </c>
      <c r="S1510" s="25">
        <v>2</v>
      </c>
      <c r="T1510" s="13">
        <v>23</v>
      </c>
      <c r="U1510" s="25">
        <v>0</v>
      </c>
      <c r="V1510" s="13">
        <v>23</v>
      </c>
      <c r="W1510" s="13" t="str">
        <f>MID(A1510, SEARCH("_", A1510) +1, SEARCH("_", A1510, SEARCH("_", A1510) +1) - SEARCH("_", A1510) -1)</f>
        <v>Math-81</v>
      </c>
      <c r="Y1510" s="1" t="str">
        <f t="shared" ref="Y1510:Y1573" si="66">IF(AND(S1510&gt;1,S1510=V1510), "YES", "NO")</f>
        <v>NO</v>
      </c>
      <c r="Z1510" s="1" t="str">
        <f t="shared" ref="Z1510:Z1573" si="67">IF(AND(S1510&gt;1,S1510&lt;V1510), "YES", "NO")</f>
        <v>YES</v>
      </c>
      <c r="AA1510" t="s">
        <v>1704</v>
      </c>
      <c r="AB1510" t="s">
        <v>1705</v>
      </c>
      <c r="AC1510" s="1" t="s">
        <v>1704</v>
      </c>
      <c r="AD1510" s="1" t="s">
        <v>1704</v>
      </c>
      <c r="AE1510" s="1" t="s">
        <v>1704</v>
      </c>
      <c r="AF1510" s="1" t="s">
        <v>1705</v>
      </c>
    </row>
    <row r="1511" spans="1:32" ht="15" x14ac:dyDescent="0.35">
      <c r="A1511" s="7" t="s">
        <v>320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>LEFT($A1511,FIND("_",$A1511)-1)</f>
        <v>SimFix</v>
      </c>
      <c r="P1511" s="13" t="str">
        <f>IF($O1511="ACS", "True Search", IF($O1511="Arja", "Evolutionary Search", IF($O1511="AVATAR", "True Pattern", IF($O1511="CapGen", "Search Like Pattern", IF($O1511="Cardumen", "True Semantic", IF($O1511="DynaMoth", "True Semantic", IF($O1511="FixMiner", "True Pattern", IF($O1511="GenProg-A", "Evolutionary Search", IF($O1511="Hercules", "Learning Pattern", IF($O1511="Jaid", "True Semantic",
IF($O1511="Kali-A", "True Search", IF($O1511="kPAR", "True Pattern", IF($O1511="Nopol", "True Semantic", IF($O1511="RSRepair-A", "Evolutionary Search", IF($O1511="SequenceR", "Deep Learning", IF($O1511="SimFix", "Search Like Pattern", IF($O1511="SketchFix", "True Pattern", IF($O1511="SOFix", "True Pattern", IF($O1511="ssFix", "Search Like Pattern", IF($O1511="TBar", "True Pattern", ""))))))))))))))))))))</f>
        <v>Search Like Pattern</v>
      </c>
      <c r="Q1511" s="13" t="str">
        <f>IF(NOT(ISERR(SEARCH("*_Buggy",$A1511))), "Buggy", IF(NOT(ISERR(SEARCH("*_Fixed",$A1511))), "Fixed", IF(NOT(ISERR(SEARCH("*_Repaired",$A1511))), "Repaired", "")))</f>
        <v>Repaired</v>
      </c>
      <c r="R1511" s="13" t="s">
        <v>1669</v>
      </c>
      <c r="S1511" s="25">
        <v>2</v>
      </c>
      <c r="T1511" s="13">
        <v>8</v>
      </c>
      <c r="U1511" s="25">
        <v>0</v>
      </c>
      <c r="V1511" s="13">
        <v>8</v>
      </c>
      <c r="W1511" s="13" t="str">
        <f>MID(A1511, SEARCH("_", A1511) +1, SEARCH("_", A1511, SEARCH("_", A1511) +1) - SEARCH("_", A1511) -1)</f>
        <v>Math-82</v>
      </c>
      <c r="Y1511" s="1" t="str">
        <f t="shared" si="66"/>
        <v>NO</v>
      </c>
      <c r="Z1511" s="1" t="str">
        <f t="shared" si="67"/>
        <v>YES</v>
      </c>
      <c r="AA1511" t="s">
        <v>1704</v>
      </c>
      <c r="AB1511" t="s">
        <v>1704</v>
      </c>
      <c r="AC1511" s="1" t="s">
        <v>1704</v>
      </c>
      <c r="AD1511" s="1" t="s">
        <v>1704</v>
      </c>
      <c r="AE1511" s="1" t="s">
        <v>1704</v>
      </c>
      <c r="AF1511" s="1" t="s">
        <v>1704</v>
      </c>
    </row>
    <row r="1512" spans="1:32" ht="15" x14ac:dyDescent="0.35">
      <c r="A1512" s="7" t="s">
        <v>128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>LEFT($A1512,FIND("_",$A1512)-1)</f>
        <v>SimFix</v>
      </c>
      <c r="P1512" s="13" t="str">
        <f>IF($O1512="ACS", "True Search", IF($O1512="Arja", "Evolutionary Search", IF($O1512="AVATAR", "True Pattern", IF($O1512="CapGen", "Search Like Pattern", IF($O1512="Cardumen", "True Semantic", IF($O1512="DynaMoth", "True Semantic", IF($O1512="FixMiner", "True Pattern", IF($O1512="GenProg-A", "Evolutionary Search", IF($O1512="Hercules", "Learning Pattern", IF($O1512="Jaid", "True Semantic",
IF($O1512="Kali-A", "True Search", IF($O1512="kPAR", "True Pattern", IF($O1512="Nopol", "True Semantic", IF($O1512="RSRepair-A", "Evolutionary Search", IF($O1512="SequenceR", "Deep Learning", IF($O1512="SimFix", "Search Like Pattern", IF($O1512="SketchFix", "True Pattern", IF($O1512="SOFix", "True Pattern", IF($O1512="ssFix", "Search Like Pattern", IF($O1512="TBar", "True Pattern", ""))))))))))))))))))))</f>
        <v>Search Like Pattern</v>
      </c>
      <c r="Q1512" s="13" t="str">
        <f>IF(NOT(ISERR(SEARCH("*_Buggy",$A1512))), "Buggy", IF(NOT(ISERR(SEARCH("*_Fixed",$A1512))), "Fixed", IF(NOT(ISERR(SEARCH("*_Repaired",$A1512))), "Repaired", "")))</f>
        <v>Repaired</v>
      </c>
      <c r="R1512" s="13" t="s">
        <v>1669</v>
      </c>
      <c r="S1512" s="25">
        <v>2</v>
      </c>
      <c r="T1512" s="13">
        <v>7</v>
      </c>
      <c r="U1512" s="25">
        <v>0</v>
      </c>
      <c r="V1512" s="13">
        <v>7</v>
      </c>
      <c r="W1512" s="13" t="str">
        <f>MID(A1512, SEARCH("_", A1512) +1, SEARCH("_", A1512, SEARCH("_", A1512) +1) - SEARCH("_", A1512) -1)</f>
        <v>Math-84</v>
      </c>
      <c r="Y1512" s="1" t="str">
        <f t="shared" si="66"/>
        <v>NO</v>
      </c>
      <c r="Z1512" s="1" t="str">
        <f t="shared" si="67"/>
        <v>YES</v>
      </c>
      <c r="AA1512" t="s">
        <v>1704</v>
      </c>
      <c r="AB1512" t="s">
        <v>1705</v>
      </c>
      <c r="AC1512" s="1" t="s">
        <v>1704</v>
      </c>
      <c r="AD1512" s="1" t="s">
        <v>1704</v>
      </c>
      <c r="AE1512" s="1" t="s">
        <v>1704</v>
      </c>
      <c r="AF1512" s="1" t="s">
        <v>1705</v>
      </c>
    </row>
    <row r="1513" spans="1:32" ht="15" x14ac:dyDescent="0.35">
      <c r="A1513" s="7" t="s">
        <v>979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>LEFT($A1513,FIND("_",$A1513)-1)</f>
        <v>SimFix</v>
      </c>
      <c r="P1513" s="13" t="str">
        <f>IF($O1513="ACS", "True Search", IF($O1513="Arja", "Evolutionary Search", IF($O1513="AVATAR", "True Pattern", IF($O1513="CapGen", "Search Like Pattern", IF($O1513="Cardumen", "True Semantic", IF($O1513="DynaMoth", "True Semantic", IF($O1513="FixMiner", "True Pattern", IF($O1513="GenProg-A", "Evolutionary Search", IF($O1513="Hercules", "Learning Pattern", IF($O1513="Jaid", "True Semantic",
IF($O1513="Kali-A", "True Search", IF($O1513="kPAR", "True Pattern", IF($O1513="Nopol", "True Semantic", IF($O1513="RSRepair-A", "Evolutionary Search", IF($O1513="SequenceR", "Deep Learning", IF($O1513="SimFix", "Search Like Pattern", IF($O1513="SketchFix", "True Pattern", IF($O1513="SOFix", "True Pattern", IF($O1513="ssFix", "Search Like Pattern", IF($O1513="TBar", "True Pattern", ""))))))))))))))))))))</f>
        <v>Search Like Pattern</v>
      </c>
      <c r="Q1513" s="13" t="str">
        <f>IF(NOT(ISERR(SEARCH("*_Buggy",$A1513))), "Buggy", IF(NOT(ISERR(SEARCH("*_Fixed",$A1513))), "Fixed", IF(NOT(ISERR(SEARCH("*_Repaired",$A1513))), "Repaired", "")))</f>
        <v>Repaired</v>
      </c>
      <c r="R1513" s="13" t="s">
        <v>1669</v>
      </c>
      <c r="S1513" s="25">
        <v>2</v>
      </c>
      <c r="T1513" s="13">
        <v>7</v>
      </c>
      <c r="U1513" s="25">
        <v>0</v>
      </c>
      <c r="V1513" s="13">
        <v>7</v>
      </c>
      <c r="W1513" s="13" t="str">
        <f>MID(A1513, SEARCH("_", A1513) +1, SEARCH("_", A1513, SEARCH("_", A1513) +1) - SEARCH("_", A1513) -1)</f>
        <v>Math-85</v>
      </c>
      <c r="Y1513" s="1" t="str">
        <f t="shared" si="66"/>
        <v>NO</v>
      </c>
      <c r="Z1513" s="1" t="str">
        <f t="shared" si="67"/>
        <v>YES</v>
      </c>
      <c r="AA1513" t="s">
        <v>1704</v>
      </c>
      <c r="AB1513" t="s">
        <v>1704</v>
      </c>
      <c r="AC1513" s="1" t="s">
        <v>1704</v>
      </c>
      <c r="AD1513" s="1" t="s">
        <v>1704</v>
      </c>
      <c r="AE1513" s="1" t="s">
        <v>1704</v>
      </c>
      <c r="AF1513" s="1" t="s">
        <v>1704</v>
      </c>
    </row>
    <row r="1514" spans="1:32" ht="15" x14ac:dyDescent="0.35">
      <c r="A1514" s="5" t="s">
        <v>1132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>LEFT($A1514,FIND("_",$A1514)-1)</f>
        <v>TBar</v>
      </c>
      <c r="P1514" s="13" t="str">
        <f>IF($O1514="ACS", "True Search", IF($O1514="Arja", "Evolutionary Search", IF($O1514="AVATAR", "True Pattern", IF($O1514="CapGen", "Search Like Pattern", IF($O1514="Cardumen", "True Semantic", IF($O1514="DynaMoth", "True Semantic", IF($O1514="FixMiner", "True Pattern", IF($O1514="GenProg-A", "Evolutionary Search", IF($O1514="Hercules", "Learning Pattern", IF($O1514="Jaid", "True Semantic",
IF($O1514="Kali-A", "True Search", IF($O1514="kPAR", "True Pattern", IF($O1514="Nopol", "True Semantic", IF($O1514="RSRepair-A", "Evolutionary Search", IF($O1514="SequenceR", "Deep Learning", IF($O1514="SimFix", "Search Like Pattern", IF($O1514="SketchFix", "True Pattern", IF($O1514="SOFix", "True Pattern", IF($O1514="ssFix", "Search Like Pattern", IF($O1514="TBar", "True Pattern", ""))))))))))))))))))))</f>
        <v>True Pattern</v>
      </c>
      <c r="Q1514" s="13" t="str">
        <f>IF(NOT(ISERR(SEARCH("*_Buggy",$A1514))), "Buggy", IF(NOT(ISERR(SEARCH("*_Fixed",$A1514))), "Fixed", IF(NOT(ISERR(SEARCH("*_Repaired",$A1514))), "Repaired", "")))</f>
        <v>Repaired</v>
      </c>
      <c r="R1514" s="13" t="s">
        <v>1668</v>
      </c>
      <c r="S1514" s="25">
        <v>1</v>
      </c>
      <c r="T1514" s="25">
        <v>1</v>
      </c>
      <c r="U1514" s="25">
        <v>1</v>
      </c>
      <c r="V1514" s="13">
        <v>1</v>
      </c>
      <c r="W1514" s="13" t="str">
        <f>MID(A1514, SEARCH("_", A1514) +1, SEARCH("_", A1514, SEARCH("_", A1514) +1) - SEARCH("_", A1514) -1)</f>
        <v>Chart-1</v>
      </c>
      <c r="Y1514" s="1" t="str">
        <f t="shared" si="66"/>
        <v>NO</v>
      </c>
      <c r="Z1514" s="1" t="str">
        <f t="shared" si="67"/>
        <v>NO</v>
      </c>
      <c r="AA1514" t="s">
        <v>1704</v>
      </c>
      <c r="AB1514" t="s">
        <v>1704</v>
      </c>
      <c r="AC1514" s="1" t="s">
        <v>1705</v>
      </c>
      <c r="AD1514" s="1" t="s">
        <v>1704</v>
      </c>
      <c r="AE1514" s="1" t="s">
        <v>1705</v>
      </c>
      <c r="AF1514" s="1" t="s">
        <v>1704</v>
      </c>
    </row>
    <row r="1515" spans="1:32" ht="15" x14ac:dyDescent="0.35">
      <c r="A1515" s="5" t="s">
        <v>664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>LEFT($A1515,FIND("_",$A1515)-1)</f>
        <v>TBar</v>
      </c>
      <c r="P1515" s="13" t="str">
        <f>IF($O1515="ACS", "True Search", IF($O1515="Arja", "Evolutionary Search", IF($O1515="AVATAR", "True Pattern", IF($O1515="CapGen", "Search Like Pattern", IF($O1515="Cardumen", "True Semantic", IF($O1515="DynaMoth", "True Semantic", IF($O1515="FixMiner", "True Pattern", IF($O1515="GenProg-A", "Evolutionary Search", IF($O1515="Hercules", "Learning Pattern", IF($O1515="Jaid", "True Semantic",
IF($O1515="Kali-A", "True Search", IF($O1515="kPAR", "True Pattern", IF($O1515="Nopol", "True Semantic", IF($O1515="RSRepair-A", "Evolutionary Search", IF($O1515="SequenceR", "Deep Learning", IF($O1515="SimFix", "Search Like Pattern", IF($O1515="SketchFix", "True Pattern", IF($O1515="SOFix", "True Pattern", IF($O1515="ssFix", "Search Like Pattern", IF($O1515="TBar", "True Pattern", ""))))))))))))))))))))</f>
        <v>True Pattern</v>
      </c>
      <c r="Q1515" s="13" t="str">
        <f>IF(NOT(ISERR(SEARCH("*_Buggy",$A1515))), "Buggy", IF(NOT(ISERR(SEARCH("*_Fixed",$A1515))), "Fixed", IF(NOT(ISERR(SEARCH("*_Repaired",$A1515))), "Repaired", "")))</f>
        <v>Repaired</v>
      </c>
      <c r="R1515" s="13" t="s">
        <v>1668</v>
      </c>
      <c r="S1515" s="25">
        <v>1</v>
      </c>
      <c r="T1515" s="25">
        <v>1</v>
      </c>
      <c r="U1515" s="25">
        <v>1</v>
      </c>
      <c r="V1515" s="13">
        <v>1</v>
      </c>
      <c r="W1515" s="13" t="str">
        <f>MID(A1515, SEARCH("_", A1515) +1, SEARCH("_", A1515, SEARCH("_", A1515) +1) - SEARCH("_", A1515) -1)</f>
        <v>Chart-11</v>
      </c>
      <c r="Y1515" s="1" t="str">
        <f t="shared" si="66"/>
        <v>NO</v>
      </c>
      <c r="Z1515" s="1" t="str">
        <f t="shared" si="67"/>
        <v>NO</v>
      </c>
      <c r="AA1515" t="s">
        <v>1704</v>
      </c>
      <c r="AB1515" t="s">
        <v>1704</v>
      </c>
      <c r="AC1515" s="1" t="s">
        <v>1705</v>
      </c>
      <c r="AD1515" s="1" t="s">
        <v>1704</v>
      </c>
      <c r="AE1515" s="1" t="s">
        <v>1705</v>
      </c>
      <c r="AF1515" s="1" t="s">
        <v>1704</v>
      </c>
    </row>
    <row r="1516" spans="1:32" ht="15" x14ac:dyDescent="0.35">
      <c r="A1516" s="5" t="s">
        <v>145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>LEFT($A1516,FIND("_",$A1516)-1)</f>
        <v>TBar</v>
      </c>
      <c r="P1516" s="13" t="str">
        <f>IF($O1516="ACS", "True Search", IF($O1516="Arja", "Evolutionary Search", IF($O1516="AVATAR", "True Pattern", IF($O1516="CapGen", "Search Like Pattern", IF($O1516="Cardumen", "True Semantic", IF($O1516="DynaMoth", "True Semantic", IF($O1516="FixMiner", "True Pattern", IF($O1516="GenProg-A", "Evolutionary Search", IF($O1516="Hercules", "Learning Pattern", IF($O1516="Jaid", "True Semantic",
IF($O1516="Kali-A", "True Search", IF($O1516="kPAR", "True Pattern", IF($O1516="Nopol", "True Semantic", IF($O1516="RSRepair-A", "Evolutionary Search", IF($O1516="SequenceR", "Deep Learning", IF($O1516="SimFix", "Search Like Pattern", IF($O1516="SketchFix", "True Pattern", IF($O1516="SOFix", "True Pattern", IF($O1516="ssFix", "Search Like Pattern", IF($O1516="TBar", "True Pattern", ""))))))))))))))))))))</f>
        <v>True Pattern</v>
      </c>
      <c r="Q1516" s="13" t="str">
        <f>IF(NOT(ISERR(SEARCH("*_Buggy",$A1516))), "Buggy", IF(NOT(ISERR(SEARCH("*_Fixed",$A1516))), "Fixed", IF(NOT(ISERR(SEARCH("*_Repaired",$A1516))), "Repaired", "")))</f>
        <v>Repaired</v>
      </c>
      <c r="R1516" s="13" t="s">
        <v>1668</v>
      </c>
      <c r="S1516" s="25">
        <v>1</v>
      </c>
      <c r="T1516" s="25">
        <v>1</v>
      </c>
      <c r="U1516" s="25">
        <v>1</v>
      </c>
      <c r="V1516" s="13">
        <v>1</v>
      </c>
      <c r="W1516" s="13" t="str">
        <f>MID(A1516, SEARCH("_", A1516) +1, SEARCH("_", A1516, SEARCH("_", A1516) +1) - SEARCH("_", A1516) -1)</f>
        <v>Chart-12</v>
      </c>
      <c r="Y1516" s="1" t="str">
        <f t="shared" si="66"/>
        <v>NO</v>
      </c>
      <c r="Z1516" s="1" t="str">
        <f t="shared" si="67"/>
        <v>NO</v>
      </c>
      <c r="AA1516" t="s">
        <v>1704</v>
      </c>
      <c r="AB1516" t="s">
        <v>1704</v>
      </c>
      <c r="AC1516" s="1" t="s">
        <v>1705</v>
      </c>
      <c r="AD1516" s="1" t="s">
        <v>1704</v>
      </c>
      <c r="AE1516" s="1" t="s">
        <v>1705</v>
      </c>
      <c r="AF1516" s="1" t="s">
        <v>1704</v>
      </c>
    </row>
    <row r="1517" spans="1:32" ht="15" x14ac:dyDescent="0.35">
      <c r="A1517" s="5" t="s">
        <v>349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>LEFT($A1517,FIND("_",$A1517)-1)</f>
        <v>TBar</v>
      </c>
      <c r="P1517" s="13" t="str">
        <f>IF($O1517="ACS", "True Search", IF($O1517="Arja", "Evolutionary Search", IF($O1517="AVATAR", "True Pattern", IF($O1517="CapGen", "Search Like Pattern", IF($O1517="Cardumen", "True Semantic", IF($O1517="DynaMoth", "True Semantic", IF($O1517="FixMiner", "True Pattern", IF($O1517="GenProg-A", "Evolutionary Search", IF($O1517="Hercules", "Learning Pattern", IF($O1517="Jaid", "True Semantic",
IF($O1517="Kali-A", "True Search", IF($O1517="kPAR", "True Pattern", IF($O1517="Nopol", "True Semantic", IF($O1517="RSRepair-A", "Evolutionary Search", IF($O1517="SequenceR", "Deep Learning", IF($O1517="SimFix", "Search Like Pattern", IF($O1517="SketchFix", "True Pattern", IF($O1517="SOFix", "True Pattern", IF($O1517="ssFix", "Search Like Pattern", IF($O1517="TBar", "True Pattern", ""))))))))))))))))))))</f>
        <v>True Pattern</v>
      </c>
      <c r="Q1517" s="13" t="str">
        <f>IF(NOT(ISERR(SEARCH("*_Buggy",$A1517))), "Buggy", IF(NOT(ISERR(SEARCH("*_Fixed",$A1517))), "Fixed", IF(NOT(ISERR(SEARCH("*_Repaired",$A1517))), "Repaired", "")))</f>
        <v>Repaired</v>
      </c>
      <c r="R1517" s="13" t="s">
        <v>1669</v>
      </c>
      <c r="S1517" s="25">
        <v>1</v>
      </c>
      <c r="T1517" s="25">
        <v>1</v>
      </c>
      <c r="U1517" s="25">
        <v>1</v>
      </c>
      <c r="V1517" s="13">
        <v>1</v>
      </c>
      <c r="W1517" s="13" t="str">
        <f>MID(A1517, SEARCH("_", A1517) +1, SEARCH("_", A1517, SEARCH("_", A1517) +1) - SEARCH("_", A1517) -1)</f>
        <v>Chart-13</v>
      </c>
      <c r="Y1517" s="1" t="str">
        <f t="shared" si="66"/>
        <v>NO</v>
      </c>
      <c r="Z1517" s="1" t="str">
        <f t="shared" si="67"/>
        <v>NO</v>
      </c>
      <c r="AA1517" t="s">
        <v>1704</v>
      </c>
      <c r="AB1517" t="s">
        <v>1704</v>
      </c>
      <c r="AC1517" s="1" t="s">
        <v>1705</v>
      </c>
      <c r="AD1517" s="1" t="s">
        <v>1704</v>
      </c>
      <c r="AE1517" s="1" t="s">
        <v>1705</v>
      </c>
      <c r="AF1517" s="1" t="s">
        <v>1704</v>
      </c>
    </row>
    <row r="1518" spans="1:32" ht="15" x14ac:dyDescent="0.35">
      <c r="A1518" s="7" t="s">
        <v>527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>LEFT($A1518,FIND("_",$A1518)-1)</f>
        <v>TBar</v>
      </c>
      <c r="P1518" s="13" t="str">
        <f>IF($O1518="ACS", "True Search", IF($O1518="Arja", "Evolutionary Search", IF($O1518="AVATAR", "True Pattern", IF($O1518="CapGen", "Search Like Pattern", IF($O1518="Cardumen", "True Semantic", IF($O1518="DynaMoth", "True Semantic", IF($O1518="FixMiner", "True Pattern", IF($O1518="GenProg-A", "Evolutionary Search", IF($O1518="Hercules", "Learning Pattern", IF($O1518="Jaid", "True Semantic",
IF($O1518="Kali-A", "True Search", IF($O1518="kPAR", "True Pattern", IF($O1518="Nopol", "True Semantic", IF($O1518="RSRepair-A", "Evolutionary Search", IF($O1518="SequenceR", "Deep Learning", IF($O1518="SimFix", "Search Like Pattern", IF($O1518="SketchFix", "True Pattern", IF($O1518="SOFix", "True Pattern", IF($O1518="ssFix", "Search Like Pattern", IF($O1518="TBar", "True Pattern", ""))))))))))))))))))))</f>
        <v>True Pattern</v>
      </c>
      <c r="Q1518" s="13" t="str">
        <f>IF(NOT(ISERR(SEARCH("*_Buggy",$A1518))), "Buggy", IF(NOT(ISERR(SEARCH("*_Fixed",$A1518))), "Fixed", IF(NOT(ISERR(SEARCH("*_Repaired",$A1518))), "Repaired", "")))</f>
        <v>Repaired</v>
      </c>
      <c r="R1518" s="13" t="s">
        <v>1668</v>
      </c>
      <c r="S1518" s="25">
        <v>1</v>
      </c>
      <c r="T1518" s="25">
        <v>4</v>
      </c>
      <c r="U1518" s="25">
        <v>1</v>
      </c>
      <c r="V1518" s="13">
        <v>4</v>
      </c>
      <c r="W1518" s="13" t="str">
        <f>MID(A1518, SEARCH("_", A1518) +1, SEARCH("_", A1518, SEARCH("_", A1518) +1) - SEARCH("_", A1518) -1)</f>
        <v>Chart-19</v>
      </c>
      <c r="Y1518" s="1" t="str">
        <f t="shared" si="66"/>
        <v>NO</v>
      </c>
      <c r="Z1518" s="1" t="str">
        <f t="shared" si="67"/>
        <v>NO</v>
      </c>
      <c r="AA1518" t="s">
        <v>1704</v>
      </c>
      <c r="AB1518" t="s">
        <v>1704</v>
      </c>
      <c r="AC1518" s="1" t="s">
        <v>1704</v>
      </c>
      <c r="AD1518" s="1" t="s">
        <v>1704</v>
      </c>
      <c r="AE1518" s="1" t="s">
        <v>1704</v>
      </c>
      <c r="AF1518" s="1" t="s">
        <v>1705</v>
      </c>
    </row>
    <row r="1519" spans="1:32" ht="15" x14ac:dyDescent="0.35">
      <c r="A1519" s="5" t="s">
        <v>140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>LEFT($A1519,FIND("_",$A1519)-1)</f>
        <v>TBar</v>
      </c>
      <c r="P1519" s="13" t="str">
        <f>IF($O1519="ACS", "True Search", IF($O1519="Arja", "Evolutionary Search", IF($O1519="AVATAR", "True Pattern", IF($O1519="CapGen", "Search Like Pattern", IF($O1519="Cardumen", "True Semantic", IF($O1519="DynaMoth", "True Semantic", IF($O1519="FixMiner", "True Pattern", IF($O1519="GenProg-A", "Evolutionary Search", IF($O1519="Hercules", "Learning Pattern", IF($O1519="Jaid", "True Semantic",
IF($O1519="Kali-A", "True Search", IF($O1519="kPAR", "True Pattern", IF($O1519="Nopol", "True Semantic", IF($O1519="RSRepair-A", "Evolutionary Search", IF($O1519="SequenceR", "Deep Learning", IF($O1519="SimFix", "Search Like Pattern", IF($O1519="SketchFix", "True Pattern", IF($O1519="SOFix", "True Pattern", IF($O1519="ssFix", "Search Like Pattern", IF($O1519="TBar", "True Pattern", ""))))))))))))))))))))</f>
        <v>True Pattern</v>
      </c>
      <c r="Q1519" s="13" t="str">
        <f>IF(NOT(ISERR(SEARCH("*_Buggy",$A1519))), "Buggy", IF(NOT(ISERR(SEARCH("*_Fixed",$A1519))), "Fixed", IF(NOT(ISERR(SEARCH("*_Repaired",$A1519))), "Repaired", "")))</f>
        <v>Repaired</v>
      </c>
      <c r="R1519" s="13" t="s">
        <v>1668</v>
      </c>
      <c r="S1519" s="25">
        <v>1</v>
      </c>
      <c r="T1519" s="25">
        <v>1</v>
      </c>
      <c r="U1519" s="25">
        <v>1</v>
      </c>
      <c r="V1519" s="13">
        <v>1</v>
      </c>
      <c r="W1519" s="13" t="str">
        <f>MID(A1519, SEARCH("_", A1519) +1, SEARCH("_", A1519, SEARCH("_", A1519) +1) - SEARCH("_", A1519) -1)</f>
        <v>Chart-20</v>
      </c>
      <c r="Y1519" s="1" t="str">
        <f t="shared" si="66"/>
        <v>NO</v>
      </c>
      <c r="Z1519" s="1" t="str">
        <f t="shared" si="67"/>
        <v>NO</v>
      </c>
      <c r="AA1519" t="s">
        <v>1704</v>
      </c>
      <c r="AB1519" t="s">
        <v>1704</v>
      </c>
      <c r="AC1519" s="1" t="s">
        <v>1705</v>
      </c>
      <c r="AD1519" s="1" t="s">
        <v>1704</v>
      </c>
      <c r="AE1519" s="1" t="s">
        <v>1705</v>
      </c>
      <c r="AF1519" s="1" t="s">
        <v>1704</v>
      </c>
    </row>
    <row r="1520" spans="1:32" ht="15" x14ac:dyDescent="0.35">
      <c r="A1520" s="7" t="s">
        <v>273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>LEFT($A1520,FIND("_",$A1520)-1)</f>
        <v>TBar</v>
      </c>
      <c r="P1520" s="13" t="str">
        <f>IF($O1520="ACS", "True Search", IF($O1520="Arja", "Evolutionary Search", IF($O1520="AVATAR", "True Pattern", IF($O1520="CapGen", "Search Like Pattern", IF($O1520="Cardumen", "True Semantic", IF($O1520="DynaMoth", "True Semantic", IF($O1520="FixMiner", "True Pattern", IF($O1520="GenProg-A", "Evolutionary Search", IF($O1520="Hercules", "Learning Pattern", IF($O1520="Jaid", "True Semantic",
IF($O1520="Kali-A", "True Search", IF($O1520="kPAR", "True Pattern", IF($O1520="Nopol", "True Semantic", IF($O1520="RSRepair-A", "Evolutionary Search", IF($O1520="SequenceR", "Deep Learning", IF($O1520="SimFix", "Search Like Pattern", IF($O1520="SketchFix", "True Pattern", IF($O1520="SOFix", "True Pattern", IF($O1520="ssFix", "Search Like Pattern", IF($O1520="TBar", "True Pattern", ""))))))))))))))))))))</f>
        <v>True Pattern</v>
      </c>
      <c r="Q1520" s="13" t="str">
        <f>IF(NOT(ISERR(SEARCH("*_Buggy",$A1520))), "Buggy", IF(NOT(ISERR(SEARCH("*_Fixed",$A1520))), "Fixed", IF(NOT(ISERR(SEARCH("*_Repaired",$A1520))), "Repaired", "")))</f>
        <v>Repaired</v>
      </c>
      <c r="R1520" s="13" t="s">
        <v>1668</v>
      </c>
      <c r="S1520" s="25">
        <v>1</v>
      </c>
      <c r="T1520" s="25">
        <v>1</v>
      </c>
      <c r="U1520" s="25">
        <v>1</v>
      </c>
      <c r="V1520" s="13">
        <v>1</v>
      </c>
      <c r="W1520" s="13" t="str">
        <f>MID(A1520, SEARCH("_", A1520) +1, SEARCH("_", A1520, SEARCH("_", A1520) +1) - SEARCH("_", A1520) -1)</f>
        <v>Chart-24</v>
      </c>
      <c r="Y1520" s="1" t="str">
        <f t="shared" si="66"/>
        <v>NO</v>
      </c>
      <c r="Z1520" s="1" t="str">
        <f t="shared" si="67"/>
        <v>NO</v>
      </c>
      <c r="AA1520" t="s">
        <v>1704</v>
      </c>
      <c r="AB1520" t="s">
        <v>1704</v>
      </c>
      <c r="AC1520" s="1" t="s">
        <v>1705</v>
      </c>
      <c r="AD1520" s="1" t="s">
        <v>1704</v>
      </c>
      <c r="AE1520" s="1" t="s">
        <v>1705</v>
      </c>
      <c r="AF1520" s="1" t="s">
        <v>1704</v>
      </c>
    </row>
    <row r="1521" spans="1:32" ht="15" x14ac:dyDescent="0.35">
      <c r="A1521" s="7" t="s">
        <v>215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>LEFT($A1521,FIND("_",$A1521)-1)</f>
        <v>TBar</v>
      </c>
      <c r="P1521" s="13" t="str">
        <f>IF($O1521="ACS", "True Search", IF($O1521="Arja", "Evolutionary Search", IF($O1521="AVATAR", "True Pattern", IF($O1521="CapGen", "Search Like Pattern", IF($O1521="Cardumen", "True Semantic", IF($O1521="DynaMoth", "True Semantic", IF($O1521="FixMiner", "True Pattern", IF($O1521="GenProg-A", "Evolutionary Search", IF($O1521="Hercules", "Learning Pattern", IF($O1521="Jaid", "True Semantic",
IF($O1521="Kali-A", "True Search", IF($O1521="kPAR", "True Pattern", IF($O1521="Nopol", "True Semantic", IF($O1521="RSRepair-A", "Evolutionary Search", IF($O1521="SequenceR", "Deep Learning", IF($O1521="SimFix", "Search Like Pattern", IF($O1521="SketchFix", "True Pattern", IF($O1521="SOFix", "True Pattern", IF($O1521="ssFix", "Search Like Pattern", IF($O1521="TBar", "True Pattern", ""))))))))))))))))))))</f>
        <v>True Pattern</v>
      </c>
      <c r="Q1521" s="13" t="str">
        <f>IF(NOT(ISERR(SEARCH("*_Buggy",$A1521))), "Buggy", IF(NOT(ISERR(SEARCH("*_Fixed",$A1521))), "Fixed", IF(NOT(ISERR(SEARCH("*_Repaired",$A1521))), "Repaired", "")))</f>
        <v>Repaired</v>
      </c>
      <c r="R1521" s="13" t="s">
        <v>1669</v>
      </c>
      <c r="S1521" s="25">
        <v>1</v>
      </c>
      <c r="T1521" s="25">
        <v>1</v>
      </c>
      <c r="U1521" s="25">
        <v>43</v>
      </c>
      <c r="V1521" s="13">
        <v>43</v>
      </c>
      <c r="W1521" s="13" t="str">
        <f>MID(A1521, SEARCH("_", A1521) +1, SEARCH("_", A1521, SEARCH("_", A1521) +1) - SEARCH("_", A1521) -1)</f>
        <v>Chart-25</v>
      </c>
      <c r="Y1521" s="1" t="str">
        <f t="shared" si="66"/>
        <v>NO</v>
      </c>
      <c r="Z1521" s="1" t="str">
        <f t="shared" si="67"/>
        <v>NO</v>
      </c>
      <c r="AA1521" t="s">
        <v>1704</v>
      </c>
      <c r="AB1521" t="s">
        <v>1704</v>
      </c>
      <c r="AC1521" s="1" t="s">
        <v>1704</v>
      </c>
      <c r="AD1521" s="1" t="s">
        <v>1704</v>
      </c>
      <c r="AE1521" s="1" t="s">
        <v>1704</v>
      </c>
      <c r="AF1521" s="1" t="s">
        <v>1705</v>
      </c>
    </row>
    <row r="1522" spans="1:32" ht="15" x14ac:dyDescent="0.35">
      <c r="A1522" s="7" t="s">
        <v>1194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>LEFT($A1522,FIND("_",$A1522)-1)</f>
        <v>TBar</v>
      </c>
      <c r="P1522" s="13" t="str">
        <f>IF($O1522="ACS", "True Search", IF($O1522="Arja", "Evolutionary Search", IF($O1522="AVATAR", "True Pattern", IF($O1522="CapGen", "Search Like Pattern", IF($O1522="Cardumen", "True Semantic", IF($O1522="DynaMoth", "True Semantic", IF($O1522="FixMiner", "True Pattern", IF($O1522="GenProg-A", "Evolutionary Search", IF($O1522="Hercules", "Learning Pattern", IF($O1522="Jaid", "True Semantic",
IF($O1522="Kali-A", "True Search", IF($O1522="kPAR", "True Pattern", IF($O1522="Nopol", "True Semantic", IF($O1522="RSRepair-A", "Evolutionary Search", IF($O1522="SequenceR", "Deep Learning", IF($O1522="SimFix", "Search Like Pattern", IF($O1522="SketchFix", "True Pattern", IF($O1522="SOFix", "True Pattern", IF($O1522="ssFix", "Search Like Pattern", IF($O1522="TBar", "True Pattern", ""))))))))))))))))))))</f>
        <v>True Pattern</v>
      </c>
      <c r="Q1522" s="13" t="str">
        <f>IF(NOT(ISERR(SEARCH("*_Buggy",$A1522))), "Buggy", IF(NOT(ISERR(SEARCH("*_Fixed",$A1522))), "Fixed", IF(NOT(ISERR(SEARCH("*_Repaired",$A1522))), "Repaired", "")))</f>
        <v>Repaired</v>
      </c>
      <c r="R1522" s="13" t="s">
        <v>1668</v>
      </c>
      <c r="S1522" s="25">
        <v>2</v>
      </c>
      <c r="T1522" s="25">
        <v>4</v>
      </c>
      <c r="U1522" s="25">
        <v>1</v>
      </c>
      <c r="V1522" s="13">
        <v>4</v>
      </c>
      <c r="W1522" s="13" t="str">
        <f>MID(A1522, SEARCH("_", A1522) +1, SEARCH("_", A1522, SEARCH("_", A1522) +1) - SEARCH("_", A1522) -1)</f>
        <v>Chart-26</v>
      </c>
      <c r="Y1522" s="1" t="str">
        <f t="shared" si="66"/>
        <v>NO</v>
      </c>
      <c r="Z1522" s="1" t="str">
        <f t="shared" si="67"/>
        <v>YES</v>
      </c>
      <c r="AA1522" t="s">
        <v>1704</v>
      </c>
      <c r="AB1522" t="s">
        <v>1704</v>
      </c>
      <c r="AC1522" s="1" t="s">
        <v>1704</v>
      </c>
      <c r="AD1522" s="1" t="s">
        <v>1704</v>
      </c>
      <c r="AE1522" s="1" t="s">
        <v>1704</v>
      </c>
      <c r="AF1522" s="1" t="s">
        <v>1705</v>
      </c>
    </row>
    <row r="1523" spans="1:32" ht="15" x14ac:dyDescent="0.35">
      <c r="A1523" s="7" t="s">
        <v>826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>LEFT($A1523,FIND("_",$A1523)-1)</f>
        <v>TBar</v>
      </c>
      <c r="P1523" s="13" t="str">
        <f>IF($O1523="ACS", "True Search", IF($O1523="Arja", "Evolutionary Search", IF($O1523="AVATAR", "True Pattern", IF($O1523="CapGen", "Search Like Pattern", IF($O1523="Cardumen", "True Semantic", IF($O1523="DynaMoth", "True Semantic", IF($O1523="FixMiner", "True Pattern", IF($O1523="GenProg-A", "Evolutionary Search", IF($O1523="Hercules", "Learning Pattern", IF($O1523="Jaid", "True Semantic",
IF($O1523="Kali-A", "True Search", IF($O1523="kPAR", "True Pattern", IF($O1523="Nopol", "True Semantic", IF($O1523="RSRepair-A", "Evolutionary Search", IF($O1523="SequenceR", "Deep Learning", IF($O1523="SimFix", "Search Like Pattern", IF($O1523="SketchFix", "True Pattern", IF($O1523="SOFix", "True Pattern", IF($O1523="ssFix", "Search Like Pattern", IF($O1523="TBar", "True Pattern", ""))))))))))))))))))))</f>
        <v>True Pattern</v>
      </c>
      <c r="Q1523" s="13" t="str">
        <f>IF(NOT(ISERR(SEARCH("*_Buggy",$A1523))), "Buggy", IF(NOT(ISERR(SEARCH("*_Fixed",$A1523))), "Fixed", IF(NOT(ISERR(SEARCH("*_Repaired",$A1523))), "Repaired", "")))</f>
        <v>Repaired</v>
      </c>
      <c r="R1523" s="13" t="s">
        <v>1669</v>
      </c>
      <c r="S1523" s="25">
        <v>1</v>
      </c>
      <c r="T1523" s="25">
        <v>2</v>
      </c>
      <c r="U1523" s="25">
        <v>1</v>
      </c>
      <c r="V1523" s="13">
        <v>2</v>
      </c>
      <c r="W1523" s="13" t="str">
        <f>MID(A1523, SEARCH("_", A1523) +1, SEARCH("_", A1523, SEARCH("_", A1523) +1) - SEARCH("_", A1523) -1)</f>
        <v>Chart-3</v>
      </c>
      <c r="Y1523" s="1" t="str">
        <f t="shared" si="66"/>
        <v>NO</v>
      </c>
      <c r="Z1523" s="1" t="str">
        <f t="shared" si="67"/>
        <v>NO</v>
      </c>
      <c r="AA1523" t="s">
        <v>1704</v>
      </c>
      <c r="AB1523" t="s">
        <v>1704</v>
      </c>
      <c r="AC1523" s="1" t="s">
        <v>1704</v>
      </c>
      <c r="AD1523" s="1" t="s">
        <v>1705</v>
      </c>
      <c r="AE1523" s="1" t="s">
        <v>1704</v>
      </c>
      <c r="AF1523" s="1" t="s">
        <v>1705</v>
      </c>
    </row>
    <row r="1524" spans="1:32" ht="15" x14ac:dyDescent="0.35">
      <c r="A1524" s="7" t="s">
        <v>756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>LEFT($A1524,FIND("_",$A1524)-1)</f>
        <v>TBar</v>
      </c>
      <c r="P1524" s="13" t="str">
        <f>IF($O1524="ACS", "True Search", IF($O1524="Arja", "Evolutionary Search", IF($O1524="AVATAR", "True Pattern", IF($O1524="CapGen", "Search Like Pattern", IF($O1524="Cardumen", "True Semantic", IF($O1524="DynaMoth", "True Semantic", IF($O1524="FixMiner", "True Pattern", IF($O1524="GenProg-A", "Evolutionary Search", IF($O1524="Hercules", "Learning Pattern", IF($O1524="Jaid", "True Semantic",
IF($O1524="Kali-A", "True Search", IF($O1524="kPAR", "True Pattern", IF($O1524="Nopol", "True Semantic", IF($O1524="RSRepair-A", "Evolutionary Search", IF($O1524="SequenceR", "Deep Learning", IF($O1524="SimFix", "Search Like Pattern", IF($O1524="SketchFix", "True Pattern", IF($O1524="SOFix", "True Pattern", IF($O1524="ssFix", "Search Like Pattern", IF($O1524="TBar", "True Pattern", ""))))))))))))))))))))</f>
        <v>True Pattern</v>
      </c>
      <c r="Q1524" s="13" t="str">
        <f>IF(NOT(ISERR(SEARCH("*_Buggy",$A1524))), "Buggy", IF(NOT(ISERR(SEARCH("*_Fixed",$A1524))), "Fixed", IF(NOT(ISERR(SEARCH("*_Repaired",$A1524))), "Repaired", "")))</f>
        <v>Repaired</v>
      </c>
      <c r="R1524" s="13" t="s">
        <v>1668</v>
      </c>
      <c r="S1524" s="25">
        <v>2</v>
      </c>
      <c r="T1524" s="25">
        <v>4</v>
      </c>
      <c r="U1524" s="25">
        <v>1</v>
      </c>
      <c r="V1524" s="13">
        <v>4</v>
      </c>
      <c r="W1524" s="13" t="str">
        <f>MID(A1524, SEARCH("_", A1524) +1, SEARCH("_", A1524, SEARCH("_", A1524) +1) - SEARCH("_", A1524) -1)</f>
        <v>Chart-4</v>
      </c>
      <c r="Y1524" s="1" t="str">
        <f t="shared" si="66"/>
        <v>NO</v>
      </c>
      <c r="Z1524" s="1" t="str">
        <f t="shared" si="67"/>
        <v>YES</v>
      </c>
      <c r="AA1524" t="s">
        <v>1704</v>
      </c>
      <c r="AB1524" t="s">
        <v>1704</v>
      </c>
      <c r="AC1524" s="1" t="s">
        <v>1704</v>
      </c>
      <c r="AD1524" s="1" t="s">
        <v>1704</v>
      </c>
      <c r="AE1524" s="1" t="s">
        <v>1704</v>
      </c>
      <c r="AF1524" s="1" t="s">
        <v>1705</v>
      </c>
    </row>
    <row r="1525" spans="1:32" ht="15" x14ac:dyDescent="0.35">
      <c r="A1525" s="5" t="s">
        <v>894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>LEFT($A1525,FIND("_",$A1525)-1)</f>
        <v>TBar</v>
      </c>
      <c r="P1525" s="13" t="str">
        <f>IF($O1525="ACS", "True Search", IF($O1525="Arja", "Evolutionary Search", IF($O1525="AVATAR", "True Pattern", IF($O1525="CapGen", "Search Like Pattern", IF($O1525="Cardumen", "True Semantic", IF($O1525="DynaMoth", "True Semantic", IF($O1525="FixMiner", "True Pattern", IF($O1525="GenProg-A", "Evolutionary Search", IF($O1525="Hercules", "Learning Pattern", IF($O1525="Jaid", "True Semantic",
IF($O1525="Kali-A", "True Search", IF($O1525="kPAR", "True Pattern", IF($O1525="Nopol", "True Semantic", IF($O1525="RSRepair-A", "Evolutionary Search", IF($O1525="SequenceR", "Deep Learning", IF($O1525="SimFix", "Search Like Pattern", IF($O1525="SketchFix", "True Pattern", IF($O1525="SOFix", "True Pattern", IF($O1525="ssFix", "Search Like Pattern", IF($O1525="TBar", "True Pattern", ""))))))))))))))))))))</f>
        <v>True Pattern</v>
      </c>
      <c r="Q1525" s="13" t="str">
        <f>IF(NOT(ISERR(SEARCH("*_Buggy",$A1525))), "Buggy", IF(NOT(ISERR(SEARCH("*_Fixed",$A1525))), "Fixed", IF(NOT(ISERR(SEARCH("*_Repaired",$A1525))), "Repaired", "")))</f>
        <v>Repaired</v>
      </c>
      <c r="R1525" s="13" t="s">
        <v>1669</v>
      </c>
      <c r="S1525" s="25">
        <v>1</v>
      </c>
      <c r="T1525" s="25">
        <v>1</v>
      </c>
      <c r="U1525" s="25">
        <v>1</v>
      </c>
      <c r="V1525" s="13">
        <v>1</v>
      </c>
      <c r="W1525" s="13" t="str">
        <f>MID(A1525, SEARCH("_", A1525) +1, SEARCH("_", A1525, SEARCH("_", A1525) +1) - SEARCH("_", A1525) -1)</f>
        <v>Chart-5</v>
      </c>
      <c r="Y1525" s="1" t="str">
        <f t="shared" si="66"/>
        <v>NO</v>
      </c>
      <c r="Z1525" s="1" t="str">
        <f t="shared" si="67"/>
        <v>NO</v>
      </c>
      <c r="AA1525" t="s">
        <v>1704</v>
      </c>
      <c r="AB1525" t="s">
        <v>1704</v>
      </c>
      <c r="AC1525" s="1" t="s">
        <v>1704</v>
      </c>
      <c r="AD1525" s="1" t="s">
        <v>1704</v>
      </c>
      <c r="AE1525" s="1" t="s">
        <v>1704</v>
      </c>
      <c r="AF1525" s="1" t="s">
        <v>1704</v>
      </c>
    </row>
    <row r="1526" spans="1:32" ht="15" x14ac:dyDescent="0.35">
      <c r="A1526" s="7" t="s">
        <v>570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>LEFT($A1526,FIND("_",$A1526)-1)</f>
        <v>TBar</v>
      </c>
      <c r="P1526" s="13" t="str">
        <f>IF($O1526="ACS", "True Search", IF($O1526="Arja", "Evolutionary Search", IF($O1526="AVATAR", "True Pattern", IF($O1526="CapGen", "Search Like Pattern", IF($O1526="Cardumen", "True Semantic", IF($O1526="DynaMoth", "True Semantic", IF($O1526="FixMiner", "True Pattern", IF($O1526="GenProg-A", "Evolutionary Search", IF($O1526="Hercules", "Learning Pattern", IF($O1526="Jaid", "True Semantic",
IF($O1526="Kali-A", "True Search", IF($O1526="kPAR", "True Pattern", IF($O1526="Nopol", "True Semantic", IF($O1526="RSRepair-A", "Evolutionary Search", IF($O1526="SequenceR", "Deep Learning", IF($O1526="SimFix", "Search Like Pattern", IF($O1526="SketchFix", "True Pattern", IF($O1526="SOFix", "True Pattern", IF($O1526="ssFix", "Search Like Pattern", IF($O1526="TBar", "True Pattern", ""))))))))))))))))))))</f>
        <v>True Pattern</v>
      </c>
      <c r="Q1526" s="13" t="str">
        <f>IF(NOT(ISERR(SEARCH("*_Buggy",$A1526))), "Buggy", IF(NOT(ISERR(SEARCH("*_Fixed",$A1526))), "Fixed", IF(NOT(ISERR(SEARCH("*_Repaired",$A1526))), "Repaired", "")))</f>
        <v>Repaired</v>
      </c>
      <c r="R1526" s="13" t="s">
        <v>1669</v>
      </c>
      <c r="S1526" s="25">
        <v>1</v>
      </c>
      <c r="T1526" s="25">
        <v>1</v>
      </c>
      <c r="U1526" s="25">
        <v>1</v>
      </c>
      <c r="V1526" s="13">
        <v>1</v>
      </c>
      <c r="W1526" s="13" t="str">
        <f>MID(A1526, SEARCH("_", A1526) +1, SEARCH("_", A1526, SEARCH("_", A1526) +1) - SEARCH("_", A1526) -1)</f>
        <v>Chart-7</v>
      </c>
      <c r="Y1526" s="1" t="str">
        <f t="shared" si="66"/>
        <v>NO</v>
      </c>
      <c r="Z1526" s="1" t="str">
        <f t="shared" si="67"/>
        <v>NO</v>
      </c>
      <c r="AA1526" t="s">
        <v>1704</v>
      </c>
      <c r="AB1526" t="s">
        <v>1704</v>
      </c>
      <c r="AC1526" s="1" t="s">
        <v>1704</v>
      </c>
      <c r="AD1526" s="1" t="s">
        <v>1704</v>
      </c>
      <c r="AE1526" s="1" t="s">
        <v>1704</v>
      </c>
      <c r="AF1526" s="1" t="s">
        <v>1704</v>
      </c>
    </row>
    <row r="1527" spans="1:32" ht="15" x14ac:dyDescent="0.35">
      <c r="A1527" s="7" t="s">
        <v>462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>LEFT($A1527,FIND("_",$A1527)-1)</f>
        <v>TBar</v>
      </c>
      <c r="P1527" s="13" t="str">
        <f>IF($O1527="ACS", "True Search", IF($O1527="Arja", "Evolutionary Search", IF($O1527="AVATAR", "True Pattern", IF($O1527="CapGen", "Search Like Pattern", IF($O1527="Cardumen", "True Semantic", IF($O1527="DynaMoth", "True Semantic", IF($O1527="FixMiner", "True Pattern", IF($O1527="GenProg-A", "Evolutionary Search", IF($O1527="Hercules", "Learning Pattern", IF($O1527="Jaid", "True Semantic",
IF($O1527="Kali-A", "True Search", IF($O1527="kPAR", "True Pattern", IF($O1527="Nopol", "True Semantic", IF($O1527="RSRepair-A", "Evolutionary Search", IF($O1527="SequenceR", "Deep Learning", IF($O1527="SimFix", "Search Like Pattern", IF($O1527="SketchFix", "True Pattern", IF($O1527="SOFix", "True Pattern", IF($O1527="ssFix", "Search Like Pattern", IF($O1527="TBar", "True Pattern", ""))))))))))))))))))))</f>
        <v>True Pattern</v>
      </c>
      <c r="Q1527" s="13" t="str">
        <f>IF(NOT(ISERR(SEARCH("*_Buggy",$A1527))), "Buggy", IF(NOT(ISERR(SEARCH("*_Fixed",$A1527))), "Fixed", IF(NOT(ISERR(SEARCH("*_Repaired",$A1527))), "Repaired", "")))</f>
        <v>Repaired</v>
      </c>
      <c r="R1527" s="13" t="s">
        <v>1668</v>
      </c>
      <c r="S1527" s="25">
        <v>1</v>
      </c>
      <c r="T1527" s="25">
        <v>1</v>
      </c>
      <c r="U1527" s="25">
        <v>1</v>
      </c>
      <c r="V1527" s="13">
        <v>1</v>
      </c>
      <c r="W1527" s="13" t="str">
        <f>MID(A1527, SEARCH("_", A1527) +1, SEARCH("_", A1527, SEARCH("_", A1527) +1) - SEARCH("_", A1527) -1)</f>
        <v>Chart-8</v>
      </c>
      <c r="Y1527" s="1" t="str">
        <f t="shared" si="66"/>
        <v>NO</v>
      </c>
      <c r="Z1527" s="1" t="str">
        <f t="shared" si="67"/>
        <v>NO</v>
      </c>
      <c r="AA1527" t="s">
        <v>1704</v>
      </c>
      <c r="AB1527" t="s">
        <v>1704</v>
      </c>
      <c r="AC1527" s="1" t="s">
        <v>1705</v>
      </c>
      <c r="AD1527" s="1" t="s">
        <v>1704</v>
      </c>
      <c r="AE1527" s="1" t="s">
        <v>1705</v>
      </c>
      <c r="AF1527" s="1" t="s">
        <v>1704</v>
      </c>
    </row>
    <row r="1528" spans="1:32" ht="15" x14ac:dyDescent="0.35">
      <c r="A1528" s="5" t="s">
        <v>919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>LEFT($A1528,FIND("_",$A1528)-1)</f>
        <v>TBar</v>
      </c>
      <c r="P1528" s="13" t="str">
        <f>IF($O1528="ACS", "True Search", IF($O1528="Arja", "Evolutionary Search", IF($O1528="AVATAR", "True Pattern", IF($O1528="CapGen", "Search Like Pattern", IF($O1528="Cardumen", "True Semantic", IF($O1528="DynaMoth", "True Semantic", IF($O1528="FixMiner", "True Pattern", IF($O1528="GenProg-A", "Evolutionary Search", IF($O1528="Hercules", "Learning Pattern", IF($O1528="Jaid", "True Semantic",
IF($O1528="Kali-A", "True Search", IF($O1528="kPAR", "True Pattern", IF($O1528="Nopol", "True Semantic", IF($O1528="RSRepair-A", "Evolutionary Search", IF($O1528="SequenceR", "Deep Learning", IF($O1528="SimFix", "Search Like Pattern", IF($O1528="SketchFix", "True Pattern", IF($O1528="SOFix", "True Pattern", IF($O1528="ssFix", "Search Like Pattern", IF($O1528="TBar", "True Pattern", ""))))))))))))))))))))</f>
        <v>True Pattern</v>
      </c>
      <c r="Q1528" s="13" t="str">
        <f>IF(NOT(ISERR(SEARCH("*_Buggy",$A1528))), "Buggy", IF(NOT(ISERR(SEARCH("*_Fixed",$A1528))), "Fixed", IF(NOT(ISERR(SEARCH("*_Repaired",$A1528))), "Repaired", "")))</f>
        <v>Repaired</v>
      </c>
      <c r="R1528" s="13" t="s">
        <v>1668</v>
      </c>
      <c r="S1528" s="25">
        <v>1</v>
      </c>
      <c r="T1528" s="25">
        <v>1</v>
      </c>
      <c r="U1528" s="25">
        <v>1</v>
      </c>
      <c r="V1528" s="13">
        <v>1</v>
      </c>
      <c r="W1528" s="13" t="str">
        <f>MID(A1528, SEARCH("_", A1528) +1, SEARCH("_", A1528, SEARCH("_", A1528) +1) - SEARCH("_", A1528) -1)</f>
        <v>Chart-9</v>
      </c>
      <c r="Y1528" s="1" t="str">
        <f t="shared" si="66"/>
        <v>NO</v>
      </c>
      <c r="Z1528" s="1" t="str">
        <f t="shared" si="67"/>
        <v>NO</v>
      </c>
      <c r="AA1528" t="s">
        <v>1704</v>
      </c>
      <c r="AB1528" t="s">
        <v>1704</v>
      </c>
      <c r="AC1528" s="1" t="s">
        <v>1705</v>
      </c>
      <c r="AD1528" s="1" t="s">
        <v>1704</v>
      </c>
      <c r="AE1528" s="1" t="s">
        <v>1705</v>
      </c>
      <c r="AF1528" s="1" t="s">
        <v>1704</v>
      </c>
    </row>
    <row r="1529" spans="1:32" ht="15" x14ac:dyDescent="0.35">
      <c r="A1529" s="7" t="s">
        <v>1215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>LEFT($A1529,FIND("_",$A1529)-1)</f>
        <v>TBar</v>
      </c>
      <c r="P1529" s="13" t="str">
        <f>IF($O1529="ACS", "True Search", IF($O1529="Arja", "Evolutionary Search", IF($O1529="AVATAR", "True Pattern", IF($O1529="CapGen", "Search Like Pattern", IF($O1529="Cardumen", "True Semantic", IF($O1529="DynaMoth", "True Semantic", IF($O1529="FixMiner", "True Pattern", IF($O1529="GenProg-A", "Evolutionary Search", IF($O1529="Hercules", "Learning Pattern", IF($O1529="Jaid", "True Semantic",
IF($O1529="Kali-A", "True Search", IF($O1529="kPAR", "True Pattern", IF($O1529="Nopol", "True Semantic", IF($O1529="RSRepair-A", "Evolutionary Search", IF($O1529="SequenceR", "Deep Learning", IF($O1529="SimFix", "Search Like Pattern", IF($O1529="SketchFix", "True Pattern", IF($O1529="SOFix", "True Pattern", IF($O1529="ssFix", "Search Like Pattern", IF($O1529="TBar", "True Pattern", ""))))))))))))))))))))</f>
        <v>True Pattern</v>
      </c>
      <c r="Q1529" s="13" t="str">
        <f>IF(NOT(ISERR(SEARCH("*_Buggy",$A1529))), "Buggy", IF(NOT(ISERR(SEARCH("*_Fixed",$A1529))), "Fixed", IF(NOT(ISERR(SEARCH("*_Repaired",$A1529))), "Repaired", "")))</f>
        <v>Repaired</v>
      </c>
      <c r="R1529" s="13" t="s">
        <v>1668</v>
      </c>
      <c r="S1529" s="25">
        <v>1</v>
      </c>
      <c r="T1529" s="25">
        <v>1</v>
      </c>
      <c r="U1529" s="25">
        <v>1</v>
      </c>
      <c r="V1529" s="13">
        <v>1</v>
      </c>
      <c r="W1529" s="13" t="str">
        <f>MID(A1529, SEARCH("_", A1529) +1, SEARCH("_", A1529, SEARCH("_", A1529) +1) - SEARCH("_", A1529) -1)</f>
        <v>Closure-10</v>
      </c>
      <c r="Y1529" s="1" t="str">
        <f t="shared" si="66"/>
        <v>NO</v>
      </c>
      <c r="Z1529" s="1" t="str">
        <f t="shared" si="67"/>
        <v>NO</v>
      </c>
      <c r="AA1529" t="s">
        <v>1704</v>
      </c>
      <c r="AB1529" t="s">
        <v>1704</v>
      </c>
      <c r="AC1529" s="1" t="s">
        <v>1705</v>
      </c>
      <c r="AD1529" s="1" t="s">
        <v>1704</v>
      </c>
      <c r="AE1529" s="1" t="s">
        <v>1705</v>
      </c>
      <c r="AF1529" s="1" t="s">
        <v>1704</v>
      </c>
    </row>
    <row r="1530" spans="1:32" ht="15" x14ac:dyDescent="0.35">
      <c r="A1530" s="7" t="s">
        <v>65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>LEFT($A1530,FIND("_",$A1530)-1)</f>
        <v>TBar</v>
      </c>
      <c r="P1530" s="13" t="str">
        <f>IF($O1530="ACS", "True Search", IF($O1530="Arja", "Evolutionary Search", IF($O1530="AVATAR", "True Pattern", IF($O1530="CapGen", "Search Like Pattern", IF($O1530="Cardumen", "True Semantic", IF($O1530="DynaMoth", "True Semantic", IF($O1530="FixMiner", "True Pattern", IF($O1530="GenProg-A", "Evolutionary Search", IF($O1530="Hercules", "Learning Pattern", IF($O1530="Jaid", "True Semantic",
IF($O1530="Kali-A", "True Search", IF($O1530="kPAR", "True Pattern", IF($O1530="Nopol", "True Semantic", IF($O1530="RSRepair-A", "Evolutionary Search", IF($O1530="SequenceR", "Deep Learning", IF($O1530="SimFix", "Search Like Pattern", IF($O1530="SketchFix", "True Pattern", IF($O1530="SOFix", "True Pattern", IF($O1530="ssFix", "Search Like Pattern", IF($O1530="TBar", "True Pattern", ""))))))))))))))))))))</f>
        <v>True Pattern</v>
      </c>
      <c r="Q1530" s="13" t="str">
        <f>IF(NOT(ISERR(SEARCH("*_Buggy",$A1530))), "Buggy", IF(NOT(ISERR(SEARCH("*_Fixed",$A1530))), "Fixed", IF(NOT(ISERR(SEARCH("*_Repaired",$A1530))), "Repaired", "")))</f>
        <v>Repaired</v>
      </c>
      <c r="R1530" s="13" t="s">
        <v>1668</v>
      </c>
      <c r="S1530" s="25">
        <v>2</v>
      </c>
      <c r="T1530" s="25">
        <v>4</v>
      </c>
      <c r="U1530" s="25">
        <v>2</v>
      </c>
      <c r="V1530" s="13">
        <v>4</v>
      </c>
      <c r="W1530" s="13" t="str">
        <f>MID(A1530, SEARCH("_", A1530) +1, SEARCH("_", A1530, SEARCH("_", A1530) +1) - SEARCH("_", A1530) -1)</f>
        <v>Closure-102</v>
      </c>
      <c r="Y1530" s="1" t="str">
        <f t="shared" si="66"/>
        <v>NO</v>
      </c>
      <c r="Z1530" s="1" t="str">
        <f t="shared" si="67"/>
        <v>YES</v>
      </c>
      <c r="AA1530" t="s">
        <v>1704</v>
      </c>
      <c r="AB1530" t="s">
        <v>1704</v>
      </c>
      <c r="AC1530" s="1" t="s">
        <v>1704</v>
      </c>
      <c r="AD1530" s="1" t="s">
        <v>1704</v>
      </c>
      <c r="AE1530" s="1" t="s">
        <v>1704</v>
      </c>
      <c r="AF1530" s="1" t="s">
        <v>1705</v>
      </c>
    </row>
    <row r="1531" spans="1:32" ht="15" x14ac:dyDescent="0.35">
      <c r="A1531" s="5" t="s">
        <v>1221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>LEFT($A1531,FIND("_",$A1531)-1)</f>
        <v>TBar</v>
      </c>
      <c r="P1531" s="13" t="str">
        <f>IF($O1531="ACS", "True Search", IF($O1531="Arja", "Evolutionary Search", IF($O1531="AVATAR", "True Pattern", IF($O1531="CapGen", "Search Like Pattern", IF($O1531="Cardumen", "True Semantic", IF($O1531="DynaMoth", "True Semantic", IF($O1531="FixMiner", "True Pattern", IF($O1531="GenProg-A", "Evolutionary Search", IF($O1531="Hercules", "Learning Pattern", IF($O1531="Jaid", "True Semantic",
IF($O1531="Kali-A", "True Search", IF($O1531="kPAR", "True Pattern", IF($O1531="Nopol", "True Semantic", IF($O1531="RSRepair-A", "Evolutionary Search", IF($O1531="SequenceR", "Deep Learning", IF($O1531="SimFix", "Search Like Pattern", IF($O1531="SketchFix", "True Pattern", IF($O1531="SOFix", "True Pattern", IF($O1531="ssFix", "Search Like Pattern", IF($O1531="TBar", "True Pattern", ""))))))))))))))))))))</f>
        <v>True Pattern</v>
      </c>
      <c r="Q1531" s="13" t="str">
        <f>IF(NOT(ISERR(SEARCH("*_Buggy",$A1531))), "Buggy", IF(NOT(ISERR(SEARCH("*_Fixed",$A1531))), "Fixed", IF(NOT(ISERR(SEARCH("*_Repaired",$A1531))), "Repaired", "")))</f>
        <v>Repaired</v>
      </c>
      <c r="R1531" s="13" t="s">
        <v>1668</v>
      </c>
      <c r="S1531" s="25">
        <v>1</v>
      </c>
      <c r="T1531" s="25">
        <v>1</v>
      </c>
      <c r="U1531" s="25">
        <v>1</v>
      </c>
      <c r="V1531" s="13">
        <v>1</v>
      </c>
      <c r="W1531" s="13" t="str">
        <f>MID(A1531, SEARCH("_", A1531) +1, SEARCH("_", A1531, SEARCH("_", A1531) +1) - SEARCH("_", A1531) -1)</f>
        <v>Closure-11</v>
      </c>
      <c r="Y1531" s="1" t="str">
        <f t="shared" si="66"/>
        <v>NO</v>
      </c>
      <c r="Z1531" s="1" t="str">
        <f t="shared" si="67"/>
        <v>NO</v>
      </c>
      <c r="AA1531" t="s">
        <v>1704</v>
      </c>
      <c r="AB1531" t="s">
        <v>1704</v>
      </c>
      <c r="AC1531" s="1" t="s">
        <v>1704</v>
      </c>
      <c r="AD1531" s="1" t="s">
        <v>1704</v>
      </c>
      <c r="AE1531" s="1" t="s">
        <v>1704</v>
      </c>
      <c r="AF1531" s="1" t="s">
        <v>1704</v>
      </c>
    </row>
    <row r="1532" spans="1:32" ht="15" x14ac:dyDescent="0.35">
      <c r="A1532" s="7" t="s">
        <v>871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>LEFT($A1532,FIND("_",$A1532)-1)</f>
        <v>TBar</v>
      </c>
      <c r="P1532" s="13" t="str">
        <f>IF($O1532="ACS", "True Search", IF($O1532="Arja", "Evolutionary Search", IF($O1532="AVATAR", "True Pattern", IF($O1532="CapGen", "Search Like Pattern", IF($O1532="Cardumen", "True Semantic", IF($O1532="DynaMoth", "True Semantic", IF($O1532="FixMiner", "True Pattern", IF($O1532="GenProg-A", "Evolutionary Search", IF($O1532="Hercules", "Learning Pattern", IF($O1532="Jaid", "True Semantic",
IF($O1532="Kali-A", "True Search", IF($O1532="kPAR", "True Pattern", IF($O1532="Nopol", "True Semantic", IF($O1532="RSRepair-A", "Evolutionary Search", IF($O1532="SequenceR", "Deep Learning", IF($O1532="SimFix", "Search Like Pattern", IF($O1532="SketchFix", "True Pattern", IF($O1532="SOFix", "True Pattern", IF($O1532="ssFix", "Search Like Pattern", IF($O1532="TBar", "True Pattern", ""))))))))))))))))))))</f>
        <v>True Pattern</v>
      </c>
      <c r="Q1532" s="13" t="str">
        <f>IF(NOT(ISERR(SEARCH("*_Buggy",$A1532))), "Buggy", IF(NOT(ISERR(SEARCH("*_Fixed",$A1532))), "Fixed", IF(NOT(ISERR(SEARCH("*_Repaired",$A1532))), "Repaired", "")))</f>
        <v>Repaired</v>
      </c>
      <c r="R1532" s="13" t="s">
        <v>1668</v>
      </c>
      <c r="S1532" s="25">
        <v>1</v>
      </c>
      <c r="T1532" s="25">
        <v>1</v>
      </c>
      <c r="U1532" s="25">
        <v>1</v>
      </c>
      <c r="V1532" s="13">
        <v>1</v>
      </c>
      <c r="W1532" s="13" t="str">
        <f>MID(A1532, SEARCH("_", A1532) +1, SEARCH("_", A1532, SEARCH("_", A1532) +1) - SEARCH("_", A1532) -1)</f>
        <v>Closure-115</v>
      </c>
      <c r="Y1532" s="1" t="str">
        <f t="shared" si="66"/>
        <v>NO</v>
      </c>
      <c r="Z1532" s="1" t="str">
        <f t="shared" si="67"/>
        <v>NO</v>
      </c>
      <c r="AA1532" t="s">
        <v>1704</v>
      </c>
      <c r="AB1532" t="s">
        <v>1704</v>
      </c>
      <c r="AC1532" s="1" t="s">
        <v>1704</v>
      </c>
      <c r="AD1532" s="1" t="s">
        <v>1704</v>
      </c>
      <c r="AE1532" s="1" t="s">
        <v>1704</v>
      </c>
      <c r="AF1532" s="1" t="s">
        <v>1704</v>
      </c>
    </row>
    <row r="1533" spans="1:32" ht="15" x14ac:dyDescent="0.35">
      <c r="A1533" s="7" t="s">
        <v>576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>LEFT($A1533,FIND("_",$A1533)-1)</f>
        <v>TBar</v>
      </c>
      <c r="P1533" s="13" t="str">
        <f>IF($O1533="ACS", "True Search", IF($O1533="Arja", "Evolutionary Search", IF($O1533="AVATAR", "True Pattern", IF($O1533="CapGen", "Search Like Pattern", IF($O1533="Cardumen", "True Semantic", IF($O1533="DynaMoth", "True Semantic", IF($O1533="FixMiner", "True Pattern", IF($O1533="GenProg-A", "Evolutionary Search", IF($O1533="Hercules", "Learning Pattern", IF($O1533="Jaid", "True Semantic",
IF($O1533="Kali-A", "True Search", IF($O1533="kPAR", "True Pattern", IF($O1533="Nopol", "True Semantic", IF($O1533="RSRepair-A", "Evolutionary Search", IF($O1533="SequenceR", "Deep Learning", IF($O1533="SimFix", "Search Like Pattern", IF($O1533="SketchFix", "True Pattern", IF($O1533="SOFix", "True Pattern", IF($O1533="ssFix", "Search Like Pattern", IF($O1533="TBar", "True Pattern", ""))))))))))))))))))))</f>
        <v>True Pattern</v>
      </c>
      <c r="Q1533" s="13" t="str">
        <f>IF(NOT(ISERR(SEARCH("*_Buggy",$A1533))), "Buggy", IF(NOT(ISERR(SEARCH("*_Fixed",$A1533))), "Fixed", IF(NOT(ISERR(SEARCH("*_Repaired",$A1533))), "Repaired", "")))</f>
        <v>Repaired</v>
      </c>
      <c r="R1533" s="13" t="s">
        <v>1668</v>
      </c>
      <c r="S1533" s="25">
        <v>2</v>
      </c>
      <c r="T1533" s="25">
        <v>15</v>
      </c>
      <c r="U1533" s="25">
        <v>13</v>
      </c>
      <c r="V1533" s="13">
        <v>27</v>
      </c>
      <c r="W1533" s="13" t="str">
        <f>MID(A1533, SEARCH("_", A1533) +1, SEARCH("_", A1533, SEARCH("_", A1533) +1) - SEARCH("_", A1533) -1)</f>
        <v>Closure-117</v>
      </c>
      <c r="Y1533" s="1" t="str">
        <f t="shared" si="66"/>
        <v>NO</v>
      </c>
      <c r="Z1533" s="1" t="str">
        <f t="shared" si="67"/>
        <v>YES</v>
      </c>
      <c r="AA1533" t="s">
        <v>1704</v>
      </c>
      <c r="AB1533" t="s">
        <v>1705</v>
      </c>
      <c r="AC1533" s="1" t="s">
        <v>1704</v>
      </c>
      <c r="AD1533" s="1" t="s">
        <v>1704</v>
      </c>
      <c r="AE1533" s="1" t="s">
        <v>1704</v>
      </c>
      <c r="AF1533" s="1" t="s">
        <v>1705</v>
      </c>
    </row>
    <row r="1534" spans="1:32" ht="15" x14ac:dyDescent="0.35">
      <c r="A1534" s="5" t="s">
        <v>1122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>LEFT($A1534,FIND("_",$A1534)-1)</f>
        <v>TBar</v>
      </c>
      <c r="P1534" s="13" t="str">
        <f>IF($O1534="ACS", "True Search", IF($O1534="Arja", "Evolutionary Search", IF($O1534="AVATAR", "True Pattern", IF($O1534="CapGen", "Search Like Pattern", IF($O1534="Cardumen", "True Semantic", IF($O1534="DynaMoth", "True Semantic", IF($O1534="FixMiner", "True Pattern", IF($O1534="GenProg-A", "Evolutionary Search", IF($O1534="Hercules", "Learning Pattern", IF($O1534="Jaid", "True Semantic",
IF($O1534="Kali-A", "True Search", IF($O1534="kPAR", "True Pattern", IF($O1534="Nopol", "True Semantic", IF($O1534="RSRepair-A", "Evolutionary Search", IF($O1534="SequenceR", "Deep Learning", IF($O1534="SimFix", "Search Like Pattern", IF($O1534="SketchFix", "True Pattern", IF($O1534="SOFix", "True Pattern", IF($O1534="ssFix", "Search Like Pattern", IF($O1534="TBar", "True Pattern", ""))))))))))))))))))))</f>
        <v>True Pattern</v>
      </c>
      <c r="Q1534" s="13" t="str">
        <f>IF(NOT(ISERR(SEARCH("*_Buggy",$A1534))), "Buggy", IF(NOT(ISERR(SEARCH("*_Fixed",$A1534))), "Fixed", IF(NOT(ISERR(SEARCH("*_Repaired",$A1534))), "Repaired", "")))</f>
        <v>Repaired</v>
      </c>
      <c r="R1534" s="13" t="s">
        <v>1668</v>
      </c>
      <c r="S1534" s="25">
        <v>2</v>
      </c>
      <c r="T1534" s="25">
        <v>3</v>
      </c>
      <c r="U1534" s="25">
        <v>1</v>
      </c>
      <c r="V1534" s="13">
        <v>3</v>
      </c>
      <c r="W1534" s="13" t="str">
        <f>MID(A1534, SEARCH("_", A1534) +1, SEARCH("_", A1534, SEARCH("_", A1534) +1) - SEARCH("_", A1534) -1)</f>
        <v>Closure-13</v>
      </c>
      <c r="Y1534" s="1" t="str">
        <f t="shared" si="66"/>
        <v>NO</v>
      </c>
      <c r="Z1534" s="1" t="str">
        <f t="shared" si="67"/>
        <v>YES</v>
      </c>
      <c r="AA1534" t="s">
        <v>1704</v>
      </c>
      <c r="AB1534" t="s">
        <v>1704</v>
      </c>
      <c r="AC1534" s="1" t="s">
        <v>1704</v>
      </c>
      <c r="AD1534" s="1" t="s">
        <v>1704</v>
      </c>
      <c r="AE1534" s="1" t="s">
        <v>1704</v>
      </c>
      <c r="AF1534" s="1" t="s">
        <v>1705</v>
      </c>
    </row>
    <row r="1535" spans="1:32" ht="15" x14ac:dyDescent="0.35">
      <c r="A1535" s="5" t="s">
        <v>451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>LEFT($A1535,FIND("_",$A1535)-1)</f>
        <v>TBar</v>
      </c>
      <c r="P1535" s="13" t="str">
        <f>IF($O1535="ACS", "True Search", IF($O1535="Arja", "Evolutionary Search", IF($O1535="AVATAR", "True Pattern", IF($O1535="CapGen", "Search Like Pattern", IF($O1535="Cardumen", "True Semantic", IF($O1535="DynaMoth", "True Semantic", IF($O1535="FixMiner", "True Pattern", IF($O1535="GenProg-A", "Evolutionary Search", IF($O1535="Hercules", "Learning Pattern", IF($O1535="Jaid", "True Semantic",
IF($O1535="Kali-A", "True Search", IF($O1535="kPAR", "True Pattern", IF($O1535="Nopol", "True Semantic", IF($O1535="RSRepair-A", "Evolutionary Search", IF($O1535="SequenceR", "Deep Learning", IF($O1535="SimFix", "Search Like Pattern", IF($O1535="SketchFix", "True Pattern", IF($O1535="SOFix", "True Pattern", IF($O1535="ssFix", "Search Like Pattern", IF($O1535="TBar", "True Pattern", ""))))))))))))))))))))</f>
        <v>True Pattern</v>
      </c>
      <c r="Q1535" s="13" t="str">
        <f>IF(NOT(ISERR(SEARCH("*_Buggy",$A1535))), "Buggy", IF(NOT(ISERR(SEARCH("*_Fixed",$A1535))), "Fixed", IF(NOT(ISERR(SEARCH("*_Repaired",$A1535))), "Repaired", "")))</f>
        <v>Repaired</v>
      </c>
      <c r="R1535" s="13" t="s">
        <v>1669</v>
      </c>
      <c r="S1535" s="25">
        <v>1</v>
      </c>
      <c r="T1535" s="25">
        <v>1</v>
      </c>
      <c r="U1535" s="25">
        <v>2</v>
      </c>
      <c r="V1535" s="13">
        <v>2</v>
      </c>
      <c r="W1535" s="13" t="str">
        <f>MID(A1535, SEARCH("_", A1535) +1, SEARCH("_", A1535, SEARCH("_", A1535) +1) - SEARCH("_", A1535) -1)</f>
        <v>Closure-19</v>
      </c>
      <c r="Y1535" s="1" t="str">
        <f t="shared" si="66"/>
        <v>NO</v>
      </c>
      <c r="Z1535" s="1" t="str">
        <f t="shared" si="67"/>
        <v>NO</v>
      </c>
      <c r="AA1535" t="s">
        <v>1704</v>
      </c>
      <c r="AB1535" t="s">
        <v>1704</v>
      </c>
      <c r="AC1535" s="1" t="s">
        <v>1704</v>
      </c>
      <c r="AD1535" s="1" t="s">
        <v>1704</v>
      </c>
      <c r="AE1535" s="1" t="s">
        <v>1704</v>
      </c>
      <c r="AF1535" s="1" t="s">
        <v>1705</v>
      </c>
    </row>
    <row r="1536" spans="1:32" ht="15" x14ac:dyDescent="0.35">
      <c r="A1536" s="7" t="s">
        <v>450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>LEFT($A1536,FIND("_",$A1536)-1)</f>
        <v>TBar</v>
      </c>
      <c r="P1536" s="13" t="str">
        <f>IF($O1536="ACS", "True Search", IF($O1536="Arja", "Evolutionary Search", IF($O1536="AVATAR", "True Pattern", IF($O1536="CapGen", "Search Like Pattern", IF($O1536="Cardumen", "True Semantic", IF($O1536="DynaMoth", "True Semantic", IF($O1536="FixMiner", "True Pattern", IF($O1536="GenProg-A", "Evolutionary Search", IF($O1536="Hercules", "Learning Pattern", IF($O1536="Jaid", "True Semantic",
IF($O1536="Kali-A", "True Search", IF($O1536="kPAR", "True Pattern", IF($O1536="Nopol", "True Semantic", IF($O1536="RSRepair-A", "Evolutionary Search", IF($O1536="SequenceR", "Deep Learning", IF($O1536="SimFix", "Search Like Pattern", IF($O1536="SketchFix", "True Pattern", IF($O1536="SOFix", "True Pattern", IF($O1536="ssFix", "Search Like Pattern", IF($O1536="TBar", "True Pattern", ""))))))))))))))))))))</f>
        <v>True Pattern</v>
      </c>
      <c r="Q1536" s="13" t="str">
        <f>IF(NOT(ISERR(SEARCH("*_Buggy",$A1536))), "Buggy", IF(NOT(ISERR(SEARCH("*_Fixed",$A1536))), "Fixed", IF(NOT(ISERR(SEARCH("*_Repaired",$A1536))), "Repaired", "")))</f>
        <v>Repaired</v>
      </c>
      <c r="R1536" s="13" t="s">
        <v>1668</v>
      </c>
      <c r="S1536" s="25">
        <v>2</v>
      </c>
      <c r="T1536" s="25">
        <v>4</v>
      </c>
      <c r="U1536" s="25">
        <v>1</v>
      </c>
      <c r="V1536" s="13">
        <v>4</v>
      </c>
      <c r="W1536" s="13" t="str">
        <f>MID(A1536, SEARCH("_", A1536) +1, SEARCH("_", A1536, SEARCH("_", A1536) +1) - SEARCH("_", A1536) -1)</f>
        <v>Closure-2</v>
      </c>
      <c r="Y1536" s="1" t="str">
        <f t="shared" si="66"/>
        <v>NO</v>
      </c>
      <c r="Z1536" s="1" t="str">
        <f t="shared" si="67"/>
        <v>YES</v>
      </c>
      <c r="AA1536" t="s">
        <v>1704</v>
      </c>
      <c r="AB1536" t="s">
        <v>1705</v>
      </c>
      <c r="AC1536" s="1" t="s">
        <v>1704</v>
      </c>
      <c r="AD1536" s="1" t="s">
        <v>1704</v>
      </c>
      <c r="AE1536" s="1" t="s">
        <v>1704</v>
      </c>
      <c r="AF1536" s="1" t="s">
        <v>1705</v>
      </c>
    </row>
    <row r="1537" spans="1:32" ht="15" x14ac:dyDescent="0.35">
      <c r="A1537" s="5" t="s">
        <v>1116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>LEFT($A1537,FIND("_",$A1537)-1)</f>
        <v>TBar</v>
      </c>
      <c r="P1537" s="13" t="str">
        <f>IF($O1537="ACS", "True Search", IF($O1537="Arja", "Evolutionary Search", IF($O1537="AVATAR", "True Pattern", IF($O1537="CapGen", "Search Like Pattern", IF($O1537="Cardumen", "True Semantic", IF($O1537="DynaMoth", "True Semantic", IF($O1537="FixMiner", "True Pattern", IF($O1537="GenProg-A", "Evolutionary Search", IF($O1537="Hercules", "Learning Pattern", IF($O1537="Jaid", "True Semantic",
IF($O1537="Kali-A", "True Search", IF($O1537="kPAR", "True Pattern", IF($O1537="Nopol", "True Semantic", IF($O1537="RSRepair-A", "Evolutionary Search", IF($O1537="SequenceR", "Deep Learning", IF($O1537="SimFix", "Search Like Pattern", IF($O1537="SketchFix", "True Pattern", IF($O1537="SOFix", "True Pattern", IF($O1537="ssFix", "Search Like Pattern", IF($O1537="TBar", "True Pattern", ""))))))))))))))))))))</f>
        <v>True Pattern</v>
      </c>
      <c r="Q1537" s="13" t="str">
        <f>IF(NOT(ISERR(SEARCH("*_Buggy",$A1537))), "Buggy", IF(NOT(ISERR(SEARCH("*_Fixed",$A1537))), "Fixed", IF(NOT(ISERR(SEARCH("*_Repaired",$A1537))), "Repaired", "")))</f>
        <v>Repaired</v>
      </c>
      <c r="R1537" s="13" t="s">
        <v>1669</v>
      </c>
      <c r="S1537" s="25">
        <v>1</v>
      </c>
      <c r="T1537" s="25">
        <v>1</v>
      </c>
      <c r="U1537" s="25">
        <v>1</v>
      </c>
      <c r="V1537" s="13">
        <v>1</v>
      </c>
      <c r="W1537" s="13" t="str">
        <f>MID(A1537, SEARCH("_", A1537) +1, SEARCH("_", A1537, SEARCH("_", A1537) +1) - SEARCH("_", A1537) -1)</f>
        <v>Closure-21</v>
      </c>
      <c r="Y1537" s="1" t="str">
        <f t="shared" si="66"/>
        <v>NO</v>
      </c>
      <c r="Z1537" s="1" t="str">
        <f t="shared" si="67"/>
        <v>NO</v>
      </c>
      <c r="AA1537" t="s">
        <v>1704</v>
      </c>
      <c r="AB1537" t="s">
        <v>1704</v>
      </c>
      <c r="AC1537" s="1" t="s">
        <v>1704</v>
      </c>
      <c r="AD1537" s="1" t="s">
        <v>1704</v>
      </c>
      <c r="AE1537" s="1" t="s">
        <v>1704</v>
      </c>
      <c r="AF1537" s="1" t="s">
        <v>1704</v>
      </c>
    </row>
    <row r="1538" spans="1:32" ht="15" x14ac:dyDescent="0.35">
      <c r="A1538" s="7" t="s">
        <v>379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>LEFT($A1538,FIND("_",$A1538)-1)</f>
        <v>TBar</v>
      </c>
      <c r="P1538" s="13" t="str">
        <f>IF($O1538="ACS", "True Search", IF($O1538="Arja", "Evolutionary Search", IF($O1538="AVATAR", "True Pattern", IF($O1538="CapGen", "Search Like Pattern", IF($O1538="Cardumen", "True Semantic", IF($O1538="DynaMoth", "True Semantic", IF($O1538="FixMiner", "True Pattern", IF($O1538="GenProg-A", "Evolutionary Search", IF($O1538="Hercules", "Learning Pattern", IF($O1538="Jaid", "True Semantic",
IF($O1538="Kali-A", "True Search", IF($O1538="kPAR", "True Pattern", IF($O1538="Nopol", "True Semantic", IF($O1538="RSRepair-A", "Evolutionary Search", IF($O1538="SequenceR", "Deep Learning", IF($O1538="SimFix", "Search Like Pattern", IF($O1538="SketchFix", "True Pattern", IF($O1538="SOFix", "True Pattern", IF($O1538="ssFix", "Search Like Pattern", IF($O1538="TBar", "True Pattern", ""))))))))))))))))))))</f>
        <v>True Pattern</v>
      </c>
      <c r="Q1538" s="13" t="str">
        <f>IF(NOT(ISERR(SEARCH("*_Buggy",$A1538))), "Buggy", IF(NOT(ISERR(SEARCH("*_Fixed",$A1538))), "Fixed", IF(NOT(ISERR(SEARCH("*_Repaired",$A1538))), "Repaired", "")))</f>
        <v>Repaired</v>
      </c>
      <c r="R1538" s="13" t="s">
        <v>1669</v>
      </c>
      <c r="S1538" s="25">
        <v>1</v>
      </c>
      <c r="T1538" s="25">
        <v>1</v>
      </c>
      <c r="U1538" s="25">
        <v>1</v>
      </c>
      <c r="V1538" s="13">
        <v>1</v>
      </c>
      <c r="W1538" s="13" t="str">
        <f>MID(A1538, SEARCH("_", A1538) +1, SEARCH("_", A1538, SEARCH("_", A1538) +1) - SEARCH("_", A1538) -1)</f>
        <v>Closure-22</v>
      </c>
      <c r="Y1538" s="1" t="str">
        <f t="shared" si="66"/>
        <v>NO</v>
      </c>
      <c r="Z1538" s="1" t="str">
        <f t="shared" si="67"/>
        <v>NO</v>
      </c>
      <c r="AA1538" t="s">
        <v>1704</v>
      </c>
      <c r="AB1538" t="s">
        <v>1704</v>
      </c>
      <c r="AC1538" s="1" t="s">
        <v>1704</v>
      </c>
      <c r="AD1538" s="1" t="s">
        <v>1704</v>
      </c>
      <c r="AE1538" s="1" t="s">
        <v>1704</v>
      </c>
      <c r="AF1538" s="1" t="s">
        <v>1704</v>
      </c>
    </row>
    <row r="1539" spans="1:32" ht="15" x14ac:dyDescent="0.35">
      <c r="A1539" s="5" t="s">
        <v>427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>LEFT($A1539,FIND("_",$A1539)-1)</f>
        <v>TBar</v>
      </c>
      <c r="P1539" s="13" t="str">
        <f>IF($O1539="ACS", "True Search", IF($O1539="Arja", "Evolutionary Search", IF($O1539="AVATAR", "True Pattern", IF($O1539="CapGen", "Search Like Pattern", IF($O1539="Cardumen", "True Semantic", IF($O1539="DynaMoth", "True Semantic", IF($O1539="FixMiner", "True Pattern", IF($O1539="GenProg-A", "Evolutionary Search", IF($O1539="Hercules", "Learning Pattern", IF($O1539="Jaid", "True Semantic",
IF($O1539="Kali-A", "True Search", IF($O1539="kPAR", "True Pattern", IF($O1539="Nopol", "True Semantic", IF($O1539="RSRepair-A", "Evolutionary Search", IF($O1539="SequenceR", "Deep Learning", IF($O1539="SimFix", "Search Like Pattern", IF($O1539="SketchFix", "True Pattern", IF($O1539="SOFix", "True Pattern", IF($O1539="ssFix", "Search Like Pattern", IF($O1539="TBar", "True Pattern", ""))))))))))))))))))))</f>
        <v>True Pattern</v>
      </c>
      <c r="Q1539" s="13" t="str">
        <f>IF(NOT(ISERR(SEARCH("*_Buggy",$A1539))), "Buggy", IF(NOT(ISERR(SEARCH("*_Fixed",$A1539))), "Fixed", IF(NOT(ISERR(SEARCH("*_Repaired",$A1539))), "Repaired", "")))</f>
        <v>Repaired</v>
      </c>
      <c r="R1539" s="13" t="s">
        <v>1669</v>
      </c>
      <c r="S1539" s="25">
        <v>1</v>
      </c>
      <c r="T1539" s="25">
        <v>1</v>
      </c>
      <c r="U1539" s="25">
        <v>1</v>
      </c>
      <c r="V1539" s="13">
        <v>1</v>
      </c>
      <c r="W1539" s="13" t="str">
        <f>MID(A1539, SEARCH("_", A1539) +1, SEARCH("_", A1539, SEARCH("_", A1539) +1) - SEARCH("_", A1539) -1)</f>
        <v>Closure-35</v>
      </c>
      <c r="Y1539" s="1" t="str">
        <f t="shared" si="66"/>
        <v>NO</v>
      </c>
      <c r="Z1539" s="1" t="str">
        <f t="shared" si="67"/>
        <v>NO</v>
      </c>
      <c r="AA1539" t="s">
        <v>1704</v>
      </c>
      <c r="AB1539" t="s">
        <v>1704</v>
      </c>
      <c r="AC1539" s="1" t="s">
        <v>1704</v>
      </c>
      <c r="AD1539" s="1" t="s">
        <v>1704</v>
      </c>
      <c r="AE1539" s="1" t="s">
        <v>1704</v>
      </c>
      <c r="AF1539" s="1" t="s">
        <v>1704</v>
      </c>
    </row>
    <row r="1540" spans="1:32" ht="15" x14ac:dyDescent="0.35">
      <c r="A1540" s="5" t="s">
        <v>1197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>LEFT($A1540,FIND("_",$A1540)-1)</f>
        <v>TBar</v>
      </c>
      <c r="P1540" s="13" t="str">
        <f>IF($O1540="ACS", "True Search", IF($O1540="Arja", "Evolutionary Search", IF($O1540="AVATAR", "True Pattern", IF($O1540="CapGen", "Search Like Pattern", IF($O1540="Cardumen", "True Semantic", IF($O1540="DynaMoth", "True Semantic", IF($O1540="FixMiner", "True Pattern", IF($O1540="GenProg-A", "Evolutionary Search", IF($O1540="Hercules", "Learning Pattern", IF($O1540="Jaid", "True Semantic",
IF($O1540="Kali-A", "True Search", IF($O1540="kPAR", "True Pattern", IF($O1540="Nopol", "True Semantic", IF($O1540="RSRepair-A", "Evolutionary Search", IF($O1540="SequenceR", "Deep Learning", IF($O1540="SimFix", "Search Like Pattern", IF($O1540="SketchFix", "True Pattern", IF($O1540="SOFix", "True Pattern", IF($O1540="ssFix", "Search Like Pattern", IF($O1540="TBar", "True Pattern", ""))))))))))))))))))))</f>
        <v>True Pattern</v>
      </c>
      <c r="Q1540" s="13" t="str">
        <f>IF(NOT(ISERR(SEARCH("*_Buggy",$A1540))), "Buggy", IF(NOT(ISERR(SEARCH("*_Fixed",$A1540))), "Fixed", IF(NOT(ISERR(SEARCH("*_Repaired",$A1540))), "Repaired", "")))</f>
        <v>Repaired</v>
      </c>
      <c r="R1540" s="13" t="s">
        <v>1668</v>
      </c>
      <c r="S1540" s="25">
        <v>1</v>
      </c>
      <c r="T1540" s="25">
        <v>1</v>
      </c>
      <c r="U1540" s="25">
        <v>1</v>
      </c>
      <c r="V1540" s="13">
        <v>1</v>
      </c>
      <c r="W1540" s="13" t="str">
        <f>MID(A1540, SEARCH("_", A1540) +1, SEARCH("_", A1540, SEARCH("_", A1540) +1) - SEARCH("_", A1540) -1)</f>
        <v>Closure-38</v>
      </c>
      <c r="Y1540" s="1" t="str">
        <f t="shared" si="66"/>
        <v>NO</v>
      </c>
      <c r="Z1540" s="1" t="str">
        <f t="shared" si="67"/>
        <v>NO</v>
      </c>
      <c r="AA1540" t="s">
        <v>1704</v>
      </c>
      <c r="AB1540" t="s">
        <v>1704</v>
      </c>
      <c r="AC1540" s="1" t="s">
        <v>1705</v>
      </c>
      <c r="AD1540" s="1" t="s">
        <v>1704</v>
      </c>
      <c r="AE1540" s="1" t="s">
        <v>1705</v>
      </c>
      <c r="AF1540" s="1" t="s">
        <v>1704</v>
      </c>
    </row>
    <row r="1541" spans="1:32" ht="15" x14ac:dyDescent="0.35">
      <c r="A1541" s="5" t="s">
        <v>234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>LEFT($A1541,FIND("_",$A1541)-1)</f>
        <v>TBar</v>
      </c>
      <c r="P1541" s="13" t="str">
        <f>IF($O1541="ACS", "True Search", IF($O1541="Arja", "Evolutionary Search", IF($O1541="AVATAR", "True Pattern", IF($O1541="CapGen", "Search Like Pattern", IF($O1541="Cardumen", "True Semantic", IF($O1541="DynaMoth", "True Semantic", IF($O1541="FixMiner", "True Pattern", IF($O1541="GenProg-A", "Evolutionary Search", IF($O1541="Hercules", "Learning Pattern", IF($O1541="Jaid", "True Semantic",
IF($O1541="Kali-A", "True Search", IF($O1541="kPAR", "True Pattern", IF($O1541="Nopol", "True Semantic", IF($O1541="RSRepair-A", "Evolutionary Search", IF($O1541="SequenceR", "Deep Learning", IF($O1541="SimFix", "Search Like Pattern", IF($O1541="SketchFix", "True Pattern", IF($O1541="SOFix", "True Pattern", IF($O1541="ssFix", "Search Like Pattern", IF($O1541="TBar", "True Pattern", ""))))))))))))))))))))</f>
        <v>True Pattern</v>
      </c>
      <c r="Q1541" s="13" t="str">
        <f>IF(NOT(ISERR(SEARCH("*_Buggy",$A1541))), "Buggy", IF(NOT(ISERR(SEARCH("*_Fixed",$A1541))), "Fixed", IF(NOT(ISERR(SEARCH("*_Repaired",$A1541))), "Repaired", "")))</f>
        <v>Repaired</v>
      </c>
      <c r="R1541" s="13" t="s">
        <v>1668</v>
      </c>
      <c r="S1541" s="25">
        <v>1</v>
      </c>
      <c r="T1541" s="25">
        <v>1</v>
      </c>
      <c r="U1541" s="25">
        <v>1</v>
      </c>
      <c r="V1541" s="13">
        <v>1</v>
      </c>
      <c r="W1541" s="13" t="str">
        <f>MID(A1541, SEARCH("_", A1541) +1, SEARCH("_", A1541, SEARCH("_", A1541) +1) - SEARCH("_", A1541) -1)</f>
        <v>Closure-4</v>
      </c>
      <c r="Y1541" s="1" t="str">
        <f t="shared" si="66"/>
        <v>NO</v>
      </c>
      <c r="Z1541" s="1" t="str">
        <f t="shared" si="67"/>
        <v>NO</v>
      </c>
      <c r="AA1541" t="s">
        <v>1704</v>
      </c>
      <c r="AB1541" t="s">
        <v>1704</v>
      </c>
      <c r="AC1541" s="1" t="s">
        <v>1704</v>
      </c>
      <c r="AD1541" s="1" t="s">
        <v>1704</v>
      </c>
      <c r="AE1541" s="1" t="s">
        <v>1704</v>
      </c>
      <c r="AF1541" s="1" t="s">
        <v>1704</v>
      </c>
    </row>
    <row r="1542" spans="1:32" ht="15" x14ac:dyDescent="0.35">
      <c r="A1542" s="5" t="s">
        <v>194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>LEFT($A1542,FIND("_",$A1542)-1)</f>
        <v>TBar</v>
      </c>
      <c r="P1542" s="13" t="str">
        <f>IF($O1542="ACS", "True Search", IF($O1542="Arja", "Evolutionary Search", IF($O1542="AVATAR", "True Pattern", IF($O1542="CapGen", "Search Like Pattern", IF($O1542="Cardumen", "True Semantic", IF($O1542="DynaMoth", "True Semantic", IF($O1542="FixMiner", "True Pattern", IF($O1542="GenProg-A", "Evolutionary Search", IF($O1542="Hercules", "Learning Pattern", IF($O1542="Jaid", "True Semantic",
IF($O1542="Kali-A", "True Search", IF($O1542="kPAR", "True Pattern", IF($O1542="Nopol", "True Semantic", IF($O1542="RSRepair-A", "Evolutionary Search", IF($O1542="SequenceR", "Deep Learning", IF($O1542="SimFix", "Search Like Pattern", IF($O1542="SketchFix", "True Pattern", IF($O1542="SOFix", "True Pattern", IF($O1542="ssFix", "Search Like Pattern", IF($O1542="TBar", "True Pattern", ""))))))))))))))))))))</f>
        <v>True Pattern</v>
      </c>
      <c r="Q1542" s="13" t="str">
        <f>IF(NOT(ISERR(SEARCH("*_Buggy",$A1542))), "Buggy", IF(NOT(ISERR(SEARCH("*_Fixed",$A1542))), "Fixed", IF(NOT(ISERR(SEARCH("*_Repaired",$A1542))), "Repaired", "")))</f>
        <v>Repaired</v>
      </c>
      <c r="R1542" s="13" t="s">
        <v>1668</v>
      </c>
      <c r="S1542" s="25">
        <v>1</v>
      </c>
      <c r="T1542" s="25">
        <v>1</v>
      </c>
      <c r="U1542" s="25">
        <v>1</v>
      </c>
      <c r="V1542" s="13">
        <v>1</v>
      </c>
      <c r="W1542" s="13" t="str">
        <f>MID(A1542, SEARCH("_", A1542) +1, SEARCH("_", A1542, SEARCH("_", A1542) +1) - SEARCH("_", A1542) -1)</f>
        <v>Closure-40</v>
      </c>
      <c r="Y1542" s="1" t="str">
        <f t="shared" si="66"/>
        <v>NO</v>
      </c>
      <c r="Z1542" s="1" t="str">
        <f t="shared" si="67"/>
        <v>NO</v>
      </c>
      <c r="AA1542" t="s">
        <v>1704</v>
      </c>
      <c r="AB1542" t="s">
        <v>1704</v>
      </c>
      <c r="AC1542" s="1" t="s">
        <v>1704</v>
      </c>
      <c r="AD1542" s="1" t="s">
        <v>1704</v>
      </c>
      <c r="AE1542" s="1" t="s">
        <v>1704</v>
      </c>
      <c r="AF1542" s="1" t="s">
        <v>1704</v>
      </c>
    </row>
    <row r="1543" spans="1:32" ht="15" x14ac:dyDescent="0.35">
      <c r="A1543" s="7" t="s">
        <v>116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>LEFT($A1543,FIND("_",$A1543)-1)</f>
        <v>TBar</v>
      </c>
      <c r="P1543" s="13" t="str">
        <f>IF($O1543="ACS", "True Search", IF($O1543="Arja", "Evolutionary Search", IF($O1543="AVATAR", "True Pattern", IF($O1543="CapGen", "Search Like Pattern", IF($O1543="Cardumen", "True Semantic", IF($O1543="DynaMoth", "True Semantic", IF($O1543="FixMiner", "True Pattern", IF($O1543="GenProg-A", "Evolutionary Search", IF($O1543="Hercules", "Learning Pattern", IF($O1543="Jaid", "True Semantic",
IF($O1543="Kali-A", "True Search", IF($O1543="kPAR", "True Pattern", IF($O1543="Nopol", "True Semantic", IF($O1543="RSRepair-A", "Evolutionary Search", IF($O1543="SequenceR", "Deep Learning", IF($O1543="SimFix", "Search Like Pattern", IF($O1543="SketchFix", "True Pattern", IF($O1543="SOFix", "True Pattern", IF($O1543="ssFix", "Search Like Pattern", IF($O1543="TBar", "True Pattern", ""))))))))))))))))))))</f>
        <v>True Pattern</v>
      </c>
      <c r="Q1543" s="13" t="str">
        <f>IF(NOT(ISERR(SEARCH("*_Buggy",$A1543))), "Buggy", IF(NOT(ISERR(SEARCH("*_Fixed",$A1543))), "Fixed", IF(NOT(ISERR(SEARCH("*_Repaired",$A1543))), "Repaired", "")))</f>
        <v>Repaired</v>
      </c>
      <c r="R1543" s="13" t="s">
        <v>1668</v>
      </c>
      <c r="S1543" s="25">
        <v>1</v>
      </c>
      <c r="T1543" s="25">
        <v>1</v>
      </c>
      <c r="U1543" s="25">
        <v>16</v>
      </c>
      <c r="V1543" s="13">
        <v>16</v>
      </c>
      <c r="W1543" s="13" t="str">
        <f>MID(A1543, SEARCH("_", A1543) +1, SEARCH("_", A1543, SEARCH("_", A1543) +1) - SEARCH("_", A1543) -1)</f>
        <v>Closure-46</v>
      </c>
      <c r="Y1543" s="1" t="str">
        <f t="shared" si="66"/>
        <v>NO</v>
      </c>
      <c r="Z1543" s="1" t="str">
        <f t="shared" si="67"/>
        <v>NO</v>
      </c>
      <c r="AA1543" t="s">
        <v>1704</v>
      </c>
      <c r="AB1543" t="s">
        <v>1704</v>
      </c>
      <c r="AC1543" s="1" t="s">
        <v>1704</v>
      </c>
      <c r="AD1543" s="1" t="s">
        <v>1705</v>
      </c>
      <c r="AE1543" s="1" t="s">
        <v>1704</v>
      </c>
      <c r="AF1543" s="1" t="s">
        <v>1705</v>
      </c>
    </row>
    <row r="1544" spans="1:32" ht="15" x14ac:dyDescent="0.35">
      <c r="A1544" s="5" t="s">
        <v>1171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>LEFT($A1544,FIND("_",$A1544)-1)</f>
        <v>TBar</v>
      </c>
      <c r="P1544" s="13" t="str">
        <f>IF($O1544="ACS", "True Search", IF($O1544="Arja", "Evolutionary Search", IF($O1544="AVATAR", "True Pattern", IF($O1544="CapGen", "Search Like Pattern", IF($O1544="Cardumen", "True Semantic", IF($O1544="DynaMoth", "True Semantic", IF($O1544="FixMiner", "True Pattern", IF($O1544="GenProg-A", "Evolutionary Search", IF($O1544="Hercules", "Learning Pattern", IF($O1544="Jaid", "True Semantic",
IF($O1544="Kali-A", "True Search", IF($O1544="kPAR", "True Pattern", IF($O1544="Nopol", "True Semantic", IF($O1544="RSRepair-A", "Evolutionary Search", IF($O1544="SequenceR", "Deep Learning", IF($O1544="SimFix", "Search Like Pattern", IF($O1544="SketchFix", "True Pattern", IF($O1544="SOFix", "True Pattern", IF($O1544="ssFix", "Search Like Pattern", IF($O1544="TBar", "True Pattern", ""))))))))))))))))))))</f>
        <v>True Pattern</v>
      </c>
      <c r="Q1544" s="13" t="str">
        <f>IF(NOT(ISERR(SEARCH("*_Buggy",$A1544))), "Buggy", IF(NOT(ISERR(SEARCH("*_Fixed",$A1544))), "Fixed", IF(NOT(ISERR(SEARCH("*_Repaired",$A1544))), "Repaired", "")))</f>
        <v>Repaired</v>
      </c>
      <c r="R1544" s="13" t="s">
        <v>1668</v>
      </c>
      <c r="S1544" s="25">
        <v>1</v>
      </c>
      <c r="T1544" s="25">
        <v>1</v>
      </c>
      <c r="U1544" s="25">
        <v>1</v>
      </c>
      <c r="V1544" s="13">
        <v>1</v>
      </c>
      <c r="W1544" s="13" t="str">
        <f>MID(A1544, SEARCH("_", A1544) +1, SEARCH("_", A1544, SEARCH("_", A1544) +1) - SEARCH("_", A1544) -1)</f>
        <v>Closure-62</v>
      </c>
      <c r="Y1544" s="1" t="str">
        <f t="shared" si="66"/>
        <v>NO</v>
      </c>
      <c r="Z1544" s="1" t="str">
        <f t="shared" si="67"/>
        <v>NO</v>
      </c>
      <c r="AA1544" t="s">
        <v>1704</v>
      </c>
      <c r="AB1544" t="s">
        <v>1704</v>
      </c>
      <c r="AC1544" s="1" t="s">
        <v>1705</v>
      </c>
      <c r="AD1544" s="1" t="s">
        <v>1704</v>
      </c>
      <c r="AE1544" s="1" t="s">
        <v>1705</v>
      </c>
      <c r="AF1544" s="1" t="s">
        <v>1704</v>
      </c>
    </row>
    <row r="1545" spans="1:32" ht="15" x14ac:dyDescent="0.35">
      <c r="A1545" s="7" t="s">
        <v>788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>LEFT($A1545,FIND("_",$A1545)-1)</f>
        <v>TBar</v>
      </c>
      <c r="P1545" s="13" t="str">
        <f>IF($O1545="ACS", "True Search", IF($O1545="Arja", "Evolutionary Search", IF($O1545="AVATAR", "True Pattern", IF($O1545="CapGen", "Search Like Pattern", IF($O1545="Cardumen", "True Semantic", IF($O1545="DynaMoth", "True Semantic", IF($O1545="FixMiner", "True Pattern", IF($O1545="GenProg-A", "Evolutionary Search", IF($O1545="Hercules", "Learning Pattern", IF($O1545="Jaid", "True Semantic",
IF($O1545="Kali-A", "True Search", IF($O1545="kPAR", "True Pattern", IF($O1545="Nopol", "True Semantic", IF($O1545="RSRepair-A", "Evolutionary Search", IF($O1545="SequenceR", "Deep Learning", IF($O1545="SimFix", "Search Like Pattern", IF($O1545="SketchFix", "True Pattern", IF($O1545="SOFix", "True Pattern", IF($O1545="ssFix", "Search Like Pattern", IF($O1545="TBar", "True Pattern", ""))))))))))))))))))))</f>
        <v>True Pattern</v>
      </c>
      <c r="Q1545" s="13" t="str">
        <f>IF(NOT(ISERR(SEARCH("*_Buggy",$A1545))), "Buggy", IF(NOT(ISERR(SEARCH("*_Fixed",$A1545))), "Fixed", IF(NOT(ISERR(SEARCH("*_Repaired",$A1545))), "Repaired", "")))</f>
        <v>Repaired</v>
      </c>
      <c r="R1545" s="13" t="s">
        <v>1669</v>
      </c>
      <c r="S1545" s="25">
        <v>1</v>
      </c>
      <c r="T1545" s="25">
        <v>1</v>
      </c>
      <c r="U1545" s="25">
        <v>1</v>
      </c>
      <c r="V1545" s="13">
        <v>1</v>
      </c>
      <c r="W1545" s="13" t="str">
        <f>MID(A1545, SEARCH("_", A1545) +1, SEARCH("_", A1545, SEARCH("_", A1545) +1) - SEARCH("_", A1545) -1)</f>
        <v>Closure-66</v>
      </c>
      <c r="Y1545" s="1" t="str">
        <f t="shared" si="66"/>
        <v>NO</v>
      </c>
      <c r="Z1545" s="1" t="str">
        <f t="shared" si="67"/>
        <v>NO</v>
      </c>
      <c r="AA1545" t="s">
        <v>1704</v>
      </c>
      <c r="AB1545" t="s">
        <v>1704</v>
      </c>
      <c r="AC1545" s="1" t="s">
        <v>1704</v>
      </c>
      <c r="AD1545" s="1" t="s">
        <v>1704</v>
      </c>
      <c r="AE1545" s="1" t="s">
        <v>1704</v>
      </c>
      <c r="AF1545" s="1" t="s">
        <v>1704</v>
      </c>
    </row>
    <row r="1546" spans="1:32" ht="15" x14ac:dyDescent="0.35">
      <c r="A1546" s="5" t="s">
        <v>1219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>LEFT($A1546,FIND("_",$A1546)-1)</f>
        <v>TBar</v>
      </c>
      <c r="P1546" s="13" t="str">
        <f>IF($O1546="ACS", "True Search", IF($O1546="Arja", "Evolutionary Search", IF($O1546="AVATAR", "True Pattern", IF($O1546="CapGen", "Search Like Pattern", IF($O1546="Cardumen", "True Semantic", IF($O1546="DynaMoth", "True Semantic", IF($O1546="FixMiner", "True Pattern", IF($O1546="GenProg-A", "Evolutionary Search", IF($O1546="Hercules", "Learning Pattern", IF($O1546="Jaid", "True Semantic",
IF($O1546="Kali-A", "True Search", IF($O1546="kPAR", "True Pattern", IF($O1546="Nopol", "True Semantic", IF($O1546="RSRepair-A", "Evolutionary Search", IF($O1546="SequenceR", "Deep Learning", IF($O1546="SimFix", "Search Like Pattern", IF($O1546="SketchFix", "True Pattern", IF($O1546="SOFix", "True Pattern", IF($O1546="ssFix", "Search Like Pattern", IF($O1546="TBar", "True Pattern", ""))))))))))))))))))))</f>
        <v>True Pattern</v>
      </c>
      <c r="Q1546" s="13" t="str">
        <f>IF(NOT(ISERR(SEARCH("*_Buggy",$A1546))), "Buggy", IF(NOT(ISERR(SEARCH("*_Fixed",$A1546))), "Fixed", IF(NOT(ISERR(SEARCH("*_Repaired",$A1546))), "Repaired", "")))</f>
        <v>Repaired</v>
      </c>
      <c r="R1546" s="13" t="s">
        <v>1668</v>
      </c>
      <c r="S1546" s="25">
        <v>1</v>
      </c>
      <c r="T1546" s="25">
        <v>1</v>
      </c>
      <c r="U1546" s="25">
        <v>1</v>
      </c>
      <c r="V1546" s="13">
        <v>1</v>
      </c>
      <c r="W1546" s="13" t="str">
        <f>MID(A1546, SEARCH("_", A1546) +1, SEARCH("_", A1546, SEARCH("_", A1546) +1) - SEARCH("_", A1546) -1)</f>
        <v>Closure-70</v>
      </c>
      <c r="Y1546" s="1" t="str">
        <f t="shared" si="66"/>
        <v>NO</v>
      </c>
      <c r="Z1546" s="1" t="str">
        <f t="shared" si="67"/>
        <v>NO</v>
      </c>
      <c r="AA1546" t="s">
        <v>1704</v>
      </c>
      <c r="AB1546" t="s">
        <v>1704</v>
      </c>
      <c r="AC1546" s="1" t="s">
        <v>1705</v>
      </c>
      <c r="AD1546" s="1" t="s">
        <v>1704</v>
      </c>
      <c r="AE1546" s="1" t="s">
        <v>1705</v>
      </c>
      <c r="AF1546" s="1" t="s">
        <v>1704</v>
      </c>
    </row>
    <row r="1547" spans="1:32" ht="15" x14ac:dyDescent="0.35">
      <c r="A1547" s="7" t="s">
        <v>1265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>LEFT($A1547,FIND("_",$A1547)-1)</f>
        <v>TBar</v>
      </c>
      <c r="P1547" s="13" t="str">
        <f>IF($O1547="ACS", "True Search", IF($O1547="Arja", "Evolutionary Search", IF($O1547="AVATAR", "True Pattern", IF($O1547="CapGen", "Search Like Pattern", IF($O1547="Cardumen", "True Semantic", IF($O1547="DynaMoth", "True Semantic", IF($O1547="FixMiner", "True Pattern", IF($O1547="GenProg-A", "Evolutionary Search", IF($O1547="Hercules", "Learning Pattern", IF($O1547="Jaid", "True Semantic",
IF($O1547="Kali-A", "True Search", IF($O1547="kPAR", "True Pattern", IF($O1547="Nopol", "True Semantic", IF($O1547="RSRepair-A", "Evolutionary Search", IF($O1547="SequenceR", "Deep Learning", IF($O1547="SimFix", "Search Like Pattern", IF($O1547="SketchFix", "True Pattern", IF($O1547="SOFix", "True Pattern", IF($O1547="ssFix", "Search Like Pattern", IF($O1547="TBar", "True Pattern", ""))))))))))))))))))))</f>
        <v>True Pattern</v>
      </c>
      <c r="Q1547" s="13" t="str">
        <f>IF(NOT(ISERR(SEARCH("*_Buggy",$A1547))), "Buggy", IF(NOT(ISERR(SEARCH("*_Fixed",$A1547))), "Fixed", IF(NOT(ISERR(SEARCH("*_Repaired",$A1547))), "Repaired", "")))</f>
        <v>Repaired</v>
      </c>
      <c r="R1547" s="13" t="s">
        <v>1668</v>
      </c>
      <c r="S1547" s="25">
        <v>1</v>
      </c>
      <c r="T1547" s="25">
        <v>1</v>
      </c>
      <c r="U1547" s="25">
        <v>1</v>
      </c>
      <c r="V1547" s="13">
        <v>1</v>
      </c>
      <c r="W1547" s="13" t="str">
        <f>MID(A1547, SEARCH("_", A1547) +1, SEARCH("_", A1547, SEARCH("_", A1547) +1) - SEARCH("_", A1547) -1)</f>
        <v>Closure-73</v>
      </c>
      <c r="Y1547" s="1" t="str">
        <f t="shared" si="66"/>
        <v>NO</v>
      </c>
      <c r="Z1547" s="1" t="str">
        <f t="shared" si="67"/>
        <v>NO</v>
      </c>
      <c r="AA1547" t="s">
        <v>1704</v>
      </c>
      <c r="AB1547" t="s">
        <v>1704</v>
      </c>
      <c r="AC1547" s="1" t="s">
        <v>1705</v>
      </c>
      <c r="AD1547" s="1" t="s">
        <v>1704</v>
      </c>
      <c r="AE1547" s="1" t="s">
        <v>1705</v>
      </c>
      <c r="AF1547" s="1" t="s">
        <v>1704</v>
      </c>
    </row>
    <row r="1548" spans="1:32" ht="15" x14ac:dyDescent="0.35">
      <c r="A1548" s="5" t="s">
        <v>852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>LEFT($A1548,FIND("_",$A1548)-1)</f>
        <v>TBar</v>
      </c>
      <c r="P1548" s="13" t="str">
        <f>IF($O1548="ACS", "True Search", IF($O1548="Arja", "Evolutionary Search", IF($O1548="AVATAR", "True Pattern", IF($O1548="CapGen", "Search Like Pattern", IF($O1548="Cardumen", "True Semantic", IF($O1548="DynaMoth", "True Semantic", IF($O1548="FixMiner", "True Pattern", IF($O1548="GenProg-A", "Evolutionary Search", IF($O1548="Hercules", "Learning Pattern", IF($O1548="Jaid", "True Semantic",
IF($O1548="Kali-A", "True Search", IF($O1548="kPAR", "True Pattern", IF($O1548="Nopol", "True Semantic", IF($O1548="RSRepair-A", "Evolutionary Search", IF($O1548="SequenceR", "Deep Learning", IF($O1548="SimFix", "Search Like Pattern", IF($O1548="SketchFix", "True Pattern", IF($O1548="SOFix", "True Pattern", IF($O1548="ssFix", "Search Like Pattern", IF($O1548="TBar", "True Pattern", ""))))))))))))))))))))</f>
        <v>True Pattern</v>
      </c>
      <c r="Q1548" s="13" t="str">
        <f>IF(NOT(ISERR(SEARCH("*_Buggy",$A1548))), "Buggy", IF(NOT(ISERR(SEARCH("*_Fixed",$A1548))), "Fixed", IF(NOT(ISERR(SEARCH("*_Repaired",$A1548))), "Repaired", "")))</f>
        <v>Repaired</v>
      </c>
      <c r="R1548" s="13" t="s">
        <v>1668</v>
      </c>
      <c r="S1548" s="25">
        <v>1</v>
      </c>
      <c r="T1548" s="25">
        <v>1</v>
      </c>
      <c r="U1548" s="25">
        <v>7</v>
      </c>
      <c r="V1548" s="13">
        <v>7</v>
      </c>
      <c r="W1548" s="13" t="str">
        <f>MID(A1548, SEARCH("_", A1548) +1, SEARCH("_", A1548, SEARCH("_", A1548) +1) - SEARCH("_", A1548) -1)</f>
        <v>Lang-10</v>
      </c>
      <c r="Y1548" s="1" t="str">
        <f t="shared" si="66"/>
        <v>NO</v>
      </c>
      <c r="Z1548" s="1" t="str">
        <f t="shared" si="67"/>
        <v>NO</v>
      </c>
      <c r="AA1548" t="s">
        <v>1704</v>
      </c>
      <c r="AB1548" t="s">
        <v>1704</v>
      </c>
      <c r="AC1548" s="1" t="s">
        <v>1704</v>
      </c>
      <c r="AD1548" s="1" t="s">
        <v>1704</v>
      </c>
      <c r="AE1548" s="1" t="s">
        <v>1704</v>
      </c>
      <c r="AF1548" s="1" t="s">
        <v>1705</v>
      </c>
    </row>
    <row r="1549" spans="1:32" ht="15" x14ac:dyDescent="0.35">
      <c r="A1549" s="7" t="s">
        <v>468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>LEFT($A1549,FIND("_",$A1549)-1)</f>
        <v>TBar</v>
      </c>
      <c r="P1549" s="13" t="str">
        <f>IF($O1549="ACS", "True Search", IF($O1549="Arja", "Evolutionary Search", IF($O1549="AVATAR", "True Pattern", IF($O1549="CapGen", "Search Like Pattern", IF($O1549="Cardumen", "True Semantic", IF($O1549="DynaMoth", "True Semantic", IF($O1549="FixMiner", "True Pattern", IF($O1549="GenProg-A", "Evolutionary Search", IF($O1549="Hercules", "Learning Pattern", IF($O1549="Jaid", "True Semantic",
IF($O1549="Kali-A", "True Search", IF($O1549="kPAR", "True Pattern", IF($O1549="Nopol", "True Semantic", IF($O1549="RSRepair-A", "Evolutionary Search", IF($O1549="SequenceR", "Deep Learning", IF($O1549="SimFix", "Search Like Pattern", IF($O1549="SketchFix", "True Pattern", IF($O1549="SOFix", "True Pattern", IF($O1549="ssFix", "Search Like Pattern", IF($O1549="TBar", "True Pattern", ""))))))))))))))))))))</f>
        <v>True Pattern</v>
      </c>
      <c r="Q1549" s="13" t="str">
        <f>IF(NOT(ISERR(SEARCH("*_Buggy",$A1549))), "Buggy", IF(NOT(ISERR(SEARCH("*_Fixed",$A1549))), "Fixed", IF(NOT(ISERR(SEARCH("*_Repaired",$A1549))), "Repaired", "")))</f>
        <v>Repaired</v>
      </c>
      <c r="R1549" s="13" t="s">
        <v>1669</v>
      </c>
      <c r="S1549" s="25">
        <v>1</v>
      </c>
      <c r="T1549" s="25">
        <v>1</v>
      </c>
      <c r="U1549" s="25">
        <v>17</v>
      </c>
      <c r="V1549" s="13">
        <v>17</v>
      </c>
      <c r="W1549" s="13" t="str">
        <f>MID(A1549, SEARCH("_", A1549) +1, SEARCH("_", A1549, SEARCH("_", A1549) +1) - SEARCH("_", A1549) -1)</f>
        <v>Lang-13</v>
      </c>
      <c r="Y1549" s="1" t="str">
        <f t="shared" si="66"/>
        <v>NO</v>
      </c>
      <c r="Z1549" s="1" t="str">
        <f t="shared" si="67"/>
        <v>NO</v>
      </c>
      <c r="AA1549" t="s">
        <v>1704</v>
      </c>
      <c r="AB1549" t="s">
        <v>1704</v>
      </c>
      <c r="AC1549" s="1" t="s">
        <v>1704</v>
      </c>
      <c r="AD1549" s="1" t="s">
        <v>1704</v>
      </c>
      <c r="AE1549" s="1" t="s">
        <v>1704</v>
      </c>
      <c r="AF1549" s="1" t="s">
        <v>1705</v>
      </c>
    </row>
    <row r="1550" spans="1:32" ht="15" x14ac:dyDescent="0.35">
      <c r="A1550" s="5" t="s">
        <v>657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>LEFT($A1550,FIND("_",$A1550)-1)</f>
        <v>TBar</v>
      </c>
      <c r="P1550" s="13" t="str">
        <f>IF($O1550="ACS", "True Search", IF($O1550="Arja", "Evolutionary Search", IF($O1550="AVATAR", "True Pattern", IF($O1550="CapGen", "Search Like Pattern", IF($O1550="Cardumen", "True Semantic", IF($O1550="DynaMoth", "True Semantic", IF($O1550="FixMiner", "True Pattern", IF($O1550="GenProg-A", "Evolutionary Search", IF($O1550="Hercules", "Learning Pattern", IF($O1550="Jaid", "True Semantic",
IF($O1550="Kali-A", "True Search", IF($O1550="kPAR", "True Pattern", IF($O1550="Nopol", "True Semantic", IF($O1550="RSRepair-A", "Evolutionary Search", IF($O1550="SequenceR", "Deep Learning", IF($O1550="SimFix", "Search Like Pattern", IF($O1550="SketchFix", "True Pattern", IF($O1550="SOFix", "True Pattern", IF($O1550="ssFix", "Search Like Pattern", IF($O1550="TBar", "True Pattern", ""))))))))))))))))))))</f>
        <v>True Pattern</v>
      </c>
      <c r="Q1550" s="13" t="str">
        <f>IF(NOT(ISERR(SEARCH("*_Buggy",$A1550))), "Buggy", IF(NOT(ISERR(SEARCH("*_Fixed",$A1550))), "Fixed", IF(NOT(ISERR(SEARCH("*_Repaired",$A1550))), "Repaired", "")))</f>
        <v>Repaired</v>
      </c>
      <c r="R1550" s="13" t="s">
        <v>1669</v>
      </c>
      <c r="S1550" s="25">
        <v>1</v>
      </c>
      <c r="T1550" s="25">
        <v>1</v>
      </c>
      <c r="U1550" s="25">
        <v>1</v>
      </c>
      <c r="V1550" s="13">
        <v>1</v>
      </c>
      <c r="W1550" s="13" t="str">
        <f>MID(A1550, SEARCH("_", A1550) +1, SEARCH("_", A1550, SEARCH("_", A1550) +1) - SEARCH("_", A1550) -1)</f>
        <v>Lang-18</v>
      </c>
      <c r="Y1550" s="1" t="str">
        <f t="shared" si="66"/>
        <v>NO</v>
      </c>
      <c r="Z1550" s="1" t="str">
        <f t="shared" si="67"/>
        <v>NO</v>
      </c>
      <c r="AA1550" t="s">
        <v>1704</v>
      </c>
      <c r="AB1550" t="s">
        <v>1704</v>
      </c>
      <c r="AC1550" s="1" t="s">
        <v>1704</v>
      </c>
      <c r="AD1550" s="1" t="s">
        <v>1704</v>
      </c>
      <c r="AE1550" s="1" t="s">
        <v>1704</v>
      </c>
      <c r="AF1550" s="1" t="s">
        <v>1704</v>
      </c>
    </row>
    <row r="1551" spans="1:32" ht="15" x14ac:dyDescent="0.35">
      <c r="A1551" s="7" t="s">
        <v>370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>LEFT($A1551,FIND("_",$A1551)-1)</f>
        <v>TBar</v>
      </c>
      <c r="P1551" s="13" t="str">
        <f>IF($O1551="ACS", "True Search", IF($O1551="Arja", "Evolutionary Search", IF($O1551="AVATAR", "True Pattern", IF($O1551="CapGen", "Search Like Pattern", IF($O1551="Cardumen", "True Semantic", IF($O1551="DynaMoth", "True Semantic", IF($O1551="FixMiner", "True Pattern", IF($O1551="GenProg-A", "Evolutionary Search", IF($O1551="Hercules", "Learning Pattern", IF($O1551="Jaid", "True Semantic",
IF($O1551="Kali-A", "True Search", IF($O1551="kPAR", "True Pattern", IF($O1551="Nopol", "True Semantic", IF($O1551="RSRepair-A", "Evolutionary Search", IF($O1551="SequenceR", "Deep Learning", IF($O1551="SimFix", "Search Like Pattern", IF($O1551="SketchFix", "True Pattern", IF($O1551="SOFix", "True Pattern", IF($O1551="ssFix", "Search Like Pattern", IF($O1551="TBar", "True Pattern", ""))))))))))))))))))))</f>
        <v>True Pattern</v>
      </c>
      <c r="Q1551" s="13" t="str">
        <f>IF(NOT(ISERR(SEARCH("*_Buggy",$A1551))), "Buggy", IF(NOT(ISERR(SEARCH("*_Fixed",$A1551))), "Fixed", IF(NOT(ISERR(SEARCH("*_Repaired",$A1551))), "Repaired", "")))</f>
        <v>Repaired</v>
      </c>
      <c r="R1551" s="13" t="s">
        <v>1669</v>
      </c>
      <c r="S1551" s="25">
        <v>1</v>
      </c>
      <c r="T1551" s="25">
        <v>1</v>
      </c>
      <c r="U1551" s="25">
        <v>1</v>
      </c>
      <c r="V1551" s="13">
        <v>1</v>
      </c>
      <c r="W1551" s="13" t="str">
        <f>MID(A1551, SEARCH("_", A1551) +1, SEARCH("_", A1551, SEARCH("_", A1551) +1) - SEARCH("_", A1551) -1)</f>
        <v>Lang-20</v>
      </c>
      <c r="Y1551" s="1" t="str">
        <f t="shared" si="66"/>
        <v>NO</v>
      </c>
      <c r="Z1551" s="1" t="str">
        <f t="shared" si="67"/>
        <v>NO</v>
      </c>
      <c r="AA1551" t="s">
        <v>1704</v>
      </c>
      <c r="AB1551" t="s">
        <v>1704</v>
      </c>
      <c r="AC1551" s="1" t="s">
        <v>1704</v>
      </c>
      <c r="AD1551" s="1" t="s">
        <v>1704</v>
      </c>
      <c r="AE1551" s="1" t="s">
        <v>1704</v>
      </c>
      <c r="AF1551" s="1" t="s">
        <v>1704</v>
      </c>
    </row>
    <row r="1552" spans="1:32" ht="15" x14ac:dyDescent="0.35">
      <c r="A1552" s="7" t="s">
        <v>744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>LEFT($A1552,FIND("_",$A1552)-1)</f>
        <v>TBar</v>
      </c>
      <c r="P1552" s="13" t="str">
        <f>IF($O1552="ACS", "True Search", IF($O1552="Arja", "Evolutionary Search", IF($O1552="AVATAR", "True Pattern", IF($O1552="CapGen", "Search Like Pattern", IF($O1552="Cardumen", "True Semantic", IF($O1552="DynaMoth", "True Semantic", IF($O1552="FixMiner", "True Pattern", IF($O1552="GenProg-A", "Evolutionary Search", IF($O1552="Hercules", "Learning Pattern", IF($O1552="Jaid", "True Semantic",
IF($O1552="Kali-A", "True Search", IF($O1552="kPAR", "True Pattern", IF($O1552="Nopol", "True Semantic", IF($O1552="RSRepair-A", "Evolutionary Search", IF($O1552="SequenceR", "Deep Learning", IF($O1552="SimFix", "Search Like Pattern", IF($O1552="SketchFix", "True Pattern", IF($O1552="SOFix", "True Pattern", IF($O1552="ssFix", "Search Like Pattern", IF($O1552="TBar", "True Pattern", ""))))))))))))))))))))</f>
        <v>True Pattern</v>
      </c>
      <c r="Q1552" s="13" t="str">
        <f>IF(NOT(ISERR(SEARCH("*_Buggy",$A1552))), "Buggy", IF(NOT(ISERR(SEARCH("*_Fixed",$A1552))), "Fixed", IF(NOT(ISERR(SEARCH("*_Repaired",$A1552))), "Repaired", "")))</f>
        <v>Repaired</v>
      </c>
      <c r="R1552" s="13" t="s">
        <v>1669</v>
      </c>
      <c r="S1552" s="25">
        <v>1</v>
      </c>
      <c r="T1552" s="25">
        <v>1</v>
      </c>
      <c r="U1552" s="25">
        <v>1</v>
      </c>
      <c r="V1552" s="13">
        <v>1</v>
      </c>
      <c r="W1552" s="13" t="str">
        <f>MID(A1552, SEARCH("_", A1552) +1, SEARCH("_", A1552, SEARCH("_", A1552) +1) - SEARCH("_", A1552) -1)</f>
        <v>Lang-22</v>
      </c>
      <c r="Y1552" s="1" t="str">
        <f t="shared" si="66"/>
        <v>NO</v>
      </c>
      <c r="Z1552" s="1" t="str">
        <f t="shared" si="67"/>
        <v>NO</v>
      </c>
      <c r="AA1552" t="s">
        <v>1704</v>
      </c>
      <c r="AB1552" t="s">
        <v>1704</v>
      </c>
      <c r="AC1552" s="1" t="s">
        <v>1704</v>
      </c>
      <c r="AD1552" s="1" t="s">
        <v>1704</v>
      </c>
      <c r="AE1552" s="1" t="s">
        <v>1704</v>
      </c>
      <c r="AF1552" s="1" t="s">
        <v>1704</v>
      </c>
    </row>
    <row r="1553" spans="1:32" ht="15" x14ac:dyDescent="0.35">
      <c r="A1553" s="7" t="s">
        <v>745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>LEFT($A1553,FIND("_",$A1553)-1)</f>
        <v>TBar</v>
      </c>
      <c r="P1553" s="13" t="str">
        <f>IF($O1553="ACS", "True Search", IF($O1553="Arja", "Evolutionary Search", IF($O1553="AVATAR", "True Pattern", IF($O1553="CapGen", "Search Like Pattern", IF($O1553="Cardumen", "True Semantic", IF($O1553="DynaMoth", "True Semantic", IF($O1553="FixMiner", "True Pattern", IF($O1553="GenProg-A", "Evolutionary Search", IF($O1553="Hercules", "Learning Pattern", IF($O1553="Jaid", "True Semantic",
IF($O1553="Kali-A", "True Search", IF($O1553="kPAR", "True Pattern", IF($O1553="Nopol", "True Semantic", IF($O1553="RSRepair-A", "Evolutionary Search", IF($O1553="SequenceR", "Deep Learning", IF($O1553="SimFix", "Search Like Pattern", IF($O1553="SketchFix", "True Pattern", IF($O1553="SOFix", "True Pattern", IF($O1553="ssFix", "Search Like Pattern", IF($O1553="TBar", "True Pattern", ""))))))))))))))))))))</f>
        <v>True Pattern</v>
      </c>
      <c r="Q1553" s="13" t="str">
        <f>IF(NOT(ISERR(SEARCH("*_Buggy",$A1553))), "Buggy", IF(NOT(ISERR(SEARCH("*_Fixed",$A1553))), "Fixed", IF(NOT(ISERR(SEARCH("*_Repaired",$A1553))), "Repaired", "")))</f>
        <v>Repaired</v>
      </c>
      <c r="R1553" s="13" t="s">
        <v>1668</v>
      </c>
      <c r="S1553" s="25">
        <v>1</v>
      </c>
      <c r="T1553" s="25">
        <v>1</v>
      </c>
      <c r="U1553" s="25">
        <v>1</v>
      </c>
      <c r="V1553" s="13">
        <v>1</v>
      </c>
      <c r="W1553" s="13" t="str">
        <f>MID(A1553, SEARCH("_", A1553) +1, SEARCH("_", A1553, SEARCH("_", A1553) +1) - SEARCH("_", A1553) -1)</f>
        <v>Lang-24</v>
      </c>
      <c r="Y1553" s="1" t="str">
        <f t="shared" si="66"/>
        <v>NO</v>
      </c>
      <c r="Z1553" s="1" t="str">
        <f t="shared" si="67"/>
        <v>NO</v>
      </c>
      <c r="AA1553" t="s">
        <v>1704</v>
      </c>
      <c r="AB1553" t="s">
        <v>1704</v>
      </c>
      <c r="AC1553" s="1" t="s">
        <v>1705</v>
      </c>
      <c r="AD1553" s="1" t="s">
        <v>1704</v>
      </c>
      <c r="AE1553" s="1" t="s">
        <v>1705</v>
      </c>
      <c r="AF1553" s="1" t="s">
        <v>1704</v>
      </c>
    </row>
    <row r="1554" spans="1:32" ht="15" x14ac:dyDescent="0.35">
      <c r="A1554" s="7" t="s">
        <v>1021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>LEFT($A1554,FIND("_",$A1554)-1)</f>
        <v>TBar</v>
      </c>
      <c r="P1554" s="13" t="str">
        <f>IF($O1554="ACS", "True Search", IF($O1554="Arja", "Evolutionary Search", IF($O1554="AVATAR", "True Pattern", IF($O1554="CapGen", "Search Like Pattern", IF($O1554="Cardumen", "True Semantic", IF($O1554="DynaMoth", "True Semantic", IF($O1554="FixMiner", "True Pattern", IF($O1554="GenProg-A", "Evolutionary Search", IF($O1554="Hercules", "Learning Pattern", IF($O1554="Jaid", "True Semantic",
IF($O1554="Kali-A", "True Search", IF($O1554="kPAR", "True Pattern", IF($O1554="Nopol", "True Semantic", IF($O1554="RSRepair-A", "Evolutionary Search", IF($O1554="SequenceR", "Deep Learning", IF($O1554="SimFix", "Search Like Pattern", IF($O1554="SketchFix", "True Pattern", IF($O1554="SOFix", "True Pattern", IF($O1554="ssFix", "Search Like Pattern", IF($O1554="TBar", "True Pattern", ""))))))))))))))))))))</f>
        <v>True Pattern</v>
      </c>
      <c r="Q1554" s="13" t="str">
        <f>IF(NOT(ISERR(SEARCH("*_Buggy",$A1554))), "Buggy", IF(NOT(ISERR(SEARCH("*_Fixed",$A1554))), "Fixed", IF(NOT(ISERR(SEARCH("*_Repaired",$A1554))), "Repaired", "")))</f>
        <v>Repaired</v>
      </c>
      <c r="R1554" s="13" t="s">
        <v>1668</v>
      </c>
      <c r="S1554" s="25">
        <v>1</v>
      </c>
      <c r="T1554" s="25">
        <v>1</v>
      </c>
      <c r="U1554" s="25">
        <v>1</v>
      </c>
      <c r="V1554" s="13">
        <v>1</v>
      </c>
      <c r="W1554" s="13" t="str">
        <f>MID(A1554, SEARCH("_", A1554) +1, SEARCH("_", A1554, SEARCH("_", A1554) +1) - SEARCH("_", A1554) -1)</f>
        <v>Lang-26</v>
      </c>
      <c r="Y1554" s="1" t="str">
        <f t="shared" si="66"/>
        <v>NO</v>
      </c>
      <c r="Z1554" s="1" t="str">
        <f t="shared" si="67"/>
        <v>NO</v>
      </c>
      <c r="AA1554" t="s">
        <v>1704</v>
      </c>
      <c r="AB1554" t="s">
        <v>1704</v>
      </c>
      <c r="AC1554" s="1" t="s">
        <v>1705</v>
      </c>
      <c r="AD1554" s="1" t="s">
        <v>1704</v>
      </c>
      <c r="AE1554" s="1" t="s">
        <v>1705</v>
      </c>
      <c r="AF1554" s="1" t="s">
        <v>1704</v>
      </c>
    </row>
    <row r="1555" spans="1:32" ht="15" x14ac:dyDescent="0.35">
      <c r="A1555" s="7" t="s">
        <v>1260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>LEFT($A1555,FIND("_",$A1555)-1)</f>
        <v>TBar</v>
      </c>
      <c r="P1555" s="13" t="str">
        <f>IF($O1555="ACS", "True Search", IF($O1555="Arja", "Evolutionary Search", IF($O1555="AVATAR", "True Pattern", IF($O1555="CapGen", "Search Like Pattern", IF($O1555="Cardumen", "True Semantic", IF($O1555="DynaMoth", "True Semantic", IF($O1555="FixMiner", "True Pattern", IF($O1555="GenProg-A", "Evolutionary Search", IF($O1555="Hercules", "Learning Pattern", IF($O1555="Jaid", "True Semantic",
IF($O1555="Kali-A", "True Search", IF($O1555="kPAR", "True Pattern", IF($O1555="Nopol", "True Semantic", IF($O1555="RSRepair-A", "Evolutionary Search", IF($O1555="SequenceR", "Deep Learning", IF($O1555="SimFix", "Search Like Pattern", IF($O1555="SketchFix", "True Pattern", IF($O1555="SOFix", "True Pattern", IF($O1555="ssFix", "Search Like Pattern", IF($O1555="TBar", "True Pattern", ""))))))))))))))))))))</f>
        <v>True Pattern</v>
      </c>
      <c r="Q1555" s="13" t="str">
        <f>IF(NOT(ISERR(SEARCH("*_Buggy",$A1555))), "Buggy", IF(NOT(ISERR(SEARCH("*_Fixed",$A1555))), "Fixed", IF(NOT(ISERR(SEARCH("*_Repaired",$A1555))), "Repaired", "")))</f>
        <v>Repaired</v>
      </c>
      <c r="R1555" s="13" t="s">
        <v>1669</v>
      </c>
      <c r="S1555" s="25">
        <v>1</v>
      </c>
      <c r="T1555" s="25">
        <v>1</v>
      </c>
      <c r="U1555" s="25">
        <v>1</v>
      </c>
      <c r="V1555" s="13">
        <v>1</v>
      </c>
      <c r="W1555" s="13" t="str">
        <f>MID(A1555, SEARCH("_", A1555) +1, SEARCH("_", A1555, SEARCH("_", A1555) +1) - SEARCH("_", A1555) -1)</f>
        <v>Lang-27</v>
      </c>
      <c r="Y1555" s="1" t="str">
        <f t="shared" si="66"/>
        <v>NO</v>
      </c>
      <c r="Z1555" s="1" t="str">
        <f t="shared" si="67"/>
        <v>NO</v>
      </c>
      <c r="AA1555" t="s">
        <v>1704</v>
      </c>
      <c r="AB1555" t="s">
        <v>1704</v>
      </c>
      <c r="AC1555" s="1" t="s">
        <v>1704</v>
      </c>
      <c r="AD1555" s="1" t="s">
        <v>1704</v>
      </c>
      <c r="AE1555" s="1" t="s">
        <v>1704</v>
      </c>
      <c r="AF1555" s="1" t="s">
        <v>1704</v>
      </c>
    </row>
    <row r="1556" spans="1:32" ht="15" x14ac:dyDescent="0.35">
      <c r="A1556" s="5" t="s">
        <v>1149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>LEFT($A1556,FIND("_",$A1556)-1)</f>
        <v>TBar</v>
      </c>
      <c r="P1556" s="13" t="str">
        <f>IF($O1556="ACS", "True Search", IF($O1556="Arja", "Evolutionary Search", IF($O1556="AVATAR", "True Pattern", IF($O1556="CapGen", "Search Like Pattern", IF($O1556="Cardumen", "True Semantic", IF($O1556="DynaMoth", "True Semantic", IF($O1556="FixMiner", "True Pattern", IF($O1556="GenProg-A", "Evolutionary Search", IF($O1556="Hercules", "Learning Pattern", IF($O1556="Jaid", "True Semantic",
IF($O1556="Kali-A", "True Search", IF($O1556="kPAR", "True Pattern", IF($O1556="Nopol", "True Semantic", IF($O1556="RSRepair-A", "Evolutionary Search", IF($O1556="SequenceR", "Deep Learning", IF($O1556="SimFix", "Search Like Pattern", IF($O1556="SketchFix", "True Pattern", IF($O1556="SOFix", "True Pattern", IF($O1556="ssFix", "Search Like Pattern", IF($O1556="TBar", "True Pattern", ""))))))))))))))))))))</f>
        <v>True Pattern</v>
      </c>
      <c r="Q1556" s="13" t="str">
        <f>IF(NOT(ISERR(SEARCH("*_Buggy",$A1556))), "Buggy", IF(NOT(ISERR(SEARCH("*_Fixed",$A1556))), "Fixed", IF(NOT(ISERR(SEARCH("*_Repaired",$A1556))), "Repaired", "")))</f>
        <v>Repaired</v>
      </c>
      <c r="R1556" s="13" t="s">
        <v>1668</v>
      </c>
      <c r="S1556" s="25">
        <v>1</v>
      </c>
      <c r="T1556" s="25">
        <v>3</v>
      </c>
      <c r="U1556" s="25">
        <v>1</v>
      </c>
      <c r="V1556" s="13">
        <v>3</v>
      </c>
      <c r="W1556" s="13" t="str">
        <f>MID(A1556, SEARCH("_", A1556) +1, SEARCH("_", A1556, SEARCH("_", A1556) +1) - SEARCH("_", A1556) -1)</f>
        <v>Lang-33</v>
      </c>
      <c r="Y1556" s="1" t="str">
        <f t="shared" si="66"/>
        <v>NO</v>
      </c>
      <c r="Z1556" s="1" t="str">
        <f t="shared" si="67"/>
        <v>NO</v>
      </c>
      <c r="AA1556" t="s">
        <v>1704</v>
      </c>
      <c r="AB1556" t="s">
        <v>1704</v>
      </c>
      <c r="AC1556" s="1" t="s">
        <v>1704</v>
      </c>
      <c r="AD1556" s="1" t="s">
        <v>1704</v>
      </c>
      <c r="AE1556" s="1" t="s">
        <v>1704</v>
      </c>
      <c r="AF1556" s="1" t="s">
        <v>1704</v>
      </c>
    </row>
    <row r="1557" spans="1:32" ht="15" x14ac:dyDescent="0.35">
      <c r="A1557" s="5" t="s">
        <v>1201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>LEFT($A1557,FIND("_",$A1557)-1)</f>
        <v>TBar</v>
      </c>
      <c r="P1557" s="13" t="str">
        <f>IF($O1557="ACS", "True Search", IF($O1557="Arja", "Evolutionary Search", IF($O1557="AVATAR", "True Pattern", IF($O1557="CapGen", "Search Like Pattern", IF($O1557="Cardumen", "True Semantic", IF($O1557="DynaMoth", "True Semantic", IF($O1557="FixMiner", "True Pattern", IF($O1557="GenProg-A", "Evolutionary Search", IF($O1557="Hercules", "Learning Pattern", IF($O1557="Jaid", "True Semantic",
IF($O1557="Kali-A", "True Search", IF($O1557="kPAR", "True Pattern", IF($O1557="Nopol", "True Semantic", IF($O1557="RSRepair-A", "Evolutionary Search", IF($O1557="SequenceR", "Deep Learning", IF($O1557="SimFix", "Search Like Pattern", IF($O1557="SketchFix", "True Pattern", IF($O1557="SOFix", "True Pattern", IF($O1557="ssFix", "Search Like Pattern", IF($O1557="TBar", "True Pattern", ""))))))))))))))))))))</f>
        <v>True Pattern</v>
      </c>
      <c r="Q1557" s="13" t="str">
        <f>IF(NOT(ISERR(SEARCH("*_Buggy",$A1557))), "Buggy", IF(NOT(ISERR(SEARCH("*_Fixed",$A1557))), "Fixed", IF(NOT(ISERR(SEARCH("*_Repaired",$A1557))), "Repaired", "")))</f>
        <v>Repaired</v>
      </c>
      <c r="R1557" s="13" t="s">
        <v>1668</v>
      </c>
      <c r="S1557" s="25">
        <v>1</v>
      </c>
      <c r="T1557" s="25">
        <v>3</v>
      </c>
      <c r="U1557" s="25">
        <v>1</v>
      </c>
      <c r="V1557" s="13">
        <v>3</v>
      </c>
      <c r="W1557" s="13" t="str">
        <f>MID(A1557, SEARCH("_", A1557) +1, SEARCH("_", A1557, SEARCH("_", A1557) +1) - SEARCH("_", A1557) -1)</f>
        <v>Lang-39</v>
      </c>
      <c r="Y1557" s="1" t="str">
        <f t="shared" si="66"/>
        <v>NO</v>
      </c>
      <c r="Z1557" s="1" t="str">
        <f t="shared" si="67"/>
        <v>NO</v>
      </c>
      <c r="AA1557" t="s">
        <v>1704</v>
      </c>
      <c r="AB1557" t="s">
        <v>1704</v>
      </c>
      <c r="AC1557" s="1" t="s">
        <v>1704</v>
      </c>
      <c r="AD1557" s="1" t="s">
        <v>1705</v>
      </c>
      <c r="AE1557" s="1" t="s">
        <v>1704</v>
      </c>
      <c r="AF1557" s="1" t="s">
        <v>1705</v>
      </c>
    </row>
    <row r="1558" spans="1:32" ht="15" x14ac:dyDescent="0.35">
      <c r="A1558" s="7" t="s">
        <v>1182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>LEFT($A1558,FIND("_",$A1558)-1)</f>
        <v>TBar</v>
      </c>
      <c r="P1558" s="13" t="str">
        <f>IF($O1558="ACS", "True Search", IF($O1558="Arja", "Evolutionary Search", IF($O1558="AVATAR", "True Pattern", IF($O1558="CapGen", "Search Like Pattern", IF($O1558="Cardumen", "True Semantic", IF($O1558="DynaMoth", "True Semantic", IF($O1558="FixMiner", "True Pattern", IF($O1558="GenProg-A", "Evolutionary Search", IF($O1558="Hercules", "Learning Pattern", IF($O1558="Jaid", "True Semantic",
IF($O1558="Kali-A", "True Search", IF($O1558="kPAR", "True Pattern", IF($O1558="Nopol", "True Semantic", IF($O1558="RSRepair-A", "Evolutionary Search", IF($O1558="SequenceR", "Deep Learning", IF($O1558="SimFix", "Search Like Pattern", IF($O1558="SketchFix", "True Pattern", IF($O1558="SOFix", "True Pattern", IF($O1558="ssFix", "Search Like Pattern", IF($O1558="TBar", "True Pattern", ""))))))))))))))))))))</f>
        <v>True Pattern</v>
      </c>
      <c r="Q1558" s="13" t="str">
        <f>IF(NOT(ISERR(SEARCH("*_Buggy",$A1558))), "Buggy", IF(NOT(ISERR(SEARCH("*_Fixed",$A1558))), "Fixed", IF(NOT(ISERR(SEARCH("*_Repaired",$A1558))), "Repaired", "")))</f>
        <v>Repaired</v>
      </c>
      <c r="R1558" s="13" t="s">
        <v>1669</v>
      </c>
      <c r="S1558" s="25">
        <v>1</v>
      </c>
      <c r="T1558" s="25">
        <v>1</v>
      </c>
      <c r="U1558" s="25">
        <v>1</v>
      </c>
      <c r="V1558" s="13">
        <v>1</v>
      </c>
      <c r="W1558" s="13" t="str">
        <f>MID(A1558, SEARCH("_", A1558) +1, SEARCH("_", A1558, SEARCH("_", A1558) +1) - SEARCH("_", A1558) -1)</f>
        <v>Lang-41</v>
      </c>
      <c r="Y1558" s="1" t="str">
        <f t="shared" si="66"/>
        <v>NO</v>
      </c>
      <c r="Z1558" s="1" t="str">
        <f t="shared" si="67"/>
        <v>NO</v>
      </c>
      <c r="AA1558" t="s">
        <v>1704</v>
      </c>
      <c r="AB1558" t="s">
        <v>1704</v>
      </c>
      <c r="AC1558" s="1" t="s">
        <v>1704</v>
      </c>
      <c r="AD1558" s="1" t="s">
        <v>1704</v>
      </c>
      <c r="AE1558" s="1" t="s">
        <v>1704</v>
      </c>
      <c r="AF1558" s="1" t="s">
        <v>1704</v>
      </c>
    </row>
    <row r="1559" spans="1:32" ht="15" x14ac:dyDescent="0.35">
      <c r="A1559" s="5" t="s">
        <v>1130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>LEFT($A1559,FIND("_",$A1559)-1)</f>
        <v>TBar</v>
      </c>
      <c r="P1559" s="13" t="str">
        <f>IF($O1559="ACS", "True Search", IF($O1559="Arja", "Evolutionary Search", IF($O1559="AVATAR", "True Pattern", IF($O1559="CapGen", "Search Like Pattern", IF($O1559="Cardumen", "True Semantic", IF($O1559="DynaMoth", "True Semantic", IF($O1559="FixMiner", "True Pattern", IF($O1559="GenProg-A", "Evolutionary Search", IF($O1559="Hercules", "Learning Pattern", IF($O1559="Jaid", "True Semantic",
IF($O1559="Kali-A", "True Search", IF($O1559="kPAR", "True Pattern", IF($O1559="Nopol", "True Semantic", IF($O1559="RSRepair-A", "Evolutionary Search", IF($O1559="SequenceR", "Deep Learning", IF($O1559="SimFix", "Search Like Pattern", IF($O1559="SketchFix", "True Pattern", IF($O1559="SOFix", "True Pattern", IF($O1559="ssFix", "Search Like Pattern", IF($O1559="TBar", "True Pattern", ""))))))))))))))))))))</f>
        <v>True Pattern</v>
      </c>
      <c r="Q1559" s="13" t="str">
        <f>IF(NOT(ISERR(SEARCH("*_Buggy",$A1559))), "Buggy", IF(NOT(ISERR(SEARCH("*_Fixed",$A1559))), "Fixed", IF(NOT(ISERR(SEARCH("*_Repaired",$A1559))), "Repaired", "")))</f>
        <v>Repaired</v>
      </c>
      <c r="R1559" s="13" t="s">
        <v>1669</v>
      </c>
      <c r="S1559" s="25">
        <v>1</v>
      </c>
      <c r="T1559" s="25">
        <v>1</v>
      </c>
      <c r="U1559" s="25">
        <v>1</v>
      </c>
      <c r="V1559" s="13">
        <v>1</v>
      </c>
      <c r="W1559" s="13" t="str">
        <f>MID(A1559, SEARCH("_", A1559) +1, SEARCH("_", A1559, SEARCH("_", A1559) +1) - SEARCH("_", A1559) -1)</f>
        <v>Lang-43</v>
      </c>
      <c r="Y1559" s="1" t="str">
        <f t="shared" si="66"/>
        <v>NO</v>
      </c>
      <c r="Z1559" s="1" t="str">
        <f t="shared" si="67"/>
        <v>NO</v>
      </c>
      <c r="AA1559" t="s">
        <v>1704</v>
      </c>
      <c r="AB1559" t="s">
        <v>1704</v>
      </c>
      <c r="AC1559" s="1" t="s">
        <v>1705</v>
      </c>
      <c r="AD1559" s="1" t="s">
        <v>1704</v>
      </c>
      <c r="AE1559" s="1" t="s">
        <v>1705</v>
      </c>
      <c r="AF1559" s="1" t="s">
        <v>1704</v>
      </c>
    </row>
    <row r="1560" spans="1:32" ht="15" x14ac:dyDescent="0.35">
      <c r="A1560" s="5" t="s">
        <v>1281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>LEFT($A1560,FIND("_",$A1560)-1)</f>
        <v>TBar</v>
      </c>
      <c r="P1560" s="13" t="str">
        <f>IF($O1560="ACS", "True Search", IF($O1560="Arja", "Evolutionary Search", IF($O1560="AVATAR", "True Pattern", IF($O1560="CapGen", "Search Like Pattern", IF($O1560="Cardumen", "True Semantic", IF($O1560="DynaMoth", "True Semantic", IF($O1560="FixMiner", "True Pattern", IF($O1560="GenProg-A", "Evolutionary Search", IF($O1560="Hercules", "Learning Pattern", IF($O1560="Jaid", "True Semantic",
IF($O1560="Kali-A", "True Search", IF($O1560="kPAR", "True Pattern", IF($O1560="Nopol", "True Semantic", IF($O1560="RSRepair-A", "Evolutionary Search", IF($O1560="SequenceR", "Deep Learning", IF($O1560="SimFix", "Search Like Pattern", IF($O1560="SketchFix", "True Pattern", IF($O1560="SOFix", "True Pattern", IF($O1560="ssFix", "Search Like Pattern", IF($O1560="TBar", "True Pattern", ""))))))))))))))))))))</f>
        <v>True Pattern</v>
      </c>
      <c r="Q1560" s="13" t="str">
        <f>IF(NOT(ISERR(SEARCH("*_Buggy",$A1560))), "Buggy", IF(NOT(ISERR(SEARCH("*_Fixed",$A1560))), "Fixed", IF(NOT(ISERR(SEARCH("*_Repaired",$A1560))), "Repaired", "")))</f>
        <v>Repaired</v>
      </c>
      <c r="R1560" s="13" t="s">
        <v>1669</v>
      </c>
      <c r="S1560" s="25">
        <v>2</v>
      </c>
      <c r="T1560" s="25">
        <v>2</v>
      </c>
      <c r="U1560" s="25">
        <v>2</v>
      </c>
      <c r="V1560" s="13">
        <v>2</v>
      </c>
      <c r="W1560" s="13" t="str">
        <f>MID(A1560, SEARCH("_", A1560) +1, SEARCH("_", A1560, SEARCH("_", A1560) +1) - SEARCH("_", A1560) -1)</f>
        <v>Lang-44</v>
      </c>
      <c r="Y1560" s="1" t="str">
        <f t="shared" si="66"/>
        <v>YES</v>
      </c>
      <c r="Z1560" s="1" t="str">
        <f t="shared" si="67"/>
        <v>NO</v>
      </c>
      <c r="AA1560" t="s">
        <v>1704</v>
      </c>
      <c r="AB1560" t="s">
        <v>1704</v>
      </c>
      <c r="AC1560" s="1" t="s">
        <v>1704</v>
      </c>
      <c r="AD1560" s="1" t="s">
        <v>1704</v>
      </c>
      <c r="AE1560" s="1" t="s">
        <v>1704</v>
      </c>
      <c r="AF1560" s="1" t="s">
        <v>1705</v>
      </c>
    </row>
    <row r="1561" spans="1:32" ht="15" x14ac:dyDescent="0.35">
      <c r="A1561" s="7" t="s">
        <v>891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>LEFT($A1561,FIND("_",$A1561)-1)</f>
        <v>TBar</v>
      </c>
      <c r="P1561" s="13" t="str">
        <f>IF($O1561="ACS", "True Search", IF($O1561="Arja", "Evolutionary Search", IF($O1561="AVATAR", "True Pattern", IF($O1561="CapGen", "Search Like Pattern", IF($O1561="Cardumen", "True Semantic", IF($O1561="DynaMoth", "True Semantic", IF($O1561="FixMiner", "True Pattern", IF($O1561="GenProg-A", "Evolutionary Search", IF($O1561="Hercules", "Learning Pattern", IF($O1561="Jaid", "True Semantic",
IF($O1561="Kali-A", "True Search", IF($O1561="kPAR", "True Pattern", IF($O1561="Nopol", "True Semantic", IF($O1561="RSRepair-A", "Evolutionary Search", IF($O1561="SequenceR", "Deep Learning", IF($O1561="SimFix", "Search Like Pattern", IF($O1561="SketchFix", "True Pattern", IF($O1561="SOFix", "True Pattern", IF($O1561="ssFix", "Search Like Pattern", IF($O1561="TBar", "True Pattern", ""))))))))))))))))))))</f>
        <v>True Pattern</v>
      </c>
      <c r="Q1561" s="13" t="str">
        <f>IF(NOT(ISERR(SEARCH("*_Buggy",$A1561))), "Buggy", IF(NOT(ISERR(SEARCH("*_Fixed",$A1561))), "Fixed", IF(NOT(ISERR(SEARCH("*_Repaired",$A1561))), "Repaired", "")))</f>
        <v>Repaired</v>
      </c>
      <c r="R1561" s="13" t="s">
        <v>1669</v>
      </c>
      <c r="S1561" s="25">
        <v>1</v>
      </c>
      <c r="T1561" s="25">
        <v>1</v>
      </c>
      <c r="U1561" s="25">
        <v>1</v>
      </c>
      <c r="V1561" s="13">
        <v>1</v>
      </c>
      <c r="W1561" s="13" t="str">
        <f>MID(A1561, SEARCH("_", A1561) +1, SEARCH("_", A1561, SEARCH("_", A1561) +1) - SEARCH("_", A1561) -1)</f>
        <v>Lang-45</v>
      </c>
      <c r="Y1561" s="1" t="str">
        <f t="shared" si="66"/>
        <v>NO</v>
      </c>
      <c r="Z1561" s="1" t="str">
        <f t="shared" si="67"/>
        <v>NO</v>
      </c>
      <c r="AA1561" t="s">
        <v>1704</v>
      </c>
      <c r="AB1561" t="s">
        <v>1704</v>
      </c>
      <c r="AC1561" s="1" t="s">
        <v>1704</v>
      </c>
      <c r="AD1561" s="1" t="s">
        <v>1704</v>
      </c>
      <c r="AE1561" s="1" t="s">
        <v>1704</v>
      </c>
      <c r="AF1561" s="1" t="s">
        <v>1704</v>
      </c>
    </row>
    <row r="1562" spans="1:32" ht="15" x14ac:dyDescent="0.35">
      <c r="A1562" s="7" t="s">
        <v>653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>LEFT($A1562,FIND("_",$A1562)-1)</f>
        <v>TBar</v>
      </c>
      <c r="P1562" s="13" t="str">
        <f>IF($O1562="ACS", "True Search", IF($O1562="Arja", "Evolutionary Search", IF($O1562="AVATAR", "True Pattern", IF($O1562="CapGen", "Search Like Pattern", IF($O1562="Cardumen", "True Semantic", IF($O1562="DynaMoth", "True Semantic", IF($O1562="FixMiner", "True Pattern", IF($O1562="GenProg-A", "Evolutionary Search", IF($O1562="Hercules", "Learning Pattern", IF($O1562="Jaid", "True Semantic",
IF($O1562="Kali-A", "True Search", IF($O1562="kPAR", "True Pattern", IF($O1562="Nopol", "True Semantic", IF($O1562="RSRepair-A", "Evolutionary Search", IF($O1562="SequenceR", "Deep Learning", IF($O1562="SimFix", "Search Like Pattern", IF($O1562="SketchFix", "True Pattern", IF($O1562="SOFix", "True Pattern", IF($O1562="ssFix", "Search Like Pattern", IF($O1562="TBar", "True Pattern", ""))))))))))))))))))))</f>
        <v>True Pattern</v>
      </c>
      <c r="Q1562" s="13" t="str">
        <f>IF(NOT(ISERR(SEARCH("*_Buggy",$A1562))), "Buggy", IF(NOT(ISERR(SEARCH("*_Fixed",$A1562))), "Fixed", IF(NOT(ISERR(SEARCH("*_Repaired",$A1562))), "Repaired", "")))</f>
        <v>Repaired</v>
      </c>
      <c r="R1562" s="13" t="s">
        <v>1668</v>
      </c>
      <c r="S1562" s="25">
        <v>1</v>
      </c>
      <c r="T1562" s="25">
        <v>2</v>
      </c>
      <c r="U1562" s="25">
        <v>1</v>
      </c>
      <c r="V1562" s="13">
        <v>2</v>
      </c>
      <c r="W1562" s="13" t="str">
        <f>MID(A1562, SEARCH("_", A1562) +1, SEARCH("_", A1562, SEARCH("_", A1562) +1) - SEARCH("_", A1562) -1)</f>
        <v>Lang-47</v>
      </c>
      <c r="Y1562" s="1" t="str">
        <f t="shared" si="66"/>
        <v>NO</v>
      </c>
      <c r="Z1562" s="1" t="str">
        <f t="shared" si="67"/>
        <v>NO</v>
      </c>
      <c r="AA1562" t="s">
        <v>1704</v>
      </c>
      <c r="AB1562" t="s">
        <v>1704</v>
      </c>
      <c r="AC1562" s="1" t="s">
        <v>1704</v>
      </c>
      <c r="AD1562" s="1" t="s">
        <v>1704</v>
      </c>
      <c r="AE1562" s="1" t="s">
        <v>1704</v>
      </c>
      <c r="AF1562" s="1" t="s">
        <v>1705</v>
      </c>
    </row>
    <row r="1563" spans="1:32" ht="15" x14ac:dyDescent="0.35">
      <c r="A1563" s="5" t="s">
        <v>689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>LEFT($A1563,FIND("_",$A1563)-1)</f>
        <v>TBar</v>
      </c>
      <c r="P1563" s="13" t="str">
        <f>IF($O1563="ACS", "True Search", IF($O1563="Arja", "Evolutionary Search", IF($O1563="AVATAR", "True Pattern", IF($O1563="CapGen", "Search Like Pattern", IF($O1563="Cardumen", "True Semantic", IF($O1563="DynaMoth", "True Semantic", IF($O1563="FixMiner", "True Pattern", IF($O1563="GenProg-A", "Evolutionary Search", IF($O1563="Hercules", "Learning Pattern", IF($O1563="Jaid", "True Semantic",
IF($O1563="Kali-A", "True Search", IF($O1563="kPAR", "True Pattern", IF($O1563="Nopol", "True Semantic", IF($O1563="RSRepair-A", "Evolutionary Search", IF($O1563="SequenceR", "Deep Learning", IF($O1563="SimFix", "Search Like Pattern", IF($O1563="SketchFix", "True Pattern", IF($O1563="SOFix", "True Pattern", IF($O1563="ssFix", "Search Like Pattern", IF($O1563="TBar", "True Pattern", ""))))))))))))))))))))</f>
        <v>True Pattern</v>
      </c>
      <c r="Q1563" s="13" t="str">
        <f>IF(NOT(ISERR(SEARCH("*_Buggy",$A1563))), "Buggy", IF(NOT(ISERR(SEARCH("*_Fixed",$A1563))), "Fixed", IF(NOT(ISERR(SEARCH("*_Repaired",$A1563))), "Repaired", "")))</f>
        <v>Repaired</v>
      </c>
      <c r="R1563" s="13" t="s">
        <v>1669</v>
      </c>
      <c r="S1563" s="25">
        <v>1</v>
      </c>
      <c r="T1563" s="25">
        <v>1</v>
      </c>
      <c r="U1563" s="25">
        <v>1</v>
      </c>
      <c r="V1563" s="13">
        <v>1</v>
      </c>
      <c r="W1563" s="13" t="str">
        <f>MID(A1563, SEARCH("_", A1563) +1, SEARCH("_", A1563, SEARCH("_", A1563) +1) - SEARCH("_", A1563) -1)</f>
        <v>Lang-50</v>
      </c>
      <c r="Y1563" s="1" t="str">
        <f t="shared" si="66"/>
        <v>NO</v>
      </c>
      <c r="Z1563" s="1" t="str">
        <f t="shared" si="67"/>
        <v>NO</v>
      </c>
      <c r="AA1563" t="s">
        <v>1704</v>
      </c>
      <c r="AB1563" t="s">
        <v>1704</v>
      </c>
      <c r="AC1563" s="1" t="s">
        <v>1704</v>
      </c>
      <c r="AD1563" s="1" t="s">
        <v>1704</v>
      </c>
      <c r="AE1563" s="1" t="s">
        <v>1704</v>
      </c>
      <c r="AF1563" s="1" t="s">
        <v>1704</v>
      </c>
    </row>
    <row r="1564" spans="1:32" ht="15" x14ac:dyDescent="0.35">
      <c r="A1564" s="5" t="s">
        <v>274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>LEFT($A1564,FIND("_",$A1564)-1)</f>
        <v>TBar</v>
      </c>
      <c r="P1564" s="13" t="str">
        <f>IF($O1564="ACS", "True Search", IF($O1564="Arja", "Evolutionary Search", IF($O1564="AVATAR", "True Pattern", IF($O1564="CapGen", "Search Like Pattern", IF($O1564="Cardumen", "True Semantic", IF($O1564="DynaMoth", "True Semantic", IF($O1564="FixMiner", "True Pattern", IF($O1564="GenProg-A", "Evolutionary Search", IF($O1564="Hercules", "Learning Pattern", IF($O1564="Jaid", "True Semantic",
IF($O1564="Kali-A", "True Search", IF($O1564="kPAR", "True Pattern", IF($O1564="Nopol", "True Semantic", IF($O1564="RSRepair-A", "Evolutionary Search", IF($O1564="SequenceR", "Deep Learning", IF($O1564="SimFix", "Search Like Pattern", IF($O1564="SketchFix", "True Pattern", IF($O1564="SOFix", "True Pattern", IF($O1564="ssFix", "Search Like Pattern", IF($O1564="TBar", "True Pattern", ""))))))))))))))))))))</f>
        <v>True Pattern</v>
      </c>
      <c r="Q1564" s="13" t="str">
        <f>IF(NOT(ISERR(SEARCH("*_Buggy",$A1564))), "Buggy", IF(NOT(ISERR(SEARCH("*_Fixed",$A1564))), "Fixed", IF(NOT(ISERR(SEARCH("*_Repaired",$A1564))), "Repaired", "")))</f>
        <v>Repaired</v>
      </c>
      <c r="R1564" s="13" t="s">
        <v>1668</v>
      </c>
      <c r="S1564" s="25">
        <v>1</v>
      </c>
      <c r="T1564" s="13">
        <v>2</v>
      </c>
      <c r="U1564" s="25">
        <v>0</v>
      </c>
      <c r="V1564" s="13">
        <v>2</v>
      </c>
      <c r="W1564" s="13" t="str">
        <f>MID(A1564, SEARCH("_", A1564) +1, SEARCH("_", A1564, SEARCH("_", A1564) +1) - SEARCH("_", A1564) -1)</f>
        <v>Lang-51</v>
      </c>
      <c r="Y1564" s="1" t="str">
        <f t="shared" si="66"/>
        <v>NO</v>
      </c>
      <c r="Z1564" s="1" t="str">
        <f t="shared" si="67"/>
        <v>NO</v>
      </c>
      <c r="AA1564" t="s">
        <v>1704</v>
      </c>
      <c r="AB1564" t="s">
        <v>1704</v>
      </c>
      <c r="AC1564" s="1" t="s">
        <v>1704</v>
      </c>
      <c r="AD1564" s="1" t="s">
        <v>1704</v>
      </c>
      <c r="AE1564" s="1" t="s">
        <v>1704</v>
      </c>
      <c r="AF1564" s="1" t="s">
        <v>1704</v>
      </c>
    </row>
    <row r="1565" spans="1:32" ht="15" x14ac:dyDescent="0.35">
      <c r="A1565" s="7" t="s">
        <v>942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>LEFT($A1565,FIND("_",$A1565)-1)</f>
        <v>TBar</v>
      </c>
      <c r="P1565" s="13" t="str">
        <f>IF($O1565="ACS", "True Search", IF($O1565="Arja", "Evolutionary Search", IF($O1565="AVATAR", "True Pattern", IF($O1565="CapGen", "Search Like Pattern", IF($O1565="Cardumen", "True Semantic", IF($O1565="DynaMoth", "True Semantic", IF($O1565="FixMiner", "True Pattern", IF($O1565="GenProg-A", "Evolutionary Search", IF($O1565="Hercules", "Learning Pattern", IF($O1565="Jaid", "True Semantic",
IF($O1565="Kali-A", "True Search", IF($O1565="kPAR", "True Pattern", IF($O1565="Nopol", "True Semantic", IF($O1565="RSRepair-A", "Evolutionary Search", IF($O1565="SequenceR", "Deep Learning", IF($O1565="SimFix", "Search Like Pattern", IF($O1565="SketchFix", "True Pattern", IF($O1565="SOFix", "True Pattern", IF($O1565="ssFix", "Search Like Pattern", IF($O1565="TBar", "True Pattern", ""))))))))))))))))))))</f>
        <v>True Pattern</v>
      </c>
      <c r="Q1565" s="13" t="str">
        <f>IF(NOT(ISERR(SEARCH("*_Buggy",$A1565))), "Buggy", IF(NOT(ISERR(SEARCH("*_Fixed",$A1565))), "Fixed", IF(NOT(ISERR(SEARCH("*_Repaired",$A1565))), "Repaired", "")))</f>
        <v>Repaired</v>
      </c>
      <c r="R1565" s="13" t="s">
        <v>1668</v>
      </c>
      <c r="S1565" s="25">
        <v>1</v>
      </c>
      <c r="T1565" s="25">
        <v>1</v>
      </c>
      <c r="U1565" s="25">
        <v>1</v>
      </c>
      <c r="V1565" s="13">
        <v>1</v>
      </c>
      <c r="W1565" s="13" t="str">
        <f>MID(A1565, SEARCH("_", A1565) +1, SEARCH("_", A1565, SEARCH("_", A1565) +1) - SEARCH("_", A1565) -1)</f>
        <v>Lang-57</v>
      </c>
      <c r="Y1565" s="1" t="str">
        <f t="shared" si="66"/>
        <v>NO</v>
      </c>
      <c r="Z1565" s="1" t="str">
        <f t="shared" si="67"/>
        <v>NO</v>
      </c>
      <c r="AA1565" t="s">
        <v>1704</v>
      </c>
      <c r="AB1565" t="s">
        <v>1704</v>
      </c>
      <c r="AC1565" s="1" t="s">
        <v>1705</v>
      </c>
      <c r="AD1565" s="1" t="s">
        <v>1704</v>
      </c>
      <c r="AE1565" s="1" t="s">
        <v>1705</v>
      </c>
      <c r="AF1565" s="1" t="s">
        <v>1704</v>
      </c>
    </row>
    <row r="1566" spans="1:32" ht="15" x14ac:dyDescent="0.35">
      <c r="A1566" s="5" t="s">
        <v>412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>LEFT($A1566,FIND("_",$A1566)-1)</f>
        <v>TBar</v>
      </c>
      <c r="P1566" s="13" t="str">
        <f>IF($O1566="ACS", "True Search", IF($O1566="Arja", "Evolutionary Search", IF($O1566="AVATAR", "True Pattern", IF($O1566="CapGen", "Search Like Pattern", IF($O1566="Cardumen", "True Semantic", IF($O1566="DynaMoth", "True Semantic", IF($O1566="FixMiner", "True Pattern", IF($O1566="GenProg-A", "Evolutionary Search", IF($O1566="Hercules", "Learning Pattern", IF($O1566="Jaid", "True Semantic",
IF($O1566="Kali-A", "True Search", IF($O1566="kPAR", "True Pattern", IF($O1566="Nopol", "True Semantic", IF($O1566="RSRepair-A", "Evolutionary Search", IF($O1566="SequenceR", "Deep Learning", IF($O1566="SimFix", "Search Like Pattern", IF($O1566="SketchFix", "True Pattern", IF($O1566="SOFix", "True Pattern", IF($O1566="ssFix", "Search Like Pattern", IF($O1566="TBar", "True Pattern", ""))))))))))))))))))))</f>
        <v>True Pattern</v>
      </c>
      <c r="Q1566" s="13" t="str">
        <f>IF(NOT(ISERR(SEARCH("*_Buggy",$A1566))), "Buggy", IF(NOT(ISERR(SEARCH("*_Fixed",$A1566))), "Fixed", IF(NOT(ISERR(SEARCH("*_Repaired",$A1566))), "Repaired", "")))</f>
        <v>Repaired</v>
      </c>
      <c r="R1566" s="13" t="s">
        <v>1669</v>
      </c>
      <c r="S1566" s="25">
        <v>2</v>
      </c>
      <c r="T1566" s="25">
        <v>2</v>
      </c>
      <c r="U1566" s="25">
        <v>2</v>
      </c>
      <c r="V1566" s="13">
        <v>2</v>
      </c>
      <c r="W1566" s="13" t="str">
        <f>MID(A1566, SEARCH("_", A1566) +1, SEARCH("_", A1566, SEARCH("_", A1566) +1) - SEARCH("_", A1566) -1)</f>
        <v>Lang-58</v>
      </c>
      <c r="Y1566" s="1" t="str">
        <f t="shared" si="66"/>
        <v>YES</v>
      </c>
      <c r="Z1566" s="1" t="str">
        <f t="shared" si="67"/>
        <v>NO</v>
      </c>
      <c r="AA1566" t="s">
        <v>1704</v>
      </c>
      <c r="AB1566" t="s">
        <v>1704</v>
      </c>
      <c r="AC1566" s="1" t="s">
        <v>1704</v>
      </c>
      <c r="AD1566" s="1" t="s">
        <v>1704</v>
      </c>
      <c r="AE1566" s="1" t="s">
        <v>1704</v>
      </c>
      <c r="AF1566" s="1" t="s">
        <v>1705</v>
      </c>
    </row>
    <row r="1567" spans="1:32" ht="15" x14ac:dyDescent="0.35">
      <c r="A1567" s="7" t="s">
        <v>276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>LEFT($A1567,FIND("_",$A1567)-1)</f>
        <v>TBar</v>
      </c>
      <c r="P1567" s="13" t="str">
        <f>IF($O1567="ACS", "True Search", IF($O1567="Arja", "Evolutionary Search", IF($O1567="AVATAR", "True Pattern", IF($O1567="CapGen", "Search Like Pattern", IF($O1567="Cardumen", "True Semantic", IF($O1567="DynaMoth", "True Semantic", IF($O1567="FixMiner", "True Pattern", IF($O1567="GenProg-A", "Evolutionary Search", IF($O1567="Hercules", "Learning Pattern", IF($O1567="Jaid", "True Semantic",
IF($O1567="Kali-A", "True Search", IF($O1567="kPAR", "True Pattern", IF($O1567="Nopol", "True Semantic", IF($O1567="RSRepair-A", "Evolutionary Search", IF($O1567="SequenceR", "Deep Learning", IF($O1567="SimFix", "Search Like Pattern", IF($O1567="SketchFix", "True Pattern", IF($O1567="SOFix", "True Pattern", IF($O1567="ssFix", "Search Like Pattern", IF($O1567="TBar", "True Pattern", ""))))))))))))))))))))</f>
        <v>True Pattern</v>
      </c>
      <c r="Q1567" s="13" t="str">
        <f>IF(NOT(ISERR(SEARCH("*_Buggy",$A1567))), "Buggy", IF(NOT(ISERR(SEARCH("*_Fixed",$A1567))), "Fixed", IF(NOT(ISERR(SEARCH("*_Repaired",$A1567))), "Repaired", "")))</f>
        <v>Repaired</v>
      </c>
      <c r="R1567" s="13" t="s">
        <v>1668</v>
      </c>
      <c r="S1567" s="25">
        <v>1</v>
      </c>
      <c r="T1567" s="25">
        <v>1</v>
      </c>
      <c r="U1567" s="25">
        <v>1</v>
      </c>
      <c r="V1567" s="13">
        <v>1</v>
      </c>
      <c r="W1567" s="13" t="str">
        <f>MID(A1567, SEARCH("_", A1567) +1, SEARCH("_", A1567, SEARCH("_", A1567) +1) - SEARCH("_", A1567) -1)</f>
        <v>Lang-59</v>
      </c>
      <c r="Y1567" s="1" t="str">
        <f t="shared" si="66"/>
        <v>NO</v>
      </c>
      <c r="Z1567" s="1" t="str">
        <f t="shared" si="67"/>
        <v>NO</v>
      </c>
      <c r="AA1567" t="s">
        <v>1704</v>
      </c>
      <c r="AB1567" t="s">
        <v>1704</v>
      </c>
      <c r="AC1567" s="1" t="s">
        <v>1705</v>
      </c>
      <c r="AD1567" s="1" t="s">
        <v>1704</v>
      </c>
      <c r="AE1567" s="1" t="s">
        <v>1705</v>
      </c>
      <c r="AF1567" s="1" t="s">
        <v>1704</v>
      </c>
    </row>
    <row r="1568" spans="1:32" ht="15" x14ac:dyDescent="0.35">
      <c r="A1568" s="5" t="s">
        <v>574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>LEFT($A1568,FIND("_",$A1568)-1)</f>
        <v>TBar</v>
      </c>
      <c r="P1568" s="13" t="str">
        <f>IF($O1568="ACS", "True Search", IF($O1568="Arja", "Evolutionary Search", IF($O1568="AVATAR", "True Pattern", IF($O1568="CapGen", "Search Like Pattern", IF($O1568="Cardumen", "True Semantic", IF($O1568="DynaMoth", "True Semantic", IF($O1568="FixMiner", "True Pattern", IF($O1568="GenProg-A", "Evolutionary Search", IF($O1568="Hercules", "Learning Pattern", IF($O1568="Jaid", "True Semantic",
IF($O1568="Kali-A", "True Search", IF($O1568="kPAR", "True Pattern", IF($O1568="Nopol", "True Semantic", IF($O1568="RSRepair-A", "Evolutionary Search", IF($O1568="SequenceR", "Deep Learning", IF($O1568="SimFix", "Search Like Pattern", IF($O1568="SketchFix", "True Pattern", IF($O1568="SOFix", "True Pattern", IF($O1568="ssFix", "Search Like Pattern", IF($O1568="TBar", "True Pattern", ""))))))))))))))))))))</f>
        <v>True Pattern</v>
      </c>
      <c r="Q1568" s="13" t="str">
        <f>IF(NOT(ISERR(SEARCH("*_Buggy",$A1568))), "Buggy", IF(NOT(ISERR(SEARCH("*_Fixed",$A1568))), "Fixed", IF(NOT(ISERR(SEARCH("*_Repaired",$A1568))), "Repaired", "")))</f>
        <v>Repaired</v>
      </c>
      <c r="R1568" s="13" t="s">
        <v>1668</v>
      </c>
      <c r="S1568" s="25">
        <v>1</v>
      </c>
      <c r="T1568" s="25">
        <v>1</v>
      </c>
      <c r="U1568" s="25">
        <v>1</v>
      </c>
      <c r="V1568" s="13">
        <v>1</v>
      </c>
      <c r="W1568" s="13" t="str">
        <f>MID(A1568, SEARCH("_", A1568) +1, SEARCH("_", A1568, SEARCH("_", A1568) +1) - SEARCH("_", A1568) -1)</f>
        <v>Lang-6</v>
      </c>
      <c r="Y1568" s="1" t="str">
        <f t="shared" si="66"/>
        <v>NO</v>
      </c>
      <c r="Z1568" s="1" t="str">
        <f t="shared" si="67"/>
        <v>NO</v>
      </c>
      <c r="AA1568" t="s">
        <v>1704</v>
      </c>
      <c r="AB1568" t="s">
        <v>1704</v>
      </c>
      <c r="AC1568" s="1" t="s">
        <v>1705</v>
      </c>
      <c r="AD1568" s="1" t="s">
        <v>1704</v>
      </c>
      <c r="AE1568" s="1" t="s">
        <v>1705</v>
      </c>
      <c r="AF1568" s="1" t="s">
        <v>1704</v>
      </c>
    </row>
    <row r="1569" spans="1:32" ht="15" x14ac:dyDescent="0.35">
      <c r="A1569" s="5" t="s">
        <v>478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>LEFT($A1569,FIND("_",$A1569)-1)</f>
        <v>TBar</v>
      </c>
      <c r="P1569" s="13" t="str">
        <f>IF($O1569="ACS", "True Search", IF($O1569="Arja", "Evolutionary Search", IF($O1569="AVATAR", "True Pattern", IF($O1569="CapGen", "Search Like Pattern", IF($O1569="Cardumen", "True Semantic", IF($O1569="DynaMoth", "True Semantic", IF($O1569="FixMiner", "True Pattern", IF($O1569="GenProg-A", "Evolutionary Search", IF($O1569="Hercules", "Learning Pattern", IF($O1569="Jaid", "True Semantic",
IF($O1569="Kali-A", "True Search", IF($O1569="kPAR", "True Pattern", IF($O1569="Nopol", "True Semantic", IF($O1569="RSRepair-A", "Evolutionary Search", IF($O1569="SequenceR", "Deep Learning", IF($O1569="SimFix", "Search Like Pattern", IF($O1569="SketchFix", "True Pattern", IF($O1569="SOFix", "True Pattern", IF($O1569="ssFix", "Search Like Pattern", IF($O1569="TBar", "True Pattern", ""))))))))))))))))))))</f>
        <v>True Pattern</v>
      </c>
      <c r="Q1569" s="13" t="str">
        <f>IF(NOT(ISERR(SEARCH("*_Buggy",$A1569))), "Buggy", IF(NOT(ISERR(SEARCH("*_Fixed",$A1569))), "Fixed", IF(NOT(ISERR(SEARCH("*_Repaired",$A1569))), "Repaired", "")))</f>
        <v>Repaired</v>
      </c>
      <c r="R1569" s="13" t="s">
        <v>1669</v>
      </c>
      <c r="S1569" s="25">
        <v>1</v>
      </c>
      <c r="T1569" s="25">
        <v>1</v>
      </c>
      <c r="U1569" s="25">
        <v>1</v>
      </c>
      <c r="V1569" s="13">
        <v>1</v>
      </c>
      <c r="W1569" s="13" t="str">
        <f>MID(A1569, SEARCH("_", A1569) +1, SEARCH("_", A1569, SEARCH("_", A1569) +1) - SEARCH("_", A1569) -1)</f>
        <v>Lang-60</v>
      </c>
      <c r="Y1569" s="1" t="str">
        <f t="shared" si="66"/>
        <v>NO</v>
      </c>
      <c r="Z1569" s="1" t="str">
        <f t="shared" si="67"/>
        <v>NO</v>
      </c>
      <c r="AA1569" t="s">
        <v>1704</v>
      </c>
      <c r="AB1569" t="s">
        <v>1704</v>
      </c>
      <c r="AC1569" s="1" t="s">
        <v>1704</v>
      </c>
      <c r="AD1569" s="1" t="s">
        <v>1704</v>
      </c>
      <c r="AE1569" s="1" t="s">
        <v>1704</v>
      </c>
      <c r="AF1569" s="1" t="s">
        <v>1704</v>
      </c>
    </row>
    <row r="1570" spans="1:32" ht="15" x14ac:dyDescent="0.35">
      <c r="A1570" s="5" t="s">
        <v>202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>LEFT($A1570,FIND("_",$A1570)-1)</f>
        <v>TBar</v>
      </c>
      <c r="P1570" s="13" t="str">
        <f>IF($O1570="ACS", "True Search", IF($O1570="Arja", "Evolutionary Search", IF($O1570="AVATAR", "True Pattern", IF($O1570="CapGen", "Search Like Pattern", IF($O1570="Cardumen", "True Semantic", IF($O1570="DynaMoth", "True Semantic", IF($O1570="FixMiner", "True Pattern", IF($O1570="GenProg-A", "Evolutionary Search", IF($O1570="Hercules", "Learning Pattern", IF($O1570="Jaid", "True Semantic",
IF($O1570="Kali-A", "True Search", IF($O1570="kPAR", "True Pattern", IF($O1570="Nopol", "True Semantic", IF($O1570="RSRepair-A", "Evolutionary Search", IF($O1570="SequenceR", "Deep Learning", IF($O1570="SimFix", "Search Like Pattern", IF($O1570="SketchFix", "True Pattern", IF($O1570="SOFix", "True Pattern", IF($O1570="ssFix", "Search Like Pattern", IF($O1570="TBar", "True Pattern", ""))))))))))))))))))))</f>
        <v>True Pattern</v>
      </c>
      <c r="Q1570" s="13" t="str">
        <f>IF(NOT(ISERR(SEARCH("*_Buggy",$A1570))), "Buggy", IF(NOT(ISERR(SEARCH("*_Fixed",$A1570))), "Fixed", IF(NOT(ISERR(SEARCH("*_Repaired",$A1570))), "Repaired", "")))</f>
        <v>Repaired</v>
      </c>
      <c r="R1570" s="13" t="s">
        <v>1669</v>
      </c>
      <c r="S1570" s="25">
        <v>2</v>
      </c>
      <c r="T1570" s="25">
        <v>3</v>
      </c>
      <c r="U1570" s="25">
        <v>2</v>
      </c>
      <c r="V1570" s="13">
        <v>3</v>
      </c>
      <c r="W1570" s="13" t="str">
        <f>MID(A1570, SEARCH("_", A1570) +1, SEARCH("_", A1570, SEARCH("_", A1570) +1) - SEARCH("_", A1570) -1)</f>
        <v>Lang-63</v>
      </c>
      <c r="Y1570" s="1" t="str">
        <f t="shared" si="66"/>
        <v>NO</v>
      </c>
      <c r="Z1570" s="1" t="str">
        <f t="shared" si="67"/>
        <v>YES</v>
      </c>
      <c r="AA1570" t="s">
        <v>1704</v>
      </c>
      <c r="AB1570" t="s">
        <v>1705</v>
      </c>
      <c r="AC1570" s="1" t="s">
        <v>1704</v>
      </c>
      <c r="AD1570" s="1" t="s">
        <v>1704</v>
      </c>
      <c r="AE1570" s="1" t="s">
        <v>1704</v>
      </c>
      <c r="AF1570" s="1" t="s">
        <v>1705</v>
      </c>
    </row>
    <row r="1571" spans="1:32" ht="15" x14ac:dyDescent="0.35">
      <c r="A1571" s="7" t="s">
        <v>1015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>LEFT($A1571,FIND("_",$A1571)-1)</f>
        <v>TBar</v>
      </c>
      <c r="P1571" s="13" t="str">
        <f>IF($O1571="ACS", "True Search", IF($O1571="Arja", "Evolutionary Search", IF($O1571="AVATAR", "True Pattern", IF($O1571="CapGen", "Search Like Pattern", IF($O1571="Cardumen", "True Semantic", IF($O1571="DynaMoth", "True Semantic", IF($O1571="FixMiner", "True Pattern", IF($O1571="GenProg-A", "Evolutionary Search", IF($O1571="Hercules", "Learning Pattern", IF($O1571="Jaid", "True Semantic",
IF($O1571="Kali-A", "True Search", IF($O1571="kPAR", "True Pattern", IF($O1571="Nopol", "True Semantic", IF($O1571="RSRepair-A", "Evolutionary Search", IF($O1571="SequenceR", "Deep Learning", IF($O1571="SimFix", "Search Like Pattern", IF($O1571="SketchFix", "True Pattern", IF($O1571="SOFix", "True Pattern", IF($O1571="ssFix", "Search Like Pattern", IF($O1571="TBar", "True Pattern", ""))))))))))))))))))))</f>
        <v>True Pattern</v>
      </c>
      <c r="Q1571" s="13" t="str">
        <f>IF(NOT(ISERR(SEARCH("*_Buggy",$A1571))), "Buggy", IF(NOT(ISERR(SEARCH("*_Fixed",$A1571))), "Fixed", IF(NOT(ISERR(SEARCH("*_Repaired",$A1571))), "Repaired", "")))</f>
        <v>Repaired</v>
      </c>
      <c r="R1571" s="13" t="s">
        <v>1668</v>
      </c>
      <c r="S1571" s="25">
        <v>1</v>
      </c>
      <c r="T1571" s="25">
        <v>1</v>
      </c>
      <c r="U1571" s="25">
        <v>1</v>
      </c>
      <c r="V1571" s="13">
        <v>1</v>
      </c>
      <c r="W1571" s="13" t="str">
        <f>MID(A1571, SEARCH("_", A1571) +1, SEARCH("_", A1571, SEARCH("_", A1571) +1) - SEARCH("_", A1571) -1)</f>
        <v>Lang-7</v>
      </c>
      <c r="Y1571" s="1" t="str">
        <f t="shared" si="66"/>
        <v>NO</v>
      </c>
      <c r="Z1571" s="1" t="str">
        <f t="shared" si="67"/>
        <v>NO</v>
      </c>
      <c r="AA1571" t="s">
        <v>1704</v>
      </c>
      <c r="AB1571" t="s">
        <v>1704</v>
      </c>
      <c r="AC1571" s="1" t="s">
        <v>1704</v>
      </c>
      <c r="AD1571" s="1" t="s">
        <v>1704</v>
      </c>
      <c r="AE1571" s="1" t="s">
        <v>1704</v>
      </c>
      <c r="AF1571" s="1" t="s">
        <v>1704</v>
      </c>
    </row>
    <row r="1572" spans="1:32" ht="15" x14ac:dyDescent="0.35">
      <c r="A1572" s="5" t="s">
        <v>551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>LEFT($A1572,FIND("_",$A1572)-1)</f>
        <v>TBar</v>
      </c>
      <c r="P1572" s="13" t="str">
        <f>IF($O1572="ACS", "True Search", IF($O1572="Arja", "Evolutionary Search", IF($O1572="AVATAR", "True Pattern", IF($O1572="CapGen", "Search Like Pattern", IF($O1572="Cardumen", "True Semantic", IF($O1572="DynaMoth", "True Semantic", IF($O1572="FixMiner", "True Pattern", IF($O1572="GenProg-A", "Evolutionary Search", IF($O1572="Hercules", "Learning Pattern", IF($O1572="Jaid", "True Semantic",
IF($O1572="Kali-A", "True Search", IF($O1572="kPAR", "True Pattern", IF($O1572="Nopol", "True Semantic", IF($O1572="RSRepair-A", "Evolutionary Search", IF($O1572="SequenceR", "Deep Learning", IF($O1572="SimFix", "Search Like Pattern", IF($O1572="SketchFix", "True Pattern", IF($O1572="SOFix", "True Pattern", IF($O1572="ssFix", "Search Like Pattern", IF($O1572="TBar", "True Pattern", ""))))))))))))))))))))</f>
        <v>True Pattern</v>
      </c>
      <c r="Q1572" s="13" t="str">
        <f>IF(NOT(ISERR(SEARCH("*_Buggy",$A1572))), "Buggy", IF(NOT(ISERR(SEARCH("*_Fixed",$A1572))), "Fixed", IF(NOT(ISERR(SEARCH("*_Repaired",$A1572))), "Repaired", "")))</f>
        <v>Repaired</v>
      </c>
      <c r="R1572" s="13" t="s">
        <v>1668</v>
      </c>
      <c r="S1572" s="25">
        <v>1</v>
      </c>
      <c r="T1572" s="25">
        <v>1</v>
      </c>
      <c r="U1572" s="25">
        <v>1</v>
      </c>
      <c r="V1572" s="13">
        <v>1</v>
      </c>
      <c r="W1572" s="13" t="str">
        <f>MID(A1572, SEARCH("_", A1572) +1, SEARCH("_", A1572, SEARCH("_", A1572) +1) - SEARCH("_", A1572) -1)</f>
        <v>Math-11</v>
      </c>
      <c r="Y1572" s="1" t="str">
        <f t="shared" si="66"/>
        <v>NO</v>
      </c>
      <c r="Z1572" s="1" t="str">
        <f t="shared" si="67"/>
        <v>NO</v>
      </c>
      <c r="AA1572" t="s">
        <v>1704</v>
      </c>
      <c r="AB1572" t="s">
        <v>1704</v>
      </c>
      <c r="AC1572" s="1" t="s">
        <v>1705</v>
      </c>
      <c r="AD1572" s="1" t="s">
        <v>1704</v>
      </c>
      <c r="AE1572" s="1" t="s">
        <v>1705</v>
      </c>
      <c r="AF1572" s="1" t="s">
        <v>1704</v>
      </c>
    </row>
    <row r="1573" spans="1:32" ht="15" x14ac:dyDescent="0.35">
      <c r="A1573" s="7" t="s">
        <v>270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>LEFT($A1573,FIND("_",$A1573)-1)</f>
        <v>TBar</v>
      </c>
      <c r="P1573" s="13" t="str">
        <f>IF($O1573="ACS", "True Search", IF($O1573="Arja", "Evolutionary Search", IF($O1573="AVATAR", "True Pattern", IF($O1573="CapGen", "Search Like Pattern", IF($O1573="Cardumen", "True Semantic", IF($O1573="DynaMoth", "True Semantic", IF($O1573="FixMiner", "True Pattern", IF($O1573="GenProg-A", "Evolutionary Search", IF($O1573="Hercules", "Learning Pattern", IF($O1573="Jaid", "True Semantic",
IF($O1573="Kali-A", "True Search", IF($O1573="kPAR", "True Pattern", IF($O1573="Nopol", "True Semantic", IF($O1573="RSRepair-A", "Evolutionary Search", IF($O1573="SequenceR", "Deep Learning", IF($O1573="SimFix", "Search Like Pattern", IF($O1573="SketchFix", "True Pattern", IF($O1573="SOFix", "True Pattern", IF($O1573="ssFix", "Search Like Pattern", IF($O1573="TBar", "True Pattern", ""))))))))))))))))))))</f>
        <v>True Pattern</v>
      </c>
      <c r="Q1573" s="13" t="str">
        <f>IF(NOT(ISERR(SEARCH("*_Buggy",$A1573))), "Buggy", IF(NOT(ISERR(SEARCH("*_Fixed",$A1573))), "Fixed", IF(NOT(ISERR(SEARCH("*_Repaired",$A1573))), "Repaired", "")))</f>
        <v>Repaired</v>
      </c>
      <c r="R1573" s="13" t="s">
        <v>1669</v>
      </c>
      <c r="S1573" s="25">
        <v>1</v>
      </c>
      <c r="T1573" s="25">
        <v>1</v>
      </c>
      <c r="U1573" s="25">
        <v>1</v>
      </c>
      <c r="V1573" s="13">
        <v>1</v>
      </c>
      <c r="W1573" s="13" t="str">
        <f>MID(A1573, SEARCH("_", A1573) +1, SEARCH("_", A1573, SEARCH("_", A1573) +1) - SEARCH("_", A1573) -1)</f>
        <v>Math-15</v>
      </c>
      <c r="Y1573" s="1" t="str">
        <f t="shared" si="66"/>
        <v>NO</v>
      </c>
      <c r="Z1573" s="1" t="str">
        <f t="shared" si="67"/>
        <v>NO</v>
      </c>
      <c r="AA1573" t="s">
        <v>1704</v>
      </c>
      <c r="AB1573" t="s">
        <v>1704</v>
      </c>
      <c r="AC1573" s="1" t="s">
        <v>1704</v>
      </c>
      <c r="AD1573" s="1" t="s">
        <v>1704</v>
      </c>
      <c r="AE1573" s="1" t="s">
        <v>1704</v>
      </c>
      <c r="AF1573" s="1" t="s">
        <v>1704</v>
      </c>
    </row>
    <row r="1574" spans="1:32" ht="15" x14ac:dyDescent="0.35">
      <c r="A1574" s="5" t="s">
        <v>489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>LEFT($A1574,FIND("_",$A1574)-1)</f>
        <v>TBar</v>
      </c>
      <c r="P1574" s="13" t="str">
        <f>IF($O1574="ACS", "True Search", IF($O1574="Arja", "Evolutionary Search", IF($O1574="AVATAR", "True Pattern", IF($O1574="CapGen", "Search Like Pattern", IF($O1574="Cardumen", "True Semantic", IF($O1574="DynaMoth", "True Semantic", IF($O1574="FixMiner", "True Pattern", IF($O1574="GenProg-A", "Evolutionary Search", IF($O1574="Hercules", "Learning Pattern", IF($O1574="Jaid", "True Semantic",
IF($O1574="Kali-A", "True Search", IF($O1574="kPAR", "True Pattern", IF($O1574="Nopol", "True Semantic", IF($O1574="RSRepair-A", "Evolutionary Search", IF($O1574="SequenceR", "Deep Learning", IF($O1574="SimFix", "Search Like Pattern", IF($O1574="SketchFix", "True Pattern", IF($O1574="SOFix", "True Pattern", IF($O1574="ssFix", "Search Like Pattern", IF($O1574="TBar", "True Pattern", ""))))))))))))))))))))</f>
        <v>True Pattern</v>
      </c>
      <c r="Q1574" s="13" t="str">
        <f>IF(NOT(ISERR(SEARCH("*_Buggy",$A1574))), "Buggy", IF(NOT(ISERR(SEARCH("*_Fixed",$A1574))), "Fixed", IF(NOT(ISERR(SEARCH("*_Repaired",$A1574))), "Repaired", "")))</f>
        <v>Repaired</v>
      </c>
      <c r="R1574" s="13" t="s">
        <v>1669</v>
      </c>
      <c r="S1574" s="25">
        <v>1</v>
      </c>
      <c r="T1574" s="25">
        <v>2</v>
      </c>
      <c r="U1574" s="25">
        <v>2</v>
      </c>
      <c r="V1574" s="13">
        <v>2</v>
      </c>
      <c r="W1574" s="13" t="str">
        <f>MID(A1574, SEARCH("_", A1574) +1, SEARCH("_", A1574, SEARCH("_", A1574) +1) - SEARCH("_", A1574) -1)</f>
        <v>Math-2</v>
      </c>
      <c r="Y1574" s="1" t="str">
        <f t="shared" ref="Y1574:Y1598" si="68">IF(AND(S1574&gt;1,S1574=V1574), "YES", "NO")</f>
        <v>NO</v>
      </c>
      <c r="Z1574" s="1" t="str">
        <f t="shared" ref="Z1574:Z1598" si="69">IF(AND(S1574&gt;1,S1574&lt;V1574), "YES", "NO")</f>
        <v>NO</v>
      </c>
      <c r="AA1574" t="s">
        <v>1704</v>
      </c>
      <c r="AB1574" t="s">
        <v>1704</v>
      </c>
      <c r="AC1574" s="1" t="s">
        <v>1704</v>
      </c>
      <c r="AD1574" s="1" t="s">
        <v>1704</v>
      </c>
      <c r="AE1574" s="1" t="s">
        <v>1704</v>
      </c>
      <c r="AF1574" s="1" t="s">
        <v>1704</v>
      </c>
    </row>
    <row r="1575" spans="1:32" ht="15" x14ac:dyDescent="0.35">
      <c r="A1575" s="7" t="s">
        <v>971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>LEFT($A1575,FIND("_",$A1575)-1)</f>
        <v>TBar</v>
      </c>
      <c r="P1575" s="13" t="str">
        <f>IF($O1575="ACS", "True Search", IF($O1575="Arja", "Evolutionary Search", IF($O1575="AVATAR", "True Pattern", IF($O1575="CapGen", "Search Like Pattern", IF($O1575="Cardumen", "True Semantic", IF($O1575="DynaMoth", "True Semantic", IF($O1575="FixMiner", "True Pattern", IF($O1575="GenProg-A", "Evolutionary Search", IF($O1575="Hercules", "Learning Pattern", IF($O1575="Jaid", "True Semantic",
IF($O1575="Kali-A", "True Search", IF($O1575="kPAR", "True Pattern", IF($O1575="Nopol", "True Semantic", IF($O1575="RSRepair-A", "Evolutionary Search", IF($O1575="SequenceR", "Deep Learning", IF($O1575="SimFix", "Search Like Pattern", IF($O1575="SketchFix", "True Pattern", IF($O1575="SOFix", "True Pattern", IF($O1575="ssFix", "Search Like Pattern", IF($O1575="TBar", "True Pattern", ""))))))))))))))))))))</f>
        <v>True Pattern</v>
      </c>
      <c r="Q1575" s="13" t="str">
        <f>IF(NOT(ISERR(SEARCH("*_Buggy",$A1575))), "Buggy", IF(NOT(ISERR(SEARCH("*_Fixed",$A1575))), "Fixed", IF(NOT(ISERR(SEARCH("*_Repaired",$A1575))), "Repaired", "")))</f>
        <v>Repaired</v>
      </c>
      <c r="R1575" s="13" t="s">
        <v>1668</v>
      </c>
      <c r="S1575" s="25">
        <v>1</v>
      </c>
      <c r="T1575" s="25">
        <v>1</v>
      </c>
      <c r="U1575" s="25">
        <v>1</v>
      </c>
      <c r="V1575" s="13">
        <v>1</v>
      </c>
      <c r="W1575" s="13" t="str">
        <f>MID(A1575, SEARCH("_", A1575) +1, SEARCH("_", A1575, SEARCH("_", A1575) +1) - SEARCH("_", A1575) -1)</f>
        <v>Math-5</v>
      </c>
      <c r="Y1575" s="1" t="str">
        <f t="shared" si="68"/>
        <v>NO</v>
      </c>
      <c r="Z1575" s="1" t="str">
        <f t="shared" si="69"/>
        <v>NO</v>
      </c>
      <c r="AA1575" t="s">
        <v>1704</v>
      </c>
      <c r="AB1575" t="s">
        <v>1704</v>
      </c>
      <c r="AC1575" s="1" t="s">
        <v>1705</v>
      </c>
      <c r="AD1575" s="1" t="s">
        <v>1704</v>
      </c>
      <c r="AE1575" s="1" t="s">
        <v>1705</v>
      </c>
      <c r="AF1575" s="1" t="s">
        <v>1704</v>
      </c>
    </row>
    <row r="1576" spans="1:32" ht="15" x14ac:dyDescent="0.35">
      <c r="A1576" s="5" t="s">
        <v>64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>LEFT($A1576,FIND("_",$A1576)-1)</f>
        <v>TBar</v>
      </c>
      <c r="P1576" s="13" t="str">
        <f>IF($O1576="ACS", "True Search", IF($O1576="Arja", "Evolutionary Search", IF($O1576="AVATAR", "True Pattern", IF($O1576="CapGen", "Search Like Pattern", IF($O1576="Cardumen", "True Semantic", IF($O1576="DynaMoth", "True Semantic", IF($O1576="FixMiner", "True Pattern", IF($O1576="GenProg-A", "Evolutionary Search", IF($O1576="Hercules", "Learning Pattern", IF($O1576="Jaid", "True Semantic",
IF($O1576="Kali-A", "True Search", IF($O1576="kPAR", "True Pattern", IF($O1576="Nopol", "True Semantic", IF($O1576="RSRepair-A", "Evolutionary Search", IF($O1576="SequenceR", "Deep Learning", IF($O1576="SimFix", "Search Like Pattern", IF($O1576="SketchFix", "True Pattern", IF($O1576="SOFix", "True Pattern", IF($O1576="ssFix", "Search Like Pattern", IF($O1576="TBar", "True Pattern", ""))))))))))))))))))))</f>
        <v>True Pattern</v>
      </c>
      <c r="Q1576" s="13" t="str">
        <f>IF(NOT(ISERR(SEARCH("*_Buggy",$A1576))), "Buggy", IF(NOT(ISERR(SEARCH("*_Fixed",$A1576))), "Fixed", IF(NOT(ISERR(SEARCH("*_Repaired",$A1576))), "Repaired", "")))</f>
        <v>Repaired</v>
      </c>
      <c r="R1576" s="13" t="s">
        <v>1669</v>
      </c>
      <c r="S1576" s="25">
        <v>1</v>
      </c>
      <c r="T1576" s="25">
        <v>1</v>
      </c>
      <c r="U1576" s="25">
        <v>1</v>
      </c>
      <c r="V1576" s="13">
        <v>1</v>
      </c>
      <c r="W1576" s="13" t="str">
        <f>MID(A1576, SEARCH("_", A1576) +1, SEARCH("_", A1576, SEARCH("_", A1576) +1) - SEARCH("_", A1576) -1)</f>
        <v>Math-50</v>
      </c>
      <c r="Y1576" s="1" t="str">
        <f t="shared" si="68"/>
        <v>NO</v>
      </c>
      <c r="Z1576" s="1" t="str">
        <f t="shared" si="69"/>
        <v>NO</v>
      </c>
      <c r="AA1576" t="s">
        <v>1704</v>
      </c>
      <c r="AB1576" t="s">
        <v>1704</v>
      </c>
      <c r="AC1576" s="1" t="s">
        <v>1704</v>
      </c>
      <c r="AD1576" s="1" t="s">
        <v>1704</v>
      </c>
      <c r="AE1576" s="1" t="s">
        <v>1704</v>
      </c>
      <c r="AF1576" s="1" t="s">
        <v>1704</v>
      </c>
    </row>
    <row r="1577" spans="1:32" ht="15" x14ac:dyDescent="0.35">
      <c r="A1577" s="5" t="s">
        <v>780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>LEFT($A1577,FIND("_",$A1577)-1)</f>
        <v>TBar</v>
      </c>
      <c r="P1577" s="13" t="str">
        <f>IF($O1577="ACS", "True Search", IF($O1577="Arja", "Evolutionary Search", IF($O1577="AVATAR", "True Pattern", IF($O1577="CapGen", "Search Like Pattern", IF($O1577="Cardumen", "True Semantic", IF($O1577="DynaMoth", "True Semantic", IF($O1577="FixMiner", "True Pattern", IF($O1577="GenProg-A", "Evolutionary Search", IF($O1577="Hercules", "Learning Pattern", IF($O1577="Jaid", "True Semantic",
IF($O1577="Kali-A", "True Search", IF($O1577="kPAR", "True Pattern", IF($O1577="Nopol", "True Semantic", IF($O1577="RSRepair-A", "Evolutionary Search", IF($O1577="SequenceR", "Deep Learning", IF($O1577="SimFix", "Search Like Pattern", IF($O1577="SketchFix", "True Pattern", IF($O1577="SOFix", "True Pattern", IF($O1577="ssFix", "Search Like Pattern", IF($O1577="TBar", "True Pattern", ""))))))))))))))))))))</f>
        <v>True Pattern</v>
      </c>
      <c r="Q1577" s="13" t="str">
        <f>IF(NOT(ISERR(SEARCH("*_Buggy",$A1577))), "Buggy", IF(NOT(ISERR(SEARCH("*_Fixed",$A1577))), "Fixed", IF(NOT(ISERR(SEARCH("*_Repaired",$A1577))), "Repaired", "")))</f>
        <v>Repaired</v>
      </c>
      <c r="R1577" s="13" t="s">
        <v>1669</v>
      </c>
      <c r="S1577" s="25">
        <v>1</v>
      </c>
      <c r="T1577" s="25">
        <v>1</v>
      </c>
      <c r="U1577" s="25">
        <v>1</v>
      </c>
      <c r="V1577" s="13">
        <v>1</v>
      </c>
      <c r="W1577" s="13" t="str">
        <f>MID(A1577, SEARCH("_", A1577) +1, SEARCH("_", A1577, SEARCH("_", A1577) +1) - SEARCH("_", A1577) -1)</f>
        <v>Math-52</v>
      </c>
      <c r="Y1577" s="1" t="str">
        <f t="shared" si="68"/>
        <v>NO</v>
      </c>
      <c r="Z1577" s="1" t="str">
        <f t="shared" si="69"/>
        <v>NO</v>
      </c>
      <c r="AA1577" t="s">
        <v>1704</v>
      </c>
      <c r="AB1577" t="s">
        <v>1704</v>
      </c>
      <c r="AC1577" s="1" t="s">
        <v>1704</v>
      </c>
      <c r="AD1577" s="1" t="s">
        <v>1704</v>
      </c>
      <c r="AE1577" s="1" t="s">
        <v>1704</v>
      </c>
      <c r="AF1577" s="1" t="s">
        <v>1704</v>
      </c>
    </row>
    <row r="1578" spans="1:32" ht="15" x14ac:dyDescent="0.35">
      <c r="A1578" s="7" t="s">
        <v>863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>LEFT($A1578,FIND("_",$A1578)-1)</f>
        <v>TBar</v>
      </c>
      <c r="P1578" s="13" t="str">
        <f>IF($O1578="ACS", "True Search", IF($O1578="Arja", "Evolutionary Search", IF($O1578="AVATAR", "True Pattern", IF($O1578="CapGen", "Search Like Pattern", IF($O1578="Cardumen", "True Semantic", IF($O1578="DynaMoth", "True Semantic", IF($O1578="FixMiner", "True Pattern", IF($O1578="GenProg-A", "Evolutionary Search", IF($O1578="Hercules", "Learning Pattern", IF($O1578="Jaid", "True Semantic",
IF($O1578="Kali-A", "True Search", IF($O1578="kPAR", "True Pattern", IF($O1578="Nopol", "True Semantic", IF($O1578="RSRepair-A", "Evolutionary Search", IF($O1578="SequenceR", "Deep Learning", IF($O1578="SimFix", "Search Like Pattern", IF($O1578="SketchFix", "True Pattern", IF($O1578="SOFix", "True Pattern", IF($O1578="ssFix", "Search Like Pattern", IF($O1578="TBar", "True Pattern", ""))))))))))))))))))))</f>
        <v>True Pattern</v>
      </c>
      <c r="Q1578" s="13" t="str">
        <f>IF(NOT(ISERR(SEARCH("*_Buggy",$A1578))), "Buggy", IF(NOT(ISERR(SEARCH("*_Fixed",$A1578))), "Fixed", IF(NOT(ISERR(SEARCH("*_Repaired",$A1578))), "Repaired", "")))</f>
        <v>Repaired</v>
      </c>
      <c r="R1578" s="13" t="s">
        <v>1668</v>
      </c>
      <c r="S1578" s="25">
        <v>1</v>
      </c>
      <c r="T1578" s="25">
        <v>1</v>
      </c>
      <c r="U1578" s="25">
        <v>1</v>
      </c>
      <c r="V1578" s="13">
        <v>1</v>
      </c>
      <c r="W1578" s="13" t="str">
        <f>MID(A1578, SEARCH("_", A1578) +1, SEARCH("_", A1578, SEARCH("_", A1578) +1) - SEARCH("_", A1578) -1)</f>
        <v>Math-57</v>
      </c>
      <c r="Y1578" s="1" t="str">
        <f t="shared" si="68"/>
        <v>NO</v>
      </c>
      <c r="Z1578" s="1" t="str">
        <f t="shared" si="69"/>
        <v>NO</v>
      </c>
      <c r="AA1578" t="s">
        <v>1704</v>
      </c>
      <c r="AB1578" t="s">
        <v>1704</v>
      </c>
      <c r="AC1578" s="1" t="s">
        <v>1705</v>
      </c>
      <c r="AD1578" s="1" t="s">
        <v>1704</v>
      </c>
      <c r="AE1578" s="1" t="s">
        <v>1705</v>
      </c>
      <c r="AF1578" s="1" t="s">
        <v>1704</v>
      </c>
    </row>
    <row r="1579" spans="1:32" ht="15" x14ac:dyDescent="0.35">
      <c r="A1579" s="5" t="s">
        <v>949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>LEFT($A1579,FIND("_",$A1579)-1)</f>
        <v>TBar</v>
      </c>
      <c r="P1579" s="13" t="str">
        <f>IF($O1579="ACS", "True Search", IF($O1579="Arja", "Evolutionary Search", IF($O1579="AVATAR", "True Pattern", IF($O1579="CapGen", "Search Like Pattern", IF($O1579="Cardumen", "True Semantic", IF($O1579="DynaMoth", "True Semantic", IF($O1579="FixMiner", "True Pattern", IF($O1579="GenProg-A", "Evolutionary Search", IF($O1579="Hercules", "Learning Pattern", IF($O1579="Jaid", "True Semantic",
IF($O1579="Kali-A", "True Search", IF($O1579="kPAR", "True Pattern", IF($O1579="Nopol", "True Semantic", IF($O1579="RSRepair-A", "Evolutionary Search", IF($O1579="SequenceR", "Deep Learning", IF($O1579="SimFix", "Search Like Pattern", IF($O1579="SketchFix", "True Pattern", IF($O1579="SOFix", "True Pattern", IF($O1579="ssFix", "Search Like Pattern", IF($O1579="TBar", "True Pattern", ""))))))))))))))))))))</f>
        <v>True Pattern</v>
      </c>
      <c r="Q1579" s="13" t="str">
        <f>IF(NOT(ISERR(SEARCH("*_Buggy",$A1579))), "Buggy", IF(NOT(ISERR(SEARCH("*_Fixed",$A1579))), "Fixed", IF(NOT(ISERR(SEARCH("*_Repaired",$A1579))), "Repaired", "")))</f>
        <v>Repaired</v>
      </c>
      <c r="R1579" s="13" t="s">
        <v>1668</v>
      </c>
      <c r="S1579" s="25">
        <v>1</v>
      </c>
      <c r="T1579" s="25">
        <v>1</v>
      </c>
      <c r="U1579" s="25">
        <v>1</v>
      </c>
      <c r="V1579" s="13">
        <v>1</v>
      </c>
      <c r="W1579" s="13" t="str">
        <f>MID(A1579, SEARCH("_", A1579) +1, SEARCH("_", A1579, SEARCH("_", A1579) +1) - SEARCH("_", A1579) -1)</f>
        <v>Math-58</v>
      </c>
      <c r="Y1579" s="1" t="str">
        <f t="shared" si="68"/>
        <v>NO</v>
      </c>
      <c r="Z1579" s="1" t="str">
        <f t="shared" si="69"/>
        <v>NO</v>
      </c>
      <c r="AA1579" t="s">
        <v>1704</v>
      </c>
      <c r="AB1579" t="s">
        <v>1704</v>
      </c>
      <c r="AC1579" s="1" t="s">
        <v>1705</v>
      </c>
      <c r="AD1579" s="1" t="s">
        <v>1704</v>
      </c>
      <c r="AE1579" s="1" t="s">
        <v>1705</v>
      </c>
      <c r="AF1579" s="1" t="s">
        <v>1704</v>
      </c>
    </row>
    <row r="1580" spans="1:32" ht="15" x14ac:dyDescent="0.35">
      <c r="A1580" s="5" t="s">
        <v>593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>LEFT($A1580,FIND("_",$A1580)-1)</f>
        <v>TBar</v>
      </c>
      <c r="P1580" s="13" t="str">
        <f>IF($O1580="ACS", "True Search", IF($O1580="Arja", "Evolutionary Search", IF($O1580="AVATAR", "True Pattern", IF($O1580="CapGen", "Search Like Pattern", IF($O1580="Cardumen", "True Semantic", IF($O1580="DynaMoth", "True Semantic", IF($O1580="FixMiner", "True Pattern", IF($O1580="GenProg-A", "Evolutionary Search", IF($O1580="Hercules", "Learning Pattern", IF($O1580="Jaid", "True Semantic",
IF($O1580="Kali-A", "True Search", IF($O1580="kPAR", "True Pattern", IF($O1580="Nopol", "True Semantic", IF($O1580="RSRepair-A", "Evolutionary Search", IF($O1580="SequenceR", "Deep Learning", IF($O1580="SimFix", "Search Like Pattern", IF($O1580="SketchFix", "True Pattern", IF($O1580="SOFix", "True Pattern", IF($O1580="ssFix", "Search Like Pattern", IF($O1580="TBar", "True Pattern", ""))))))))))))))))))))</f>
        <v>True Pattern</v>
      </c>
      <c r="Q1580" s="13" t="str">
        <f>IF(NOT(ISERR(SEARCH("*_Buggy",$A1580))), "Buggy", IF(NOT(ISERR(SEARCH("*_Fixed",$A1580))), "Fixed", IF(NOT(ISERR(SEARCH("*_Repaired",$A1580))), "Repaired", "")))</f>
        <v>Repaired</v>
      </c>
      <c r="R1580" s="13" t="s">
        <v>1669</v>
      </c>
      <c r="S1580" s="25">
        <v>1</v>
      </c>
      <c r="T1580" s="25">
        <v>1</v>
      </c>
      <c r="U1580" s="25">
        <v>1</v>
      </c>
      <c r="V1580" s="13">
        <v>1</v>
      </c>
      <c r="W1580" s="13" t="str">
        <f>MID(A1580, SEARCH("_", A1580) +1, SEARCH("_", A1580, SEARCH("_", A1580) +1) - SEARCH("_", A1580) -1)</f>
        <v>Math-62</v>
      </c>
      <c r="Y1580" s="1" t="str">
        <f t="shared" si="68"/>
        <v>NO</v>
      </c>
      <c r="Z1580" s="1" t="str">
        <f t="shared" si="69"/>
        <v>NO</v>
      </c>
      <c r="AA1580" t="s">
        <v>1704</v>
      </c>
      <c r="AB1580" t="s">
        <v>1704</v>
      </c>
      <c r="AC1580" s="1" t="s">
        <v>1704</v>
      </c>
      <c r="AD1580" s="1" t="s">
        <v>1704</v>
      </c>
      <c r="AE1580" s="1" t="s">
        <v>1704</v>
      </c>
      <c r="AF1580" s="1" t="s">
        <v>1704</v>
      </c>
    </row>
    <row r="1581" spans="1:32" ht="15" x14ac:dyDescent="0.35">
      <c r="A1581" s="7" t="s">
        <v>1271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>LEFT($A1581,FIND("_",$A1581)-1)</f>
        <v>TBar</v>
      </c>
      <c r="P1581" s="13" t="str">
        <f>IF($O1581="ACS", "True Search", IF($O1581="Arja", "Evolutionary Search", IF($O1581="AVATAR", "True Pattern", IF($O1581="CapGen", "Search Like Pattern", IF($O1581="Cardumen", "True Semantic", IF($O1581="DynaMoth", "True Semantic", IF($O1581="FixMiner", "True Pattern", IF($O1581="GenProg-A", "Evolutionary Search", IF($O1581="Hercules", "Learning Pattern", IF($O1581="Jaid", "True Semantic",
IF($O1581="Kali-A", "True Search", IF($O1581="kPAR", "True Pattern", IF($O1581="Nopol", "True Semantic", IF($O1581="RSRepair-A", "Evolutionary Search", IF($O1581="SequenceR", "Deep Learning", IF($O1581="SimFix", "Search Like Pattern", IF($O1581="SketchFix", "True Pattern", IF($O1581="SOFix", "True Pattern", IF($O1581="ssFix", "Search Like Pattern", IF($O1581="TBar", "True Pattern", ""))))))))))))))))))))</f>
        <v>True Pattern</v>
      </c>
      <c r="Q1581" s="13" t="str">
        <f>IF(NOT(ISERR(SEARCH("*_Buggy",$A1581))), "Buggy", IF(NOT(ISERR(SEARCH("*_Fixed",$A1581))), "Fixed", IF(NOT(ISERR(SEARCH("*_Repaired",$A1581))), "Repaired", "")))</f>
        <v>Repaired</v>
      </c>
      <c r="R1581" s="13" t="s">
        <v>1669</v>
      </c>
      <c r="S1581" s="25">
        <v>1</v>
      </c>
      <c r="T1581" s="25">
        <v>1</v>
      </c>
      <c r="U1581" s="25">
        <v>1</v>
      </c>
      <c r="V1581" s="13">
        <v>1</v>
      </c>
      <c r="W1581" s="13" t="str">
        <f>MID(A1581, SEARCH("_", A1581) +1, SEARCH("_", A1581, SEARCH("_", A1581) +1) - SEARCH("_", A1581) -1)</f>
        <v>Math-63</v>
      </c>
      <c r="Y1581" s="1" t="str">
        <f t="shared" si="68"/>
        <v>NO</v>
      </c>
      <c r="Z1581" s="1" t="str">
        <f t="shared" si="69"/>
        <v>NO</v>
      </c>
      <c r="AA1581" t="s">
        <v>1704</v>
      </c>
      <c r="AB1581" t="s">
        <v>1704</v>
      </c>
      <c r="AC1581" s="1" t="s">
        <v>1705</v>
      </c>
      <c r="AD1581" s="1" t="s">
        <v>1704</v>
      </c>
      <c r="AE1581" s="1" t="s">
        <v>1705</v>
      </c>
      <c r="AF1581" s="1" t="s">
        <v>1704</v>
      </c>
    </row>
    <row r="1582" spans="1:32" ht="15" x14ac:dyDescent="0.35">
      <c r="A1582" s="5" t="s">
        <v>1167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>LEFT($A1582,FIND("_",$A1582)-1)</f>
        <v>TBar</v>
      </c>
      <c r="P1582" s="13" t="str">
        <f>IF($O1582="ACS", "True Search", IF($O1582="Arja", "Evolutionary Search", IF($O1582="AVATAR", "True Pattern", IF($O1582="CapGen", "Search Like Pattern", IF($O1582="Cardumen", "True Semantic", IF($O1582="DynaMoth", "True Semantic", IF($O1582="FixMiner", "True Pattern", IF($O1582="GenProg-A", "Evolutionary Search", IF($O1582="Hercules", "Learning Pattern", IF($O1582="Jaid", "True Semantic",
IF($O1582="Kali-A", "True Search", IF($O1582="kPAR", "True Pattern", IF($O1582="Nopol", "True Semantic", IF($O1582="RSRepair-A", "Evolutionary Search", IF($O1582="SequenceR", "Deep Learning", IF($O1582="SimFix", "Search Like Pattern", IF($O1582="SketchFix", "True Pattern", IF($O1582="SOFix", "True Pattern", IF($O1582="ssFix", "Search Like Pattern", IF($O1582="TBar", "True Pattern", ""))))))))))))))))))))</f>
        <v>True Pattern</v>
      </c>
      <c r="Q1582" s="13" t="str">
        <f>IF(NOT(ISERR(SEARCH("*_Buggy",$A1582))), "Buggy", IF(NOT(ISERR(SEARCH("*_Fixed",$A1582))), "Fixed", IF(NOT(ISERR(SEARCH("*_Repaired",$A1582))), "Repaired", "")))</f>
        <v>Repaired</v>
      </c>
      <c r="R1582" s="13" t="s">
        <v>1668</v>
      </c>
      <c r="S1582" s="25">
        <v>1</v>
      </c>
      <c r="T1582" s="25">
        <v>1</v>
      </c>
      <c r="U1582" s="25">
        <v>1</v>
      </c>
      <c r="V1582" s="13">
        <v>1</v>
      </c>
      <c r="W1582" s="13" t="str">
        <f>MID(A1582, SEARCH("_", A1582) +1, SEARCH("_", A1582, SEARCH("_", A1582) +1) - SEARCH("_", A1582) -1)</f>
        <v>Math-65</v>
      </c>
      <c r="Y1582" s="1" t="str">
        <f t="shared" si="68"/>
        <v>NO</v>
      </c>
      <c r="Z1582" s="1" t="str">
        <f t="shared" si="69"/>
        <v>NO</v>
      </c>
      <c r="AA1582" t="s">
        <v>1704</v>
      </c>
      <c r="AB1582" t="s">
        <v>1704</v>
      </c>
      <c r="AC1582" s="1" t="s">
        <v>1704</v>
      </c>
      <c r="AD1582" s="1" t="s">
        <v>1704</v>
      </c>
      <c r="AE1582" s="1" t="s">
        <v>1704</v>
      </c>
      <c r="AF1582" s="1" t="s">
        <v>1704</v>
      </c>
    </row>
    <row r="1583" spans="1:32" ht="15" x14ac:dyDescent="0.35">
      <c r="A1583" s="7" t="s">
        <v>380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>LEFT($A1583,FIND("_",$A1583)-1)</f>
        <v>TBar</v>
      </c>
      <c r="P1583" s="13" t="str">
        <f>IF($O1583="ACS", "True Search", IF($O1583="Arja", "Evolutionary Search", IF($O1583="AVATAR", "True Pattern", IF($O1583="CapGen", "Search Like Pattern", IF($O1583="Cardumen", "True Semantic", IF($O1583="DynaMoth", "True Semantic", IF($O1583="FixMiner", "True Pattern", IF($O1583="GenProg-A", "Evolutionary Search", IF($O1583="Hercules", "Learning Pattern", IF($O1583="Jaid", "True Semantic",
IF($O1583="Kali-A", "True Search", IF($O1583="kPAR", "True Pattern", IF($O1583="Nopol", "True Semantic", IF($O1583="RSRepair-A", "Evolutionary Search", IF($O1583="SequenceR", "Deep Learning", IF($O1583="SimFix", "Search Like Pattern", IF($O1583="SketchFix", "True Pattern", IF($O1583="SOFix", "True Pattern", IF($O1583="ssFix", "Search Like Pattern", IF($O1583="TBar", "True Pattern", ""))))))))))))))))))))</f>
        <v>True Pattern</v>
      </c>
      <c r="Q1583" s="13" t="str">
        <f>IF(NOT(ISERR(SEARCH("*_Buggy",$A1583))), "Buggy", IF(NOT(ISERR(SEARCH("*_Fixed",$A1583))), "Fixed", IF(NOT(ISERR(SEARCH("*_Repaired",$A1583))), "Repaired", "")))</f>
        <v>Repaired</v>
      </c>
      <c r="R1583" s="13" t="s">
        <v>1668</v>
      </c>
      <c r="S1583" s="25">
        <v>1</v>
      </c>
      <c r="T1583" s="25">
        <v>1</v>
      </c>
      <c r="U1583" s="25">
        <v>1</v>
      </c>
      <c r="V1583" s="13">
        <v>1</v>
      </c>
      <c r="W1583" s="13" t="str">
        <f>MID(A1583, SEARCH("_", A1583) +1, SEARCH("_", A1583, SEARCH("_", A1583) +1) - SEARCH("_", A1583) -1)</f>
        <v>Math-70</v>
      </c>
      <c r="Y1583" s="1" t="str">
        <f t="shared" si="68"/>
        <v>NO</v>
      </c>
      <c r="Z1583" s="1" t="str">
        <f t="shared" si="69"/>
        <v>NO</v>
      </c>
      <c r="AA1583" t="s">
        <v>1704</v>
      </c>
      <c r="AB1583" t="s">
        <v>1704</v>
      </c>
      <c r="AC1583" s="1" t="s">
        <v>1705</v>
      </c>
      <c r="AD1583" s="1" t="s">
        <v>1704</v>
      </c>
      <c r="AE1583" s="1" t="s">
        <v>1705</v>
      </c>
      <c r="AF1583" s="1" t="s">
        <v>1704</v>
      </c>
    </row>
    <row r="1584" spans="1:32" ht="15" x14ac:dyDescent="0.35">
      <c r="A1584" s="5" t="s">
        <v>795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>LEFT($A1584,FIND("_",$A1584)-1)</f>
        <v>TBar</v>
      </c>
      <c r="P1584" s="13" t="str">
        <f>IF($O1584="ACS", "True Search", IF($O1584="Arja", "Evolutionary Search", IF($O1584="AVATAR", "True Pattern", IF($O1584="CapGen", "Search Like Pattern", IF($O1584="Cardumen", "True Semantic", IF($O1584="DynaMoth", "True Semantic", IF($O1584="FixMiner", "True Pattern", IF($O1584="GenProg-A", "Evolutionary Search", IF($O1584="Hercules", "Learning Pattern", IF($O1584="Jaid", "True Semantic",
IF($O1584="Kali-A", "True Search", IF($O1584="kPAR", "True Pattern", IF($O1584="Nopol", "True Semantic", IF($O1584="RSRepair-A", "Evolutionary Search", IF($O1584="SequenceR", "Deep Learning", IF($O1584="SimFix", "Search Like Pattern", IF($O1584="SketchFix", "True Pattern", IF($O1584="SOFix", "True Pattern", IF($O1584="ssFix", "Search Like Pattern", IF($O1584="TBar", "True Pattern", ""))))))))))))))))))))</f>
        <v>True Pattern</v>
      </c>
      <c r="Q1584" s="13" t="str">
        <f>IF(NOT(ISERR(SEARCH("*_Buggy",$A1584))), "Buggy", IF(NOT(ISERR(SEARCH("*_Fixed",$A1584))), "Fixed", IF(NOT(ISERR(SEARCH("*_Repaired",$A1584))), "Repaired", "")))</f>
        <v>Repaired</v>
      </c>
      <c r="R1584" s="13" t="s">
        <v>1668</v>
      </c>
      <c r="S1584" s="25">
        <v>1</v>
      </c>
      <c r="T1584" s="25">
        <v>1</v>
      </c>
      <c r="U1584" s="25">
        <v>1</v>
      </c>
      <c r="V1584" s="13">
        <v>1</v>
      </c>
      <c r="W1584" s="13" t="str">
        <f>MID(A1584, SEARCH("_", A1584) +1, SEARCH("_", A1584, SEARCH("_", A1584) +1) - SEARCH("_", A1584) -1)</f>
        <v>Math-75</v>
      </c>
      <c r="Y1584" s="1" t="str">
        <f t="shared" si="68"/>
        <v>NO</v>
      </c>
      <c r="Z1584" s="1" t="str">
        <f t="shared" si="69"/>
        <v>NO</v>
      </c>
      <c r="AA1584" t="s">
        <v>1704</v>
      </c>
      <c r="AB1584" t="s">
        <v>1704</v>
      </c>
      <c r="AC1584" s="1" t="s">
        <v>1705</v>
      </c>
      <c r="AD1584" s="1" t="s">
        <v>1704</v>
      </c>
      <c r="AE1584" s="1" t="s">
        <v>1705</v>
      </c>
      <c r="AF1584" s="1" t="s">
        <v>1704</v>
      </c>
    </row>
    <row r="1585" spans="1:32" ht="15" x14ac:dyDescent="0.35">
      <c r="A1585" s="5" t="s">
        <v>934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>LEFT($A1585,FIND("_",$A1585)-1)</f>
        <v>TBar</v>
      </c>
      <c r="P1585" s="13" t="str">
        <f>IF($O1585="ACS", "True Search", IF($O1585="Arja", "Evolutionary Search", IF($O1585="AVATAR", "True Pattern", IF($O1585="CapGen", "Search Like Pattern", IF($O1585="Cardumen", "True Semantic", IF($O1585="DynaMoth", "True Semantic", IF($O1585="FixMiner", "True Pattern", IF($O1585="GenProg-A", "Evolutionary Search", IF($O1585="Hercules", "Learning Pattern", IF($O1585="Jaid", "True Semantic",
IF($O1585="Kali-A", "True Search", IF($O1585="kPAR", "True Pattern", IF($O1585="Nopol", "True Semantic", IF($O1585="RSRepair-A", "Evolutionary Search", IF($O1585="SequenceR", "Deep Learning", IF($O1585="SimFix", "Search Like Pattern", IF($O1585="SketchFix", "True Pattern", IF($O1585="SOFix", "True Pattern", IF($O1585="ssFix", "Search Like Pattern", IF($O1585="TBar", "True Pattern", ""))))))))))))))))))))</f>
        <v>True Pattern</v>
      </c>
      <c r="Q1585" s="13" t="str">
        <f>IF(NOT(ISERR(SEARCH("*_Buggy",$A1585))), "Buggy", IF(NOT(ISERR(SEARCH("*_Fixed",$A1585))), "Fixed", IF(NOT(ISERR(SEARCH("*_Repaired",$A1585))), "Repaired", "")))</f>
        <v>Repaired</v>
      </c>
      <c r="R1585" s="13" t="s">
        <v>1668</v>
      </c>
      <c r="S1585" s="25">
        <v>2</v>
      </c>
      <c r="T1585" s="25">
        <v>2</v>
      </c>
      <c r="U1585" s="25">
        <v>2</v>
      </c>
      <c r="V1585" s="13">
        <v>2</v>
      </c>
      <c r="W1585" s="13" t="str">
        <f>MID(A1585, SEARCH("_", A1585) +1, SEARCH("_", A1585, SEARCH("_", A1585) +1) - SEARCH("_", A1585) -1)</f>
        <v>Math-79</v>
      </c>
      <c r="Y1585" s="1" t="str">
        <f t="shared" si="68"/>
        <v>YES</v>
      </c>
      <c r="Z1585" s="1" t="str">
        <f t="shared" si="69"/>
        <v>NO</v>
      </c>
      <c r="AA1585" t="s">
        <v>1705</v>
      </c>
      <c r="AB1585" t="s">
        <v>1704</v>
      </c>
      <c r="AC1585" s="1" t="s">
        <v>1704</v>
      </c>
      <c r="AD1585" s="1" t="s">
        <v>1704</v>
      </c>
      <c r="AE1585" s="1" t="s">
        <v>1704</v>
      </c>
      <c r="AF1585" s="1" t="s">
        <v>1705</v>
      </c>
    </row>
    <row r="1586" spans="1:32" ht="15" x14ac:dyDescent="0.35">
      <c r="A1586" s="7" t="s">
        <v>1038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>LEFT($A1586,FIND("_",$A1586)-1)</f>
        <v>TBar</v>
      </c>
      <c r="P1586" s="13" t="str">
        <f>IF($O1586="ACS", "True Search", IF($O1586="Arja", "Evolutionary Search", IF($O1586="AVATAR", "True Pattern", IF($O1586="CapGen", "Search Like Pattern", IF($O1586="Cardumen", "True Semantic", IF($O1586="DynaMoth", "True Semantic", IF($O1586="FixMiner", "True Pattern", IF($O1586="GenProg-A", "Evolutionary Search", IF($O1586="Hercules", "Learning Pattern", IF($O1586="Jaid", "True Semantic",
IF($O1586="Kali-A", "True Search", IF($O1586="kPAR", "True Pattern", IF($O1586="Nopol", "True Semantic", IF($O1586="RSRepair-A", "Evolutionary Search", IF($O1586="SequenceR", "Deep Learning", IF($O1586="SimFix", "Search Like Pattern", IF($O1586="SketchFix", "True Pattern", IF($O1586="SOFix", "True Pattern", IF($O1586="ssFix", "Search Like Pattern", IF($O1586="TBar", "True Pattern", ""))))))))))))))))))))</f>
        <v>True Pattern</v>
      </c>
      <c r="Q1586" s="13" t="str">
        <f>IF(NOT(ISERR(SEARCH("*_Buggy",$A1586))), "Buggy", IF(NOT(ISERR(SEARCH("*_Fixed",$A1586))), "Fixed", IF(NOT(ISERR(SEARCH("*_Repaired",$A1586))), "Repaired", "")))</f>
        <v>Repaired</v>
      </c>
      <c r="R1586" s="13" t="s">
        <v>1669</v>
      </c>
      <c r="S1586" s="25">
        <v>1</v>
      </c>
      <c r="T1586" s="25">
        <v>1</v>
      </c>
      <c r="U1586" s="25">
        <v>1</v>
      </c>
      <c r="V1586" s="13">
        <v>1</v>
      </c>
      <c r="W1586" s="13" t="str">
        <f>MID(A1586, SEARCH("_", A1586) +1, SEARCH("_", A1586, SEARCH("_", A1586) +1) - SEARCH("_", A1586) -1)</f>
        <v>Math-8</v>
      </c>
      <c r="Y1586" s="1" t="str">
        <f t="shared" si="68"/>
        <v>NO</v>
      </c>
      <c r="Z1586" s="1" t="str">
        <f t="shared" si="69"/>
        <v>NO</v>
      </c>
      <c r="AA1586" t="s">
        <v>1704</v>
      </c>
      <c r="AB1586" t="s">
        <v>1704</v>
      </c>
      <c r="AC1586" s="1" t="s">
        <v>1704</v>
      </c>
      <c r="AD1586" s="1" t="s">
        <v>1704</v>
      </c>
      <c r="AE1586" s="1" t="s">
        <v>1704</v>
      </c>
      <c r="AF1586" s="1" t="s">
        <v>1704</v>
      </c>
    </row>
    <row r="1587" spans="1:32" ht="15" x14ac:dyDescent="0.35">
      <c r="A1587" s="5" t="s">
        <v>361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>LEFT($A1587,FIND("_",$A1587)-1)</f>
        <v>TBar</v>
      </c>
      <c r="P1587" s="13" t="str">
        <f>IF($O1587="ACS", "True Search", IF($O1587="Arja", "Evolutionary Search", IF($O1587="AVATAR", "True Pattern", IF($O1587="CapGen", "Search Like Pattern", IF($O1587="Cardumen", "True Semantic", IF($O1587="DynaMoth", "True Semantic", IF($O1587="FixMiner", "True Pattern", IF($O1587="GenProg-A", "Evolutionary Search", IF($O1587="Hercules", "Learning Pattern", IF($O1587="Jaid", "True Semantic",
IF($O1587="Kali-A", "True Search", IF($O1587="kPAR", "True Pattern", IF($O1587="Nopol", "True Semantic", IF($O1587="RSRepair-A", "Evolutionary Search", IF($O1587="SequenceR", "Deep Learning", IF($O1587="SimFix", "Search Like Pattern", IF($O1587="SketchFix", "True Pattern", IF($O1587="SOFix", "True Pattern", IF($O1587="ssFix", "Search Like Pattern", IF($O1587="TBar", "True Pattern", ""))))))))))))))))))))</f>
        <v>True Pattern</v>
      </c>
      <c r="Q1587" s="13" t="str">
        <f>IF(NOT(ISERR(SEARCH("*_Buggy",$A1587))), "Buggy", IF(NOT(ISERR(SEARCH("*_Fixed",$A1587))), "Fixed", IF(NOT(ISERR(SEARCH("*_Repaired",$A1587))), "Repaired", "")))</f>
        <v>Repaired</v>
      </c>
      <c r="R1587" s="13" t="s">
        <v>1669</v>
      </c>
      <c r="S1587" s="25">
        <v>1</v>
      </c>
      <c r="T1587" s="25">
        <v>1</v>
      </c>
      <c r="U1587" s="25">
        <v>1</v>
      </c>
      <c r="V1587" s="13">
        <v>1</v>
      </c>
      <c r="W1587" s="13" t="str">
        <f>MID(A1587, SEARCH("_", A1587) +1, SEARCH("_", A1587, SEARCH("_", A1587) +1) - SEARCH("_", A1587) -1)</f>
        <v>Math-80</v>
      </c>
      <c r="Y1587" s="1" t="str">
        <f t="shared" si="68"/>
        <v>NO</v>
      </c>
      <c r="Z1587" s="1" t="str">
        <f t="shared" si="69"/>
        <v>NO</v>
      </c>
      <c r="AA1587" t="s">
        <v>1704</v>
      </c>
      <c r="AB1587" t="s">
        <v>1704</v>
      </c>
      <c r="AC1587" s="1" t="s">
        <v>1705</v>
      </c>
      <c r="AD1587" s="1" t="s">
        <v>1704</v>
      </c>
      <c r="AE1587" s="1" t="s">
        <v>1705</v>
      </c>
      <c r="AF1587" s="1" t="s">
        <v>1704</v>
      </c>
    </row>
    <row r="1588" spans="1:32" ht="15" x14ac:dyDescent="0.35">
      <c r="A1588" s="7" t="s">
        <v>258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>LEFT($A1588,FIND("_",$A1588)-1)</f>
        <v>TBar</v>
      </c>
      <c r="P1588" s="13" t="str">
        <f>IF($O1588="ACS", "True Search", IF($O1588="Arja", "Evolutionary Search", IF($O1588="AVATAR", "True Pattern", IF($O1588="CapGen", "Search Like Pattern", IF($O1588="Cardumen", "True Semantic", IF($O1588="DynaMoth", "True Semantic", IF($O1588="FixMiner", "True Pattern", IF($O1588="GenProg-A", "Evolutionary Search", IF($O1588="Hercules", "Learning Pattern", IF($O1588="Jaid", "True Semantic",
IF($O1588="Kali-A", "True Search", IF($O1588="kPAR", "True Pattern", IF($O1588="Nopol", "True Semantic", IF($O1588="RSRepair-A", "Evolutionary Search", IF($O1588="SequenceR", "Deep Learning", IF($O1588="SimFix", "Search Like Pattern", IF($O1588="SketchFix", "True Pattern", IF($O1588="SOFix", "True Pattern", IF($O1588="ssFix", "Search Like Pattern", IF($O1588="TBar", "True Pattern", ""))))))))))))))))))))</f>
        <v>True Pattern</v>
      </c>
      <c r="Q1588" s="13" t="str">
        <f>IF(NOT(ISERR(SEARCH("*_Buggy",$A1588))), "Buggy", IF(NOT(ISERR(SEARCH("*_Fixed",$A1588))), "Fixed", IF(NOT(ISERR(SEARCH("*_Repaired",$A1588))), "Repaired", "")))</f>
        <v>Repaired</v>
      </c>
      <c r="R1588" s="13" t="s">
        <v>1669</v>
      </c>
      <c r="S1588" s="25">
        <v>1</v>
      </c>
      <c r="T1588" s="25">
        <v>1</v>
      </c>
      <c r="U1588" s="25">
        <v>1</v>
      </c>
      <c r="V1588" s="13">
        <v>1</v>
      </c>
      <c r="W1588" s="13" t="str">
        <f>MID(A1588, SEARCH("_", A1588) +1, SEARCH("_", A1588, SEARCH("_", A1588) +1) - SEARCH("_", A1588) -1)</f>
        <v>Math-81</v>
      </c>
      <c r="Y1588" s="1" t="str">
        <f t="shared" si="68"/>
        <v>NO</v>
      </c>
      <c r="Z1588" s="1" t="str">
        <f t="shared" si="69"/>
        <v>NO</v>
      </c>
      <c r="AA1588" t="s">
        <v>1704</v>
      </c>
      <c r="AB1588" t="s">
        <v>1704</v>
      </c>
      <c r="AC1588" s="1" t="s">
        <v>1704</v>
      </c>
      <c r="AD1588" s="1" t="s">
        <v>1704</v>
      </c>
      <c r="AE1588" s="1" t="s">
        <v>1704</v>
      </c>
      <c r="AF1588" s="1" t="s">
        <v>1704</v>
      </c>
    </row>
    <row r="1589" spans="1:32" ht="15" x14ac:dyDescent="0.35">
      <c r="A1589" s="7" t="s">
        <v>775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>LEFT($A1589,FIND("_",$A1589)-1)</f>
        <v>TBar</v>
      </c>
      <c r="P1589" s="13" t="str">
        <f>IF($O1589="ACS", "True Search", IF($O1589="Arja", "Evolutionary Search", IF($O1589="AVATAR", "True Pattern", IF($O1589="CapGen", "Search Like Pattern", IF($O1589="Cardumen", "True Semantic", IF($O1589="DynaMoth", "True Semantic", IF($O1589="FixMiner", "True Pattern", IF($O1589="GenProg-A", "Evolutionary Search", IF($O1589="Hercules", "Learning Pattern", IF($O1589="Jaid", "True Semantic",
IF($O1589="Kali-A", "True Search", IF($O1589="kPAR", "True Pattern", IF($O1589="Nopol", "True Semantic", IF($O1589="RSRepair-A", "Evolutionary Search", IF($O1589="SequenceR", "Deep Learning", IF($O1589="SimFix", "Search Like Pattern", IF($O1589="SketchFix", "True Pattern", IF($O1589="SOFix", "True Pattern", IF($O1589="ssFix", "Search Like Pattern", IF($O1589="TBar", "True Pattern", ""))))))))))))))))))))</f>
        <v>True Pattern</v>
      </c>
      <c r="Q1589" s="13" t="str">
        <f>IF(NOT(ISERR(SEARCH("*_Buggy",$A1589))), "Buggy", IF(NOT(ISERR(SEARCH("*_Fixed",$A1589))), "Fixed", IF(NOT(ISERR(SEARCH("*_Repaired",$A1589))), "Repaired", "")))</f>
        <v>Repaired</v>
      </c>
      <c r="R1589" s="13" t="s">
        <v>1668</v>
      </c>
      <c r="S1589" s="25">
        <v>1</v>
      </c>
      <c r="T1589" s="25">
        <v>1</v>
      </c>
      <c r="U1589" s="25">
        <v>1</v>
      </c>
      <c r="V1589" s="13">
        <v>1</v>
      </c>
      <c r="W1589" s="13" t="str">
        <f>MID(A1589, SEARCH("_", A1589) +1, SEARCH("_", A1589, SEARCH("_", A1589) +1) - SEARCH("_", A1589) -1)</f>
        <v>Math-82</v>
      </c>
      <c r="Y1589" s="1" t="str">
        <f t="shared" si="68"/>
        <v>NO</v>
      </c>
      <c r="Z1589" s="1" t="str">
        <f t="shared" si="69"/>
        <v>NO</v>
      </c>
      <c r="AA1589" t="s">
        <v>1704</v>
      </c>
      <c r="AB1589" t="s">
        <v>1704</v>
      </c>
      <c r="AC1589" s="1" t="s">
        <v>1705</v>
      </c>
      <c r="AD1589" s="1" t="s">
        <v>1704</v>
      </c>
      <c r="AE1589" s="1" t="s">
        <v>1705</v>
      </c>
      <c r="AF1589" s="1" t="s">
        <v>1704</v>
      </c>
    </row>
    <row r="1590" spans="1:32" ht="15" x14ac:dyDescent="0.35">
      <c r="A1590" s="5" t="s">
        <v>967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>LEFT($A1590,FIND("_",$A1590)-1)</f>
        <v>TBar</v>
      </c>
      <c r="P1590" s="13" t="str">
        <f>IF($O1590="ACS", "True Search", IF($O1590="Arja", "Evolutionary Search", IF($O1590="AVATAR", "True Pattern", IF($O1590="CapGen", "Search Like Pattern", IF($O1590="Cardumen", "True Semantic", IF($O1590="DynaMoth", "True Semantic", IF($O1590="FixMiner", "True Pattern", IF($O1590="GenProg-A", "Evolutionary Search", IF($O1590="Hercules", "Learning Pattern", IF($O1590="Jaid", "True Semantic",
IF($O1590="Kali-A", "True Search", IF($O1590="kPAR", "True Pattern", IF($O1590="Nopol", "True Semantic", IF($O1590="RSRepair-A", "Evolutionary Search", IF($O1590="SequenceR", "Deep Learning", IF($O1590="SimFix", "Search Like Pattern", IF($O1590="SketchFix", "True Pattern", IF($O1590="SOFix", "True Pattern", IF($O1590="ssFix", "Search Like Pattern", IF($O1590="TBar", "True Pattern", ""))))))))))))))))))))</f>
        <v>True Pattern</v>
      </c>
      <c r="Q1590" s="13" t="str">
        <f>IF(NOT(ISERR(SEARCH("*_Buggy",$A1590))), "Buggy", IF(NOT(ISERR(SEARCH("*_Fixed",$A1590))), "Fixed", IF(NOT(ISERR(SEARCH("*_Repaired",$A1590))), "Repaired", "")))</f>
        <v>Repaired</v>
      </c>
      <c r="R1590" s="13" t="s">
        <v>1669</v>
      </c>
      <c r="S1590" s="25">
        <v>1</v>
      </c>
      <c r="T1590" s="25">
        <v>1</v>
      </c>
      <c r="U1590" s="25">
        <v>1</v>
      </c>
      <c r="V1590" s="13">
        <v>1</v>
      </c>
      <c r="W1590" s="13" t="str">
        <f>MID(A1590, SEARCH("_", A1590) +1, SEARCH("_", A1590, SEARCH("_", A1590) +1) - SEARCH("_", A1590) -1)</f>
        <v>Math-84</v>
      </c>
      <c r="Y1590" s="1" t="str">
        <f t="shared" si="68"/>
        <v>NO</v>
      </c>
      <c r="Z1590" s="1" t="str">
        <f t="shared" si="69"/>
        <v>NO</v>
      </c>
      <c r="AA1590" t="s">
        <v>1704</v>
      </c>
      <c r="AB1590" t="s">
        <v>1704</v>
      </c>
      <c r="AC1590" s="1" t="s">
        <v>1704</v>
      </c>
      <c r="AD1590" s="1" t="s">
        <v>1704</v>
      </c>
      <c r="AE1590" s="1" t="s">
        <v>1704</v>
      </c>
      <c r="AF1590" s="1" t="s">
        <v>1704</v>
      </c>
    </row>
    <row r="1591" spans="1:32" ht="15" x14ac:dyDescent="0.35">
      <c r="A1591" s="5" t="s">
        <v>372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>LEFT($A1591,FIND("_",$A1591)-1)</f>
        <v>TBar</v>
      </c>
      <c r="P1591" s="13" t="str">
        <f>IF($O1591="ACS", "True Search", IF($O1591="Arja", "Evolutionary Search", IF($O1591="AVATAR", "True Pattern", IF($O1591="CapGen", "Search Like Pattern", IF($O1591="Cardumen", "True Semantic", IF($O1591="DynaMoth", "True Semantic", IF($O1591="FixMiner", "True Pattern", IF($O1591="GenProg-A", "Evolutionary Search", IF($O1591="Hercules", "Learning Pattern", IF($O1591="Jaid", "True Semantic",
IF($O1591="Kali-A", "True Search", IF($O1591="kPAR", "True Pattern", IF($O1591="Nopol", "True Semantic", IF($O1591="RSRepair-A", "Evolutionary Search", IF($O1591="SequenceR", "Deep Learning", IF($O1591="SimFix", "Search Like Pattern", IF($O1591="SketchFix", "True Pattern", IF($O1591="SOFix", "True Pattern", IF($O1591="ssFix", "Search Like Pattern", IF($O1591="TBar", "True Pattern", ""))))))))))))))))))))</f>
        <v>True Pattern</v>
      </c>
      <c r="Q1591" s="13" t="str">
        <f>IF(NOT(ISERR(SEARCH("*_Buggy",$A1591))), "Buggy", IF(NOT(ISERR(SEARCH("*_Fixed",$A1591))), "Fixed", IF(NOT(ISERR(SEARCH("*_Repaired",$A1591))), "Repaired", "")))</f>
        <v>Repaired</v>
      </c>
      <c r="R1591" s="13" t="s">
        <v>1668</v>
      </c>
      <c r="S1591" s="25">
        <v>1</v>
      </c>
      <c r="T1591" s="25">
        <v>1</v>
      </c>
      <c r="U1591" s="25">
        <v>1</v>
      </c>
      <c r="V1591" s="13">
        <v>1</v>
      </c>
      <c r="W1591" s="13" t="str">
        <f>MID(A1591, SEARCH("_", A1591) +1, SEARCH("_", A1591, SEARCH("_", A1591) +1) - SEARCH("_", A1591) -1)</f>
        <v>Math-85</v>
      </c>
      <c r="Y1591" s="1" t="str">
        <f t="shared" si="68"/>
        <v>NO</v>
      </c>
      <c r="Z1591" s="1" t="str">
        <f t="shared" si="69"/>
        <v>NO</v>
      </c>
      <c r="AA1591" t="s">
        <v>1704</v>
      </c>
      <c r="AB1591" t="s">
        <v>1704</v>
      </c>
      <c r="AC1591" s="1" t="s">
        <v>1705</v>
      </c>
      <c r="AD1591" s="1" t="s">
        <v>1704</v>
      </c>
      <c r="AE1591" s="1" t="s">
        <v>1705</v>
      </c>
      <c r="AF1591" s="1" t="s">
        <v>1704</v>
      </c>
    </row>
    <row r="1592" spans="1:32" ht="15" x14ac:dyDescent="0.35">
      <c r="A1592" s="7" t="s">
        <v>126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>LEFT($A1592,FIND("_",$A1592)-1)</f>
        <v>TBar</v>
      </c>
      <c r="P1592" s="13" t="str">
        <f>IF($O1592="ACS", "True Search", IF($O1592="Arja", "Evolutionary Search", IF($O1592="AVATAR", "True Pattern", IF($O1592="CapGen", "Search Like Pattern", IF($O1592="Cardumen", "True Semantic", IF($O1592="DynaMoth", "True Semantic", IF($O1592="FixMiner", "True Pattern", IF($O1592="GenProg-A", "Evolutionary Search", IF($O1592="Hercules", "Learning Pattern", IF($O1592="Jaid", "True Semantic",
IF($O1592="Kali-A", "True Search", IF($O1592="kPAR", "True Pattern", IF($O1592="Nopol", "True Semantic", IF($O1592="RSRepair-A", "Evolutionary Search", IF($O1592="SequenceR", "Deep Learning", IF($O1592="SimFix", "Search Like Pattern", IF($O1592="SketchFix", "True Pattern", IF($O1592="SOFix", "True Pattern", IF($O1592="ssFix", "Search Like Pattern", IF($O1592="TBar", "True Pattern", ""))))))))))))))))))))</f>
        <v>True Pattern</v>
      </c>
      <c r="Q1592" s="13" t="str">
        <f>IF(NOT(ISERR(SEARCH("*_Buggy",$A1592))), "Buggy", IF(NOT(ISERR(SEARCH("*_Fixed",$A1592))), "Fixed", IF(NOT(ISERR(SEARCH("*_Repaired",$A1592))), "Repaired", "")))</f>
        <v>Repaired</v>
      </c>
      <c r="R1592" s="13" t="s">
        <v>1669</v>
      </c>
      <c r="S1592" s="25">
        <v>1</v>
      </c>
      <c r="T1592" s="25">
        <v>1</v>
      </c>
      <c r="U1592" s="25">
        <v>1</v>
      </c>
      <c r="V1592" s="13">
        <v>1</v>
      </c>
      <c r="W1592" s="13" t="str">
        <f>MID(A1592, SEARCH("_", A1592) +1, SEARCH("_", A1592, SEARCH("_", A1592) +1) - SEARCH("_", A1592) -1)</f>
        <v>Math-88</v>
      </c>
      <c r="Y1592" s="1" t="str">
        <f t="shared" si="68"/>
        <v>NO</v>
      </c>
      <c r="Z1592" s="1" t="str">
        <f t="shared" si="69"/>
        <v>NO</v>
      </c>
      <c r="AA1592" t="s">
        <v>1704</v>
      </c>
      <c r="AB1592" t="s">
        <v>1704</v>
      </c>
      <c r="AC1592" s="1" t="s">
        <v>1704</v>
      </c>
      <c r="AD1592" s="1" t="s">
        <v>1704</v>
      </c>
      <c r="AE1592" s="1" t="s">
        <v>1704</v>
      </c>
      <c r="AF1592" s="1" t="s">
        <v>1704</v>
      </c>
    </row>
    <row r="1593" spans="1:32" ht="15" x14ac:dyDescent="0.35">
      <c r="A1593" s="5" t="s">
        <v>396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>LEFT($A1593,FIND("_",$A1593)-1)</f>
        <v>TBar</v>
      </c>
      <c r="P1593" s="13" t="str">
        <f>IF($O1593="ACS", "True Search", IF($O1593="Arja", "Evolutionary Search", IF($O1593="AVATAR", "True Pattern", IF($O1593="CapGen", "Search Like Pattern", IF($O1593="Cardumen", "True Semantic", IF($O1593="DynaMoth", "True Semantic", IF($O1593="FixMiner", "True Pattern", IF($O1593="GenProg-A", "Evolutionary Search", IF($O1593="Hercules", "Learning Pattern", IF($O1593="Jaid", "True Semantic",
IF($O1593="Kali-A", "True Search", IF($O1593="kPAR", "True Pattern", IF($O1593="Nopol", "True Semantic", IF($O1593="RSRepair-A", "Evolutionary Search", IF($O1593="SequenceR", "Deep Learning", IF($O1593="SimFix", "Search Like Pattern", IF($O1593="SketchFix", "True Pattern", IF($O1593="SOFix", "True Pattern", IF($O1593="ssFix", "Search Like Pattern", IF($O1593="TBar", "True Pattern", ""))))))))))))))))))))</f>
        <v>True Pattern</v>
      </c>
      <c r="Q1593" s="13" t="str">
        <f>IF(NOT(ISERR(SEARCH("*_Buggy",$A1593))), "Buggy", IF(NOT(ISERR(SEARCH("*_Fixed",$A1593))), "Fixed", IF(NOT(ISERR(SEARCH("*_Repaired",$A1593))), "Repaired", "")))</f>
        <v>Repaired</v>
      </c>
      <c r="R1593" s="13" t="s">
        <v>1668</v>
      </c>
      <c r="S1593" s="25">
        <v>1</v>
      </c>
      <c r="T1593" s="25">
        <v>6</v>
      </c>
      <c r="U1593" s="25">
        <v>1</v>
      </c>
      <c r="V1593" s="13">
        <v>6</v>
      </c>
      <c r="W1593" s="13" t="str">
        <f>MID(A1593, SEARCH("_", A1593) +1, SEARCH("_", A1593, SEARCH("_", A1593) +1) - SEARCH("_", A1593) -1)</f>
        <v>Math-89</v>
      </c>
      <c r="Y1593" s="1" t="str">
        <f t="shared" si="68"/>
        <v>NO</v>
      </c>
      <c r="Z1593" s="1" t="str">
        <f t="shared" si="69"/>
        <v>NO</v>
      </c>
      <c r="AA1593" t="s">
        <v>1704</v>
      </c>
      <c r="AB1593" t="s">
        <v>1704</v>
      </c>
      <c r="AC1593" s="1" t="s">
        <v>1704</v>
      </c>
      <c r="AD1593" s="1" t="s">
        <v>1704</v>
      </c>
      <c r="AE1593" s="1" t="s">
        <v>1704</v>
      </c>
      <c r="AF1593" s="1" t="s">
        <v>1705</v>
      </c>
    </row>
    <row r="1594" spans="1:32" ht="15" x14ac:dyDescent="0.35">
      <c r="A1594" s="7" t="s">
        <v>210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>LEFT($A1594,FIND("_",$A1594)-1)</f>
        <v>TBar</v>
      </c>
      <c r="P1594" s="13" t="str">
        <f>IF($O1594="ACS", "True Search", IF($O1594="Arja", "Evolutionary Search", IF($O1594="AVATAR", "True Pattern", IF($O1594="CapGen", "Search Like Pattern", IF($O1594="Cardumen", "True Semantic", IF($O1594="DynaMoth", "True Semantic", IF($O1594="FixMiner", "True Pattern", IF($O1594="GenProg-A", "Evolutionary Search", IF($O1594="Hercules", "Learning Pattern", IF($O1594="Jaid", "True Semantic",
IF($O1594="Kali-A", "True Search", IF($O1594="kPAR", "True Pattern", IF($O1594="Nopol", "True Semantic", IF($O1594="RSRepair-A", "Evolutionary Search", IF($O1594="SequenceR", "Deep Learning", IF($O1594="SimFix", "Search Like Pattern", IF($O1594="SketchFix", "True Pattern", IF($O1594="SOFix", "True Pattern", IF($O1594="ssFix", "Search Like Pattern", IF($O1594="TBar", "True Pattern", ""))))))))))))))))))))</f>
        <v>True Pattern</v>
      </c>
      <c r="Q1594" s="13" t="str">
        <f>IF(NOT(ISERR(SEARCH("*_Buggy",$A1594))), "Buggy", IF(NOT(ISERR(SEARCH("*_Fixed",$A1594))), "Fixed", IF(NOT(ISERR(SEARCH("*_Repaired",$A1594))), "Repaired", "")))</f>
        <v>Repaired</v>
      </c>
      <c r="R1594" s="13" t="s">
        <v>1669</v>
      </c>
      <c r="S1594" s="25">
        <v>1</v>
      </c>
      <c r="T1594" s="25">
        <v>1</v>
      </c>
      <c r="U1594" s="25">
        <v>1</v>
      </c>
      <c r="V1594" s="13">
        <v>1</v>
      </c>
      <c r="W1594" s="13" t="str">
        <f>MID(A1594, SEARCH("_", A1594) +1, SEARCH("_", A1594, SEARCH("_", A1594) +1) - SEARCH("_", A1594) -1)</f>
        <v>Math-95</v>
      </c>
      <c r="Y1594" s="1" t="str">
        <f t="shared" si="68"/>
        <v>NO</v>
      </c>
      <c r="Z1594" s="1" t="str">
        <f t="shared" si="69"/>
        <v>NO</v>
      </c>
      <c r="AA1594" t="s">
        <v>1704</v>
      </c>
      <c r="AB1594" t="s">
        <v>1704</v>
      </c>
      <c r="AC1594" s="1" t="s">
        <v>1704</v>
      </c>
      <c r="AD1594" s="1" t="s">
        <v>1704</v>
      </c>
      <c r="AE1594" s="1" t="s">
        <v>1704</v>
      </c>
      <c r="AF1594" s="1" t="s">
        <v>1704</v>
      </c>
    </row>
    <row r="1595" spans="1:32" ht="15" x14ac:dyDescent="0.35">
      <c r="A1595" s="5" t="s">
        <v>1059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>LEFT($A1595,FIND("_",$A1595)-1)</f>
        <v>TBar</v>
      </c>
      <c r="P1595" s="13" t="str">
        <f>IF($O1595="ACS", "True Search", IF($O1595="Arja", "Evolutionary Search", IF($O1595="AVATAR", "True Pattern", IF($O1595="CapGen", "Search Like Pattern", IF($O1595="Cardumen", "True Semantic", IF($O1595="DynaMoth", "True Semantic", IF($O1595="FixMiner", "True Pattern", IF($O1595="GenProg-A", "Evolutionary Search", IF($O1595="Hercules", "Learning Pattern", IF($O1595="Jaid", "True Semantic",
IF($O1595="Kali-A", "True Search", IF($O1595="kPAR", "True Pattern", IF($O1595="Nopol", "True Semantic", IF($O1595="RSRepair-A", "Evolutionary Search", IF($O1595="SequenceR", "Deep Learning", IF($O1595="SimFix", "Search Like Pattern", IF($O1595="SketchFix", "True Pattern", IF($O1595="SOFix", "True Pattern", IF($O1595="ssFix", "Search Like Pattern", IF($O1595="TBar", "True Pattern", ""))))))))))))))))))))</f>
        <v>True Pattern</v>
      </c>
      <c r="Q1595" s="13" t="str">
        <f>IF(NOT(ISERR(SEARCH("*_Buggy",$A1595))), "Buggy", IF(NOT(ISERR(SEARCH("*_Fixed",$A1595))), "Fixed", IF(NOT(ISERR(SEARCH("*_Repaired",$A1595))), "Repaired", "")))</f>
        <v>Repaired</v>
      </c>
      <c r="R1595" s="13" t="s">
        <v>1669</v>
      </c>
      <c r="S1595" s="25">
        <v>1</v>
      </c>
      <c r="T1595" s="25">
        <v>1</v>
      </c>
      <c r="U1595" s="25">
        <v>1</v>
      </c>
      <c r="V1595" s="13">
        <v>1</v>
      </c>
      <c r="W1595" s="13" t="str">
        <f>MID(A1595, SEARCH("_", A1595) +1, SEARCH("_", A1595, SEARCH("_", A1595) +1) - SEARCH("_", A1595) -1)</f>
        <v>Math-96</v>
      </c>
      <c r="Y1595" s="1" t="str">
        <f t="shared" si="68"/>
        <v>NO</v>
      </c>
      <c r="Z1595" s="1" t="str">
        <f t="shared" si="69"/>
        <v>NO</v>
      </c>
      <c r="AA1595" t="s">
        <v>1704</v>
      </c>
      <c r="AB1595" t="s">
        <v>1704</v>
      </c>
      <c r="AC1595" s="1" t="s">
        <v>1705</v>
      </c>
      <c r="AD1595" s="1" t="s">
        <v>1704</v>
      </c>
      <c r="AE1595" s="1" t="s">
        <v>1705</v>
      </c>
      <c r="AF1595" s="1" t="s">
        <v>1704</v>
      </c>
    </row>
    <row r="1596" spans="1:32" ht="15" x14ac:dyDescent="0.35">
      <c r="A1596" s="7" t="s">
        <v>91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>LEFT($A1596,FIND("_",$A1596)-1)</f>
        <v>TBar</v>
      </c>
      <c r="P1596" s="13" t="str">
        <f>IF($O1596="ACS", "True Search", IF($O1596="Arja", "Evolutionary Search", IF($O1596="AVATAR", "True Pattern", IF($O1596="CapGen", "Search Like Pattern", IF($O1596="Cardumen", "True Semantic", IF($O1596="DynaMoth", "True Semantic", IF($O1596="FixMiner", "True Pattern", IF($O1596="GenProg-A", "Evolutionary Search", IF($O1596="Hercules", "Learning Pattern", IF($O1596="Jaid", "True Semantic",
IF($O1596="Kali-A", "True Search", IF($O1596="kPAR", "True Pattern", IF($O1596="Nopol", "True Semantic", IF($O1596="RSRepair-A", "Evolutionary Search", IF($O1596="SequenceR", "Deep Learning", IF($O1596="SimFix", "Search Like Pattern", IF($O1596="SketchFix", "True Pattern", IF($O1596="SOFix", "True Pattern", IF($O1596="ssFix", "Search Like Pattern", IF($O1596="TBar", "True Pattern", ""))))))))))))))))))))</f>
        <v>True Pattern</v>
      </c>
      <c r="Q1596" s="13" t="str">
        <f>IF(NOT(ISERR(SEARCH("*_Buggy",$A1596))), "Buggy", IF(NOT(ISERR(SEARCH("*_Fixed",$A1596))), "Fixed", IF(NOT(ISERR(SEARCH("*_Repaired",$A1596))), "Repaired", "")))</f>
        <v>Repaired</v>
      </c>
      <c r="R1596" s="13" t="s">
        <v>1668</v>
      </c>
      <c r="S1596" s="25">
        <v>1</v>
      </c>
      <c r="T1596" s="25">
        <v>1</v>
      </c>
      <c r="U1596" s="25">
        <v>1</v>
      </c>
      <c r="V1596" s="13">
        <v>1</v>
      </c>
      <c r="W1596" s="13" t="str">
        <f>MID(A1596, SEARCH("_", A1596) +1, SEARCH("_", A1596, SEARCH("_", A1596) +1) - SEARCH("_", A1596) -1)</f>
        <v>Mockito-26</v>
      </c>
      <c r="Y1596" s="1" t="str">
        <f t="shared" si="68"/>
        <v>NO</v>
      </c>
      <c r="Z1596" s="1" t="str">
        <f t="shared" si="69"/>
        <v>NO</v>
      </c>
      <c r="AA1596" t="s">
        <v>1704</v>
      </c>
      <c r="AB1596" t="s">
        <v>1704</v>
      </c>
      <c r="AC1596" s="1" t="s">
        <v>1705</v>
      </c>
      <c r="AD1596" s="1" t="s">
        <v>1704</v>
      </c>
      <c r="AE1596" s="1" t="s">
        <v>1705</v>
      </c>
      <c r="AF1596" s="1" t="s">
        <v>1704</v>
      </c>
    </row>
    <row r="1597" spans="1:32" ht="15" x14ac:dyDescent="0.35">
      <c r="A1597" s="5" t="s">
        <v>405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>LEFT($A1597,FIND("_",$A1597)-1)</f>
        <v>TBar</v>
      </c>
      <c r="P1597" s="13" t="str">
        <f>IF($O1597="ACS", "True Search", IF($O1597="Arja", "Evolutionary Search", IF($O1597="AVATAR", "True Pattern", IF($O1597="CapGen", "Search Like Pattern", IF($O1597="Cardumen", "True Semantic", IF($O1597="DynaMoth", "True Semantic", IF($O1597="FixMiner", "True Pattern", IF($O1597="GenProg-A", "Evolutionary Search", IF($O1597="Hercules", "Learning Pattern", IF($O1597="Jaid", "True Semantic",
IF($O1597="Kali-A", "True Search", IF($O1597="kPAR", "True Pattern", IF($O1597="Nopol", "True Semantic", IF($O1597="RSRepair-A", "Evolutionary Search", IF($O1597="SequenceR", "Deep Learning", IF($O1597="SimFix", "Search Like Pattern", IF($O1597="SketchFix", "True Pattern", IF($O1597="SOFix", "True Pattern", IF($O1597="ssFix", "Search Like Pattern", IF($O1597="TBar", "True Pattern", ""))))))))))))))))))))</f>
        <v>True Pattern</v>
      </c>
      <c r="Q1597" s="13" t="str">
        <f>IF(NOT(ISERR(SEARCH("*_Buggy",$A1597))), "Buggy", IF(NOT(ISERR(SEARCH("*_Fixed",$A1597))), "Fixed", IF(NOT(ISERR(SEARCH("*_Repaired",$A1597))), "Repaired", "")))</f>
        <v>Repaired</v>
      </c>
      <c r="R1597" s="13" t="s">
        <v>1668</v>
      </c>
      <c r="S1597" s="25">
        <v>1</v>
      </c>
      <c r="T1597" s="25">
        <v>4</v>
      </c>
      <c r="U1597" s="25">
        <v>1</v>
      </c>
      <c r="V1597" s="13">
        <v>4</v>
      </c>
      <c r="W1597" s="13" t="str">
        <f>MID(A1597, SEARCH("_", A1597) +1, SEARCH("_", A1597, SEARCH("_", A1597) +1) - SEARCH("_", A1597) -1)</f>
        <v>Mockito-29</v>
      </c>
      <c r="Y1597" s="1" t="str">
        <f t="shared" si="68"/>
        <v>NO</v>
      </c>
      <c r="Z1597" s="1" t="str">
        <f t="shared" si="69"/>
        <v>NO</v>
      </c>
      <c r="AA1597" t="s">
        <v>1704</v>
      </c>
      <c r="AB1597" t="s">
        <v>1704</v>
      </c>
      <c r="AC1597" s="1" t="s">
        <v>1704</v>
      </c>
      <c r="AD1597" s="1" t="s">
        <v>1704</v>
      </c>
      <c r="AE1597" s="1" t="s">
        <v>1704</v>
      </c>
      <c r="AF1597" s="1" t="s">
        <v>1704</v>
      </c>
    </row>
    <row r="1598" spans="1:32" ht="15" x14ac:dyDescent="0.35">
      <c r="A1598" s="7" t="s">
        <v>246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>LEFT($A1598,FIND("_",$A1598)-1)</f>
        <v>TBar</v>
      </c>
      <c r="P1598" s="13" t="str">
        <f>IF($O1598="ACS", "True Search", IF($O1598="Arja", "Evolutionary Search", IF($O1598="AVATAR", "True Pattern", IF($O1598="CapGen", "Search Like Pattern", IF($O1598="Cardumen", "True Semantic", IF($O1598="DynaMoth", "True Semantic", IF($O1598="FixMiner", "True Pattern", IF($O1598="GenProg-A", "Evolutionary Search", IF($O1598="Hercules", "Learning Pattern", IF($O1598="Jaid", "True Semantic",
IF($O1598="Kali-A", "True Search", IF($O1598="kPAR", "True Pattern", IF($O1598="Nopol", "True Semantic", IF($O1598="RSRepair-A", "Evolutionary Search", IF($O1598="SequenceR", "Deep Learning", IF($O1598="SimFix", "Search Like Pattern", IF($O1598="SketchFix", "True Pattern", IF($O1598="SOFix", "True Pattern", IF($O1598="ssFix", "Search Like Pattern", IF($O1598="TBar", "True Pattern", ""))))))))))))))))))))</f>
        <v>True Pattern</v>
      </c>
      <c r="Q1598" s="13" t="str">
        <f>IF(NOT(ISERR(SEARCH("*_Buggy",$A1598))), "Buggy", IF(NOT(ISERR(SEARCH("*_Fixed",$A1598))), "Fixed", IF(NOT(ISERR(SEARCH("*_Repaired",$A1598))), "Repaired", "")))</f>
        <v>Repaired</v>
      </c>
      <c r="R1598" s="13" t="s">
        <v>1668</v>
      </c>
      <c r="S1598" s="25">
        <v>1</v>
      </c>
      <c r="T1598" s="25">
        <v>4</v>
      </c>
      <c r="U1598" s="25">
        <v>1</v>
      </c>
      <c r="V1598" s="13">
        <v>4</v>
      </c>
      <c r="W1598" s="13" t="str">
        <f>MID(A1598, SEARCH("_", A1598) +1, SEARCH("_", A1598, SEARCH("_", A1598) +1) - SEARCH("_", A1598) -1)</f>
        <v>Mockito-38</v>
      </c>
      <c r="Y1598" s="1" t="str">
        <f t="shared" si="68"/>
        <v>NO</v>
      </c>
      <c r="Z1598" s="1" t="str">
        <f t="shared" si="69"/>
        <v>NO</v>
      </c>
      <c r="AA1598" t="s">
        <v>1704</v>
      </c>
      <c r="AB1598" t="s">
        <v>1704</v>
      </c>
      <c r="AC1598" s="1" t="s">
        <v>1704</v>
      </c>
      <c r="AD1598" s="1" t="s">
        <v>1704</v>
      </c>
      <c r="AE1598" s="1" t="s">
        <v>1704</v>
      </c>
      <c r="AF1598" s="1" t="s">
        <v>1704</v>
      </c>
    </row>
    <row r="1599" spans="1:32" s="15" customFormat="1" ht="28.8" x14ac:dyDescent="0.3">
      <c r="A1599" s="14" t="s">
        <v>1688</v>
      </c>
      <c r="B1599" s="14" t="s">
        <v>20</v>
      </c>
      <c r="C1599" s="14" t="s">
        <v>1297</v>
      </c>
      <c r="D1599" s="14" t="s">
        <v>1298</v>
      </c>
      <c r="E1599" s="14" t="s">
        <v>21</v>
      </c>
      <c r="F1599" s="14" t="s">
        <v>1299</v>
      </c>
      <c r="G1599" s="14" t="s">
        <v>22</v>
      </c>
      <c r="H1599" s="14" t="s">
        <v>1300</v>
      </c>
      <c r="I1599" s="14" t="s">
        <v>1301</v>
      </c>
      <c r="J1599" s="14" t="s">
        <v>1302</v>
      </c>
      <c r="K1599" s="14" t="s">
        <v>1303</v>
      </c>
      <c r="L1599" s="14" t="s">
        <v>1304</v>
      </c>
      <c r="M1599" s="14" t="s">
        <v>1305</v>
      </c>
      <c r="N1599" s="14" t="s">
        <v>1306</v>
      </c>
      <c r="O1599" s="14" t="s">
        <v>1339</v>
      </c>
      <c r="P1599" s="14" t="s">
        <v>1336</v>
      </c>
      <c r="Q1599" s="14" t="s">
        <v>1295</v>
      </c>
      <c r="R1599" s="12" t="s">
        <v>1692</v>
      </c>
      <c r="S1599" s="12" t="s">
        <v>1292</v>
      </c>
      <c r="T1599" s="12" t="s">
        <v>1293</v>
      </c>
      <c r="U1599" s="12" t="s">
        <v>1294</v>
      </c>
      <c r="V1599" s="12" t="s">
        <v>1703</v>
      </c>
      <c r="W1599" s="12" t="s">
        <v>1702</v>
      </c>
      <c r="Y1599" s="12" t="s">
        <v>1720</v>
      </c>
      <c r="Z1599" s="12" t="s">
        <v>1721</v>
      </c>
      <c r="AA1599" s="12" t="s">
        <v>1722</v>
      </c>
      <c r="AB1599" s="12" t="s">
        <v>1723</v>
      </c>
      <c r="AC1599" s="12" t="s">
        <v>1724</v>
      </c>
      <c r="AD1599" s="12" t="s">
        <v>1725</v>
      </c>
      <c r="AE1599" s="12" t="s">
        <v>1726</v>
      </c>
      <c r="AF1599" s="12" t="s">
        <v>1727</v>
      </c>
    </row>
    <row r="1600" spans="1:32" x14ac:dyDescent="0.35">
      <c r="A1600" s="9" t="s">
        <v>1286</v>
      </c>
      <c r="B1600" s="35">
        <f>SUM(B24:B1598)</f>
        <v>6110.0599999999995</v>
      </c>
      <c r="C1600" s="35">
        <f>SUM(C24:C1598)</f>
        <v>122620.01000000024</v>
      </c>
      <c r="D1600" s="35">
        <f>SUM(D24:D1598)</f>
        <v>29050.499999999978</v>
      </c>
      <c r="E1600" s="35">
        <f>SUM(E24:E1598)</f>
        <v>10386.690000000042</v>
      </c>
      <c r="F1600" s="35">
        <f>SUM(F24:F1598)</f>
        <v>22011.879999999965</v>
      </c>
      <c r="G1600" s="35">
        <f>SUM(G24:G1598)</f>
        <v>6394.6399999999876</v>
      </c>
      <c r="H1600" s="35">
        <f>SUM(H24:H1598)</f>
        <v>16781.850000000028</v>
      </c>
      <c r="I1600" s="35">
        <f>SUM(I24:I1598)</f>
        <v>51062.079999999944</v>
      </c>
      <c r="J1600" s="35">
        <f>SUM(J24:J1598)</f>
        <v>88217.189999999915</v>
      </c>
      <c r="K1600" s="35">
        <f>SUM(K24:K1598)</f>
        <v>608.8660000000001</v>
      </c>
      <c r="L1600" s="35">
        <f>SUM(L24:L1598)</f>
        <v>85.660599999999988</v>
      </c>
      <c r="M1600" s="35">
        <f>SUM(M24:M1598)</f>
        <v>89101.632000000085</v>
      </c>
      <c r="N1600" s="35">
        <f>SUM(N24:N1598)</f>
        <v>4950.0409999999911</v>
      </c>
      <c r="O1600" s="10"/>
      <c r="P1600" s="38"/>
      <c r="Q1600" s="38"/>
      <c r="R1600" s="38"/>
      <c r="S1600" s="38"/>
      <c r="T1600" s="38"/>
      <c r="U1600" s="38"/>
      <c r="V1600" s="38"/>
      <c r="W1600" s="38"/>
    </row>
    <row r="1601" spans="1:18" x14ac:dyDescent="0.35">
      <c r="A1601" s="11" t="s">
        <v>1287</v>
      </c>
      <c r="B1601" s="36">
        <f>AVERAGE(B24:B1598)</f>
        <v>3.8794031746031741</v>
      </c>
      <c r="C1601" s="36">
        <f>AVERAGE(C24:C1598)</f>
        <v>77.853974603174763</v>
      </c>
      <c r="D1601" s="36">
        <f>AVERAGE(D24:D1598)</f>
        <v>18.44476190476189</v>
      </c>
      <c r="E1601" s="36">
        <f>AVERAGE(E24:E1598)</f>
        <v>6.5947238095238365</v>
      </c>
      <c r="F1601" s="36">
        <f>AVERAGE(F24:F1598)</f>
        <v>13.975796825396802</v>
      </c>
      <c r="G1601" s="36">
        <f>AVERAGE(G24:G1598)</f>
        <v>4.0600888888888811</v>
      </c>
      <c r="H1601" s="36">
        <f>AVERAGE(H24:H1598)</f>
        <v>10.655142857142875</v>
      </c>
      <c r="I1601" s="36">
        <f>AVERAGE(I24:I1598)</f>
        <v>32.420368253968221</v>
      </c>
      <c r="J1601" s="36">
        <f>AVERAGE(J24:J1598)</f>
        <v>56.010914285714229</v>
      </c>
      <c r="K1601" s="36">
        <f>AVERAGE(K24:K1598)</f>
        <v>0.38658158730158737</v>
      </c>
      <c r="L1601" s="36">
        <f>AVERAGE(L24:L1598)</f>
        <v>5.4387682539682534E-2</v>
      </c>
      <c r="M1601" s="36">
        <f>AVERAGE(M24:M1598)</f>
        <v>56.572464761904818</v>
      </c>
      <c r="N1601" s="36">
        <f>AVERAGE(N24:N1598)</f>
        <v>3.1428831746031691</v>
      </c>
      <c r="O1601" s="10"/>
      <c r="P1601" s="38"/>
      <c r="Q1601" s="38"/>
      <c r="R1601" s="38"/>
    </row>
    <row r="1602" spans="1:18" x14ac:dyDescent="0.35">
      <c r="A1602" s="9" t="s">
        <v>1288</v>
      </c>
      <c r="B1602" s="35">
        <f>MIN(B24:B1598)</f>
        <v>1.25</v>
      </c>
      <c r="C1602" s="35">
        <f>MIN(C24:C1598)</f>
        <v>48</v>
      </c>
      <c r="D1602" s="35">
        <f>MIN(D24:D1598)</f>
        <v>1.92</v>
      </c>
      <c r="E1602" s="35">
        <f>MIN(E24:E1598)</f>
        <v>2.25</v>
      </c>
      <c r="F1602" s="35">
        <f>MIN(F24:F1598)</f>
        <v>1.5</v>
      </c>
      <c r="G1602" s="35">
        <f>MIN(G24:G1598)</f>
        <v>1.25</v>
      </c>
      <c r="H1602" s="35">
        <f>MIN(H24:H1598)</f>
        <v>3.5</v>
      </c>
      <c r="I1602" s="35">
        <f>MIN(I24:I1598)</f>
        <v>5</v>
      </c>
      <c r="J1602" s="35">
        <f>MIN(J24:J1598)</f>
        <v>8.25</v>
      </c>
      <c r="K1602" s="35">
        <f>MIN(K24:K1598)</f>
        <v>0</v>
      </c>
      <c r="L1602" s="35">
        <f>MIN(L24:L1598)</f>
        <v>0</v>
      </c>
      <c r="M1602" s="35">
        <f>MIN(M24:M1598)</f>
        <v>0</v>
      </c>
      <c r="N1602" s="35">
        <f>MIN(N24:N1598)</f>
        <v>0</v>
      </c>
      <c r="O1602" s="10"/>
      <c r="P1602" s="38"/>
      <c r="Q1602" s="38"/>
      <c r="R1602" s="38"/>
    </row>
    <row r="1603" spans="1:18" x14ac:dyDescent="0.35">
      <c r="A1603" s="11" t="s">
        <v>1289</v>
      </c>
      <c r="B1603" s="36">
        <f>MAX(B24:B1598)</f>
        <v>20</v>
      </c>
      <c r="C1603" s="36">
        <f>MAX(C24:C1598)</f>
        <v>92.05</v>
      </c>
      <c r="D1603" s="36">
        <f>MAX(D24:D1598)</f>
        <v>96.6</v>
      </c>
      <c r="E1603" s="36">
        <f>MAX(E24:E1598)</f>
        <v>34</v>
      </c>
      <c r="F1603" s="36">
        <f>MAX(F24:F1598)</f>
        <v>75</v>
      </c>
      <c r="G1603" s="36">
        <f>MAX(G24:G1598)</f>
        <v>17</v>
      </c>
      <c r="H1603" s="36">
        <f>MAX(H24:H1598)</f>
        <v>51</v>
      </c>
      <c r="I1603" s="36">
        <f>MAX(I24:I1598)</f>
        <v>160</v>
      </c>
      <c r="J1603" s="36">
        <f>MAX(J24:J1598)</f>
        <v>373.42</v>
      </c>
      <c r="K1603" s="36">
        <f>MAX(K24:K1598)</f>
        <v>6.92</v>
      </c>
      <c r="L1603" s="36">
        <f>MAX(L24:L1598)</f>
        <v>0.5</v>
      </c>
      <c r="M1603" s="36">
        <f>MAX(M24:M1598)</f>
        <v>4301</v>
      </c>
      <c r="N1603" s="36">
        <f>MAX(N24:N1598)</f>
        <v>238.96</v>
      </c>
      <c r="O1603" s="10"/>
      <c r="P1603" s="38"/>
      <c r="Q1603" s="38"/>
      <c r="R1603" s="38"/>
    </row>
    <row r="1604" spans="1:18" x14ac:dyDescent="0.35">
      <c r="A1604" s="9" t="s">
        <v>1290</v>
      </c>
      <c r="B1604" s="35">
        <f>_xlfn.STDEV.S(B24:B1598)</f>
        <v>1.9257322307406568</v>
      </c>
      <c r="C1604" s="35">
        <f>_xlfn.STDEV.S(C24:C1598)</f>
        <v>6.6830758825718544</v>
      </c>
      <c r="D1604" s="35">
        <f>_xlfn.STDEV.S(D24:D1598)</f>
        <v>14.092272997999244</v>
      </c>
      <c r="E1604" s="35">
        <f>_xlfn.STDEV.S(E24:E1598)</f>
        <v>2.8664947508819871</v>
      </c>
      <c r="F1604" s="35">
        <f>_xlfn.STDEV.S(F24:F1598)</f>
        <v>10.382056109294227</v>
      </c>
      <c r="G1604" s="35">
        <f>_xlfn.STDEV.S(G24:G1598)</f>
        <v>1.6761721206716083</v>
      </c>
      <c r="H1604" s="35">
        <f>_xlfn.STDEV.S(H24:H1598)</f>
        <v>4.337648586768827</v>
      </c>
      <c r="I1604" s="35">
        <f>_xlfn.STDEV.S(I24:I1598)</f>
        <v>24.070666938264704</v>
      </c>
      <c r="J1604" s="35">
        <f>_xlfn.STDEV.S(J24:J1598)</f>
        <v>33.651333135272665</v>
      </c>
      <c r="K1604" s="35">
        <f>_xlfn.STDEV.S(K24:K1598)</f>
        <v>0.69212855269812046</v>
      </c>
      <c r="L1604" s="35">
        <f>_xlfn.STDEV.S(L24:L1598)</f>
        <v>8.2222352023029951E-2</v>
      </c>
      <c r="M1604" s="35">
        <f>_xlfn.STDEV.S(M24:M1598)</f>
        <v>289.43446882895324</v>
      </c>
      <c r="N1604" s="35">
        <f>_xlfn.STDEV.S(N24:N1598)</f>
        <v>16.080127988902351</v>
      </c>
      <c r="O1604" s="10"/>
      <c r="P1604" s="38"/>
      <c r="Q1604" s="38"/>
      <c r="R1604" s="38"/>
    </row>
    <row r="1605" spans="1:18" x14ac:dyDescent="0.35">
      <c r="A1605" s="11" t="s">
        <v>1291</v>
      </c>
      <c r="B1605" s="36">
        <f>_xlfn.VAR.S(B24:B1598)</f>
        <v>3.7084446245133864</v>
      </c>
      <c r="C1605" s="36">
        <f>_xlfn.VAR.S(C24:C1598)</f>
        <v>44.663503252213573</v>
      </c>
      <c r="D1605" s="36">
        <f>_xlfn.VAR.S(D24:D1598)</f>
        <v>198.5921582501386</v>
      </c>
      <c r="E1605" s="36">
        <f>_xlfn.VAR.S(E24:E1598)</f>
        <v>8.2167921568339857</v>
      </c>
      <c r="F1605" s="36">
        <f>_xlfn.VAR.S(F24:F1598)</f>
        <v>107.7870890565336</v>
      </c>
      <c r="G1605" s="36">
        <f>_xlfn.VAR.S(G24:G1598)</f>
        <v>2.8095529781167565</v>
      </c>
      <c r="H1605" s="36">
        <f>_xlfn.VAR.S(H24:H1598)</f>
        <v>18.8151952622976</v>
      </c>
      <c r="I1605" s="36">
        <f>_xlfn.VAR.S(I24:I1598)</f>
        <v>579.39700685286959</v>
      </c>
      <c r="J1605" s="36">
        <f>_xlfn.VAR.S(J24:J1598)</f>
        <v>1132.4122217811</v>
      </c>
      <c r="K1605" s="36">
        <f>_xlfn.VAR.S(K24:K1598)</f>
        <v>0.47904193345999491</v>
      </c>
      <c r="L1605" s="36">
        <f>_xlfn.VAR.S(L24:L1598)</f>
        <v>6.760515172199057E-3</v>
      </c>
      <c r="M1605" s="36">
        <f>_xlfn.VAR.S(M24:M1598)</f>
        <v>83772.311746298292</v>
      </c>
      <c r="N1605" s="36">
        <f>_xlfn.VAR.S(N24:N1598)</f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1338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B1610" s="14" t="s">
        <v>1335</v>
      </c>
      <c r="C1610" s="14" t="s">
        <v>1296</v>
      </c>
      <c r="D1610" s="14" t="s">
        <v>1297</v>
      </c>
      <c r="E1610" s="14" t="s">
        <v>1298</v>
      </c>
      <c r="F1610" s="14" t="s">
        <v>21</v>
      </c>
      <c r="G1610" s="14" t="s">
        <v>1299</v>
      </c>
      <c r="H1610" s="14" t="s">
        <v>22</v>
      </c>
      <c r="I1610" s="14" t="s">
        <v>1300</v>
      </c>
      <c r="J1610" s="14" t="s">
        <v>1301</v>
      </c>
      <c r="K1610" s="14" t="s">
        <v>1302</v>
      </c>
      <c r="L1610" s="14" t="s">
        <v>1303</v>
      </c>
      <c r="M1610" s="14" t="s">
        <v>1304</v>
      </c>
      <c r="N1610" s="14" t="s">
        <v>1305</v>
      </c>
      <c r="O1610" s="14" t="s">
        <v>1306</v>
      </c>
      <c r="P1610"/>
      <c r="Q1610"/>
      <c r="R1610"/>
    </row>
    <row r="1611" spans="1:18" ht="15" x14ac:dyDescent="0.35">
      <c r="B1611" s="1" t="s">
        <v>1307</v>
      </c>
      <c r="C1611" s="27">
        <f>AVERAGEIF($A$24:$A$1598, "*Buggy", B$24:B$1598)</f>
        <v>3.8787428571428553</v>
      </c>
      <c r="D1611" s="27">
        <f>AVERAGEIF($A$24:$A$1598, "*Buggy", C$24:C$1598)</f>
        <v>77.878285714285767</v>
      </c>
      <c r="E1611" s="27">
        <f>AVERAGEIF($A$24:$A$1598, "*Buggy", D$24:D$1598)</f>
        <v>18.437790476190468</v>
      </c>
      <c r="F1611" s="27">
        <f>AVERAGEIF($A$24:$A$1598, "*Buggy", E$24:E$1598)</f>
        <v>6.5805142857142886</v>
      </c>
      <c r="G1611" s="27">
        <f>AVERAGEIF($A$24:$A$1598, "*Buggy", F$24:F$1598)</f>
        <v>13.997790476190461</v>
      </c>
      <c r="H1611" s="27">
        <f>AVERAGEIF($A$24:$A$1598, "*Buggy", G$24:G$1598)</f>
        <v>4.0440380952380925</v>
      </c>
      <c r="I1611" s="27">
        <f>AVERAGEIF($A$24:$A$1598, "*Buggy", H$24:H$1598)</f>
        <v>10.624971428571437</v>
      </c>
      <c r="J1611" s="27">
        <f>AVERAGEIF($A$24:$A$1598, "*Buggy", I$24:I$1598)</f>
        <v>32.435047619047609</v>
      </c>
      <c r="K1611" s="27">
        <f>AVERAGEIF($A$24:$A$1598, "*Buggy", J$24:J$1598)</f>
        <v>55.840723809523787</v>
      </c>
      <c r="L1611" s="27">
        <f>AVERAGEIF($A$24:$A$1598, "*Buggy", K$24:K$1598)</f>
        <v>0.38132571428571366</v>
      </c>
      <c r="M1611" s="27">
        <f>AVERAGEIF($A$24:$A$1598, "*Buggy", L$24:L$1598)</f>
        <v>5.3943238095238107E-2</v>
      </c>
      <c r="N1611" s="27">
        <f>AVERAGEIF($A$24:$A$1598, "*Buggy", M$24:M$1598)</f>
        <v>56.324617142857178</v>
      </c>
      <c r="O1611" s="27">
        <f>AVERAGEIF($A$24:$A$1598, "*Buggy", N$24:N$1598)</f>
        <v>3.1290799999999992</v>
      </c>
      <c r="P1611"/>
      <c r="Q1611"/>
      <c r="R1611"/>
    </row>
    <row r="1612" spans="1:18" x14ac:dyDescent="0.35">
      <c r="B1612" s="1" t="s">
        <v>1308</v>
      </c>
      <c r="C1612" s="27">
        <f>AVERAGEIF($A$24:$A$1598, "*Fixed", B$24:B$1598)</f>
        <v>3.880876190476187</v>
      </c>
      <c r="D1612" s="27">
        <f>AVERAGEIF($A$24:$A$1598, "*Fixed", C$24:C$1598)</f>
        <v>77.839695238095359</v>
      </c>
      <c r="E1612" s="27">
        <f>AVERAGEIF($A$24:$A$1598, "*Fixed", D$24:D$1598)</f>
        <v>18.525257142857154</v>
      </c>
      <c r="F1612" s="27">
        <f>AVERAGEIF($A$24:$A$1598, "*Fixed", E$24:E$1598)</f>
        <v>6.6144571428571393</v>
      </c>
      <c r="G1612" s="27">
        <f>AVERAGEIF($A$24:$A$1598, "*Fixed", F$24:F$1598)</f>
        <v>13.975923809523787</v>
      </c>
      <c r="H1612" s="27">
        <f>AVERAGEIF($A$24:$A$1598, "*Fixed", G$24:G$1598)</f>
        <v>4.0725333333333307</v>
      </c>
      <c r="I1612" s="27">
        <f>AVERAGEIF($A$24:$A$1598, "*Fixed", H$24:H$1598)</f>
        <v>10.68740952380953</v>
      </c>
      <c r="J1612" s="27">
        <f>AVERAGEIF($A$24:$A$1598, "*Fixed", I$24:I$1598)</f>
        <v>32.501238095238058</v>
      </c>
      <c r="K1612" s="27">
        <f>AVERAGEIF($A$24:$A$1598, "*Fixed", J$24:J$1598)</f>
        <v>56.267561904761862</v>
      </c>
      <c r="L1612" s="27">
        <f>AVERAGEIF($A$24:$A$1598, "*Fixed", K$24:K$1598)</f>
        <v>0.3880228571428565</v>
      </c>
      <c r="M1612" s="27">
        <f>AVERAGEIF($A$24:$A$1598, "*Fixed", L$24:L$1598)</f>
        <v>5.4305142857142864E-2</v>
      </c>
      <c r="N1612" s="27">
        <f>AVERAGEIF($A$24:$A$1598, "*Fixed", M$24:M$1598)</f>
        <v>56.688045714285728</v>
      </c>
      <c r="O1612" s="27">
        <f>AVERAGEIF($A$24:$A$1598, "*Fixed", N$24:N$1598)</f>
        <v>3.1493733333333331</v>
      </c>
    </row>
    <row r="1613" spans="1:18" x14ac:dyDescent="0.35">
      <c r="B1613" s="1" t="s">
        <v>1309</v>
      </c>
      <c r="C1613" s="27">
        <f>AVERAGEIF($A$24:$A$1598, "*Repaired", B$24:B$1598)</f>
        <v>3.8785904761904719</v>
      </c>
      <c r="D1613" s="27">
        <f>AVERAGEIF($A$24:$A$1598, "*Repaired", C$24:C$1598)</f>
        <v>77.843942857142892</v>
      </c>
      <c r="E1613" s="27">
        <f>AVERAGEIF($A$24:$A$1598, "*Repaired", D$24:D$1598)</f>
        <v>18.371238095238098</v>
      </c>
      <c r="F1613" s="27">
        <f>AVERAGEIF($A$24:$A$1598, "*Repaired", E$24:E$1598)</f>
        <v>6.5891999999999982</v>
      </c>
      <c r="G1613" s="27">
        <f>AVERAGEIF($A$24:$A$1598, "*Repaired", F$24:F$1598)</f>
        <v>13.953676190476186</v>
      </c>
      <c r="H1613" s="27">
        <f>AVERAGEIF($A$24:$A$1598, "*Repaired", G$24:G$1598)</f>
        <v>4.0636952380952369</v>
      </c>
      <c r="I1613" s="27">
        <f>AVERAGEIF($A$24:$A$1598, "*Repaired", H$24:H$1598)</f>
        <v>10.653047619047621</v>
      </c>
      <c r="J1613" s="27">
        <f>AVERAGEIF($A$24:$A$1598, "*Repaired", I$24:I$1598)</f>
        <v>32.324819047619044</v>
      </c>
      <c r="K1613" s="27">
        <f>AVERAGEIF($A$24:$A$1598, "*Repaired", J$24:J$1598)</f>
        <v>55.924457142857101</v>
      </c>
      <c r="L1613" s="27">
        <f>AVERAGEIF($A$24:$A$1598, "*Repaired", K$24:K$1598)</f>
        <v>0.3903961904761899</v>
      </c>
      <c r="M1613" s="27">
        <f>AVERAGEIF($A$24:$A$1598, "*Repaired", L$24:L$1598)</f>
        <v>5.4914666666666667E-2</v>
      </c>
      <c r="N1613" s="27">
        <f>AVERAGEIF($A$24:$A$1598, "*Repaired", M$24:M$1598)</f>
        <v>56.704731428571435</v>
      </c>
      <c r="O1613" s="27">
        <f>AVERAGEIF($A$24:$A$1598, "*Repaired", N$24:N$1598)</f>
        <v>3.1501961904761897</v>
      </c>
    </row>
    <row r="1614" spans="1:18" x14ac:dyDescent="0.35">
      <c r="A1614" s="37" t="s">
        <v>1698</v>
      </c>
      <c r="E1614" s="37" t="s">
        <v>1693</v>
      </c>
      <c r="J1614" s="37" t="s">
        <v>1693</v>
      </c>
    </row>
    <row r="1616" spans="1:18" x14ac:dyDescent="0.35">
      <c r="A1616" s="33" t="s">
        <v>1667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33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33" customFormat="1" ht="28.8" x14ac:dyDescent="0.35">
      <c r="A1618" s="1"/>
      <c r="B1618" s="14" t="s">
        <v>1335</v>
      </c>
      <c r="C1618" s="14" t="s">
        <v>1296</v>
      </c>
      <c r="D1618" s="14" t="s">
        <v>1297</v>
      </c>
      <c r="E1618" s="14" t="s">
        <v>1298</v>
      </c>
      <c r="F1618" s="14" t="s">
        <v>21</v>
      </c>
      <c r="G1618" s="14" t="s">
        <v>1299</v>
      </c>
      <c r="H1618" s="14" t="s">
        <v>22</v>
      </c>
      <c r="I1618" s="14" t="s">
        <v>1300</v>
      </c>
      <c r="J1618" s="14" t="s">
        <v>1301</v>
      </c>
      <c r="K1618" s="14" t="s">
        <v>1302</v>
      </c>
      <c r="L1618" s="14" t="s">
        <v>1303</v>
      </c>
      <c r="M1618" s="14" t="s">
        <v>1304</v>
      </c>
      <c r="N1618" s="14" t="s">
        <v>1305</v>
      </c>
      <c r="O1618" s="14" t="s">
        <v>1306</v>
      </c>
    </row>
    <row r="1619" spans="1:33" x14ac:dyDescent="0.35">
      <c r="A1619" s="1">
        <f>COUNTIFS($Q$24:$Q$1598, "*Fixed", $R$24:$R$1598, "correct")</f>
        <v>198</v>
      </c>
      <c r="B1619" s="1" t="s">
        <v>1689</v>
      </c>
      <c r="C1619" s="27">
        <f>AVERAGEIFS(B$24:B$1598, $Q$24:$Q$1598, "*Fixed", $R$24:$R$1598, "correct")</f>
        <v>3.5520202020202043</v>
      </c>
      <c r="D1619" s="27">
        <f>AVERAGEIFS(C$24:C$1598, $Q$24:$Q$1598, "*Fixed", $R$24:$R$1598, "correct")</f>
        <v>79.375303030303044</v>
      </c>
      <c r="E1619" s="27">
        <f>AVERAGEIFS(D$24:D$1598, $Q$24:$Q$1598, "*Fixed", $R$24:$R$1598, "correct")</f>
        <v>14.623131313131307</v>
      </c>
      <c r="F1619" s="27">
        <f>AVERAGEIFS(E$24:E$1598, $Q$24:$Q$1598, "*Fixed", $R$24:$R$1598, "correct")</f>
        <v>5.9473232323232317</v>
      </c>
      <c r="G1619" s="27">
        <f>AVERAGEIFS(F$24:F$1598, $Q$24:$Q$1598, "*Fixed", $R$24:$R$1598, "correct")</f>
        <v>11.140101010101011</v>
      </c>
      <c r="H1619" s="27">
        <f>AVERAGEIFS(G$24:G$1598, $Q$24:$Q$1598, "*Fixed", $R$24:$R$1598, "correct")</f>
        <v>3.6630303030303057</v>
      </c>
      <c r="I1619" s="27">
        <f>AVERAGEIFS(H$24:H$1598, $Q$24:$Q$1598, "*Fixed", $R$24:$R$1598, "correct")</f>
        <v>9.6111111111111072</v>
      </c>
      <c r="J1619" s="27">
        <f>AVERAGEIFS(I$24:I$1598, $Q$24:$Q$1598, "*Fixed", $R$24:$R$1598, "correct")</f>
        <v>25.76373737373736</v>
      </c>
      <c r="K1619" s="27">
        <f>AVERAGEIFS(J$24:J$1598, $Q$24:$Q$1598, "*Fixed", $R$24:$R$1598, "correct")</f>
        <v>47.571060606060577</v>
      </c>
      <c r="L1619" s="27">
        <f>AVERAGEIFS(K$24:K$1598, $Q$24:$Q$1598, "*Fixed", $R$24:$R$1598, "correct")</f>
        <v>0.42216161616161618</v>
      </c>
      <c r="M1619" s="27">
        <f>AVERAGEIFS(L$24:L$1598, $Q$24:$Q$1598, "*Fixed", $R$24:$R$1598, "correct")</f>
        <v>5.0134343434343434E-2</v>
      </c>
      <c r="N1619" s="27">
        <f>AVERAGEIFS(M$24:M$1598, $Q$24:$Q$1598, "*Fixed", $R$24:$R$1598, "correct")</f>
        <v>53.700808080808088</v>
      </c>
      <c r="O1619" s="27">
        <f>AVERAGEIFS(N$24:N$1598, $Q$24:$Q$1598, "*Fixed", $R$24:$R$1598, "correct")</f>
        <v>2.9835404040404039</v>
      </c>
    </row>
    <row r="1620" spans="1:33" ht="15" x14ac:dyDescent="0.35">
      <c r="A1620" s="1">
        <f>COUNTIFS($Q$24:$Q$1598, "*Repaired", $R$24:$R$1598, "correct")</f>
        <v>198</v>
      </c>
      <c r="B1620" s="1" t="s">
        <v>1690</v>
      </c>
      <c r="C1620" s="27">
        <f>AVERAGEIFS(B$24:B$1598, $Q$24:$Q$1598, "*Repaired", $R$24:$R$1598, "correct")</f>
        <v>3.5950000000000011</v>
      </c>
      <c r="D1620" s="27">
        <f>AVERAGEIFS(C$24:C$1598, $Q$24:$Q$1598, "*Repaired", $R$24:$R$1598, "correct")</f>
        <v>79.217121212121228</v>
      </c>
      <c r="E1620" s="27">
        <f>AVERAGEIFS(D$24:D$1598, $Q$24:$Q$1598, "*Repaired", $R$24:$R$1598, "correct")</f>
        <v>14.705353535353527</v>
      </c>
      <c r="F1620" s="27">
        <f>AVERAGEIFS(E$24:E$1598, $Q$24:$Q$1598, "*Repaired", $R$24:$R$1598, "correct")</f>
        <v>5.9746464646464625</v>
      </c>
      <c r="G1620" s="27">
        <f>AVERAGEIFS(F$24:F$1598, $Q$24:$Q$1598, "*Repaired", $R$24:$R$1598, "correct")</f>
        <v>11.297373737373736</v>
      </c>
      <c r="H1620" s="27">
        <f>AVERAGEIFS(G$24:G$1598, $Q$24:$Q$1598, "*Repaired", $R$24:$R$1598, "correct")</f>
        <v>3.7004040404040435</v>
      </c>
      <c r="I1620" s="27">
        <f>AVERAGEIFS(H$24:H$1598, $Q$24:$Q$1598, "*Repaired", $R$24:$R$1598, "correct")</f>
        <v>9.6751515151515175</v>
      </c>
      <c r="J1620" s="27">
        <f>AVERAGEIFS(I$24:I$1598, $Q$24:$Q$1598, "*Repaired", $R$24:$R$1598, "correct")</f>
        <v>26.002323232323224</v>
      </c>
      <c r="K1620" s="27">
        <f>AVERAGEIFS(J$24:J$1598, $Q$24:$Q$1598, "*Repaired", $R$24:$R$1598, "correct")</f>
        <v>47.960303030302988</v>
      </c>
      <c r="L1620" s="27">
        <f>AVERAGEIFS(K$24:K$1598, $Q$24:$Q$1598, "*Repaired", $R$24:$R$1598, "correct")</f>
        <v>0.4374898989898991</v>
      </c>
      <c r="M1620" s="27">
        <f>AVERAGEIFS(L$24:L$1598, $Q$24:$Q$1598, "*Repaired", $R$24:$R$1598, "correct")</f>
        <v>5.1578787878787877E-2</v>
      </c>
      <c r="N1620" s="27">
        <f>AVERAGEIFS(M$24:M$1598, $Q$24:$Q$1598, "*Repaired", $R$24:$R$1598, "correct")</f>
        <v>54.37969696969698</v>
      </c>
      <c r="O1620" s="27">
        <f>AVERAGEIFS(N$24:N$1598, $Q$24:$Q$1598, "*Repaired", $R$24:$R$1598, "correct")</f>
        <v>3.0211313131313124</v>
      </c>
      <c r="P1620"/>
    </row>
    <row r="1621" spans="1:33" x14ac:dyDescent="0.35">
      <c r="A1621" s="37" t="s">
        <v>1698</v>
      </c>
      <c r="C1621" s="48" t="s">
        <v>1693</v>
      </c>
      <c r="D1621" s="48" t="s">
        <v>1693</v>
      </c>
      <c r="E1621" s="48" t="s">
        <v>1693</v>
      </c>
      <c r="F1621" s="48" t="s">
        <v>1693</v>
      </c>
      <c r="G1621" s="48" t="s">
        <v>1693</v>
      </c>
      <c r="H1621" s="48" t="s">
        <v>1693</v>
      </c>
      <c r="I1621" s="48" t="s">
        <v>1693</v>
      </c>
      <c r="J1621" s="48" t="s">
        <v>1693</v>
      </c>
      <c r="K1621" s="48" t="s">
        <v>1693</v>
      </c>
      <c r="L1621" s="48"/>
      <c r="M1621" s="48"/>
      <c r="N1621" s="48"/>
      <c r="O1621" s="48"/>
    </row>
    <row r="1622" spans="1:33" ht="28.8" x14ac:dyDescent="0.35">
      <c r="B1622" s="14" t="s">
        <v>1335</v>
      </c>
      <c r="C1622" s="47" t="s">
        <v>1296</v>
      </c>
      <c r="D1622" s="47" t="s">
        <v>1297</v>
      </c>
      <c r="E1622" s="47" t="s">
        <v>1298</v>
      </c>
      <c r="F1622" s="47" t="s">
        <v>21</v>
      </c>
      <c r="G1622" s="47" t="s">
        <v>1299</v>
      </c>
      <c r="H1622" s="47" t="s">
        <v>22</v>
      </c>
      <c r="I1622" s="47" t="s">
        <v>1300</v>
      </c>
      <c r="J1622" s="47" t="s">
        <v>1301</v>
      </c>
      <c r="K1622" s="47" t="s">
        <v>1302</v>
      </c>
      <c r="L1622" s="47" t="s">
        <v>1303</v>
      </c>
      <c r="M1622" s="47" t="s">
        <v>1304</v>
      </c>
      <c r="N1622" s="47" t="s">
        <v>1305</v>
      </c>
      <c r="O1622" s="47" t="s">
        <v>1306</v>
      </c>
    </row>
    <row r="1623" spans="1:33" x14ac:dyDescent="0.35">
      <c r="A1623" s="1">
        <f>COUNTIFS($Q$24:$Q$1598, "*Fixed", $R$24:$R$1598, "plausible")</f>
        <v>327</v>
      </c>
      <c r="B1623" s="1" t="s">
        <v>1689</v>
      </c>
      <c r="C1623" s="27">
        <f>AVERAGEIFS(B$24:B$1598, $Q$24:$Q$1598, "*Fixed", $R$24:$R$1598, "plausible")</f>
        <v>4.0799999999999992</v>
      </c>
      <c r="D1623" s="27">
        <f>AVERAGEIFS(C$24:C$1598, $Q$24:$Q$1598, "*Fixed", $R$24:$R$1598, "plausible")</f>
        <v>76.909877675841074</v>
      </c>
      <c r="E1623" s="27">
        <f>AVERAGEIFS(D$24:D$1598, $Q$24:$Q$1598, "*Fixed", $R$24:$R$1598, "plausible")</f>
        <v>20.888012232415903</v>
      </c>
      <c r="F1623" s="27">
        <f>AVERAGEIFS(E$24:E$1598, $Q$24:$Q$1598, "*Fixed", $R$24:$R$1598, "plausible")</f>
        <v>7.0184097859327235</v>
      </c>
      <c r="G1623" s="27">
        <f>AVERAGEIFS(F$24:F$1598, $Q$24:$Q$1598, "*Fixed", $R$24:$R$1598, "plausible")</f>
        <v>15.693027522935763</v>
      </c>
      <c r="H1623" s="27">
        <f>AVERAGEIFS(G$24:G$1598, $Q$24:$Q$1598, "*Fixed", $R$24:$R$1598, "plausible")</f>
        <v>4.3204892966360831</v>
      </c>
      <c r="I1623" s="27">
        <f>AVERAGEIFS(H$24:H$1598, $Q$24:$Q$1598, "*Fixed", $R$24:$R$1598, "plausible")</f>
        <v>11.339113149847099</v>
      </c>
      <c r="J1623" s="27">
        <f>AVERAGEIFS(I$24:I$1598, $Q$24:$Q$1598, "*Fixed", $R$24:$R$1598, "plausible")</f>
        <v>36.580825688073354</v>
      </c>
      <c r="K1623" s="27">
        <f>AVERAGEIFS(J$24:J$1598, $Q$24:$Q$1598, "*Fixed", $R$24:$R$1598, "plausible")</f>
        <v>61.533333333333381</v>
      </c>
      <c r="L1623" s="27">
        <f>AVERAGEIFS(K$24:K$1598, $Q$24:$Q$1598, "*Fixed", $R$24:$R$1598, "plausible")</f>
        <v>0.36735168195718676</v>
      </c>
      <c r="M1623" s="27">
        <f>AVERAGEIFS(L$24:L$1598, $Q$24:$Q$1598, "*Fixed", $R$24:$R$1598, "plausible")</f>
        <v>5.6830581039755364E-2</v>
      </c>
      <c r="N1623" s="27">
        <f>AVERAGEIFS(M$24:M$1598, $Q$24:$Q$1598, "*Fixed", $R$24:$R$1598, "plausible")</f>
        <v>58.4968318042813</v>
      </c>
      <c r="O1623" s="27">
        <f>AVERAGEIFS(N$24:N$1598, $Q$24:$Q$1598, "*Repaired", $R$24:$R$1598, "plausible")</f>
        <v>3.2283455657492364</v>
      </c>
    </row>
    <row r="1624" spans="1:33" x14ac:dyDescent="0.35">
      <c r="A1624" s="1">
        <f>COUNTIFS($Q$24:$Q$1598, "*Repaired", $R$24:$R$1598, "plausible")</f>
        <v>327</v>
      </c>
      <c r="B1624" s="1" t="s">
        <v>1691</v>
      </c>
      <c r="C1624" s="27">
        <f>AVERAGEIFS(B$24:B$1598, $Q$24:$Q$1598, "*Repaired", $R$24:$R$1598, "plausible")</f>
        <v>4.0503058103975542</v>
      </c>
      <c r="D1624" s="27">
        <f>AVERAGEIFS(C$24:C$1598, $Q$24:$Q$1598, "*Repaired", $R$24:$R$1598, "plausible")</f>
        <v>77.012477064220192</v>
      </c>
      <c r="E1624" s="27">
        <f>AVERAGEIFS(D$24:D$1598, $Q$24:$Q$1598, "*Repaired", $R$24:$R$1598, "plausible")</f>
        <v>20.590948012232403</v>
      </c>
      <c r="F1624" s="27">
        <f>AVERAGEIFS(E$24:E$1598, $Q$24:$Q$1598, "*Repaired", $R$24:$R$1598, "plausible")</f>
        <v>6.9613149847094808</v>
      </c>
      <c r="G1624" s="27">
        <f>AVERAGEIFS(F$24:F$1598, $Q$24:$Q$1598, "*Repaired", $R$24:$R$1598, "plausible")</f>
        <v>15.562079510703374</v>
      </c>
      <c r="H1624" s="27">
        <f>AVERAGEIFS(G$24:G$1598, $Q$24:$Q$1598, "*Repaired", $R$24:$R$1598, "plausible")</f>
        <v>4.2836697247706406</v>
      </c>
      <c r="I1624" s="27">
        <f>AVERAGEIFS(H$24:H$1598, $Q$24:$Q$1598, "*Repaired", $R$24:$R$1598, "plausible")</f>
        <v>11.24516819571865</v>
      </c>
      <c r="J1624" s="27">
        <f>AVERAGEIFS(I$24:I$1598, $Q$24:$Q$1598, "*Repaired", $R$24:$R$1598, "plausible")</f>
        <v>36.153119266055043</v>
      </c>
      <c r="K1624" s="27">
        <f>AVERAGEIFS(J$24:J$1598, $Q$24:$Q$1598, "*Repaired", $R$24:$R$1598, "plausible")</f>
        <v>60.746788990825642</v>
      </c>
      <c r="L1624" s="27">
        <f>AVERAGEIFS(K$24:K$1598, $Q$24:$Q$1598, "*Repaired", $R$24:$R$1598, "plausible")</f>
        <v>0.36188073394495435</v>
      </c>
      <c r="M1624" s="27">
        <f>AVERAGEIFS(L$24:L$1598, $Q$24:$Q$1598, "*Repaired", $R$24:$R$1598, "plausible")</f>
        <v>5.6934556574923557E-2</v>
      </c>
      <c r="N1624" s="27">
        <f>AVERAGEIFS(M$24:M$1598, $Q$24:$Q$1598, "*Repaired", $R$24:$R$1598, "plausible")</f>
        <v>58.112550458715553</v>
      </c>
      <c r="O1624" s="27">
        <f>AVERAGEIFS(N$24:N$1598, $Q$24:$Q$1598, "*Repaired", $R$24:$R$1598, "plausible")</f>
        <v>3.2283455657492364</v>
      </c>
    </row>
    <row r="1625" spans="1:33" customFormat="1" ht="15" x14ac:dyDescent="0.35">
      <c r="A1625" s="37" t="s">
        <v>1698</v>
      </c>
      <c r="C1625" s="37" t="s">
        <v>1693</v>
      </c>
      <c r="D1625" s="37" t="s">
        <v>1693</v>
      </c>
      <c r="E1625" s="37" t="s">
        <v>1693</v>
      </c>
      <c r="F1625" s="37" t="s">
        <v>1693</v>
      </c>
      <c r="G1625" s="37" t="s">
        <v>1693</v>
      </c>
      <c r="H1625" s="37" t="s">
        <v>1693</v>
      </c>
      <c r="I1625" s="37" t="s">
        <v>1693</v>
      </c>
      <c r="J1625" s="37" t="s">
        <v>1693</v>
      </c>
      <c r="K1625" s="37" t="s">
        <v>1693</v>
      </c>
      <c r="L1625" s="37" t="s">
        <v>1693</v>
      </c>
      <c r="N1625" s="37" t="s">
        <v>1693</v>
      </c>
      <c r="O1625" s="37" t="s">
        <v>1693</v>
      </c>
    </row>
    <row r="1626" spans="1:33" ht="18.600000000000001" customHeight="1" x14ac:dyDescent="0.35">
      <c r="A1626" s="33" t="s">
        <v>1706</v>
      </c>
      <c r="B1626" s="28"/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S1626" s="44" t="s">
        <v>1699</v>
      </c>
      <c r="T1626" s="44"/>
      <c r="U1626" s="44"/>
      <c r="V1626" s="44"/>
      <c r="W1626" s="28"/>
      <c r="X1626" s="28"/>
      <c r="Y1626" s="28"/>
      <c r="Z1626" s="28"/>
      <c r="AA1626" s="28"/>
      <c r="AB1626" s="28"/>
      <c r="AC1626" s="28"/>
      <c r="AD1626" s="28"/>
      <c r="AE1626" s="28"/>
      <c r="AF1626" s="28"/>
      <c r="AG1626"/>
    </row>
    <row r="1627" spans="1:33" ht="1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33" ht="57.6" x14ac:dyDescent="0.35">
      <c r="B1628" s="14" t="s">
        <v>1335</v>
      </c>
      <c r="C1628" s="14" t="s">
        <v>1296</v>
      </c>
      <c r="D1628" s="14" t="s">
        <v>1297</v>
      </c>
      <c r="E1628" s="14" t="s">
        <v>1298</v>
      </c>
      <c r="F1628" s="14" t="s">
        <v>21</v>
      </c>
      <c r="G1628" s="14" t="s">
        <v>1299</v>
      </c>
      <c r="H1628" s="14" t="s">
        <v>22</v>
      </c>
      <c r="I1628" s="14" t="s">
        <v>1300</v>
      </c>
      <c r="J1628" s="14" t="s">
        <v>1301</v>
      </c>
      <c r="K1628" s="14" t="s">
        <v>1302</v>
      </c>
      <c r="L1628" s="14" t="s">
        <v>1303</v>
      </c>
      <c r="M1628" s="14" t="s">
        <v>1304</v>
      </c>
      <c r="N1628" s="14" t="s">
        <v>1305</v>
      </c>
      <c r="O1628" s="14" t="s">
        <v>1306</v>
      </c>
      <c r="S1628" s="14" t="s">
        <v>1335</v>
      </c>
      <c r="T1628" s="14" t="s">
        <v>1296</v>
      </c>
      <c r="U1628" s="14" t="s">
        <v>1297</v>
      </c>
      <c r="V1628" s="14" t="s">
        <v>1298</v>
      </c>
      <c r="W1628" s="14" t="s">
        <v>21</v>
      </c>
      <c r="X1628" s="14" t="s">
        <v>1299</v>
      </c>
      <c r="Y1628" s="14" t="s">
        <v>22</v>
      </c>
      <c r="Z1628" s="14" t="s">
        <v>1300</v>
      </c>
      <c r="AA1628" s="14" t="s">
        <v>1301</v>
      </c>
      <c r="AB1628" s="14" t="s">
        <v>1302</v>
      </c>
      <c r="AC1628" s="14" t="s">
        <v>1303</v>
      </c>
      <c r="AD1628" s="14" t="s">
        <v>1304</v>
      </c>
      <c r="AE1628" s="14" t="s">
        <v>1305</v>
      </c>
      <c r="AF1628" s="14" t="s">
        <v>1306</v>
      </c>
    </row>
    <row r="1629" spans="1:33" x14ac:dyDescent="0.35">
      <c r="A1629" s="1">
        <f>COUNTIFS($Q$24:$Q$1598, "*Fixed", $S$24:$S$1598, "=1")</f>
        <v>271</v>
      </c>
      <c r="B1629" s="1" t="s">
        <v>1707</v>
      </c>
      <c r="C1629" s="27">
        <f>AVERAGEIFS(B$24:B$1598, $Q$24:$Q$1598, "*Fixed", $S$24:$S$1598, "=1")</f>
        <v>3.8940221402214039</v>
      </c>
      <c r="D1629" s="27">
        <f>AVERAGEIFS(C$24:C$1598, $Q$24:$Q$1598, "*Fixed", $S$24:$S$1598, "=1")</f>
        <v>77.983911439114479</v>
      </c>
      <c r="E1629" s="27">
        <f>AVERAGEIFS(D$24:D$1598, $Q$24:$Q$1598, "*Fixed", $S$24:$S$1598, "=1")</f>
        <v>18.020885608856091</v>
      </c>
      <c r="F1629" s="27">
        <f>AVERAGEIFS(E$24:E$1598, $Q$24:$Q$1598, "*Fixed", $S$24:$S$1598, "=1")</f>
        <v>6.4891881918819188</v>
      </c>
      <c r="G1629" s="27">
        <f>AVERAGEIFS(F$24:F$1598, $Q$24:$Q$1598, "*Fixed", $S$24:$S$1598, "=1")</f>
        <v>13.478118081180812</v>
      </c>
      <c r="H1629" s="27">
        <f>AVERAGEIFS(G$24:G$1598, $Q$24:$Q$1598, "*Fixed", $S$24:$S$1598, "=1")</f>
        <v>4.019520295202951</v>
      </c>
      <c r="I1629" s="27">
        <f>AVERAGEIFS(H$24:H$1598, $Q$24:$Q$1598, "*Fixed", $S$24:$S$1598, "=1")</f>
        <v>10.508671586715854</v>
      </c>
      <c r="J1629" s="27">
        <f>AVERAGEIFS(I$24:I$1598, $Q$24:$Q$1598, "*Fixed", $S$24:$S$1598, "=1")</f>
        <v>31.498966789667868</v>
      </c>
      <c r="K1629" s="27">
        <f>AVERAGEIFS(J$24:J$1598, $Q$24:$Q$1598, "*Fixed", $S$24:$S$1598, "=1")</f>
        <v>54.547269372693755</v>
      </c>
      <c r="L1629" s="27">
        <f>AVERAGEIFS(K$24:K$1598, $Q$24:$Q$1598, "*Fixed", $S$24:$S$1598, "=1")</f>
        <v>0.40367158671586728</v>
      </c>
      <c r="M1629" s="27">
        <f>AVERAGEIFS(L$24:L$1598, $Q$24:$Q$1598, "*Fixed", $S$24:$S$1598, "=1")</f>
        <v>5.0355719557195602E-2</v>
      </c>
      <c r="N1629" s="27">
        <f>AVERAGEIFS(M$24:M$1598, $Q$24:$Q$1598, "*Fixed", $S$24:$S$1598, "=1")</f>
        <v>45.778929889298894</v>
      </c>
      <c r="O1629" s="27">
        <f>AVERAGEIFS(N$24:N$1598, $Q$24:$Q$1598, "*Fixed", $S$24:$S$1598, "=1")</f>
        <v>2.5431549815498156</v>
      </c>
      <c r="R1629" s="1">
        <f>COUNTIFS($Q$24:$Q$1598, "*Fixed", $S$24:$S$1598, "=1",  $V$24:$V$1598, "=1")</f>
        <v>196</v>
      </c>
      <c r="S1629" s="1" t="s">
        <v>1708</v>
      </c>
      <c r="T1629" s="27">
        <f>AVERAGEIFS(B$24:B$1598, $Q$24:$Q$1598, "*Fixed", $S$24:$S$1598, "=1", $V$24:$V$1598, "=1")</f>
        <v>3.615969387755102</v>
      </c>
      <c r="U1629" s="27">
        <f t="shared" ref="U1629:AF1629" si="70">AVERAGEIFS(C$24:C$1598, $Q$24:$Q$1598, "*Fixed", $S$24:$S$1598, "=1", $V$24:$V$1598, "=1")</f>
        <v>78.608061224489873</v>
      </c>
      <c r="V1629" s="27">
        <f t="shared" si="70"/>
        <v>18.089030612244898</v>
      </c>
      <c r="W1629" s="27">
        <f t="shared" si="70"/>
        <v>6.4457653061224471</v>
      </c>
      <c r="X1629" s="27">
        <f t="shared" si="70"/>
        <v>13.20331632653061</v>
      </c>
      <c r="Y1629" s="27">
        <f t="shared" si="70"/>
        <v>3.9361224489795918</v>
      </c>
      <c r="Z1629" s="27">
        <f t="shared" si="70"/>
        <v>10.381479591836726</v>
      </c>
      <c r="AA1629" s="27">
        <f t="shared" si="70"/>
        <v>31.291785714285709</v>
      </c>
      <c r="AB1629" s="27">
        <f t="shared" si="70"/>
        <v>53.808469387755068</v>
      </c>
      <c r="AC1629" s="27">
        <f t="shared" si="70"/>
        <v>0.47028571428571431</v>
      </c>
      <c r="AD1629" s="27">
        <f t="shared" si="70"/>
        <v>4.8848979591836726E-2</v>
      </c>
      <c r="AE1629" s="27">
        <f t="shared" si="70"/>
        <v>50.266785714285717</v>
      </c>
      <c r="AF1629" s="27">
        <f t="shared" si="70"/>
        <v>2.792158163265305</v>
      </c>
    </row>
    <row r="1630" spans="1:33" x14ac:dyDescent="0.35">
      <c r="A1630" s="1">
        <f>COUNTIFS($Q$24:$Q$1598, "*Repaired", $S$24:$S$1598, "=1")</f>
        <v>417</v>
      </c>
      <c r="B1630" s="1" t="s">
        <v>1709</v>
      </c>
      <c r="C1630" s="27">
        <f>AVERAGEIFS(B$24:B$1598, $Q$24:$Q$1598, "*Repaired", $S$24:$S$1598, "=1")</f>
        <v>3.7877937649880069</v>
      </c>
      <c r="D1630" s="27">
        <f>AVERAGEIFS(C$24:C$1598, $Q$24:$Q$1598, "*Repaired", $S$24:$S$1598, "=1")</f>
        <v>78.035995203836919</v>
      </c>
      <c r="E1630" s="27">
        <f>AVERAGEIFS(D$24:D$1598, $Q$24:$Q$1598, "*Repaired", $S$24:$S$1598, "=1")</f>
        <v>17.518896882493991</v>
      </c>
      <c r="F1630" s="27">
        <f>AVERAGEIFS(E$24:E$1598, $Q$24:$Q$1598, "*Repaired", $S$24:$S$1598, "=1")</f>
        <v>6.4578417266186996</v>
      </c>
      <c r="G1630" s="27">
        <f>AVERAGEIFS(F$24:F$1598, $Q$24:$Q$1598, "*Repaired", $S$24:$S$1598, "=1")</f>
        <v>13.374004796163058</v>
      </c>
      <c r="H1630" s="27">
        <f>AVERAGEIFS(G$24:G$1598, $Q$24:$Q$1598, "*Repaired", $S$24:$S$1598, "=1")</f>
        <v>3.9784892086330923</v>
      </c>
      <c r="I1630" s="27">
        <f>AVERAGEIFS(H$24:H$1598, $Q$24:$Q$1598, "*Repaired", $S$24:$S$1598, "=1")</f>
        <v>10.436354916067138</v>
      </c>
      <c r="J1630" s="27">
        <f>AVERAGEIFS(I$24:I$1598, $Q$24:$Q$1598, "*Repaired", $S$24:$S$1598, "=1")</f>
        <v>30.892829736211056</v>
      </c>
      <c r="K1630" s="27">
        <f>AVERAGEIFS(J$24:J$1598, $Q$24:$Q$1598, "*Repaired", $S$24:$S$1598, "=1")</f>
        <v>54.116666666666646</v>
      </c>
      <c r="L1630" s="27">
        <f>AVERAGEIFS(K$24:K$1598, $Q$24:$Q$1598, "*Repaired", $S$24:$S$1598, "=1")</f>
        <v>0.39704316546762553</v>
      </c>
      <c r="M1630" s="27">
        <f>AVERAGEIFS(L$24:L$1598, $Q$24:$Q$1598, "*Repaired", $S$24:$S$1598, "=1")</f>
        <v>5.5131414868105529E-2</v>
      </c>
      <c r="N1630" s="27">
        <f>AVERAGEIFS(M$24:M$1598, $Q$24:$Q$1598, "*Repaired", $S$24:$S$1598, "=1")</f>
        <v>57.091239808153468</v>
      </c>
      <c r="O1630" s="27">
        <f>AVERAGEIFS(N$24:N$1598, $Q$24:$Q$1598, "*Repaired", $S$24:$S$1598, "=1")</f>
        <v>3.1716767386091118</v>
      </c>
      <c r="R1630" s="1">
        <f>COUNTIFS($Q$24:$Q$1598, "*Repaired", $S$24:$S$1598, "=1",  $V$24:$V$1598, "=1")</f>
        <v>255</v>
      </c>
      <c r="S1630" s="1" t="s">
        <v>1710</v>
      </c>
      <c r="T1630" s="27">
        <f>AVERAGEIFS(B$24:B$1598, $Q$24:$Q$1598, "*Repaired", $S$24:$S$1598, "=1", $V$24:$V$1598, "=1")</f>
        <v>3.7739607843137275</v>
      </c>
      <c r="U1630" s="27">
        <f t="shared" ref="U1630:AF1630" si="71">AVERAGEIFS(C$24:C$1598, $Q$24:$Q$1598, "*Repaired", $S$24:$S$1598, "=1", $V$24:$V$1598, "=1")</f>
        <v>78.09913725490199</v>
      </c>
      <c r="V1630" s="27">
        <f t="shared" si="71"/>
        <v>17.586784313725481</v>
      </c>
      <c r="W1630" s="27">
        <f t="shared" si="71"/>
        <v>6.5262745098039199</v>
      </c>
      <c r="X1630" s="27">
        <f t="shared" si="71"/>
        <v>13.452039215686275</v>
      </c>
      <c r="Y1630" s="27">
        <f t="shared" si="71"/>
        <v>4.0214901960784353</v>
      </c>
      <c r="Z1630" s="27">
        <f t="shared" si="71"/>
        <v>10.547960784313716</v>
      </c>
      <c r="AA1630" s="27">
        <f t="shared" si="71"/>
        <v>31.038823529411768</v>
      </c>
      <c r="AB1630" s="27">
        <f t="shared" si="71"/>
        <v>54.844156862745059</v>
      </c>
      <c r="AC1630" s="27">
        <f t="shared" si="71"/>
        <v>0.35459215686274514</v>
      </c>
      <c r="AD1630" s="27">
        <f t="shared" si="71"/>
        <v>5.0641568627451033E-2</v>
      </c>
      <c r="AE1630" s="27">
        <f t="shared" si="71"/>
        <v>69.680129411764696</v>
      </c>
      <c r="AF1630" s="27">
        <f t="shared" si="71"/>
        <v>3.8712180392156883</v>
      </c>
    </row>
    <row r="1631" spans="1:33" x14ac:dyDescent="0.35">
      <c r="A1631" s="37" t="s">
        <v>1698</v>
      </c>
      <c r="R1631" s="37"/>
      <c r="T1631" s="46"/>
      <c r="U1631" s="46"/>
      <c r="V1631" s="46"/>
      <c r="W1631" s="46"/>
      <c r="X1631" s="46"/>
      <c r="Y1631" s="46"/>
      <c r="Z1631" s="46"/>
      <c r="AA1631" s="46"/>
      <c r="AB1631" s="46"/>
      <c r="AC1631" s="46"/>
      <c r="AD1631" s="46"/>
      <c r="AE1631" s="46"/>
      <c r="AF1631" s="46"/>
    </row>
    <row r="1632" spans="1:33" ht="57.6" x14ac:dyDescent="0.35">
      <c r="B1632" s="14" t="s">
        <v>1335</v>
      </c>
      <c r="C1632" s="14" t="s">
        <v>1296</v>
      </c>
      <c r="D1632" s="14" t="s">
        <v>1297</v>
      </c>
      <c r="E1632" s="14" t="s">
        <v>1298</v>
      </c>
      <c r="F1632" s="14" t="s">
        <v>21</v>
      </c>
      <c r="G1632" s="14" t="s">
        <v>1299</v>
      </c>
      <c r="H1632" s="14" t="s">
        <v>22</v>
      </c>
      <c r="I1632" s="14" t="s">
        <v>1300</v>
      </c>
      <c r="J1632" s="14" t="s">
        <v>1301</v>
      </c>
      <c r="K1632" s="14" t="s">
        <v>1302</v>
      </c>
      <c r="L1632" s="14" t="s">
        <v>1303</v>
      </c>
      <c r="M1632" s="14" t="s">
        <v>1304</v>
      </c>
      <c r="N1632" s="14" t="s">
        <v>1305</v>
      </c>
      <c r="O1632" s="14" t="s">
        <v>1306</v>
      </c>
      <c r="S1632" s="14" t="s">
        <v>1335</v>
      </c>
      <c r="T1632" s="47" t="s">
        <v>1296</v>
      </c>
      <c r="U1632" s="47" t="s">
        <v>1297</v>
      </c>
      <c r="V1632" s="47" t="s">
        <v>1298</v>
      </c>
      <c r="W1632" s="47" t="s">
        <v>21</v>
      </c>
      <c r="X1632" s="47" t="s">
        <v>1299</v>
      </c>
      <c r="Y1632" s="47" t="s">
        <v>22</v>
      </c>
      <c r="Z1632" s="47" t="s">
        <v>1300</v>
      </c>
      <c r="AA1632" s="47" t="s">
        <v>1301</v>
      </c>
      <c r="AB1632" s="47" t="s">
        <v>1302</v>
      </c>
      <c r="AC1632" s="47" t="s">
        <v>1303</v>
      </c>
      <c r="AD1632" s="47" t="s">
        <v>1304</v>
      </c>
      <c r="AE1632" s="47" t="s">
        <v>1305</v>
      </c>
      <c r="AF1632" s="47" t="s">
        <v>1306</v>
      </c>
    </row>
    <row r="1633" spans="1:49" customFormat="1" ht="15" x14ac:dyDescent="0.35">
      <c r="A1633" s="1">
        <f>COUNTIFS($Q$24:$Q$1598, "*Fixed", $S$24:$S$1598, "&gt;1")</f>
        <v>254</v>
      </c>
      <c r="B1633" s="1" t="s">
        <v>1711</v>
      </c>
      <c r="C1633" s="27">
        <f>AVERAGEIFS(B$24:B$1598, $Q$24:$Q$1598, "*Fixed", $S$24:$S$1598, "&gt;1")</f>
        <v>3.8668503937007923</v>
      </c>
      <c r="D1633" s="27">
        <f>AVERAGEIFS(C$24:C$1598, $Q$24:$Q$1598, "*Fixed", $S$24:$S$1598, "&gt;1")</f>
        <v>77.685826771653538</v>
      </c>
      <c r="E1633" s="27">
        <f>AVERAGEIFS(D$24:D$1598, $Q$24:$Q$1598, "*Fixed", $S$24:$S$1598, "&gt;1")</f>
        <v>19.063385826771665</v>
      </c>
      <c r="F1633" s="27">
        <f>AVERAGEIFS(E$24:E$1598, $Q$24:$Q$1598, "*Fixed", $S$24:$S$1598, "&gt;1")</f>
        <v>6.748110236220473</v>
      </c>
      <c r="G1633" s="27">
        <f>AVERAGEIFS(F$24:F$1598, $Q$24:$Q$1598, "*Fixed", $S$24:$S$1598, "&gt;1")</f>
        <v>14.507047244094496</v>
      </c>
      <c r="H1633" s="27">
        <f>AVERAGEIFS(G$24:G$1598, $Q$24:$Q$1598, "*Fixed", $S$24:$S$1598, "&gt;1")</f>
        <v>4.1290944881889784</v>
      </c>
      <c r="I1633" s="27">
        <f>AVERAGEIFS(H$24:H$1598, $Q$24:$Q$1598, "*Fixed", $S$24:$S$1598, "&gt;1")</f>
        <v>10.878110236220472</v>
      </c>
      <c r="J1633" s="27">
        <f>AVERAGEIFS(I$24:I$1598, $Q$24:$Q$1598, "*Fixed", $S$24:$S$1598, "&gt;1")</f>
        <v>33.57059055118112</v>
      </c>
      <c r="K1633" s="27">
        <f>AVERAGEIFS(J$24:J$1598, $Q$24:$Q$1598, "*Fixed", $S$24:$S$1598, "&gt;1")</f>
        <v>58.102992125984272</v>
      </c>
      <c r="L1633" s="27">
        <f>AVERAGEIFS(K$24:K$1598, $Q$24:$Q$1598, "*Fixed", $S$24:$S$1598, "&gt;1")</f>
        <v>0.37132677165354344</v>
      </c>
      <c r="M1633" s="27">
        <f>AVERAGEIFS(L$24:L$1598, $Q$24:$Q$1598, "*Fixed", $S$24:$S$1598, "&gt;1")</f>
        <v>5.8518897637795289E-2</v>
      </c>
      <c r="N1633" s="27">
        <f>AVERAGEIFS(M$24:M$1598, $Q$24:$Q$1598, "*Fixed", $S$24:$S$1598, "&gt;1")</f>
        <v>68.327299212598376</v>
      </c>
      <c r="O1633" s="27">
        <f>AVERAGEIFS(N$24:N$1598, $Q$24:$Q$1598, "*Fixed", $S$24:$S$1598, "&gt;1")</f>
        <v>3.7961653543307117</v>
      </c>
      <c r="R1633" s="1">
        <f>COUNTIFS($Q$24:$Q$1598, "*Fixed", $S$24:$S$1598, "=1", $V$24:$V$1598, "&gt;1")</f>
        <v>75</v>
      </c>
      <c r="S1633" s="1" t="s">
        <v>1712</v>
      </c>
      <c r="T1633" s="27">
        <f>AVERAGEIFS(B$24:B$1598, $Q$24:$Q$1598, "*Fixed", $S$24:$S$1598, "=1", $V$24:$V$1598, "&gt;1")</f>
        <v>4.6206666666666658</v>
      </c>
      <c r="U1633" s="27">
        <f t="shared" ref="U1633:AF1633" si="72">AVERAGEIFS(C$24:C$1598, $Q$24:$Q$1598, "*Fixed", $S$24:$S$1598, "=1", $V$24:$V$1598, "&gt;1")</f>
        <v>76.352799999999988</v>
      </c>
      <c r="V1633" s="27">
        <f t="shared" si="72"/>
        <v>17.842800000000008</v>
      </c>
      <c r="W1633" s="27">
        <f t="shared" si="72"/>
        <v>6.602666666666666</v>
      </c>
      <c r="X1633" s="27">
        <f t="shared" si="72"/>
        <v>14.196266666666666</v>
      </c>
      <c r="Y1633" s="27">
        <f t="shared" si="72"/>
        <v>4.2374666666666663</v>
      </c>
      <c r="Z1633" s="27">
        <f t="shared" si="72"/>
        <v>10.84106666666667</v>
      </c>
      <c r="AA1633" s="27">
        <f t="shared" si="72"/>
        <v>32.040400000000005</v>
      </c>
      <c r="AB1633" s="27">
        <f t="shared" si="72"/>
        <v>56.477999999999994</v>
      </c>
      <c r="AC1633" s="27">
        <f t="shared" si="72"/>
        <v>0.22958666666666663</v>
      </c>
      <c r="AD1633" s="27">
        <f t="shared" si="72"/>
        <v>5.4293333333333325E-2</v>
      </c>
      <c r="AE1633" s="27">
        <f t="shared" si="72"/>
        <v>34.050666666666686</v>
      </c>
      <c r="AF1633" s="27">
        <f t="shared" si="72"/>
        <v>1.8924266666666669</v>
      </c>
    </row>
    <row r="1634" spans="1:49" x14ac:dyDescent="0.35">
      <c r="A1634" s="1">
        <f>COUNTIFS($Q$24:$Q$1598, "*Repaired", $S$24:$S$1598, "&gt;1")</f>
        <v>108</v>
      </c>
      <c r="B1634" s="1" t="s">
        <v>1713</v>
      </c>
      <c r="C1634" s="27">
        <f>AVERAGEIFS(B$24:B$1598, $Q$24:$Q$1598, "*Repaired", $S$24:$S$1598, "&gt;1")</f>
        <v>4.2291666666666652</v>
      </c>
      <c r="D1634" s="27">
        <f>AVERAGEIFS(C$24:C$1598, $Q$24:$Q$1598, "*Repaired", $S$24:$S$1598, "&gt;1")</f>
        <v>77.102407407407426</v>
      </c>
      <c r="E1634" s="27">
        <f>AVERAGEIFS(D$24:D$1598, $Q$24:$Q$1598, "*Repaired", $S$24:$S$1598, "&gt;1")</f>
        <v>21.662222222222209</v>
      </c>
      <c r="F1634" s="27">
        <f>AVERAGEIFS(E$24:E$1598, $Q$24:$Q$1598, "*Repaired", $S$24:$S$1598, "&gt;1")</f>
        <v>7.0963888888888853</v>
      </c>
      <c r="G1634" s="27">
        <f>AVERAGEIFS(F$24:F$1598, $Q$24:$Q$1598, "*Repaired", $S$24:$S$1598, "&gt;1")</f>
        <v>16.191851851851851</v>
      </c>
      <c r="H1634" s="27">
        <f>AVERAGEIFS(G$24:G$1598, $Q$24:$Q$1598, "*Repaired", $S$24:$S$1598, "&gt;1")</f>
        <v>4.3926851851851856</v>
      </c>
      <c r="I1634" s="27">
        <f>AVERAGEIFS(H$24:H$1598, $Q$24:$Q$1598, "*Repaired", $S$24:$S$1598, "&gt;1")</f>
        <v>11.489722222222222</v>
      </c>
      <c r="J1634" s="27">
        <f>AVERAGEIFS(I$24:I$1598, $Q$24:$Q$1598, "*Repaired", $S$24:$S$1598, "&gt;1")</f>
        <v>37.853888888888882</v>
      </c>
      <c r="K1634" s="27">
        <f>AVERAGEIFS(J$24:J$1598, $Q$24:$Q$1598, "*Repaired", $S$24:$S$1598, "&gt;1")</f>
        <v>62.904537037037045</v>
      </c>
      <c r="L1634" s="27">
        <f>AVERAGEIFS(K$24:K$1598, $Q$24:$Q$1598, "*Repaired", $S$24:$S$1598, "&gt;1")</f>
        <v>0.36473148148148149</v>
      </c>
      <c r="M1634" s="27">
        <f>AVERAGEIFS(L$24:L$1598, $Q$24:$Q$1598, "*Repaired", $S$24:$S$1598, "&gt;1")</f>
        <v>5.4077777777777759E-2</v>
      </c>
      <c r="N1634" s="27">
        <f>AVERAGEIFS(M$24:M$1598, $Q$24:$Q$1598, "*Repaired", $S$24:$S$1598, "&gt;1")</f>
        <v>55.212379629629652</v>
      </c>
      <c r="O1634" s="27">
        <f>AVERAGEIFS(N$24:N$1598, $Q$24:$Q$1598, "*Repaired", $S$24:$S$1598, "&gt;1")</f>
        <v>3.0672574074074079</v>
      </c>
      <c r="R1634" s="1">
        <f>COUNTIFS($Q$24:$Q$1598, "*Repaired",  $S$24:$S$1598, "=1", $V$24:$V$1598, "&gt;1")</f>
        <v>162</v>
      </c>
      <c r="S1634" s="1" t="s">
        <v>1714</v>
      </c>
      <c r="T1634" s="27">
        <f>AVERAGEIFS(B$24:B$1598, $Q$24:$Q$1598, "*Repaired", $S$24:$S$1598, "=1", $V$24:$V$1598, "&gt;1")</f>
        <v>3.8095679012345687</v>
      </c>
      <c r="U1634" s="27">
        <f t="shared" ref="U1634:AF1634" si="73">AVERAGEIFS(C$24:C$1598, $Q$24:$Q$1598, "*Repaired", $S$24:$S$1598, "=1", $V$24:$V$1598, "&gt;1")</f>
        <v>77.936604938271586</v>
      </c>
      <c r="V1634" s="27">
        <f t="shared" si="73"/>
        <v>17.412037037037038</v>
      </c>
      <c r="W1634" s="27">
        <f t="shared" si="73"/>
        <v>6.3501234567901195</v>
      </c>
      <c r="X1634" s="27">
        <f t="shared" si="73"/>
        <v>13.251172839506175</v>
      </c>
      <c r="Y1634" s="27">
        <f t="shared" si="73"/>
        <v>3.9108024691358052</v>
      </c>
      <c r="Z1634" s="27">
        <f t="shared" si="73"/>
        <v>10.26067901234568</v>
      </c>
      <c r="AA1634" s="27">
        <f t="shared" si="73"/>
        <v>30.663024691358007</v>
      </c>
      <c r="AB1634" s="27">
        <f t="shared" si="73"/>
        <v>52.971543209876508</v>
      </c>
      <c r="AC1634" s="27">
        <f t="shared" si="73"/>
        <v>0.46386419753086428</v>
      </c>
      <c r="AD1634" s="27">
        <f t="shared" si="73"/>
        <v>6.2198765432098777E-2</v>
      </c>
      <c r="AE1634" s="27">
        <f t="shared" si="73"/>
        <v>37.275395061728418</v>
      </c>
      <c r="AF1634" s="27">
        <f t="shared" si="73"/>
        <v>2.0705469135802463</v>
      </c>
    </row>
    <row r="1635" spans="1:49" x14ac:dyDescent="0.35">
      <c r="A1635" s="37" t="s">
        <v>1698</v>
      </c>
      <c r="C1635" s="37" t="s">
        <v>1693</v>
      </c>
      <c r="D1635" s="27"/>
      <c r="E1635" s="37" t="s">
        <v>1693</v>
      </c>
      <c r="F1635" s="37" t="s">
        <v>1693</v>
      </c>
      <c r="G1635" s="37" t="s">
        <v>1693</v>
      </c>
      <c r="H1635" s="37" t="s">
        <v>1693</v>
      </c>
      <c r="I1635" s="37" t="s">
        <v>1693</v>
      </c>
      <c r="J1635" s="37" t="s">
        <v>1693</v>
      </c>
      <c r="K1635" s="37" t="s">
        <v>1693</v>
      </c>
      <c r="L1635" s="27"/>
      <c r="M1635" s="27"/>
      <c r="N1635" s="27"/>
      <c r="O1635" s="27"/>
      <c r="R1635" s="37" t="s">
        <v>1698</v>
      </c>
      <c r="T1635" s="48"/>
      <c r="U1635" s="48"/>
      <c r="V1635" s="48"/>
      <c r="W1635" s="48"/>
      <c r="X1635" s="48"/>
      <c r="Y1635" s="48"/>
      <c r="Z1635" s="48"/>
      <c r="AA1635" s="48"/>
      <c r="AB1635" s="48"/>
      <c r="AC1635" s="48"/>
      <c r="AD1635" s="48"/>
      <c r="AE1635" s="27"/>
      <c r="AF1635" s="27"/>
    </row>
    <row r="1636" spans="1:49" x14ac:dyDescent="0.35"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  <c r="T1636" s="27"/>
      <c r="U1636" s="27"/>
      <c r="V1636" s="27"/>
      <c r="W1636" s="27"/>
      <c r="X1636" s="27"/>
      <c r="Y1636" s="27"/>
      <c r="Z1636" s="27"/>
      <c r="AA1636" s="27"/>
      <c r="AB1636" s="27"/>
      <c r="AC1636" s="27"/>
      <c r="AD1636" s="27"/>
      <c r="AE1636" s="27"/>
      <c r="AF1636" s="27"/>
    </row>
    <row r="1637" spans="1:49" ht="57.6" x14ac:dyDescent="0.35">
      <c r="B1637" s="14" t="s">
        <v>1335</v>
      </c>
      <c r="C1637" s="14" t="s">
        <v>1296</v>
      </c>
      <c r="D1637" s="14" t="s">
        <v>1297</v>
      </c>
      <c r="E1637" s="14" t="s">
        <v>1298</v>
      </c>
      <c r="F1637" s="14" t="s">
        <v>21</v>
      </c>
      <c r="G1637" s="14" t="s">
        <v>1299</v>
      </c>
      <c r="H1637" s="14" t="s">
        <v>22</v>
      </c>
      <c r="I1637" s="14" t="s">
        <v>1300</v>
      </c>
      <c r="J1637" s="14" t="s">
        <v>1301</v>
      </c>
      <c r="K1637" s="14" t="s">
        <v>1302</v>
      </c>
      <c r="L1637" s="14" t="s">
        <v>1303</v>
      </c>
      <c r="M1637" s="14" t="s">
        <v>1304</v>
      </c>
      <c r="N1637" s="14" t="s">
        <v>1305</v>
      </c>
      <c r="O1637" s="14" t="s">
        <v>1306</v>
      </c>
      <c r="S1637" s="14" t="s">
        <v>1335</v>
      </c>
      <c r="T1637" s="47" t="s">
        <v>1296</v>
      </c>
      <c r="U1637" s="47" t="s">
        <v>1297</v>
      </c>
      <c r="V1637" s="47" t="s">
        <v>1298</v>
      </c>
      <c r="W1637" s="47" t="s">
        <v>21</v>
      </c>
      <c r="X1637" s="47" t="s">
        <v>1299</v>
      </c>
      <c r="Y1637" s="47" t="s">
        <v>22</v>
      </c>
      <c r="Z1637" s="47" t="s">
        <v>1300</v>
      </c>
      <c r="AA1637" s="47" t="s">
        <v>1301</v>
      </c>
      <c r="AB1637" s="47" t="s">
        <v>1302</v>
      </c>
      <c r="AC1637" s="47" t="s">
        <v>1303</v>
      </c>
      <c r="AD1637" s="47" t="s">
        <v>1304</v>
      </c>
      <c r="AE1637" s="47" t="s">
        <v>1305</v>
      </c>
      <c r="AF1637" s="47" t="s">
        <v>1306</v>
      </c>
    </row>
    <row r="1638" spans="1:49" x14ac:dyDescent="0.35">
      <c r="A1638" s="1">
        <f>COUNTIFS($Q$24:$Q$1598, "*Fixed", $V$24:$V$1598, "=1")</f>
        <v>196</v>
      </c>
      <c r="B1638" s="1" t="s">
        <v>1694</v>
      </c>
      <c r="C1638" s="27">
        <f>AVERAGEIFS(B$24:B$1598, $Q$24:$Q$1598, "*Fixed", $V$24:$V$1598, "=1")</f>
        <v>3.615969387755102</v>
      </c>
      <c r="D1638" s="27">
        <f>AVERAGEIFS(C$24:C$1598, $Q$24:$Q$1598, "*Fixed", $V$24:$V$1598, "=1")</f>
        <v>78.608061224489873</v>
      </c>
      <c r="E1638" s="27">
        <f>AVERAGEIFS(D$24:D$1598, $Q$24:$Q$1598, "*Fixed", $V$24:$V$1598, "=1")</f>
        <v>18.089030612244898</v>
      </c>
      <c r="F1638" s="27">
        <f>AVERAGEIFS(E$24:E$1598, $Q$24:$Q$1598, "*Fixed", $V$24:$V$1598, "=1")</f>
        <v>6.4457653061224471</v>
      </c>
      <c r="G1638" s="27">
        <f>AVERAGEIFS(F$24:F$1598, $Q$24:$Q$1598, "*Fixed", $V$24:$V$1598, "=1")</f>
        <v>13.20331632653061</v>
      </c>
      <c r="H1638" s="27">
        <f>AVERAGEIFS(G$24:G$1598, $Q$24:$Q$1598, "*Fixed", $V$24:$V$1598, "=1")</f>
        <v>3.9361224489795918</v>
      </c>
      <c r="I1638" s="27">
        <f>AVERAGEIFS(H$24:H$1598, $Q$24:$Q$1598, "*Fixed", $V$24:$V$1598, "=1")</f>
        <v>10.381479591836726</v>
      </c>
      <c r="J1638" s="27">
        <f>AVERAGEIFS(I$24:I$1598, $Q$24:$Q$1598, "*Fixed", $V$24:$V$1598, "=1")</f>
        <v>31.291785714285709</v>
      </c>
      <c r="K1638" s="27">
        <f>AVERAGEIFS(J$24:J$1598, $Q$24:$Q$1598, "*Fixed", $V$24:$V$1598, "=1")</f>
        <v>53.808469387755068</v>
      </c>
      <c r="L1638" s="27">
        <f>AVERAGEIFS(K$24:K$1598, $Q$24:$Q$1598, "*Fixed", $V$24:$V$1598, "=1")</f>
        <v>0.47028571428571431</v>
      </c>
      <c r="M1638" s="27">
        <f>AVERAGEIFS(L$24:L$1598, $Q$24:$Q$1598, "*Fixed", $V$24:$V$1598, "=1")</f>
        <v>4.8848979591836726E-2</v>
      </c>
      <c r="N1638" s="27">
        <f>AVERAGEIFS(M$24:M$1598, $Q$24:$Q$1598, "*Fixed", $V$24:$V$1598, "=1")</f>
        <v>50.266785714285717</v>
      </c>
      <c r="O1638" s="27">
        <f>AVERAGEIFS(N$24:N$1598, $Q$24:$Q$1598, "*Fixed", $V$24:$V$1598, "=1")</f>
        <v>2.792158163265305</v>
      </c>
      <c r="R1638" s="1">
        <f>COUNTIFS($Q$24:$Q$1598, "*Fixed", $Y$24:$Y$1598, "YES")</f>
        <v>76</v>
      </c>
      <c r="S1638" s="1" t="s">
        <v>1715</v>
      </c>
      <c r="T1638" s="27">
        <f>AVERAGEIFS(B$24:B$1598, $Q$24:$Q$1598, "*Fixed", $Y$24:$Y$1598, "YES")</f>
        <v>3.3776315789473683</v>
      </c>
      <c r="U1638" s="27">
        <f t="shared" ref="U1638:AF1638" si="74">AVERAGEIFS(C$24:C$1598, $Q$24:$Q$1598, "*Fixed", $Y$24:$Y$1598, "YES")</f>
        <v>79.363947368421023</v>
      </c>
      <c r="V1638" s="27">
        <f t="shared" si="74"/>
        <v>13.989605263157893</v>
      </c>
      <c r="W1638" s="27">
        <f t="shared" si="74"/>
        <v>5.6113157894736867</v>
      </c>
      <c r="X1638" s="27">
        <f t="shared" si="74"/>
        <v>11.231973684210528</v>
      </c>
      <c r="Y1638" s="27">
        <f t="shared" si="74"/>
        <v>3.9015789473684208</v>
      </c>
      <c r="Z1638" s="27">
        <f t="shared" si="74"/>
        <v>9.5140789473684251</v>
      </c>
      <c r="AA1638" s="27">
        <f t="shared" si="74"/>
        <v>25.220394736842113</v>
      </c>
      <c r="AB1638" s="27">
        <f t="shared" si="74"/>
        <v>46.509078947368437</v>
      </c>
      <c r="AC1638" s="27">
        <f t="shared" si="74"/>
        <v>0.64271052631578973</v>
      </c>
      <c r="AD1638" s="27">
        <f t="shared" si="74"/>
        <v>6.6355263157894723E-2</v>
      </c>
      <c r="AE1638" s="27">
        <f t="shared" si="74"/>
        <v>151.15523684210527</v>
      </c>
      <c r="AF1638" s="27">
        <f t="shared" si="74"/>
        <v>8.3982526315789485</v>
      </c>
    </row>
    <row r="1639" spans="1:49" x14ac:dyDescent="0.35">
      <c r="A1639" s="1">
        <f>COUNTIFS($Q$24:$Q$1598, "*Repaired", $V$24:$V$1598, "=1")</f>
        <v>255</v>
      </c>
      <c r="B1639" s="1" t="s">
        <v>1695</v>
      </c>
      <c r="C1639" s="27">
        <f>AVERAGEIFS(B$24:B$1598, $Q$24:$Q$1598, "*Repaired", $V$24:$V$1598, "=1")</f>
        <v>3.7739607843137275</v>
      </c>
      <c r="D1639" s="27">
        <f>AVERAGEIFS(C$24:C$1598, $Q$24:$Q$1598, "*Repaired", $V$24:$V$1598, "=1")</f>
        <v>78.09913725490199</v>
      </c>
      <c r="E1639" s="27">
        <f>AVERAGEIFS(D$24:D$1598, $Q$24:$Q$1598, "*Repaired", $V$24:$V$1598, "=1")</f>
        <v>17.586784313725481</v>
      </c>
      <c r="F1639" s="27">
        <f>AVERAGEIFS(E$24:E$1598, $Q$24:$Q$1598, "*Repaired", $V$24:$V$1598, "=1")</f>
        <v>6.5262745098039199</v>
      </c>
      <c r="G1639" s="27">
        <f>AVERAGEIFS(F$24:F$1598, $Q$24:$Q$1598, "*Repaired", $V$24:$V$1598, "=1")</f>
        <v>13.452039215686275</v>
      </c>
      <c r="H1639" s="27">
        <f>AVERAGEIFS(G$24:G$1598, $Q$24:$Q$1598, "*Repaired", $V$24:$V$1598, "=1")</f>
        <v>4.0214901960784353</v>
      </c>
      <c r="I1639" s="27">
        <f>AVERAGEIFS(H$24:H$1598, $Q$24:$Q$1598, "*Repaired", $V$24:$V$1598, "=1")</f>
        <v>10.547960784313716</v>
      </c>
      <c r="J1639" s="27">
        <f>AVERAGEIFS(I$24:I$1598, $Q$24:$Q$1598, "*Repaired", $V$24:$V$1598, "=1")</f>
        <v>31.038823529411768</v>
      </c>
      <c r="K1639" s="27">
        <f>AVERAGEIFS(J$24:J$1598, $Q$24:$Q$1598, "*Repaired", $V$24:$V$1598, "=1")</f>
        <v>54.844156862745059</v>
      </c>
      <c r="L1639" s="27">
        <f>AVERAGEIFS(K$24:K$1598, $Q$24:$Q$1598, "*Repaired", $V$24:$V$1598, "=1")</f>
        <v>0.35459215686274514</v>
      </c>
      <c r="M1639" s="27">
        <f>AVERAGEIFS(L$24:L$1598, $Q$24:$Q$1598, "*Repaired", $V$24:$V$1598, "=1")</f>
        <v>5.0641568627451033E-2</v>
      </c>
      <c r="N1639" s="27">
        <f>AVERAGEIFS(M$24:M$1598, $Q$24:$Q$1598, "*Repaired", $V$24:$V$1598, "=1")</f>
        <v>69.680129411764696</v>
      </c>
      <c r="O1639" s="27">
        <f>AVERAGEIFS(N$24:N$1598, $Q$24:$Q$1598, "*Repaired", $V$24:$V$1598, "=1")</f>
        <v>3.8712180392156883</v>
      </c>
      <c r="R1639" s="1">
        <f>COUNTIFS($Q$24:$Q$1598, "*Repaired", $Y$24:$Y$1598, "YES")</f>
        <v>11</v>
      </c>
      <c r="S1639" s="1" t="s">
        <v>1716</v>
      </c>
      <c r="T1639" s="27">
        <f>AVERAGEIFS(B$24:B$1598, $Q$24:$Q$1598, "*Repaired", $Y$24:$Y$1598, "YES")</f>
        <v>4.7663636363636357</v>
      </c>
      <c r="U1639" s="27">
        <f t="shared" ref="U1639:AF1639" si="75">AVERAGEIFS(C$24:C$1598, $Q$24:$Q$1598, "*Repaired", $Y$24:$Y$1598, "YES")</f>
        <v>76.404545454545442</v>
      </c>
      <c r="V1639" s="27">
        <f t="shared" si="75"/>
        <v>19.732727272727271</v>
      </c>
      <c r="W1639" s="27">
        <f t="shared" si="75"/>
        <v>7.1336363636363638</v>
      </c>
      <c r="X1639" s="27">
        <f t="shared" si="75"/>
        <v>14.735454545454543</v>
      </c>
      <c r="Y1639" s="27">
        <f t="shared" si="75"/>
        <v>4.6454545454545455</v>
      </c>
      <c r="Z1639" s="27">
        <f t="shared" si="75"/>
        <v>11.780909090909091</v>
      </c>
      <c r="AA1639" s="27">
        <f t="shared" si="75"/>
        <v>34.468181818181819</v>
      </c>
      <c r="AB1639" s="27">
        <f t="shared" si="75"/>
        <v>62.131818181818183</v>
      </c>
      <c r="AC1639" s="27">
        <f t="shared" si="75"/>
        <v>0.46954545454545454</v>
      </c>
      <c r="AD1639" s="27">
        <f t="shared" si="75"/>
        <v>4.3999999999999997E-2</v>
      </c>
      <c r="AE1639" s="27">
        <f t="shared" si="75"/>
        <v>75.670909090909092</v>
      </c>
      <c r="AF1639" s="27">
        <f t="shared" si="75"/>
        <v>4.2038181818181819</v>
      </c>
    </row>
    <row r="1640" spans="1:49" x14ac:dyDescent="0.35">
      <c r="A1640" s="37"/>
      <c r="C1640" s="37"/>
      <c r="D1640" s="37"/>
      <c r="E1640" s="37"/>
      <c r="F1640" s="27"/>
      <c r="G1640" s="37"/>
      <c r="H1640" s="27"/>
      <c r="I1640" s="27"/>
      <c r="J1640" s="37"/>
      <c r="K1640" s="27"/>
      <c r="L1640" s="27"/>
      <c r="M1640" s="27"/>
      <c r="N1640" s="27"/>
      <c r="O1640" s="27"/>
      <c r="R1640" s="37"/>
      <c r="T1640" s="46"/>
      <c r="U1640" s="46"/>
      <c r="V1640" s="46"/>
      <c r="W1640" s="46"/>
      <c r="X1640" s="46"/>
      <c r="Y1640" s="46"/>
      <c r="Z1640" s="46"/>
      <c r="AA1640" s="46"/>
      <c r="AB1640" s="46"/>
      <c r="AC1640" s="46"/>
      <c r="AD1640" s="46"/>
      <c r="AE1640" s="46"/>
      <c r="AF1640" s="46"/>
    </row>
    <row r="1641" spans="1:49" ht="57.6" x14ac:dyDescent="0.35">
      <c r="B1641" s="14" t="s">
        <v>1335</v>
      </c>
      <c r="C1641" s="14" t="s">
        <v>1296</v>
      </c>
      <c r="D1641" s="14" t="s">
        <v>1297</v>
      </c>
      <c r="E1641" s="14" t="s">
        <v>1298</v>
      </c>
      <c r="F1641" s="14" t="s">
        <v>21</v>
      </c>
      <c r="G1641" s="14" t="s">
        <v>1299</v>
      </c>
      <c r="H1641" s="14" t="s">
        <v>22</v>
      </c>
      <c r="I1641" s="14" t="s">
        <v>1300</v>
      </c>
      <c r="J1641" s="14" t="s">
        <v>1301</v>
      </c>
      <c r="K1641" s="14" t="s">
        <v>1302</v>
      </c>
      <c r="L1641" s="14" t="s">
        <v>1303</v>
      </c>
      <c r="M1641" s="14" t="s">
        <v>1304</v>
      </c>
      <c r="N1641" s="14" t="s">
        <v>1305</v>
      </c>
      <c r="O1641" s="14" t="s">
        <v>1306</v>
      </c>
      <c r="S1641" s="14" t="s">
        <v>1335</v>
      </c>
      <c r="T1641" s="47" t="s">
        <v>1296</v>
      </c>
      <c r="U1641" s="47" t="s">
        <v>1297</v>
      </c>
      <c r="V1641" s="47" t="s">
        <v>1298</v>
      </c>
      <c r="W1641" s="47" t="s">
        <v>21</v>
      </c>
      <c r="X1641" s="47" t="s">
        <v>1299</v>
      </c>
      <c r="Y1641" s="47" t="s">
        <v>22</v>
      </c>
      <c r="Z1641" s="47" t="s">
        <v>1300</v>
      </c>
      <c r="AA1641" s="47" t="s">
        <v>1301</v>
      </c>
      <c r="AB1641" s="47" t="s">
        <v>1302</v>
      </c>
      <c r="AC1641" s="47" t="s">
        <v>1303</v>
      </c>
      <c r="AD1641" s="47" t="s">
        <v>1304</v>
      </c>
      <c r="AE1641" s="47" t="s">
        <v>1305</v>
      </c>
      <c r="AF1641" s="47" t="s">
        <v>1306</v>
      </c>
      <c r="AJ1641" s="14" t="s">
        <v>1335</v>
      </c>
      <c r="AK1641" s="42" t="s">
        <v>1296</v>
      </c>
      <c r="AL1641" s="42" t="s">
        <v>1297</v>
      </c>
      <c r="AM1641" s="42" t="s">
        <v>1298</v>
      </c>
      <c r="AN1641" s="42" t="s">
        <v>21</v>
      </c>
      <c r="AO1641" s="42" t="s">
        <v>1299</v>
      </c>
      <c r="AP1641" s="42" t="s">
        <v>22</v>
      </c>
      <c r="AQ1641" s="42" t="s">
        <v>1300</v>
      </c>
      <c r="AR1641" s="42" t="s">
        <v>1301</v>
      </c>
      <c r="AS1641" s="42" t="s">
        <v>1302</v>
      </c>
      <c r="AT1641" s="42" t="s">
        <v>1303</v>
      </c>
      <c r="AU1641" s="42" t="s">
        <v>1304</v>
      </c>
      <c r="AV1641" s="42" t="s">
        <v>1305</v>
      </c>
      <c r="AW1641" s="42" t="s">
        <v>1306</v>
      </c>
    </row>
    <row r="1642" spans="1:49" x14ac:dyDescent="0.35">
      <c r="A1642" s="1">
        <f>COUNTIFS($Q$24:$Q$1598, "*Fixed", $V$24:$V$1598, "&gt;1")</f>
        <v>329</v>
      </c>
      <c r="B1642" s="1" t="s">
        <v>1696</v>
      </c>
      <c r="C1642" s="27">
        <f>AVERAGEIFS(B$24:B$1598, $Q$24:$Q$1598, "*Fixed", $V$24:$V$1598, "&gt;1")</f>
        <v>4.03869300911854</v>
      </c>
      <c r="D1642" s="27">
        <f>AVERAGEIFS(C$24:C$1598, $Q$24:$Q$1598, "*Fixed", $V$24:$V$1598, "&gt;1")</f>
        <v>77.381945288753826</v>
      </c>
      <c r="E1642" s="27">
        <f>AVERAGEIFS(D$24:D$1598, $Q$24:$Q$1598, "*Fixed", $V$24:$V$1598, "&gt;1")</f>
        <v>18.785136778115508</v>
      </c>
      <c r="F1642" s="27">
        <f>AVERAGEIFS(E$24:E$1598, $Q$24:$Q$1598, "*Fixed", $V$24:$V$1598, "&gt;1")</f>
        <v>6.7149544072948304</v>
      </c>
      <c r="G1642" s="27">
        <f>AVERAGEIFS(F$24:F$1598, $Q$24:$Q$1598, "*Fixed", $V$24:$V$1598, "&gt;1")</f>
        <v>14.436200607902739</v>
      </c>
      <c r="H1642" s="27">
        <f>AVERAGEIFS(G$24:G$1598, $Q$24:$Q$1598, "*Fixed", $V$24:$V$1598, "&gt;1")</f>
        <v>4.1537993920972633</v>
      </c>
      <c r="I1642" s="27">
        <f>AVERAGEIFS(H$24:H$1598, $Q$24:$Q$1598, "*Fixed", $V$24:$V$1598, "&gt;1")</f>
        <v>10.869665653495446</v>
      </c>
      <c r="J1642" s="27">
        <f>AVERAGEIFS(I$24:I$1598, $Q$24:$Q$1598, "*Fixed", $V$24:$V$1598, "&gt;1")</f>
        <v>33.22176291793312</v>
      </c>
      <c r="K1642" s="27">
        <f>AVERAGEIFS(J$24:J$1598, $Q$24:$Q$1598, "*Fixed", $V$24:$V$1598, "&gt;1")</f>
        <v>57.732553191489416</v>
      </c>
      <c r="L1642" s="27">
        <f>AVERAGEIFS(K$24:K$1598, $Q$24:$Q$1598, "*Fixed", $V$24:$V$1598, "&gt;1")</f>
        <v>0.33901519756838938</v>
      </c>
      <c r="M1642" s="27">
        <f>AVERAGEIFS(L$24:L$1598, $Q$24:$Q$1598, "*Fixed", $V$24:$V$1598, "&gt;1")</f>
        <v>5.7555623100303974E-2</v>
      </c>
      <c r="N1642" s="27">
        <f>AVERAGEIFS(M$24:M$1598, $Q$24:$Q$1598, "*Fixed", $V$24:$V$1598, "&gt;1")</f>
        <v>60.513477203647355</v>
      </c>
      <c r="O1642" s="27">
        <f>AVERAGEIFS(N$24:N$1598, $Q$24:$Q$1598, "*Fixed", $V$24:$V$1598, "&gt;1")</f>
        <v>3.3621823708206704</v>
      </c>
      <c r="R1642" s="1">
        <f>COUNTIFS($Q$24:$Q$1598, "*Fixed", $Z$24:$Z$1598, "YES")</f>
        <v>178</v>
      </c>
      <c r="S1642" s="1" t="s">
        <v>1717</v>
      </c>
      <c r="T1642" s="27">
        <f>AVERAGEIFS(B$24:B$1598, $Q$24:$Q$1598, "*Fixed", $Z$24:$Z$1598, "YES")</f>
        <v>4.0757303370786548</v>
      </c>
      <c r="U1642" s="27">
        <f t="shared" ref="U1642:AF1642" si="76">AVERAGEIFS(C$24:C$1598, $Q$24:$Q$1598, "*Fixed", $Z$24:$Z$1598, "YES")</f>
        <v>76.96932584269662</v>
      </c>
      <c r="V1642" s="27">
        <f t="shared" si="76"/>
        <v>21.229719101123607</v>
      </c>
      <c r="W1642" s="27">
        <f t="shared" si="76"/>
        <v>7.2334831460674138</v>
      </c>
      <c r="X1642" s="27">
        <f t="shared" si="76"/>
        <v>15.905393258426976</v>
      </c>
      <c r="Y1642" s="27">
        <f t="shared" si="76"/>
        <v>4.2262359550561799</v>
      </c>
      <c r="Z1642" s="27">
        <f t="shared" si="76"/>
        <v>11.460505617977526</v>
      </c>
      <c r="AA1642" s="27">
        <f t="shared" si="76"/>
        <v>37.135842696629219</v>
      </c>
      <c r="AB1642" s="27">
        <f t="shared" si="76"/>
        <v>63.053202247191031</v>
      </c>
      <c r="AC1642" s="27">
        <f t="shared" si="76"/>
        <v>0.25545505617977521</v>
      </c>
      <c r="AD1642" s="27">
        <f t="shared" si="76"/>
        <v>5.5173033707865159E-2</v>
      </c>
      <c r="AE1642" s="27">
        <f t="shared" si="76"/>
        <v>32.962561797752812</v>
      </c>
      <c r="AF1642" s="27">
        <f t="shared" si="76"/>
        <v>1.8312292134831454</v>
      </c>
      <c r="AI1642" s="1">
        <f>COUNTIFS($Q$24:$Q$1598, "*Fixed", $V$24:$V$1598, "&gt;1")</f>
        <v>329</v>
      </c>
      <c r="AJ1642" s="1" t="s">
        <v>1717</v>
      </c>
      <c r="AK1642" s="27">
        <f>AVERAGEIFS(B$24:B$1598, $Q$24:$Q$1598, "*Fixed", $V$24:$V$1598, "&gt;1")</f>
        <v>4.03869300911854</v>
      </c>
      <c r="AL1642" s="27">
        <f t="shared" ref="AL1642:AW1642" si="77">AVERAGEIFS(C$24:C$1598, $Q$24:$Q$1598, "*Fixed", $V$24:$V$1598, "&gt;1")</f>
        <v>77.381945288753826</v>
      </c>
      <c r="AM1642" s="27">
        <f t="shared" si="77"/>
        <v>18.785136778115508</v>
      </c>
      <c r="AN1642" s="27">
        <f t="shared" si="77"/>
        <v>6.7149544072948304</v>
      </c>
      <c r="AO1642" s="27">
        <f t="shared" si="77"/>
        <v>14.436200607902739</v>
      </c>
      <c r="AP1642" s="27">
        <f t="shared" si="77"/>
        <v>4.1537993920972633</v>
      </c>
      <c r="AQ1642" s="27">
        <f t="shared" si="77"/>
        <v>10.869665653495446</v>
      </c>
      <c r="AR1642" s="27">
        <f t="shared" si="77"/>
        <v>33.22176291793312</v>
      </c>
      <c r="AS1642" s="27">
        <f t="shared" si="77"/>
        <v>57.732553191489416</v>
      </c>
      <c r="AT1642" s="27">
        <f t="shared" si="77"/>
        <v>0.33901519756838938</v>
      </c>
      <c r="AU1642" s="27">
        <f t="shared" si="77"/>
        <v>5.7555623100303974E-2</v>
      </c>
      <c r="AV1642" s="27">
        <f t="shared" si="77"/>
        <v>60.513477203647355</v>
      </c>
      <c r="AW1642" s="27">
        <f t="shared" si="77"/>
        <v>3.3621823708206704</v>
      </c>
    </row>
    <row r="1643" spans="1:49" x14ac:dyDescent="0.35">
      <c r="A1643" s="1">
        <f>COUNTIFS($Q$24:$Q$1598, "*Repaired", $V$24:$V$1598, "&gt;1")</f>
        <v>270</v>
      </c>
      <c r="B1643" s="1" t="s">
        <v>1697</v>
      </c>
      <c r="C1643" s="27">
        <f>AVERAGEIFS(B$24:B$1598, $Q$24:$Q$1598, "*Repaired", $V$24:$V$1598, "&gt;1")</f>
        <v>3.9774074074074095</v>
      </c>
      <c r="D1643" s="27">
        <f>AVERAGEIFS(C$24:C$1598, $Q$24:$Q$1598, "*Repaired", $V$24:$V$1598, "&gt;1")</f>
        <v>77.602925925925902</v>
      </c>
      <c r="E1643" s="27">
        <f>AVERAGEIFS(D$24:D$1598, $Q$24:$Q$1598, "*Repaired", $V$24:$V$1598, "&gt;1")</f>
        <v>19.112111111111101</v>
      </c>
      <c r="F1643" s="27">
        <f>AVERAGEIFS(E$24:E$1598, $Q$24:$Q$1598, "*Repaired", $V$24:$V$1598, "&gt;1")</f>
        <v>6.6486296296296308</v>
      </c>
      <c r="G1643" s="27">
        <f>AVERAGEIFS(F$24:F$1598, $Q$24:$Q$1598, "*Repaired", $V$24:$V$1598, "&gt;1")</f>
        <v>14.427444444444445</v>
      </c>
      <c r="H1643" s="27">
        <f>AVERAGEIFS(G$24:G$1598, $Q$24:$Q$1598, "*Repaired", $V$24:$V$1598, "&gt;1")</f>
        <v>4.1035555555555563</v>
      </c>
      <c r="I1643" s="27">
        <f>AVERAGEIFS(H$24:H$1598, $Q$24:$Q$1598, "*Repaired", $V$24:$V$1598, "&gt;1")</f>
        <v>10.752296296296292</v>
      </c>
      <c r="J1643" s="27">
        <f>AVERAGEIFS(I$24:I$1598, $Q$24:$Q$1598, "*Repaired", $V$24:$V$1598, "&gt;1")</f>
        <v>33.539370370370385</v>
      </c>
      <c r="K1643" s="27">
        <f>AVERAGEIFS(J$24:J$1598, $Q$24:$Q$1598, "*Repaired", $V$24:$V$1598, "&gt;1")</f>
        <v>56.944740740740755</v>
      </c>
      <c r="L1643" s="27">
        <f>AVERAGEIFS(K$24:K$1598, $Q$24:$Q$1598, "*Repaired", $V$24:$V$1598, "&gt;1")</f>
        <v>0.42421111111111154</v>
      </c>
      <c r="M1643" s="27">
        <f>AVERAGEIFS(L$24:L$1598, $Q$24:$Q$1598, "*Repaired", $V$24:$V$1598, "&gt;1")</f>
        <v>5.8950370370370396E-2</v>
      </c>
      <c r="N1643" s="27">
        <f>AVERAGEIFS(M$24:M$1598, $Q$24:$Q$1598, "*Repaired", $V$24:$V$1598, "&gt;1")</f>
        <v>44.450188888888874</v>
      </c>
      <c r="O1643" s="27">
        <f>AVERAGEIFS(N$24:N$1598, $Q$24:$Q$1598, "*Repaired", $V$24:$V$1598, "&gt;1")</f>
        <v>2.4692311111111116</v>
      </c>
      <c r="R1643" s="1">
        <f>COUNTIFS($Q$24:$Q$1598, "*Repaired", $Z$24:$Z$1598, "YES")</f>
        <v>97</v>
      </c>
      <c r="S1643" s="1" t="s">
        <v>1718</v>
      </c>
      <c r="T1643" s="27">
        <f>AVERAGEIFS(B$24:B$1598, $Q$24:$Q$1598, "*Repaired", $Z$24:$Z$1598, "YES")</f>
        <v>4.1682474226804116</v>
      </c>
      <c r="U1643" s="27">
        <f t="shared" ref="U1643:AF1643" si="78">AVERAGEIFS(C$24:C$1598, $Q$24:$Q$1598, "*Repaired", $Z$24:$Z$1598, "YES")</f>
        <v>77.181546391752562</v>
      </c>
      <c r="V1643" s="27">
        <f t="shared" si="78"/>
        <v>21.881030927835038</v>
      </c>
      <c r="W1643" s="27">
        <f t="shared" si="78"/>
        <v>7.0921649484536076</v>
      </c>
      <c r="X1643" s="27">
        <f t="shared" si="78"/>
        <v>16.357010309278348</v>
      </c>
      <c r="Y1643" s="27">
        <f t="shared" si="78"/>
        <v>4.3640206185567001</v>
      </c>
      <c r="Z1643" s="27">
        <f t="shared" si="78"/>
        <v>11.456701030927837</v>
      </c>
      <c r="AA1643" s="27">
        <f t="shared" si="78"/>
        <v>38.237835051546391</v>
      </c>
      <c r="AB1643" s="27">
        <f t="shared" si="78"/>
        <v>62.992164948453606</v>
      </c>
      <c r="AC1643" s="27">
        <f t="shared" si="78"/>
        <v>0.35284536082474227</v>
      </c>
      <c r="AD1643" s="27">
        <f t="shared" si="78"/>
        <v>5.5220618556701018E-2</v>
      </c>
      <c r="AE1643" s="27">
        <f t="shared" si="78"/>
        <v>52.892340206185573</v>
      </c>
      <c r="AF1643" s="27">
        <f t="shared" si="78"/>
        <v>2.9383690721649489</v>
      </c>
      <c r="AI1643" s="1">
        <f>COUNTIFS($Q$24:$Q$1598, "*Repaired", $V$24:$V$1598, "&gt;1")</f>
        <v>270</v>
      </c>
      <c r="AJ1643" s="1" t="s">
        <v>1718</v>
      </c>
      <c r="AK1643" s="27">
        <f>AVERAGEIFS(B$24:B$1598, $Q$24:$Q$1598, "*Repaired", $V$24:$V$1598, "&gt;1")</f>
        <v>3.9774074074074095</v>
      </c>
      <c r="AL1643" s="27">
        <f t="shared" ref="AL1643:AW1643" si="79">AVERAGEIFS(C$24:C$1598, $Q$24:$Q$1598, "*Repaired", $V$24:$V$1598, "&gt;1")</f>
        <v>77.602925925925902</v>
      </c>
      <c r="AM1643" s="27">
        <f t="shared" si="79"/>
        <v>19.112111111111101</v>
      </c>
      <c r="AN1643" s="27">
        <f t="shared" si="79"/>
        <v>6.6486296296296308</v>
      </c>
      <c r="AO1643" s="27">
        <f t="shared" si="79"/>
        <v>14.427444444444445</v>
      </c>
      <c r="AP1643" s="27">
        <f t="shared" si="79"/>
        <v>4.1035555555555563</v>
      </c>
      <c r="AQ1643" s="27">
        <f t="shared" si="79"/>
        <v>10.752296296296292</v>
      </c>
      <c r="AR1643" s="27">
        <f t="shared" si="79"/>
        <v>33.539370370370385</v>
      </c>
      <c r="AS1643" s="27">
        <f t="shared" si="79"/>
        <v>56.944740740740755</v>
      </c>
      <c r="AT1643" s="27">
        <f t="shared" si="79"/>
        <v>0.42421111111111154</v>
      </c>
      <c r="AU1643" s="27">
        <f t="shared" si="79"/>
        <v>5.8950370370370396E-2</v>
      </c>
      <c r="AV1643" s="27">
        <f t="shared" si="79"/>
        <v>44.450188888888874</v>
      </c>
      <c r="AW1643" s="27">
        <f t="shared" si="79"/>
        <v>2.4692311111111116</v>
      </c>
    </row>
    <row r="1644" spans="1:49" x14ac:dyDescent="0.35">
      <c r="A1644" s="37" t="s">
        <v>1698</v>
      </c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  <c r="R1644" s="37" t="s">
        <v>1698</v>
      </c>
      <c r="T1644" s="37"/>
      <c r="U1644" s="27"/>
      <c r="V1644" s="37"/>
      <c r="W1644" s="37"/>
      <c r="X1644" s="37"/>
      <c r="Y1644" s="37"/>
      <c r="Z1644" s="37"/>
      <c r="AA1644" s="37"/>
      <c r="AB1644" s="37"/>
      <c r="AC1644" s="27"/>
      <c r="AD1644" s="27"/>
      <c r="AE1644" s="27"/>
      <c r="AF1644" s="27"/>
      <c r="AI1644" s="37" t="s">
        <v>1698</v>
      </c>
      <c r="AK1644" s="37"/>
      <c r="AL1644" s="27"/>
      <c r="AM1644" s="37"/>
      <c r="AN1644" s="37"/>
      <c r="AO1644" s="37"/>
      <c r="AP1644" s="37"/>
      <c r="AQ1644" s="37"/>
      <c r="AR1644" s="37"/>
      <c r="AS1644" s="37"/>
      <c r="AT1644" s="27"/>
      <c r="AU1644" s="27"/>
      <c r="AV1644" s="27"/>
      <c r="AW1644" s="27"/>
    </row>
    <row r="1645" spans="1:49" ht="15" x14ac:dyDescent="0.35">
      <c r="B1645" s="27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  <c r="M1645" s="27"/>
      <c r="N1645" s="27"/>
      <c r="O1645"/>
    </row>
    <row r="1646" spans="1:49" ht="17.399999999999999" customHeight="1" x14ac:dyDescent="0.35">
      <c r="A1646" s="33" t="s">
        <v>1719</v>
      </c>
      <c r="B1646" s="28"/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  <c r="S1646" s="45" t="s">
        <v>1700</v>
      </c>
      <c r="T1646" s="45"/>
      <c r="U1646" s="45"/>
      <c r="V1646" s="45"/>
      <c r="W1646" s="28"/>
      <c r="X1646" s="28"/>
      <c r="Y1646" s="28"/>
      <c r="Z1646" s="28"/>
      <c r="AA1646" s="28"/>
      <c r="AB1646" s="28"/>
      <c r="AC1646" s="28"/>
      <c r="AD1646" s="28"/>
      <c r="AE1646" s="28"/>
      <c r="AF1646" s="28"/>
      <c r="AG1646"/>
    </row>
    <row r="1647" spans="1:49" ht="15" x14ac:dyDescent="0.3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49" ht="31.2" customHeight="1" x14ac:dyDescent="0.35">
      <c r="B1648" s="14" t="s">
        <v>1335</v>
      </c>
      <c r="C1648" s="14" t="s">
        <v>1296</v>
      </c>
      <c r="D1648" s="14" t="s">
        <v>1297</v>
      </c>
      <c r="E1648" s="14" t="s">
        <v>1298</v>
      </c>
      <c r="F1648" s="14" t="s">
        <v>21</v>
      </c>
      <c r="G1648" s="14" t="s">
        <v>1299</v>
      </c>
      <c r="H1648" s="14" t="s">
        <v>22</v>
      </c>
      <c r="I1648" s="14" t="s">
        <v>1300</v>
      </c>
      <c r="J1648" s="14" t="s">
        <v>1301</v>
      </c>
      <c r="K1648" s="14" t="s">
        <v>1302</v>
      </c>
      <c r="L1648" s="14" t="s">
        <v>1303</v>
      </c>
      <c r="M1648" s="14" t="s">
        <v>1304</v>
      </c>
      <c r="N1648" s="14" t="s">
        <v>1305</v>
      </c>
      <c r="O1648" s="14" t="s">
        <v>1306</v>
      </c>
      <c r="S1648" s="14" t="s">
        <v>1335</v>
      </c>
      <c r="T1648" s="14" t="s">
        <v>1296</v>
      </c>
      <c r="U1648" s="14" t="s">
        <v>1297</v>
      </c>
      <c r="V1648" s="14" t="s">
        <v>1298</v>
      </c>
      <c r="W1648" s="14" t="s">
        <v>21</v>
      </c>
      <c r="X1648" s="14" t="s">
        <v>1299</v>
      </c>
      <c r="Y1648" s="14" t="s">
        <v>22</v>
      </c>
      <c r="Z1648" s="14" t="s">
        <v>1300</v>
      </c>
      <c r="AA1648" s="14" t="s">
        <v>1301</v>
      </c>
      <c r="AB1648" s="14" t="s">
        <v>1302</v>
      </c>
      <c r="AC1648" s="14" t="s">
        <v>1303</v>
      </c>
      <c r="AD1648" s="14" t="s">
        <v>1304</v>
      </c>
      <c r="AE1648" s="14" t="s">
        <v>1305</v>
      </c>
      <c r="AF1648" s="14" t="s">
        <v>1306</v>
      </c>
    </row>
    <row r="1649" spans="1:32" x14ac:dyDescent="0.35">
      <c r="A1649" s="1">
        <f>COUNTIFS($S$549:$S$1073, "=1", $S$1074:$S$1598, "=1")</f>
        <v>225</v>
      </c>
      <c r="B1649" s="1" t="s">
        <v>1707</v>
      </c>
      <c r="C1649" s="27">
        <f>AVERAGEIFS(B$549:B$1073, $S$549:$S$1073, "=1", $S$1074:$S$1598, "=1")</f>
        <v>3.781022222222223</v>
      </c>
      <c r="D1649" s="27">
        <f>AVERAGEIFS(C$549:C$1073, $S$549:$S$1073, "=1", $S$1074:$S$1598, "=1")</f>
        <v>78.341244444444555</v>
      </c>
      <c r="E1649" s="27">
        <f>AVERAGEIFS(D$549:D$1073, $S$549:$S$1073, "=1", $S$1074:$S$1598, "=1")</f>
        <v>17.151333333333341</v>
      </c>
      <c r="F1649" s="27">
        <f>AVERAGEIFS(E$549:E$1073, $S$549:$S$1073, "=1", $S$1074:$S$1598, "=1")</f>
        <v>6.3301333333333316</v>
      </c>
      <c r="G1649" s="27">
        <f>AVERAGEIFS(F$549:F$1073, $S$549:$S$1073, "=1", $S$1074:$S$1598, "=1")</f>
        <v>12.818711111111112</v>
      </c>
      <c r="H1649" s="27">
        <f>AVERAGEIFS(G$549:G$1073, $S$549:$S$1073, "=1", $S$1074:$S$1598, "=1")</f>
        <v>3.9085777777777779</v>
      </c>
      <c r="I1649" s="27">
        <f>AVERAGEIFS(H$549:H$1073, $S$549:$S$1073, "=1", $S$1074:$S$1598, "=1")</f>
        <v>10.238577777777765</v>
      </c>
      <c r="J1649" s="27">
        <f>AVERAGEIFS(I$549:I$1073, $S$549:$S$1073, "=1", $S$1074:$S$1598, "=1")</f>
        <v>29.96999999999997</v>
      </c>
      <c r="K1649" s="27">
        <f>AVERAGEIFS(J$549:J$1073, $S$549:$S$1073, "=1", $S$1074:$S$1598, "=1")</f>
        <v>52.366666666666667</v>
      </c>
      <c r="L1649" s="27">
        <f>AVERAGEIFS(K$549:K$1073, $S$549:$S$1073, "=1", $S$1074:$S$1598, "=1")</f>
        <v>0.42130666666666677</v>
      </c>
      <c r="M1649" s="27">
        <f>AVERAGEIFS(L$549:L$1073, $S$549:$S$1073, "=1", $S$1074:$S$1598, "=1")</f>
        <v>5.0608000000000014E-2</v>
      </c>
      <c r="N1649" s="27">
        <f>AVERAGEIFS(M$549:M$1073, $S$549:$S$1073, "=1", $S$1074:$S$1598, "=1")</f>
        <v>44.244133333333345</v>
      </c>
      <c r="O1649" s="27">
        <f>AVERAGEIFS(N$549:N$1073, $S$549:$S$1073, "=1", $S$1074:$S$1598, "=1")</f>
        <v>2.4579066666666662</v>
      </c>
      <c r="R1649" s="1">
        <f>COUNTIFS($S$549:$S$1073, "=1", $V$549:$V$1073, "=1", $S$1074:$S$1598, "=1", $V$1074:$V$1598, "=1")</f>
        <v>114</v>
      </c>
      <c r="S1649" s="1" t="s">
        <v>1708</v>
      </c>
      <c r="T1649" s="27">
        <f>AVERAGEIFS(B$549:B$1073, $S$549:$S$1073, "=1", $V$549:$V$1073, "=1", $S$1074:$S$1598, "=1", $V$1074:$V$1598, "=1")</f>
        <v>3.4281578947368412</v>
      </c>
      <c r="U1649" s="27">
        <f t="shared" ref="U1649:AF1649" si="80">AVERAGEIFS(C$549:C$1073, $S$549:$S$1073, "=1", $V$549:$V$1073, "=1", $S$1074:$S$1598, "=1", $V$1074:$V$1598, "=1")</f>
        <v>79.279649122806973</v>
      </c>
      <c r="V1649" s="27">
        <f t="shared" si="80"/>
        <v>16.597543859649122</v>
      </c>
      <c r="W1649" s="27">
        <f t="shared" si="80"/>
        <v>6.1499999999999995</v>
      </c>
      <c r="X1649" s="27">
        <f t="shared" si="80"/>
        <v>12.170000000000005</v>
      </c>
      <c r="Y1649" s="27">
        <f t="shared" si="80"/>
        <v>3.8307017543859656</v>
      </c>
      <c r="Z1649" s="27">
        <f t="shared" si="80"/>
        <v>9.9807894736842115</v>
      </c>
      <c r="AA1649" s="27">
        <f t="shared" si="80"/>
        <v>28.767368421052648</v>
      </c>
      <c r="AB1649" s="27">
        <f t="shared" si="80"/>
        <v>50.687280701754389</v>
      </c>
      <c r="AC1649" s="27">
        <f t="shared" si="80"/>
        <v>0.42929824561403501</v>
      </c>
      <c r="AD1649" s="27">
        <f t="shared" si="80"/>
        <v>3.9647368421052619E-2</v>
      </c>
      <c r="AE1649" s="27">
        <f t="shared" si="80"/>
        <v>33.905701754385966</v>
      </c>
      <c r="AF1649" s="27">
        <f t="shared" si="80"/>
        <v>1.8834912280701757</v>
      </c>
    </row>
    <row r="1650" spans="1:32" x14ac:dyDescent="0.35">
      <c r="A1650" s="1">
        <f>COUNTIFS($S$549:$S$1073, "=1", $S$1074:$S$1598, "=1")</f>
        <v>225</v>
      </c>
      <c r="B1650" s="1" t="s">
        <v>1709</v>
      </c>
      <c r="C1650" s="27">
        <f>AVERAGEIFS(B$1074:B$1598, $S$549:$S$1073, "=1", $S$1074:$S$1598, "=1")</f>
        <v>3.7904444444444447</v>
      </c>
      <c r="D1650" s="27">
        <f>AVERAGEIFS(C$1074:C$1598, $S$549:$S$1073, "=1", $S$1074:$S$1598, "=1")</f>
        <v>78.257600000000039</v>
      </c>
      <c r="E1650" s="27">
        <f>AVERAGEIFS(D$1074:D$1598, $S$549:$S$1073, "=1", $S$1074:$S$1598, "=1")</f>
        <v>17.166933333333333</v>
      </c>
      <c r="F1650" s="27">
        <f>AVERAGEIFS(E$1074:E$1598, $S$549:$S$1073, "=1", $S$1074:$S$1598, "=1")</f>
        <v>6.3368444444444414</v>
      </c>
      <c r="G1650" s="27">
        <f>AVERAGEIFS(F$1074:F$1598, $S$549:$S$1073, "=1", $S$1074:$S$1598, "=1")</f>
        <v>12.88355555555556</v>
      </c>
      <c r="H1650" s="27">
        <f>AVERAGEIFS(G$1074:G$1598, $S$549:$S$1073, "=1", $S$1074:$S$1598, "=1")</f>
        <v>3.9263111111111129</v>
      </c>
      <c r="I1650" s="27">
        <f>AVERAGEIFS(H$1074:H$1598, $S$549:$S$1073, "=1", $S$1074:$S$1598, "=1")</f>
        <v>10.263244444444437</v>
      </c>
      <c r="J1650" s="27">
        <f>AVERAGEIFS(I$1074:I$1598, $S$549:$S$1073, "=1", $S$1074:$S$1598, "=1")</f>
        <v>30.050711111111085</v>
      </c>
      <c r="K1650" s="27">
        <f>AVERAGEIFS(J$1074:J$1598, $S$549:$S$1073, "=1", $S$1074:$S$1598, "=1")</f>
        <v>52.476088888888846</v>
      </c>
      <c r="L1650" s="27">
        <f>AVERAGEIFS(K$1074:K$1598, $S$549:$S$1073, "=1", $S$1074:$S$1598, "=1")</f>
        <v>0.41940444444444458</v>
      </c>
      <c r="M1650" s="27">
        <f>AVERAGEIFS(L$1074:L$1598, $S$549:$S$1073, "=1", $S$1074:$S$1598, "=1")</f>
        <v>5.1430222222222252E-2</v>
      </c>
      <c r="N1650" s="27">
        <f>AVERAGEIFS(M$1074:M$1598, $S$549:$S$1073, "=1", $S$1074:$S$1598, "=1")</f>
        <v>44.282888888888913</v>
      </c>
      <c r="O1650" s="27">
        <f>AVERAGEIFS(N$1074:N$1598, $S$549:$S$1073, "=1", $S$1074:$S$1598, "=1")</f>
        <v>2.4600622222222217</v>
      </c>
      <c r="R1650" s="1">
        <f>COUNTIFS($S$549:$S$1073, "=1", $V$549:$V$1073, "=1", $S$1074:$S$1598, "=1", $V$1074:$V$1598, "=1")</f>
        <v>114</v>
      </c>
      <c r="S1650" s="1" t="s">
        <v>1710</v>
      </c>
      <c r="T1650" s="27">
        <f>AVERAGEIFS(B$1074:B$1598, $S$549:$S$1073, "=1", $V$549:$V$1073, "=1", $S$1074:$S$1598, "=1", $V$1074:$V$1598, "=1")</f>
        <v>3.4238596491228055</v>
      </c>
      <c r="U1650" s="27">
        <f t="shared" ref="U1650:AF1650" si="81">AVERAGEIFS(C$1074:C$1598, $S$549:$S$1073, "=1", $V$549:$V$1073, "=1", $S$1074:$S$1598, "=1", $V$1074:$V$1598, "=1")</f>
        <v>79.279736842105237</v>
      </c>
      <c r="V1650" s="27">
        <f t="shared" si="81"/>
        <v>16.577543859649118</v>
      </c>
      <c r="W1650" s="27">
        <f t="shared" si="81"/>
        <v>6.1522807017543837</v>
      </c>
      <c r="X1650" s="27">
        <f t="shared" si="81"/>
        <v>12.158070175438603</v>
      </c>
      <c r="Y1650" s="27">
        <f t="shared" si="81"/>
        <v>3.8316666666666679</v>
      </c>
      <c r="Z1650" s="27">
        <f t="shared" si="81"/>
        <v>9.9837719298245595</v>
      </c>
      <c r="AA1650" s="27">
        <f t="shared" si="81"/>
        <v>28.735526315789492</v>
      </c>
      <c r="AB1650" s="27">
        <f t="shared" si="81"/>
        <v>50.677192982456148</v>
      </c>
      <c r="AC1650" s="27">
        <f t="shared" si="81"/>
        <v>0.43476315789473674</v>
      </c>
      <c r="AD1650" s="27">
        <f t="shared" si="81"/>
        <v>3.9892982456140334E-2</v>
      </c>
      <c r="AE1650" s="27">
        <f t="shared" si="81"/>
        <v>34.169122807017544</v>
      </c>
      <c r="AF1650" s="27">
        <f t="shared" si="81"/>
        <v>1.8981578947368423</v>
      </c>
    </row>
    <row r="1651" spans="1:32" x14ac:dyDescent="0.35">
      <c r="A1651" s="37" t="s">
        <v>1698</v>
      </c>
      <c r="C1651" s="46"/>
      <c r="D1651" s="48" t="s">
        <v>1693</v>
      </c>
      <c r="E1651" s="46"/>
      <c r="F1651" s="48" t="s">
        <v>1693</v>
      </c>
      <c r="G1651" s="46"/>
      <c r="H1651" s="48" t="s">
        <v>1693</v>
      </c>
      <c r="I1651" s="48" t="s">
        <v>1693</v>
      </c>
      <c r="J1651" s="46"/>
      <c r="K1651" s="48" t="s">
        <v>1693</v>
      </c>
      <c r="L1651" s="46"/>
      <c r="M1651" s="46"/>
      <c r="N1651" s="46"/>
      <c r="O1651" s="46"/>
      <c r="R1651" s="37" t="s">
        <v>1698</v>
      </c>
      <c r="T1651" s="48" t="s">
        <v>1693</v>
      </c>
      <c r="U1651" s="46"/>
      <c r="V1651" s="48" t="s">
        <v>1693</v>
      </c>
      <c r="W1651" s="46"/>
      <c r="X1651" s="46"/>
      <c r="Y1651" s="46"/>
      <c r="Z1651" s="46"/>
      <c r="AA1651" s="48" t="s">
        <v>1693</v>
      </c>
      <c r="AB1651" s="46"/>
      <c r="AC1651" s="46"/>
      <c r="AD1651" s="46"/>
      <c r="AE1651" s="46"/>
      <c r="AF1651" s="46"/>
    </row>
    <row r="1652" spans="1:32" ht="31.2" customHeight="1" x14ac:dyDescent="0.35">
      <c r="B1652" s="14" t="s">
        <v>1335</v>
      </c>
      <c r="C1652" s="47" t="s">
        <v>1296</v>
      </c>
      <c r="D1652" s="47" t="s">
        <v>1297</v>
      </c>
      <c r="E1652" s="47" t="s">
        <v>1298</v>
      </c>
      <c r="F1652" s="47" t="s">
        <v>21</v>
      </c>
      <c r="G1652" s="47" t="s">
        <v>1299</v>
      </c>
      <c r="H1652" s="47" t="s">
        <v>22</v>
      </c>
      <c r="I1652" s="47" t="s">
        <v>1300</v>
      </c>
      <c r="J1652" s="47" t="s">
        <v>1301</v>
      </c>
      <c r="K1652" s="47" t="s">
        <v>1302</v>
      </c>
      <c r="L1652" s="47" t="s">
        <v>1303</v>
      </c>
      <c r="M1652" s="47" t="s">
        <v>1304</v>
      </c>
      <c r="N1652" s="47" t="s">
        <v>1305</v>
      </c>
      <c r="O1652" s="47" t="s">
        <v>1306</v>
      </c>
      <c r="S1652" s="14" t="s">
        <v>1335</v>
      </c>
      <c r="T1652" s="47" t="s">
        <v>1296</v>
      </c>
      <c r="U1652" s="47" t="s">
        <v>1297</v>
      </c>
      <c r="V1652" s="47" t="s">
        <v>1298</v>
      </c>
      <c r="W1652" s="47" t="s">
        <v>21</v>
      </c>
      <c r="X1652" s="47" t="s">
        <v>1299</v>
      </c>
      <c r="Y1652" s="47" t="s">
        <v>22</v>
      </c>
      <c r="Z1652" s="47" t="s">
        <v>1300</v>
      </c>
      <c r="AA1652" s="47" t="s">
        <v>1301</v>
      </c>
      <c r="AB1652" s="47" t="s">
        <v>1302</v>
      </c>
      <c r="AC1652" s="47" t="s">
        <v>1303</v>
      </c>
      <c r="AD1652" s="47" t="s">
        <v>1304</v>
      </c>
      <c r="AE1652" s="47" t="s">
        <v>1305</v>
      </c>
      <c r="AF1652" s="47" t="s">
        <v>1306</v>
      </c>
    </row>
    <row r="1653" spans="1:32" x14ac:dyDescent="0.35">
      <c r="A1653" s="1">
        <f>COUNTIFS($S$549:$S$1073, "&gt;1", $S$1074:$S$1598, "&gt;1")</f>
        <v>62</v>
      </c>
      <c r="B1653" s="1" t="s">
        <v>1711</v>
      </c>
      <c r="C1653" s="27">
        <f>AVERAGEIFS(B$549:B$1073, $S$549:$S$1073, "&gt;1", $S$1074:$S$1598, "&gt;1")</f>
        <v>4.0487096774193549</v>
      </c>
      <c r="D1653" s="27">
        <f>AVERAGEIFS(C$549:C$1073, $S$549:$S$1073, "&gt;1", $S$1074:$S$1598, "&gt;1")</f>
        <v>77.940967741935467</v>
      </c>
      <c r="E1653" s="27">
        <f>AVERAGEIFS(D$549:D$1073, $S$549:$S$1073, "&gt;1", $S$1074:$S$1598, "&gt;1")</f>
        <v>21.405483870967739</v>
      </c>
      <c r="F1653" s="27">
        <f>AVERAGEIFS(E$549:E$1073, $S$549:$S$1073, "&gt;1", $S$1074:$S$1598, "&gt;1")</f>
        <v>6.9729032258064532</v>
      </c>
      <c r="G1653" s="27">
        <f>AVERAGEIFS(F$549:F$1073, $S$549:$S$1073, "&gt;1", $S$1074:$S$1598, "&gt;1")</f>
        <v>15.855806451612908</v>
      </c>
      <c r="H1653" s="27">
        <f>AVERAGEIFS(G$549:G$1073, $S$549:$S$1073, "&gt;1", $S$1074:$S$1598, "&gt;1")</f>
        <v>4.2169354838709685</v>
      </c>
      <c r="I1653" s="27">
        <f>AVERAGEIFS(H$549:H$1073, $S$549:$S$1073, "&gt;1", $S$1074:$S$1598, "&gt;1")</f>
        <v>11.190806451612904</v>
      </c>
      <c r="J1653" s="27">
        <f>AVERAGEIFS(I$549:I$1073, $S$549:$S$1073, "&gt;1", $S$1074:$S$1598, "&gt;1")</f>
        <v>37.26064516129032</v>
      </c>
      <c r="K1653" s="27">
        <f>AVERAGEIFS(J$549:J$1073, $S$549:$S$1073, "&gt;1", $S$1074:$S$1598, "&gt;1")</f>
        <v>61.217903225806459</v>
      </c>
      <c r="L1653" s="27">
        <f>AVERAGEIFS(K$549:K$1073, $S$549:$S$1073, "&gt;1", $S$1074:$S$1598, "&gt;1")</f>
        <v>0.37467741935483867</v>
      </c>
      <c r="M1653" s="27">
        <f>AVERAGEIFS(L$549:L$1073, $S$549:$S$1073, "&gt;1", $S$1074:$S$1598, "&gt;1")</f>
        <v>5.2287096774193534E-2</v>
      </c>
      <c r="N1653" s="27">
        <f>AVERAGEIFS(M$549:M$1073, $S$549:$S$1073, "&gt;1", $S$1074:$S$1598, "&gt;1")</f>
        <v>55.909629032258081</v>
      </c>
      <c r="O1653" s="27">
        <f>AVERAGEIFS(N$549:N$1073, $S$549:$S$1073, "&gt;1", $S$1074:$S$1598, "&gt;1")</f>
        <v>3.1062548387096771</v>
      </c>
      <c r="R1653" s="1">
        <f>COUNTIFS($S$549:$S$1073, "=1", $V$549:$V$1073, "&gt;1", $S$1074:$S$1598, "=1", $V$1074:$V$1598, "&gt;1")</f>
        <v>24</v>
      </c>
      <c r="S1653" s="1" t="s">
        <v>1712</v>
      </c>
      <c r="T1653" s="27">
        <f>AVERAGEIFS(B$549:B$1073, $S$549:$S$1073, "=1", $V$549:$V$1073, "&gt;1", $S$1074:$S$1598, "=1", $V$1074:$V$1598, "&gt;1")</f>
        <v>4.0558333333333332</v>
      </c>
      <c r="U1653" s="27">
        <f t="shared" ref="U1653:AF1653" si="82">AVERAGEIFS(C$549:C$1073, $S$549:$S$1073, "=1", $V$549:$V$1073, "&gt;1", $S$1074:$S$1598, "=1", $V$1074:$V$1598, "&gt;1")</f>
        <v>77.809166666666655</v>
      </c>
      <c r="V1653" s="27">
        <f t="shared" si="82"/>
        <v>14.303333333333335</v>
      </c>
      <c r="W1653" s="27">
        <f t="shared" si="82"/>
        <v>5.6466666666666674</v>
      </c>
      <c r="X1653" s="27">
        <f t="shared" si="82"/>
        <v>11.672083333333333</v>
      </c>
      <c r="Y1653" s="27">
        <f t="shared" si="82"/>
        <v>3.9104166666666664</v>
      </c>
      <c r="Z1653" s="27">
        <f t="shared" si="82"/>
        <v>9.5583333333333318</v>
      </c>
      <c r="AA1653" s="27">
        <f t="shared" si="82"/>
        <v>25.977499999999996</v>
      </c>
      <c r="AB1653" s="27">
        <f t="shared" si="82"/>
        <v>47.072499999999998</v>
      </c>
      <c r="AC1653" s="27">
        <f t="shared" si="82"/>
        <v>0.27079166666666665</v>
      </c>
      <c r="AD1653" s="27">
        <f t="shared" si="82"/>
        <v>5.9041666666666666E-2</v>
      </c>
      <c r="AE1653" s="27">
        <f t="shared" si="82"/>
        <v>4.9662499999999996</v>
      </c>
      <c r="AF1653" s="27">
        <f t="shared" si="82"/>
        <v>0.27637499999999998</v>
      </c>
    </row>
    <row r="1654" spans="1:32" x14ac:dyDescent="0.35">
      <c r="A1654" s="1">
        <f>COUNTIFS($S$549:$S$1073, "&gt;1", $S$1074:$S$1598, "&gt;1")</f>
        <v>62</v>
      </c>
      <c r="B1654" s="1" t="s">
        <v>1713</v>
      </c>
      <c r="C1654" s="27">
        <f>AVERAGEIFS(B$1074:B$1598, $S$549:$S$1073, "&gt;1", $S$1074:$S$1598, "&gt;1")</f>
        <v>4.0730645161290333</v>
      </c>
      <c r="D1654" s="27">
        <f>AVERAGEIFS(C$1074:C$1598, $S$549:$S$1073, "&gt;1", $S$1074:$S$1598, "&gt;1")</f>
        <v>77.757580645161269</v>
      </c>
      <c r="E1654" s="27">
        <f>AVERAGEIFS(D$1074:D$1598, $S$549:$S$1073, "&gt;1", $S$1074:$S$1598, "&gt;1")</f>
        <v>21.26193548387096</v>
      </c>
      <c r="F1654" s="27">
        <f>AVERAGEIFS(E$1074:E$1598, $S$549:$S$1073, "&gt;1", $S$1074:$S$1598, "&gt;1")</f>
        <v>6.9777419354838726</v>
      </c>
      <c r="G1654" s="27">
        <f>AVERAGEIFS(F$1074:F$1598, $S$549:$S$1073, "&gt;1", $S$1074:$S$1598, "&gt;1")</f>
        <v>15.834193548387097</v>
      </c>
      <c r="H1654" s="27">
        <f>AVERAGEIFS(G$1074:G$1598, $S$549:$S$1073, "&gt;1", $S$1074:$S$1598, "&gt;1")</f>
        <v>4.2558064516129033</v>
      </c>
      <c r="I1654" s="27">
        <f>AVERAGEIFS(H$1074:H$1598, $S$549:$S$1073, "&gt;1", $S$1074:$S$1598, "&gt;1")</f>
        <v>11.234193548387095</v>
      </c>
      <c r="J1654" s="27">
        <f>AVERAGEIFS(I$1074:I$1598, $S$549:$S$1073, "&gt;1", $S$1074:$S$1598, "&gt;1")</f>
        <v>37.095322580645167</v>
      </c>
      <c r="K1654" s="27">
        <f>AVERAGEIFS(J$1074:J$1598, $S$549:$S$1073, "&gt;1", $S$1074:$S$1598, "&gt;1")</f>
        <v>61.194677419354832</v>
      </c>
      <c r="L1654" s="27">
        <f>AVERAGEIFS(K$1074:K$1598, $S$549:$S$1073, "&gt;1", $S$1074:$S$1598, "&gt;1")</f>
        <v>0.40354838709677415</v>
      </c>
      <c r="M1654" s="27">
        <f>AVERAGEIFS(L$1074:L$1598, $S$549:$S$1073, "&gt;1", $S$1074:$S$1598, "&gt;1")</f>
        <v>5.7916129032258054E-2</v>
      </c>
      <c r="N1654" s="27">
        <f>AVERAGEIFS(M$1074:M$1598, $S$549:$S$1073, "&gt;1", $S$1074:$S$1598, "&gt;1")</f>
        <v>56.821080645161302</v>
      </c>
      <c r="O1654" s="27">
        <f>AVERAGEIFS(N$1074:N$1598, $S$549:$S$1073, "&gt;1", $S$1074:$S$1598, "&gt;1")</f>
        <v>3.1567387096774184</v>
      </c>
      <c r="R1654" s="1">
        <f>COUNTIFS($S$549:$S$1073, "=1", $V$549:$V$1073, "&gt;1", $S$1074:$S$1598, "=1", $V$1074:$V$1598, "&gt;1")</f>
        <v>24</v>
      </c>
      <c r="S1654" s="1" t="s">
        <v>1714</v>
      </c>
      <c r="T1654" s="27">
        <f>AVERAGEIFS(B$1074:B$1598, $S$549:$S$1073, "=1", $V$549:$V$1073, "&gt;1", $S$1074:$S$1598, "=1", $V$1074:$V$1598, "&gt;1")</f>
        <v>4.0604166666666677</v>
      </c>
      <c r="U1654" s="27">
        <f t="shared" ref="U1654:AF1654" si="83">AVERAGEIFS(C$1074:C$1598, $S$549:$S$1073, "=1", $V$549:$V$1073, "&gt;1", $S$1074:$S$1598, "=1", $V$1074:$V$1598, "&gt;1")</f>
        <v>77.858333333333334</v>
      </c>
      <c r="V1654" s="27">
        <f t="shared" si="83"/>
        <v>14.424583333333336</v>
      </c>
      <c r="W1654" s="27">
        <f t="shared" si="83"/>
        <v>5.649166666666666</v>
      </c>
      <c r="X1654" s="27">
        <f t="shared" si="83"/>
        <v>11.755416666666664</v>
      </c>
      <c r="Y1654" s="27">
        <f t="shared" si="83"/>
        <v>3.8837499999999991</v>
      </c>
      <c r="Z1654" s="27">
        <f t="shared" si="83"/>
        <v>9.5337499999999977</v>
      </c>
      <c r="AA1654" s="27">
        <f t="shared" si="83"/>
        <v>26.182083333333335</v>
      </c>
      <c r="AB1654" s="27">
        <f t="shared" si="83"/>
        <v>47.035416666666663</v>
      </c>
      <c r="AC1654" s="27">
        <f t="shared" si="83"/>
        <v>0.26383333333333331</v>
      </c>
      <c r="AD1654" s="27">
        <f t="shared" si="83"/>
        <v>5.8958333333333335E-2</v>
      </c>
      <c r="AE1654" s="27">
        <f t="shared" si="83"/>
        <v>4.8299999999999992</v>
      </c>
      <c r="AF1654" s="27">
        <f t="shared" si="83"/>
        <v>0.26887499999999998</v>
      </c>
    </row>
    <row r="1655" spans="1:32" x14ac:dyDescent="0.35">
      <c r="A1655" s="37" t="s">
        <v>1698</v>
      </c>
      <c r="C1655" s="27"/>
      <c r="D1655" s="27"/>
      <c r="E1655" s="27"/>
      <c r="F1655" s="27"/>
      <c r="G1655" s="27"/>
      <c r="H1655" s="27"/>
      <c r="I1655" s="27"/>
      <c r="J1655" s="27"/>
      <c r="K1655" s="27"/>
      <c r="L1655" s="27"/>
      <c r="M1655" s="48" t="s">
        <v>1693</v>
      </c>
      <c r="N1655" s="27"/>
      <c r="O1655" s="27"/>
      <c r="R1655" s="37" t="s">
        <v>1698</v>
      </c>
      <c r="T1655" s="48"/>
      <c r="U1655" s="48"/>
      <c r="V1655" s="48"/>
      <c r="W1655" s="48"/>
      <c r="X1655" s="48"/>
      <c r="Y1655" s="48" t="s">
        <v>1693</v>
      </c>
      <c r="Z1655" s="48"/>
      <c r="AA1655" s="48"/>
      <c r="AB1655" s="48"/>
      <c r="AC1655" s="48"/>
      <c r="AD1655" s="48"/>
      <c r="AE1655" s="27"/>
      <c r="AF1655" s="27"/>
    </row>
    <row r="1656" spans="1:32" x14ac:dyDescent="0.35">
      <c r="C1656" s="27"/>
      <c r="D1656" s="27"/>
      <c r="E1656" s="27"/>
      <c r="F1656" s="27"/>
      <c r="G1656" s="27"/>
      <c r="H1656" s="27"/>
      <c r="I1656" s="27"/>
      <c r="J1656" s="27"/>
      <c r="K1656" s="27"/>
      <c r="L1656" s="27"/>
      <c r="M1656" s="27"/>
      <c r="N1656" s="27"/>
      <c r="O1656" s="27"/>
      <c r="T1656" s="27"/>
      <c r="U1656" s="27"/>
      <c r="V1656" s="27"/>
      <c r="W1656" s="27"/>
      <c r="X1656" s="27"/>
      <c r="Y1656" s="27"/>
      <c r="Z1656" s="27"/>
      <c r="AA1656" s="27"/>
      <c r="AB1656" s="27"/>
      <c r="AC1656" s="27"/>
      <c r="AD1656" s="27"/>
      <c r="AE1656" s="27"/>
      <c r="AF1656" s="27"/>
    </row>
    <row r="1657" spans="1:32" ht="33.6" customHeight="1" x14ac:dyDescent="0.35">
      <c r="B1657" s="14" t="s">
        <v>1335</v>
      </c>
      <c r="C1657" s="47" t="s">
        <v>1296</v>
      </c>
      <c r="D1657" s="47" t="s">
        <v>1297</v>
      </c>
      <c r="E1657" s="47" t="s">
        <v>1298</v>
      </c>
      <c r="F1657" s="47" t="s">
        <v>21</v>
      </c>
      <c r="G1657" s="47" t="s">
        <v>1299</v>
      </c>
      <c r="H1657" s="47" t="s">
        <v>22</v>
      </c>
      <c r="I1657" s="47" t="s">
        <v>1300</v>
      </c>
      <c r="J1657" s="47" t="s">
        <v>1301</v>
      </c>
      <c r="K1657" s="47" t="s">
        <v>1302</v>
      </c>
      <c r="L1657" s="47" t="s">
        <v>1303</v>
      </c>
      <c r="M1657" s="47" t="s">
        <v>1304</v>
      </c>
      <c r="N1657" s="47" t="s">
        <v>1305</v>
      </c>
      <c r="O1657" s="47" t="s">
        <v>1306</v>
      </c>
      <c r="S1657" s="14" t="s">
        <v>1335</v>
      </c>
      <c r="T1657" s="47" t="s">
        <v>1296</v>
      </c>
      <c r="U1657" s="47" t="s">
        <v>1297</v>
      </c>
      <c r="V1657" s="47" t="s">
        <v>1298</v>
      </c>
      <c r="W1657" s="47" t="s">
        <v>21</v>
      </c>
      <c r="X1657" s="47" t="s">
        <v>1299</v>
      </c>
      <c r="Y1657" s="47" t="s">
        <v>22</v>
      </c>
      <c r="Z1657" s="47" t="s">
        <v>1300</v>
      </c>
      <c r="AA1657" s="47" t="s">
        <v>1301</v>
      </c>
      <c r="AB1657" s="47" t="s">
        <v>1302</v>
      </c>
      <c r="AC1657" s="47" t="s">
        <v>1303</v>
      </c>
      <c r="AD1657" s="47" t="s">
        <v>1304</v>
      </c>
      <c r="AE1657" s="47" t="s">
        <v>1305</v>
      </c>
      <c r="AF1657" s="47" t="s">
        <v>1306</v>
      </c>
    </row>
    <row r="1658" spans="1:32" x14ac:dyDescent="0.35">
      <c r="A1658" s="1">
        <f>COUNTIFS($V$549:$V$1073, "=1", $V$1074:$V$1598, "=1")</f>
        <v>114</v>
      </c>
      <c r="B1658" s="1" t="s">
        <v>1694</v>
      </c>
      <c r="C1658" s="27">
        <f>AVERAGEIFS(B$549:B$1073, $V$549:$V$1073, "=1", $V$1074:$V$1598, "=1")</f>
        <v>3.4281578947368412</v>
      </c>
      <c r="D1658" s="27">
        <f>AVERAGEIFS(C$549:C$1073, $V$549:$V$1073, "=1", $V$1074:$V$1598, "=1")</f>
        <v>79.279649122806973</v>
      </c>
      <c r="E1658" s="27">
        <f>AVERAGEIFS(D$549:D$1073, $V$549:$V$1073, "=1", $V$1074:$V$1598, "=1")</f>
        <v>16.597543859649122</v>
      </c>
      <c r="F1658" s="27">
        <f>AVERAGEIFS(E$549:E$1073, $V$549:$V$1073, "=1", $V$1074:$V$1598, "=1")</f>
        <v>6.1499999999999995</v>
      </c>
      <c r="G1658" s="27">
        <f>AVERAGEIFS(F$549:F$1073, $V$549:$V$1073, "=1", $V$1074:$V$1598, "=1")</f>
        <v>12.170000000000005</v>
      </c>
      <c r="H1658" s="27">
        <f>AVERAGEIFS(G$549:G$1073, $V$549:$V$1073, "=1", $V$1074:$V$1598, "=1")</f>
        <v>3.8307017543859656</v>
      </c>
      <c r="I1658" s="27">
        <f>AVERAGEIFS(H$549:H$1073, $V$549:$V$1073, "=1", $V$1074:$V$1598, "=1")</f>
        <v>9.9807894736842115</v>
      </c>
      <c r="J1658" s="27">
        <f>AVERAGEIFS(I$549:I$1073, $V$549:$V$1073, "=1", $V$1074:$V$1598, "=1")</f>
        <v>28.767368421052648</v>
      </c>
      <c r="K1658" s="27">
        <f>AVERAGEIFS(J$549:J$1073, $V$549:$V$1073, "=1", $V$1074:$V$1598, "=1")</f>
        <v>50.687280701754389</v>
      </c>
      <c r="L1658" s="27">
        <f>AVERAGEIFS(K$549:K$1073, $V$549:$V$1073, "=1", $V$1074:$V$1598, "=1")</f>
        <v>0.42929824561403501</v>
      </c>
      <c r="M1658" s="27">
        <f>AVERAGEIFS(L$549:L$1073, $V$549:$V$1073, "=1", $V$1074:$V$1598, "=1")</f>
        <v>3.9647368421052619E-2</v>
      </c>
      <c r="N1658" s="27">
        <f>AVERAGEIFS(M$549:M$1073, $V$549:$V$1073, "=1", $V$1074:$V$1598, "=1")</f>
        <v>33.905701754385966</v>
      </c>
      <c r="O1658" s="27">
        <f>AVERAGEIFS(N$549:N$1073, $V$549:$V$1073, "=1", $V$1074:$V$1598, "=1")</f>
        <v>1.8834912280701757</v>
      </c>
      <c r="R1658" s="1">
        <f>COUNTIFS($Q$24:$Q$1598, "*Fixed", $AA$24:$AA$1598, "YES")</f>
        <v>4</v>
      </c>
      <c r="S1658" s="1" t="s">
        <v>1715</v>
      </c>
      <c r="T1658" s="27">
        <f>AVERAGEIFS(B$24:B$1598, $Q$24:$Q$1598, "*Fixed", $AA$24:$AA$1598, "YES")</f>
        <v>3.7649999999999997</v>
      </c>
      <c r="U1658" s="27">
        <f t="shared" ref="U1658:AF1658" si="84">AVERAGEIFS(C$24:C$1598, $Q$24:$Q$1598, "*Fixed", $AA$24:$AA$1598, "YES")</f>
        <v>75.642499999999998</v>
      </c>
      <c r="V1658" s="27">
        <f t="shared" si="84"/>
        <v>15.4975</v>
      </c>
      <c r="W1658" s="27">
        <f t="shared" si="84"/>
        <v>6.4725000000000001</v>
      </c>
      <c r="X1658" s="27">
        <f t="shared" si="84"/>
        <v>10.8475</v>
      </c>
      <c r="Y1658" s="27">
        <f t="shared" si="84"/>
        <v>5.4524999999999997</v>
      </c>
      <c r="Z1658" s="27">
        <f t="shared" si="84"/>
        <v>11.9275</v>
      </c>
      <c r="AA1658" s="27">
        <f t="shared" si="84"/>
        <v>26.342499999999998</v>
      </c>
      <c r="AB1658" s="27">
        <f t="shared" si="84"/>
        <v>57.139999999999993</v>
      </c>
      <c r="AC1658" s="27">
        <f t="shared" si="84"/>
        <v>0.7037500000000001</v>
      </c>
      <c r="AD1658" s="27">
        <f t="shared" si="84"/>
        <v>6.7750000000000005E-2</v>
      </c>
      <c r="AE1658" s="27">
        <f t="shared" si="84"/>
        <v>27.912500000000001</v>
      </c>
      <c r="AF1658" s="27">
        <f t="shared" si="84"/>
        <v>1.5505</v>
      </c>
    </row>
    <row r="1659" spans="1:32" x14ac:dyDescent="0.35">
      <c r="A1659" s="1">
        <f>COUNTIFS($V$549:$V$1073, "=1", $V$1074:$V$1598, "=1")</f>
        <v>114</v>
      </c>
      <c r="B1659" s="1" t="s">
        <v>1695</v>
      </c>
      <c r="C1659" s="27">
        <f>AVERAGEIFS(B$1074:B$1598, $V$549:$V$1073, "=1", $V$1074:$V$1598, "=1")</f>
        <v>3.4238596491228055</v>
      </c>
      <c r="D1659" s="27">
        <f>AVERAGEIFS(C$1074:C$1598, $V$549:$V$1073, "=1", $V$1074:$V$1598, "=1")</f>
        <v>79.279736842105237</v>
      </c>
      <c r="E1659" s="27">
        <f>AVERAGEIFS(D$1074:D$1598, $V$549:$V$1073, "=1", $V$1074:$V$1598, "=1")</f>
        <v>16.577543859649118</v>
      </c>
      <c r="F1659" s="27">
        <f>AVERAGEIFS(E$1074:E$1598, $V$549:$V$1073, "=1", $V$1074:$V$1598, "=1")</f>
        <v>6.1522807017543837</v>
      </c>
      <c r="G1659" s="27">
        <f>AVERAGEIFS(F$1074:F$1598, $V$549:$V$1073, "=1", $V$1074:$V$1598, "=1")</f>
        <v>12.158070175438603</v>
      </c>
      <c r="H1659" s="27">
        <f>AVERAGEIFS(G$1074:G$1598, $V$549:$V$1073, "=1", $V$1074:$V$1598, "=1")</f>
        <v>3.8316666666666679</v>
      </c>
      <c r="I1659" s="27">
        <f>AVERAGEIFS(H$1074:H$1598, $V$549:$V$1073, "=1", $V$1074:$V$1598, "=1")</f>
        <v>9.9837719298245595</v>
      </c>
      <c r="J1659" s="27">
        <f>AVERAGEIFS(I$1074:I$1598, $V$549:$V$1073, "=1", $V$1074:$V$1598, "=1")</f>
        <v>28.735526315789492</v>
      </c>
      <c r="K1659" s="27">
        <f>AVERAGEIFS(J$1074:J$1598, $V$549:$V$1073, "=1", $V$1074:$V$1598, "=1")</f>
        <v>50.677192982456148</v>
      </c>
      <c r="L1659" s="27">
        <f>AVERAGEIFS(K$1074:K$1598, $V$549:$V$1073, "=1", $V$1074:$V$1598, "=1")</f>
        <v>0.43476315789473674</v>
      </c>
      <c r="M1659" s="27">
        <f>AVERAGEIFS(L$1074:L$1598, $V$549:$V$1073, "=1", $V$1074:$V$1598, "=1")</f>
        <v>3.9892982456140334E-2</v>
      </c>
      <c r="N1659" s="27">
        <f>AVERAGEIFS(M$1074:M$1598, $V$549:$V$1073, "=1", $V$1074:$V$1598, "=1")</f>
        <v>34.169122807017544</v>
      </c>
      <c r="O1659" s="27">
        <f>AVERAGEIFS(N$1074:N$1598, $V$549:$V$1073, "=1", $V$1074:$V$1598, "=1")</f>
        <v>1.8981578947368423</v>
      </c>
      <c r="R1659" s="1">
        <f>COUNTIFS($Q$24:$Q$1598, "*Repaired", $AA$24:$AA$1598, "YES")</f>
        <v>4</v>
      </c>
      <c r="S1659" s="1" t="s">
        <v>1716</v>
      </c>
      <c r="T1659" s="27">
        <f>AVERAGEIFS(B$24:B$1598, $Q$24:$Q$1598, "*Repaired", $AA$24:$AA$1598, "YES")</f>
        <v>3.7675000000000001</v>
      </c>
      <c r="U1659" s="27">
        <f t="shared" ref="U1659:AF1659" si="85">AVERAGEIFS(C$24:C$1598, $Q$24:$Q$1598, "*Repaired", $AA$24:$AA$1598, "YES")</f>
        <v>75.637500000000003</v>
      </c>
      <c r="V1659" s="27">
        <f t="shared" si="85"/>
        <v>15.502500000000001</v>
      </c>
      <c r="W1659" s="27">
        <f t="shared" si="85"/>
        <v>6.4700000000000006</v>
      </c>
      <c r="X1659" s="27">
        <f t="shared" si="85"/>
        <v>10.85</v>
      </c>
      <c r="Y1659" s="27">
        <f t="shared" si="85"/>
        <v>5.4524999999999997</v>
      </c>
      <c r="Z1659" s="27">
        <f t="shared" si="85"/>
        <v>11.925000000000001</v>
      </c>
      <c r="AA1659" s="27">
        <f t="shared" si="85"/>
        <v>26.355</v>
      </c>
      <c r="AB1659" s="27">
        <f t="shared" si="85"/>
        <v>57.129999999999995</v>
      </c>
      <c r="AC1659" s="27">
        <f t="shared" si="85"/>
        <v>0.7037500000000001</v>
      </c>
      <c r="AD1659" s="27">
        <f t="shared" si="85"/>
        <v>6.7750000000000005E-2</v>
      </c>
      <c r="AE1659" s="27">
        <f t="shared" si="85"/>
        <v>27.912500000000001</v>
      </c>
      <c r="AF1659" s="27">
        <f t="shared" si="85"/>
        <v>1.5505</v>
      </c>
    </row>
    <row r="1660" spans="1:32" x14ac:dyDescent="0.35">
      <c r="A1660" s="37"/>
      <c r="C1660" s="48" t="s">
        <v>1693</v>
      </c>
      <c r="D1660" s="27"/>
      <c r="E1660" s="48" t="s">
        <v>1693</v>
      </c>
      <c r="F1660" s="27"/>
      <c r="G1660" s="27"/>
      <c r="H1660" s="27"/>
      <c r="I1660" s="27"/>
      <c r="J1660" s="48" t="s">
        <v>1728</v>
      </c>
      <c r="K1660" s="27"/>
      <c r="L1660" s="27"/>
      <c r="M1660" s="27"/>
      <c r="N1660" s="27"/>
      <c r="O1660" s="27"/>
      <c r="R1660" s="37" t="s">
        <v>1698</v>
      </c>
      <c r="T1660" s="46"/>
      <c r="U1660" s="46"/>
      <c r="V1660" s="46"/>
      <c r="W1660" s="46"/>
      <c r="X1660" s="46"/>
      <c r="Y1660" s="46"/>
      <c r="Z1660" s="46"/>
      <c r="AA1660" s="46"/>
      <c r="AB1660" s="46"/>
      <c r="AC1660" s="46"/>
      <c r="AD1660" s="46"/>
      <c r="AE1660" s="46"/>
      <c r="AF1660" s="46"/>
    </row>
    <row r="1661" spans="1:32" ht="32.4" customHeight="1" x14ac:dyDescent="0.35">
      <c r="B1661" s="14" t="s">
        <v>1335</v>
      </c>
      <c r="C1661" s="47" t="s">
        <v>1296</v>
      </c>
      <c r="D1661" s="47" t="s">
        <v>1297</v>
      </c>
      <c r="E1661" s="47" t="s">
        <v>1298</v>
      </c>
      <c r="F1661" s="47" t="s">
        <v>21</v>
      </c>
      <c r="G1661" s="47" t="s">
        <v>1299</v>
      </c>
      <c r="H1661" s="47" t="s">
        <v>22</v>
      </c>
      <c r="I1661" s="47" t="s">
        <v>1300</v>
      </c>
      <c r="J1661" s="47" t="s">
        <v>1301</v>
      </c>
      <c r="K1661" s="47" t="s">
        <v>1302</v>
      </c>
      <c r="L1661" s="47" t="s">
        <v>1303</v>
      </c>
      <c r="M1661" s="47" t="s">
        <v>1304</v>
      </c>
      <c r="N1661" s="47" t="s">
        <v>1305</v>
      </c>
      <c r="O1661" s="47" t="s">
        <v>1306</v>
      </c>
      <c r="S1661" s="14" t="s">
        <v>1335</v>
      </c>
      <c r="T1661" s="47" t="s">
        <v>1296</v>
      </c>
      <c r="U1661" s="47" t="s">
        <v>1297</v>
      </c>
      <c r="V1661" s="47" t="s">
        <v>1298</v>
      </c>
      <c r="W1661" s="47" t="s">
        <v>21</v>
      </c>
      <c r="X1661" s="47" t="s">
        <v>1299</v>
      </c>
      <c r="Y1661" s="47" t="s">
        <v>22</v>
      </c>
      <c r="Z1661" s="47" t="s">
        <v>1300</v>
      </c>
      <c r="AA1661" s="47" t="s">
        <v>1301</v>
      </c>
      <c r="AB1661" s="47" t="s">
        <v>1302</v>
      </c>
      <c r="AC1661" s="47" t="s">
        <v>1303</v>
      </c>
      <c r="AD1661" s="47" t="s">
        <v>1304</v>
      </c>
      <c r="AE1661" s="47" t="s">
        <v>1305</v>
      </c>
      <c r="AF1661" s="47" t="s">
        <v>1306</v>
      </c>
    </row>
    <row r="1662" spans="1:32" x14ac:dyDescent="0.35">
      <c r="A1662" s="1">
        <f>COUNTIFS($V$549:$V$1073, "&gt;1", $V$1074:$V$1598, "&gt;1")</f>
        <v>188</v>
      </c>
      <c r="B1662" s="1" t="s">
        <v>1696</v>
      </c>
      <c r="C1662" s="27">
        <f>AVERAGEIFS(B$549:B$1073, $V$549:$V$1073, "&gt;1", $V$1074:$V$1598, "&gt;1")</f>
        <v>4.0160638297872397</v>
      </c>
      <c r="D1662" s="27">
        <f>AVERAGEIFS(C$549:C$1073, $V$549:$V$1073, "&gt;1", $V$1074:$V$1598, "&gt;1")</f>
        <v>77.624946808510643</v>
      </c>
      <c r="E1662" s="27">
        <f>AVERAGEIFS(D$549:D$1073, $V$549:$V$1073, "&gt;1", $V$1074:$V$1598, "&gt;1")</f>
        <v>18.887872340425531</v>
      </c>
      <c r="F1662" s="27">
        <f>AVERAGEIFS(E$549:E$1073, $V$549:$V$1073, "&gt;1", $V$1074:$V$1598, "&gt;1")</f>
        <v>6.5814361702127657</v>
      </c>
      <c r="G1662" s="27">
        <f>AVERAGEIFS(F$549:F$1073, $V$549:$V$1073, "&gt;1", $V$1074:$V$1598, "&gt;1")</f>
        <v>14.355265957446813</v>
      </c>
      <c r="H1662" s="27">
        <f>AVERAGEIFS(G$549:G$1073, $V$549:$V$1073, "&gt;1", $V$1074:$V$1598, "&gt;1")</f>
        <v>4.1009574468085104</v>
      </c>
      <c r="I1662" s="27">
        <f>AVERAGEIFS(H$549:H$1073, $V$549:$V$1073, "&gt;1", $V$1074:$V$1598, "&gt;1")</f>
        <v>10.683297872340422</v>
      </c>
      <c r="J1662" s="27">
        <f>AVERAGEIFS(I$549:I$1073, $V$549:$V$1073, "&gt;1", $V$1074:$V$1598, "&gt;1")</f>
        <v>33.243617021276606</v>
      </c>
      <c r="K1662" s="27">
        <f>AVERAGEIFS(J$549:J$1073, $V$549:$V$1073, "&gt;1", $V$1074:$V$1598, "&gt;1")</f>
        <v>56.690265957446833</v>
      </c>
      <c r="L1662" s="27">
        <f>AVERAGEIFS(K$549:K$1073, $V$549:$V$1073, "&gt;1", $V$1074:$V$1598, "&gt;1")</f>
        <v>0.37042553191489364</v>
      </c>
      <c r="M1662" s="27">
        <f>AVERAGEIFS(L$549:L$1073, $V$549:$V$1073, "&gt;1", $V$1074:$V$1598, "&gt;1")</f>
        <v>5.5196808510638282E-2</v>
      </c>
      <c r="N1662" s="27">
        <f>AVERAGEIFS(M$549:M$1073, $V$549:$V$1073, "&gt;1", $V$1074:$V$1598, "&gt;1")</f>
        <v>31.645750000000024</v>
      </c>
      <c r="O1662" s="27">
        <f>AVERAGEIFS(N$549:N$1073, $V$549:$V$1073, "&gt;1", $V$1074:$V$1598, "&gt;1")</f>
        <v>1.7583372340425536</v>
      </c>
      <c r="R1662" s="1">
        <f>COUNTIFS($Q$24:$Q$1598, "*Fixed", $AB$24:$AB$1598, "YES")</f>
        <v>31</v>
      </c>
      <c r="S1662" s="1" t="s">
        <v>1717</v>
      </c>
      <c r="T1662" s="27">
        <f>AVERAGEIFS(B$24:B$1598, $Q$24:$Q$1598, "*Fixed", $AB$24:$AB$1598, "YES")</f>
        <v>5.0645161290322571</v>
      </c>
      <c r="U1662" s="27">
        <f t="shared" ref="U1662:AF1662" si="86">AVERAGEIFS(C$24:C$1598, $Q$24:$Q$1598, "*Fixed", $AB$24:$AB$1598, "YES")</f>
        <v>74.714193548387087</v>
      </c>
      <c r="V1662" s="27">
        <f t="shared" si="86"/>
        <v>29.640645161290326</v>
      </c>
      <c r="W1662" s="27">
        <f t="shared" si="86"/>
        <v>8.6841935483870962</v>
      </c>
      <c r="X1662" s="27">
        <f t="shared" si="86"/>
        <v>21.923548387096776</v>
      </c>
      <c r="Y1662" s="27">
        <f t="shared" si="86"/>
        <v>4.9380645161290335</v>
      </c>
      <c r="Z1662" s="27">
        <f t="shared" si="86"/>
        <v>13.623225806451616</v>
      </c>
      <c r="AA1662" s="27">
        <f t="shared" si="86"/>
        <v>51.563548387096766</v>
      </c>
      <c r="AB1662" s="27">
        <f t="shared" si="86"/>
        <v>81.138064516129035</v>
      </c>
      <c r="AC1662" s="27">
        <f t="shared" si="86"/>
        <v>0.3413225806451613</v>
      </c>
      <c r="AD1662" s="27">
        <f t="shared" si="86"/>
        <v>4.6703225806451615E-2</v>
      </c>
      <c r="AE1662" s="27">
        <f t="shared" si="86"/>
        <v>78.30612903225807</v>
      </c>
      <c r="AF1662" s="27">
        <f t="shared" si="86"/>
        <v>4.3503548387096771</v>
      </c>
    </row>
    <row r="1663" spans="1:32" x14ac:dyDescent="0.35">
      <c r="A1663" s="1">
        <f>COUNTIFS($V$549:$V$1073, "&gt;1", $V$1074:$V$1598, "&gt;1")</f>
        <v>188</v>
      </c>
      <c r="B1663" s="1" t="s">
        <v>1697</v>
      </c>
      <c r="C1663" s="27">
        <f>AVERAGEIFS(B$1074:B$1598, $V$549:$V$1073, "&gt;1", $V$1074:$V$1598, "&gt;1")</f>
        <v>4.0143085106383003</v>
      </c>
      <c r="D1663" s="27">
        <f>AVERAGEIFS(C$1074:C$1598, $V$549:$V$1073, "&gt;1", $V$1074:$V$1598, "&gt;1")</f>
        <v>77.656382978723386</v>
      </c>
      <c r="E1663" s="27">
        <f>AVERAGEIFS(D$1074:D$1598, $V$549:$V$1073, "&gt;1", $V$1074:$V$1598, "&gt;1")</f>
        <v>18.691329787234039</v>
      </c>
      <c r="F1663" s="27">
        <f>AVERAGEIFS(E$1074:E$1598, $V$549:$V$1073, "&gt;1", $V$1074:$V$1598, "&gt;1")</f>
        <v>6.5574468085106377</v>
      </c>
      <c r="G1663" s="27">
        <f>AVERAGEIFS(F$1074:F$1598, $V$549:$V$1073, "&gt;1", $V$1074:$V$1598, "&gt;1")</f>
        <v>14.314999999999989</v>
      </c>
      <c r="H1663" s="27">
        <f>AVERAGEIFS(G$1074:G$1598, $V$549:$V$1073, "&gt;1", $V$1074:$V$1598, "&gt;1")</f>
        <v>4.0928723404255338</v>
      </c>
      <c r="I1663" s="27">
        <f>AVERAGEIFS(H$1074:H$1598, $V$549:$V$1073, "&gt;1", $V$1074:$V$1598, "&gt;1")</f>
        <v>10.650638297872343</v>
      </c>
      <c r="J1663" s="27">
        <f>AVERAGEIFS(I$1074:I$1598, $V$549:$V$1073, "&gt;1", $V$1074:$V$1598, "&gt;1")</f>
        <v>33.006117021276587</v>
      </c>
      <c r="K1663" s="27">
        <f>AVERAGEIFS(J$1074:J$1598, $V$549:$V$1073, "&gt;1", $V$1074:$V$1598, "&gt;1")</f>
        <v>56.355159574468068</v>
      </c>
      <c r="L1663" s="27">
        <f>AVERAGEIFS(K$1074:K$1598, $V$549:$V$1073, "&gt;1", $V$1074:$V$1598, "&gt;1")</f>
        <v>0.38346276595744683</v>
      </c>
      <c r="M1663" s="27">
        <f>AVERAGEIFS(L$1074:L$1598, $V$549:$V$1073, "&gt;1", $V$1074:$V$1598, "&gt;1")</f>
        <v>5.7026595744680851E-2</v>
      </c>
      <c r="N1663" s="27">
        <f>AVERAGEIFS(M$1074:M$1598, $V$549:$V$1073, "&gt;1", $V$1074:$V$1598, "&gt;1")</f>
        <v>32.113409574468108</v>
      </c>
      <c r="O1663" s="27">
        <f>AVERAGEIFS(N$1074:N$1598, $V$549:$V$1073, "&gt;1", $V$1074:$V$1598, "&gt;1")</f>
        <v>1.7841882978723409</v>
      </c>
      <c r="R1663" s="1">
        <f>COUNTIFS($Q$24:$Q$1598, "*Repaired", $AB$24:$AB$1598, "YES")</f>
        <v>31</v>
      </c>
      <c r="S1663" s="1" t="s">
        <v>1718</v>
      </c>
      <c r="T1663" s="27">
        <f>AVERAGEIFS(B$24:B$1598, $Q$24:$Q$1598, "*Repaired", $AB$24:$AB$1598, "YES")</f>
        <v>5.0383870967741942</v>
      </c>
      <c r="U1663" s="27">
        <f t="shared" ref="U1663:AF1663" si="87">AVERAGEIFS(C$24:C$1598, $Q$24:$Q$1598, "*Repaired", $AB$24:$AB$1598, "YES")</f>
        <v>74.877419354838693</v>
      </c>
      <c r="V1663" s="27">
        <f t="shared" si="87"/>
        <v>29.148387096774194</v>
      </c>
      <c r="W1663" s="27">
        <f t="shared" si="87"/>
        <v>8.6</v>
      </c>
      <c r="X1663" s="27">
        <f t="shared" si="87"/>
        <v>21.704516129032264</v>
      </c>
      <c r="Y1663" s="27">
        <f t="shared" si="87"/>
        <v>4.8561290322580639</v>
      </c>
      <c r="Z1663" s="27">
        <f t="shared" si="87"/>
        <v>13.456451612903226</v>
      </c>
      <c r="AA1663" s="27">
        <f t="shared" si="87"/>
        <v>50.851612903225799</v>
      </c>
      <c r="AB1663" s="27">
        <f t="shared" si="87"/>
        <v>79.779032258064518</v>
      </c>
      <c r="AC1663" s="27">
        <f t="shared" si="87"/>
        <v>0.3339032258064516</v>
      </c>
      <c r="AD1663" s="27">
        <f t="shared" si="87"/>
        <v>4.7251612903225805E-2</v>
      </c>
      <c r="AE1663" s="27">
        <f t="shared" si="87"/>
        <v>77.706774193548398</v>
      </c>
      <c r="AF1663" s="27">
        <f t="shared" si="87"/>
        <v>4.3171290322580633</v>
      </c>
    </row>
    <row r="1664" spans="1:32" x14ac:dyDescent="0.35">
      <c r="A1664" s="37" t="s">
        <v>1698</v>
      </c>
      <c r="C1664" s="37" t="s">
        <v>1693</v>
      </c>
      <c r="D1664" s="27"/>
      <c r="E1664" s="37" t="s">
        <v>1693</v>
      </c>
      <c r="F1664" s="27"/>
      <c r="G1664" s="37" t="s">
        <v>1693</v>
      </c>
      <c r="H1664" s="37" t="s">
        <v>1693</v>
      </c>
      <c r="I1664" s="37" t="s">
        <v>1693</v>
      </c>
      <c r="J1664" s="37" t="s">
        <v>1693</v>
      </c>
      <c r="K1664" s="37" t="s">
        <v>1693</v>
      </c>
      <c r="L1664" s="27"/>
      <c r="M1664" s="27"/>
      <c r="N1664" s="27"/>
      <c r="O1664" s="27"/>
      <c r="R1664" s="37" t="s">
        <v>1698</v>
      </c>
      <c r="T1664" s="43" t="s">
        <v>1693</v>
      </c>
      <c r="U1664" s="27"/>
      <c r="V1664" s="37"/>
      <c r="W1664" s="37"/>
      <c r="X1664" s="37"/>
      <c r="Y1664" s="37"/>
      <c r="Z1664" s="37"/>
      <c r="AA1664" s="37"/>
      <c r="AB1664" s="37"/>
      <c r="AC1664" s="27"/>
      <c r="AD1664" s="37" t="s">
        <v>1693</v>
      </c>
      <c r="AE1664" s="27"/>
      <c r="AF1664" s="27"/>
    </row>
    <row r="1665" spans="1:15" ht="15" x14ac:dyDescent="0.35">
      <c r="O1665"/>
    </row>
    <row r="1666" spans="1:15" x14ac:dyDescent="0.35">
      <c r="A1666" s="33" t="s">
        <v>1337</v>
      </c>
      <c r="B1666" s="28"/>
      <c r="C1666" s="28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</row>
    <row r="1667" spans="1:15" ht="15" x14ac:dyDescent="0.3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</row>
    <row r="1668" spans="1:15" customFormat="1" ht="28.8" x14ac:dyDescent="0.3">
      <c r="A1668" s="14" t="s">
        <v>1310</v>
      </c>
      <c r="B1668" s="14" t="s">
        <v>1335</v>
      </c>
      <c r="C1668" s="14" t="s">
        <v>1296</v>
      </c>
      <c r="D1668" s="14" t="s">
        <v>1297</v>
      </c>
      <c r="E1668" s="14" t="s">
        <v>1298</v>
      </c>
      <c r="F1668" s="14" t="s">
        <v>21</v>
      </c>
      <c r="G1668" s="14" t="s">
        <v>1299</v>
      </c>
      <c r="H1668" s="14" t="s">
        <v>22</v>
      </c>
      <c r="I1668" s="14" t="s">
        <v>1300</v>
      </c>
      <c r="J1668" s="14" t="s">
        <v>1301</v>
      </c>
      <c r="K1668" s="14" t="s">
        <v>1302</v>
      </c>
      <c r="L1668" s="14" t="s">
        <v>1303</v>
      </c>
      <c r="M1668" s="14" t="s">
        <v>1304</v>
      </c>
      <c r="N1668" s="14" t="s">
        <v>1305</v>
      </c>
      <c r="O1668" s="14" t="s">
        <v>1306</v>
      </c>
    </row>
    <row r="1669" spans="1:15" x14ac:dyDescent="0.35">
      <c r="A1669" s="1">
        <f>COUNTIF($A$24:$A$1598, "*Chart*Buggy")</f>
        <v>74</v>
      </c>
      <c r="B1669" s="1" t="s">
        <v>1670</v>
      </c>
      <c r="C1669" s="27">
        <f>AVERAGEIF($A$24:$A$1598, "*Chart-*_Buggy", B$24:B$1598)</f>
        <v>3.120000000000001</v>
      </c>
      <c r="D1669" s="27">
        <f>AVERAGEIF($A$24:$A$1598, "*Chart-*_Buggy", C$24:C$1598)</f>
        <v>79.330135135135123</v>
      </c>
      <c r="E1669" s="27">
        <f>AVERAGEIF($A$24:$A$1598, "*Chart-*_Buggy", D$24:D$1598)</f>
        <v>19.88027027027027</v>
      </c>
      <c r="F1669" s="27">
        <f>AVERAGEIF($A$24:$A$1598, "*Chart-*_Buggy", E$24:E$1598)</f>
        <v>6.1609459459459481</v>
      </c>
      <c r="G1669" s="27">
        <f>AVERAGEIF($A$24:$A$1598, "*Chart-*_Buggy", F$24:F$1598)</f>
        <v>11.595810810810818</v>
      </c>
      <c r="H1669" s="27">
        <f>AVERAGEIF($A$24:$A$1598, "*Chart-*_Buggy", G$24:G$1598)</f>
        <v>2.9586486486486487</v>
      </c>
      <c r="I1669" s="27">
        <f>AVERAGEIF($A$24:$A$1598, "*Chart-*_Buggy", H$24:H$1598)</f>
        <v>9.1193243243243263</v>
      </c>
      <c r="J1669" s="27">
        <f>AVERAGEIF($A$24:$A$1598, "*Chart-*_Buggy", I$24:I$1598)</f>
        <v>31.475540540540546</v>
      </c>
      <c r="K1669" s="27">
        <f>AVERAGEIF($A$24:$A$1598, "*Chart-*_Buggy", J$24:J$1598)</f>
        <v>47.962027027027041</v>
      </c>
      <c r="L1669" s="27">
        <f>AVERAGEIF($A$24:$A$1598, "*Chart-*_Buggy", K$24:K$1598)</f>
        <v>0.1100945945945946</v>
      </c>
      <c r="M1669" s="27">
        <f>AVERAGEIF($A$24:$A$1598, "*Chart-*_Buggy", L$24:L$1598)</f>
        <v>3.0783783783783773E-2</v>
      </c>
      <c r="N1669" s="27">
        <f>AVERAGEIF($A$24:$A$1598, "*Chart-*_Buggy", M$24:M$1598)</f>
        <v>2.8813513513513516</v>
      </c>
      <c r="O1669" s="27">
        <f>AVERAGEIF($A$24:$A$1598, "*Chart-*_Buggy", N$24:N$1598)</f>
        <v>0.15991891891891891</v>
      </c>
    </row>
    <row r="1670" spans="1:15" x14ac:dyDescent="0.35">
      <c r="A1670" s="1">
        <f>COUNTIF($A$24:$A$1598, "*Chart*Fixed")</f>
        <v>74</v>
      </c>
      <c r="B1670" s="1" t="s">
        <v>1671</v>
      </c>
      <c r="C1670" s="27">
        <f>AVERAGEIF($A$24:$A$1598, "*Chart-*_Fixed", B$24:B$1598)</f>
        <v>3.1512162162162167</v>
      </c>
      <c r="D1670" s="27">
        <f>AVERAGEIF($A$24:$A$1598, "*Chart-*_Fixed", C$24:C$1598)</f>
        <v>79.288783783783757</v>
      </c>
      <c r="E1670" s="27">
        <f>AVERAGEIF($A$24:$A$1598, "*Chart-*_Fixed", D$24:D$1598)</f>
        <v>20.012837837837846</v>
      </c>
      <c r="F1670" s="27">
        <f>AVERAGEIF($A$24:$A$1598, "*Chart-*_Fixed", E$24:E$1598)</f>
        <v>6.1772972972972982</v>
      </c>
      <c r="G1670" s="27">
        <f>AVERAGEIF($A$24:$A$1598, "*Chart-*_Fixed", F$24:F$1598)</f>
        <v>11.680540540540544</v>
      </c>
      <c r="H1670" s="27">
        <f>AVERAGEIF($A$24:$A$1598, "*Chart-*_Fixed", G$24:G$1598)</f>
        <v>2.9681081081081078</v>
      </c>
      <c r="I1670" s="27">
        <f>AVERAGEIF($A$24:$A$1598, "*Chart-*_Fixed", H$24:H$1598)</f>
        <v>9.1451351351351384</v>
      </c>
      <c r="J1670" s="27">
        <f>AVERAGEIF($A$24:$A$1598, "*Chart-*_Fixed", I$24:I$1598)</f>
        <v>31.693108108108103</v>
      </c>
      <c r="K1670" s="27">
        <f>AVERAGEIF($A$24:$A$1598, "*Chart-*_Fixed", J$24:J$1598)</f>
        <v>48.238243243243254</v>
      </c>
      <c r="L1670" s="27">
        <f>AVERAGEIF($A$24:$A$1598, "*Chart-*_Fixed", K$24:K$1598)</f>
        <v>0.12941891891891891</v>
      </c>
      <c r="M1670" s="27">
        <f>AVERAGEIF($A$24:$A$1598, "*Chart-*_Fixed", L$24:L$1598)</f>
        <v>3.2067567567567561E-2</v>
      </c>
      <c r="N1670" s="27">
        <f>AVERAGEIF($A$24:$A$1598, "*Chart-*_Fixed", M$24:M$1598)</f>
        <v>3.791891891891892</v>
      </c>
      <c r="O1670" s="27">
        <f>AVERAGEIF($A$24:$A$1598, "*Chart-*_Fixed", N$24:N$1598)</f>
        <v>0.21086486486486491</v>
      </c>
    </row>
    <row r="1671" spans="1:15" x14ac:dyDescent="0.35">
      <c r="A1671" s="1">
        <f>COUNTIF($A$24:$A$1598, "*Chart*Repaired")</f>
        <v>74</v>
      </c>
      <c r="B1671" s="1" t="s">
        <v>1672</v>
      </c>
      <c r="C1671" s="27">
        <f>AVERAGEIF($A$24:$A$1598, "*Chart-*_Repaired", B$24:B$1598)</f>
        <v>3.1294594594594596</v>
      </c>
      <c r="D1671" s="27">
        <f>AVERAGEIF($A$24:$A$1598, "*Chart-*_Repaired", C$24:C$1598)</f>
        <v>79.330540540540539</v>
      </c>
      <c r="E1671" s="27">
        <f>AVERAGEIF($A$24:$A$1598, "*Chart-*_Repaired", D$24:D$1598)</f>
        <v>19.889864864864869</v>
      </c>
      <c r="F1671" s="27">
        <f>AVERAGEIF($A$24:$A$1598, "*Chart-*_Repaired", E$24:E$1598)</f>
        <v>6.1589189189189204</v>
      </c>
      <c r="G1671" s="27">
        <f>AVERAGEIF($A$24:$A$1598, "*Chart-*_Repaired", F$24:F$1598)</f>
        <v>11.659729729729733</v>
      </c>
      <c r="H1671" s="27">
        <f>AVERAGEIF($A$24:$A$1598, "*Chart-*_Repaired", G$24:G$1598)</f>
        <v>2.9693243243243246</v>
      </c>
      <c r="I1671" s="27">
        <f>AVERAGEIF($A$24:$A$1598, "*Chart-*_Repaired", H$24:H$1598)</f>
        <v>9.1281081081081119</v>
      </c>
      <c r="J1671" s="27">
        <f>AVERAGEIF($A$24:$A$1598, "*Chart-*_Repaired", I$24:I$1598)</f>
        <v>31.549459459459452</v>
      </c>
      <c r="K1671" s="27">
        <f>AVERAGEIF($A$24:$A$1598, "*Chart-*_Repaired", J$24:J$1598)</f>
        <v>48.073513513513518</v>
      </c>
      <c r="L1671" s="27">
        <f>AVERAGEIF($A$24:$A$1598, "*Chart-*_Repaired", K$24:K$1598)</f>
        <v>0.11979729729729728</v>
      </c>
      <c r="M1671" s="27">
        <f>AVERAGEIF($A$24:$A$1598, "*Chart-*_Repaired", L$24:L$1598)</f>
        <v>3.1527027027027012E-2</v>
      </c>
      <c r="N1671" s="27">
        <f>AVERAGEIF($A$24:$A$1598, "*Chart-*_Repaired", M$24:M$1598)</f>
        <v>3.3404054054054058</v>
      </c>
      <c r="O1671" s="27">
        <f>AVERAGEIF($A$24:$A$1598, "*Chart-*_Repaired", N$24:N$1598)</f>
        <v>0.18545945945945946</v>
      </c>
    </row>
    <row r="1672" spans="1:15" ht="15" x14ac:dyDescent="0.35">
      <c r="A1672" s="37" t="s">
        <v>1698</v>
      </c>
      <c r="C1672" s="46"/>
      <c r="D1672" s="46"/>
      <c r="E1672" s="48" t="s">
        <v>1693</v>
      </c>
      <c r="F1672" s="48"/>
      <c r="G1672" s="46"/>
      <c r="H1672" s="46"/>
      <c r="I1672" s="46"/>
      <c r="J1672" s="46"/>
      <c r="K1672" s="46"/>
      <c r="L1672" s="48" t="s">
        <v>1693</v>
      </c>
      <c r="M1672" s="46"/>
      <c r="N1672" s="46"/>
      <c r="O1672" s="50"/>
    </row>
    <row r="1673" spans="1:15" ht="28.8" x14ac:dyDescent="0.35">
      <c r="B1673" s="14" t="s">
        <v>1335</v>
      </c>
      <c r="C1673" s="47" t="s">
        <v>1296</v>
      </c>
      <c r="D1673" s="47" t="s">
        <v>1297</v>
      </c>
      <c r="E1673" s="47" t="s">
        <v>1298</v>
      </c>
      <c r="F1673" s="47" t="s">
        <v>21</v>
      </c>
      <c r="G1673" s="47" t="s">
        <v>1299</v>
      </c>
      <c r="H1673" s="47" t="s">
        <v>22</v>
      </c>
      <c r="I1673" s="47" t="s">
        <v>1300</v>
      </c>
      <c r="J1673" s="47" t="s">
        <v>1301</v>
      </c>
      <c r="K1673" s="47" t="s">
        <v>1302</v>
      </c>
      <c r="L1673" s="47" t="s">
        <v>1303</v>
      </c>
      <c r="M1673" s="47" t="s">
        <v>1304</v>
      </c>
      <c r="N1673" s="47" t="s">
        <v>1305</v>
      </c>
      <c r="O1673" s="47" t="s">
        <v>1306</v>
      </c>
    </row>
    <row r="1674" spans="1:15" x14ac:dyDescent="0.35">
      <c r="A1674" s="1">
        <f>COUNTIF($A$24:$A$1598, "*Closure*Buggy")</f>
        <v>132</v>
      </c>
      <c r="B1674" s="1" t="s">
        <v>1673</v>
      </c>
      <c r="C1674" s="27">
        <f>AVERAGEIF($A$24:$A$1598, "*Closure-*_Buggy", B$24:B$1598)</f>
        <v>5.0234848484848476</v>
      </c>
      <c r="D1674" s="27">
        <f>AVERAGEIF($A$24:$A$1598, "*Closure-*_Buggy", C$24:C$1598)</f>
        <v>76.518863636363676</v>
      </c>
      <c r="E1674" s="27">
        <f>AVERAGEIF($A$24:$A$1598, "*Closure-*_Buggy", D$24:D$1598)</f>
        <v>17.456742424242428</v>
      </c>
      <c r="F1674" s="27">
        <f>AVERAGEIF($A$24:$A$1598, "*Closure-*_Buggy", E$24:E$1598)</f>
        <v>6.8529545454545469</v>
      </c>
      <c r="G1674" s="27">
        <f>AVERAGEIF($A$24:$A$1598, "*Closure-*_Buggy", F$24:F$1598)</f>
        <v>16.091060606060605</v>
      </c>
      <c r="H1674" s="27">
        <f>AVERAGEIF($A$24:$A$1598, "*Closure-*_Buggy", G$24:G$1598)</f>
        <v>3.9240909090909111</v>
      </c>
      <c r="I1674" s="27">
        <f>AVERAGEIF($A$24:$A$1598, "*Closure-*_Buggy", H$24:H$1598)</f>
        <v>10.777727272727274</v>
      </c>
      <c r="J1674" s="27">
        <f>AVERAGEIF($A$24:$A$1598, "*Closure-*_Buggy", I$24:I$1598)</f>
        <v>33.547045454545469</v>
      </c>
      <c r="K1674" s="27">
        <f>AVERAGEIF($A$24:$A$1598, "*Closure-*_Buggy", J$24:J$1598)</f>
        <v>57.254469696969721</v>
      </c>
      <c r="L1674" s="27">
        <f>AVERAGEIF($A$24:$A$1598, "*Closure-*_Buggy", K$24:K$1598)</f>
        <v>0.43204545454545429</v>
      </c>
      <c r="M1674" s="27">
        <f>AVERAGEIF($A$24:$A$1598, "*Closure-*_Buggy", L$24:L$1598)</f>
        <v>2.3789393939393937E-2</v>
      </c>
      <c r="N1674" s="27">
        <f>AVERAGEIF($A$24:$A$1598, "*Closure-*_Buggy", M$24:M$1598)</f>
        <v>115.55431818181819</v>
      </c>
      <c r="O1674" s="27">
        <f>AVERAGEIF($A$24:$A$1598, "*Closure-*_Buggy", N$24:N$1598)</f>
        <v>6.4195909090909122</v>
      </c>
    </row>
    <row r="1675" spans="1:15" x14ac:dyDescent="0.35">
      <c r="A1675" s="1">
        <f>COUNTIF($A$24:$A$1598, "*Closure*Fixed")</f>
        <v>132</v>
      </c>
      <c r="B1675" s="1" t="s">
        <v>1674</v>
      </c>
      <c r="C1675" s="27">
        <f>AVERAGEIF($A$24:$A$1598, "*Closure-*_Fixed", B$24:B$1598)</f>
        <v>4.8346212121212151</v>
      </c>
      <c r="D1675" s="27">
        <f>AVERAGEIF($A$24:$A$1598, "*Closure-*_Fixed", C$24:C$1598)</f>
        <v>76.655227272727288</v>
      </c>
      <c r="E1675" s="27">
        <f>AVERAGEIF($A$24:$A$1598, "*Closure-*_Fixed", D$24:D$1598)</f>
        <v>17.208106060606063</v>
      </c>
      <c r="F1675" s="27">
        <f>AVERAGEIF($A$24:$A$1598, "*Closure-*_Fixed", E$24:E$1598)</f>
        <v>6.80833333333333</v>
      </c>
      <c r="G1675" s="27">
        <f>AVERAGEIF($A$24:$A$1598, "*Closure-*_Fixed", F$24:F$1598)</f>
        <v>15.438106060606071</v>
      </c>
      <c r="H1675" s="27">
        <f>AVERAGEIF($A$24:$A$1598, "*Closure-*_Fixed", G$24:G$1598)</f>
        <v>3.9088636363636375</v>
      </c>
      <c r="I1675" s="27">
        <f>AVERAGEIF($A$24:$A$1598, "*Closure-*_Fixed", H$24:H$1598)</f>
        <v>10.718106060606054</v>
      </c>
      <c r="J1675" s="27">
        <f>AVERAGEIF($A$24:$A$1598, "*Closure-*_Fixed", I$24:I$1598)</f>
        <v>32.647499999999987</v>
      </c>
      <c r="K1675" s="27">
        <f>AVERAGEIF($A$24:$A$1598, "*Closure-*_Fixed", J$24:J$1598)</f>
        <v>56.562803030303066</v>
      </c>
      <c r="L1675" s="27">
        <f>AVERAGEIF($A$24:$A$1598, "*Closure-*_Fixed", K$24:K$1598)</f>
        <v>0.43143939393939368</v>
      </c>
      <c r="M1675" s="27">
        <f>AVERAGEIF($A$24:$A$1598, "*Closure-*_Fixed", L$24:L$1598)</f>
        <v>2.3569696969696963E-2</v>
      </c>
      <c r="N1675" s="27">
        <f>AVERAGEIF($A$24:$A$1598, "*Closure-*_Fixed", M$24:M$1598)</f>
        <v>115.47287878787877</v>
      </c>
      <c r="O1675" s="27">
        <f>AVERAGEIF($A$24:$A$1598, "*Closure-*_Fixed", N$24:N$1598)</f>
        <v>6.4151742424242455</v>
      </c>
    </row>
    <row r="1676" spans="1:15" x14ac:dyDescent="0.35">
      <c r="A1676" s="1">
        <f>COUNTIF($A$24:$A$1598, "*Closure*Repaired")</f>
        <v>132</v>
      </c>
      <c r="B1676" s="1" t="s">
        <v>1675</v>
      </c>
      <c r="C1676" s="27">
        <f>AVERAGEIF($A$24:$A$1598, "*Closure-*_Repaired", B$24:B$1598)</f>
        <v>4.9743939393939396</v>
      </c>
      <c r="D1676" s="27">
        <f>AVERAGEIF($A$24:$A$1598, "*Closure-*_Repaired", C$24:C$1598)</f>
        <v>76.662727272727295</v>
      </c>
      <c r="E1676" s="27">
        <f>AVERAGEIF($A$24:$A$1598, "*Closure-*_Repaired", D$24:D$1598)</f>
        <v>17.306742424242429</v>
      </c>
      <c r="F1676" s="27">
        <f>AVERAGEIF($A$24:$A$1598, "*Closure-*_Repaired", E$24:E$1598)</f>
        <v>6.8372727272727261</v>
      </c>
      <c r="G1676" s="27">
        <f>AVERAGEIF($A$24:$A$1598, "*Closure-*_Repaired", F$24:F$1598)</f>
        <v>15.866666666666667</v>
      </c>
      <c r="H1676" s="27">
        <f>AVERAGEIF($A$24:$A$1598, "*Closure-*_Repaired", G$24:G$1598)</f>
        <v>3.8911363636363663</v>
      </c>
      <c r="I1676" s="27">
        <f>AVERAGEIF($A$24:$A$1598, "*Closure-*_Repaired", H$24:H$1598)</f>
        <v>10.728560606060601</v>
      </c>
      <c r="J1676" s="27">
        <f>AVERAGEIF($A$24:$A$1598, "*Closure-*_Repaired", I$24:I$1598)</f>
        <v>33.173030303030302</v>
      </c>
      <c r="K1676" s="27">
        <f>AVERAGEIF($A$24:$A$1598, "*Closure-*_Repaired", J$24:J$1598)</f>
        <v>56.867196969696948</v>
      </c>
      <c r="L1676" s="27">
        <f>AVERAGEIF($A$24:$A$1598, "*Closure-*_Repaired", K$24:K$1598)</f>
        <v>0.43177272727272697</v>
      </c>
      <c r="M1676" s="27">
        <f>AVERAGEIF($A$24:$A$1598, "*Closure-*_Repaired", L$24:L$1598)</f>
        <v>2.3721212121212119E-2</v>
      </c>
      <c r="N1676" s="27">
        <f>AVERAGEIF($A$24:$A$1598, "*Closure-*_Repaired", M$24:M$1598)</f>
        <v>115.53924242424243</v>
      </c>
      <c r="O1676" s="27">
        <f>AVERAGEIF($A$24:$A$1598, "*Closure-*_Repaired", N$24:N$1598)</f>
        <v>6.4188030303030335</v>
      </c>
    </row>
    <row r="1677" spans="1:15" ht="15" x14ac:dyDescent="0.35">
      <c r="A1677" s="37" t="s">
        <v>1698</v>
      </c>
      <c r="C1677" s="46"/>
      <c r="D1677" s="46"/>
      <c r="E1677" s="48"/>
      <c r="F1677" s="48" t="s">
        <v>1693</v>
      </c>
      <c r="G1677" s="46"/>
      <c r="H1677" s="46"/>
      <c r="I1677" s="46"/>
      <c r="J1677" s="46"/>
      <c r="K1677" s="46"/>
      <c r="L1677" s="46"/>
      <c r="M1677" s="46"/>
      <c r="N1677" s="46"/>
      <c r="O1677" s="50"/>
    </row>
    <row r="1678" spans="1:15" ht="28.8" x14ac:dyDescent="0.35">
      <c r="B1678" s="14" t="s">
        <v>1335</v>
      </c>
      <c r="C1678" s="47" t="s">
        <v>1296</v>
      </c>
      <c r="D1678" s="47" t="s">
        <v>1297</v>
      </c>
      <c r="E1678" s="47" t="s">
        <v>1298</v>
      </c>
      <c r="F1678" s="47" t="s">
        <v>21</v>
      </c>
      <c r="G1678" s="47" t="s">
        <v>1299</v>
      </c>
      <c r="H1678" s="47" t="s">
        <v>22</v>
      </c>
      <c r="I1678" s="47" t="s">
        <v>1300</v>
      </c>
      <c r="J1678" s="47" t="s">
        <v>1301</v>
      </c>
      <c r="K1678" s="47" t="s">
        <v>1302</v>
      </c>
      <c r="L1678" s="47" t="s">
        <v>1303</v>
      </c>
      <c r="M1678" s="47" t="s">
        <v>1304</v>
      </c>
      <c r="N1678" s="47" t="s">
        <v>1305</v>
      </c>
      <c r="O1678" s="47" t="s">
        <v>1306</v>
      </c>
    </row>
    <row r="1679" spans="1:15" x14ac:dyDescent="0.35">
      <c r="A1679" s="1">
        <f>COUNTIF($A$24:$A$1598, "*Lang*Buggy")</f>
        <v>114</v>
      </c>
      <c r="B1679" s="1" t="s">
        <v>1676</v>
      </c>
      <c r="C1679" s="27">
        <f>AVERAGEIF($A$24:$A$1598, "*Lang-*_Buggy", B$24:B$1598)</f>
        <v>3.9562280701754391</v>
      </c>
      <c r="D1679" s="27">
        <f>AVERAGEIF($A$24:$A$1598, "*Lang-*_Buggy", C$24:C$1598)</f>
        <v>77.790438596491271</v>
      </c>
      <c r="E1679" s="27">
        <f>AVERAGEIF($A$24:$A$1598, "*Lang-*_Buggy", D$24:D$1598)</f>
        <v>16.160789473684208</v>
      </c>
      <c r="F1679" s="27">
        <f>AVERAGEIF($A$24:$A$1598, "*Lang-*_Buggy", E$24:E$1598)</f>
        <v>6.4299122807017532</v>
      </c>
      <c r="G1679" s="27">
        <f>AVERAGEIF($A$24:$A$1598, "*Lang-*_Buggy", F$24:F$1598)</f>
        <v>11.319035087719302</v>
      </c>
      <c r="H1679" s="27">
        <f>AVERAGEIF($A$24:$A$1598, "*Lang-*_Buggy", G$24:G$1598)</f>
        <v>4.1098245614035083</v>
      </c>
      <c r="I1679" s="27">
        <f>AVERAGEIF($A$24:$A$1598, "*Lang-*_Buggy", H$24:H$1598)</f>
        <v>10.540087719298246</v>
      </c>
      <c r="J1679" s="27">
        <f>AVERAGEIF($A$24:$A$1598, "*Lang-*_Buggy", I$24:I$1598)</f>
        <v>27.480263157894736</v>
      </c>
      <c r="K1679" s="27">
        <f>AVERAGEIF($A$24:$A$1598, "*Lang-*_Buggy", J$24:J$1598)</f>
        <v>53.123596491228078</v>
      </c>
      <c r="L1679" s="27">
        <f>AVERAGEIF($A$24:$A$1598, "*Lang-*_Buggy", K$24:K$1598)</f>
        <v>0.29295614035087725</v>
      </c>
      <c r="M1679" s="27">
        <f>AVERAGEIF($A$24:$A$1598, "*Lang-*_Buggy", L$24:L$1598)</f>
        <v>2.9236842105263137E-2</v>
      </c>
      <c r="N1679" s="27">
        <f>AVERAGEIF($A$24:$A$1598, "*Lang-*_Buggy", M$24:M$1598)</f>
        <v>14.325315789473686</v>
      </c>
      <c r="O1679" s="27">
        <f>AVERAGEIF($A$24:$A$1598, "*Lang-*_Buggy", N$24:N$1598)</f>
        <v>0.79530526315789463</v>
      </c>
    </row>
    <row r="1680" spans="1:15" x14ac:dyDescent="0.35">
      <c r="A1680" s="1">
        <f>COUNTIF($A$24:$A$1598, "*Lang*Fixed")</f>
        <v>114</v>
      </c>
      <c r="B1680" s="1" t="s">
        <v>1677</v>
      </c>
      <c r="C1680" s="27">
        <f>AVERAGEIF($A$24:$A$1598, "*Lang-*_Fixed", B$24:B$1598)</f>
        <v>4.075263157894736</v>
      </c>
      <c r="D1680" s="27">
        <f>AVERAGEIF($A$24:$A$1598, "*Lang-*_Fixed", C$24:C$1598)</f>
        <v>77.687105263157903</v>
      </c>
      <c r="E1680" s="27">
        <f>AVERAGEIF($A$24:$A$1598, "*Lang-*_Fixed", D$24:D$1598)</f>
        <v>16.403245614035082</v>
      </c>
      <c r="F1680" s="27">
        <f>AVERAGEIF($A$24:$A$1598, "*Lang-*_Fixed", E$24:E$1598)</f>
        <v>6.5173684210526295</v>
      </c>
      <c r="G1680" s="27">
        <f>AVERAGEIF($A$24:$A$1598, "*Lang-*_Fixed", F$24:F$1598)</f>
        <v>11.701578947368422</v>
      </c>
      <c r="H1680" s="27">
        <f>AVERAGEIF($A$24:$A$1598, "*Lang-*_Fixed", G$24:G$1598)</f>
        <v>4.1381578947368425</v>
      </c>
      <c r="I1680" s="27">
        <f>AVERAGEIF($A$24:$A$1598, "*Lang-*_Fixed", H$24:H$1598)</f>
        <v>10.655263157894739</v>
      </c>
      <c r="J1680" s="27">
        <f>AVERAGEIF($A$24:$A$1598, "*Lang-*_Fixed", I$24:I$1598)</f>
        <v>28.106140350877201</v>
      </c>
      <c r="K1680" s="27">
        <f>AVERAGEIF($A$24:$A$1598, "*Lang-*_Fixed", J$24:J$1598)</f>
        <v>54.17552631578949</v>
      </c>
      <c r="L1680" s="27">
        <f>AVERAGEIF($A$24:$A$1598, "*Lang-*_Fixed", K$24:K$1598)</f>
        <v>0.29593859649122811</v>
      </c>
      <c r="M1680" s="27">
        <f>AVERAGEIF($A$24:$A$1598, "*Lang-*_Fixed", L$24:L$1598)</f>
        <v>2.9236842105263137E-2</v>
      </c>
      <c r="N1680" s="27">
        <f>AVERAGEIF($A$24:$A$1598, "*Lang-*_Fixed", M$24:M$1598)</f>
        <v>14.483736842105264</v>
      </c>
      <c r="O1680" s="27">
        <f>AVERAGEIF($A$24:$A$1598, "*Lang-*_Fixed", N$24:N$1598)</f>
        <v>0.80407719298245606</v>
      </c>
    </row>
    <row r="1681" spans="1:15" x14ac:dyDescent="0.35">
      <c r="A1681" s="1">
        <f>COUNTIF($A$24:$A$1598, "*Lang*Repaired")</f>
        <v>114</v>
      </c>
      <c r="B1681" s="1" t="s">
        <v>1678</v>
      </c>
      <c r="C1681" s="27">
        <f>AVERAGEIF($A$24:$A$1598, "*Lang-*_Repaired", B$24:B$1598)</f>
        <v>3.9649999999999985</v>
      </c>
      <c r="D1681" s="27">
        <f>AVERAGEIF($A$24:$A$1598, "*Lang-*_Repaired", C$24:C$1598)</f>
        <v>77.765175438596529</v>
      </c>
      <c r="E1681" s="27">
        <f>AVERAGEIF($A$24:$A$1598, "*Lang-*_Repaired", D$24:D$1598)</f>
        <v>16.161403508771929</v>
      </c>
      <c r="F1681" s="27">
        <f>AVERAGEIF($A$24:$A$1598, "*Lang-*_Repaired", E$24:E$1598)</f>
        <v>6.4428947368421063</v>
      </c>
      <c r="G1681" s="27">
        <f>AVERAGEIF($A$24:$A$1598, "*Lang-*_Repaired", F$24:F$1598)</f>
        <v>11.335175438596487</v>
      </c>
      <c r="H1681" s="27">
        <f>AVERAGEIF($A$24:$A$1598, "*Lang-*_Repaired", G$24:G$1598)</f>
        <v>4.1216666666666661</v>
      </c>
      <c r="I1681" s="27">
        <f>AVERAGEIF($A$24:$A$1598, "*Lang-*_Repaired", H$24:H$1598)</f>
        <v>10.564298245614035</v>
      </c>
      <c r="J1681" s="27">
        <f>AVERAGEIF($A$24:$A$1598, "*Lang-*_Repaired", I$24:I$1598)</f>
        <v>27.496578947368427</v>
      </c>
      <c r="K1681" s="27">
        <f>AVERAGEIF($A$24:$A$1598, "*Lang-*_Repaired", J$24:J$1598)</f>
        <v>53.263596491228078</v>
      </c>
      <c r="L1681" s="27">
        <f>AVERAGEIF($A$24:$A$1598, "*Lang-*_Repaired", K$24:K$1598)</f>
        <v>0.30427192982456147</v>
      </c>
      <c r="M1681" s="27">
        <f>AVERAGEIF($A$24:$A$1598, "*Lang-*_Repaired", L$24:L$1598)</f>
        <v>3.0201754385964889E-2</v>
      </c>
      <c r="N1681" s="27">
        <f>AVERAGEIF($A$24:$A$1598, "*Lang-*_Repaired", M$24:M$1598)</f>
        <v>14.80487719298246</v>
      </c>
      <c r="O1681" s="27">
        <f>AVERAGEIF($A$24:$A$1598, "*Lang-*_Repaired", N$24:N$1598)</f>
        <v>0.82188421052631577</v>
      </c>
    </row>
    <row r="1682" spans="1:15" ht="15" x14ac:dyDescent="0.35">
      <c r="A1682" s="37" t="s">
        <v>1698</v>
      </c>
      <c r="C1682" s="48" t="s">
        <v>1693</v>
      </c>
      <c r="D1682" s="46"/>
      <c r="E1682" s="46"/>
      <c r="F1682" s="46"/>
      <c r="G1682" s="48" t="s">
        <v>1693</v>
      </c>
      <c r="H1682" s="46"/>
      <c r="I1682" s="46"/>
      <c r="J1682" s="46"/>
      <c r="K1682" s="46"/>
      <c r="L1682" s="46"/>
      <c r="M1682" s="46"/>
      <c r="N1682" s="46"/>
      <c r="O1682" s="50"/>
    </row>
    <row r="1683" spans="1:15" ht="28.8" x14ac:dyDescent="0.35">
      <c r="B1683" s="14" t="s">
        <v>1335</v>
      </c>
      <c r="C1683" s="47" t="s">
        <v>1296</v>
      </c>
      <c r="D1683" s="47" t="s">
        <v>1297</v>
      </c>
      <c r="E1683" s="47" t="s">
        <v>1298</v>
      </c>
      <c r="F1683" s="47" t="s">
        <v>21</v>
      </c>
      <c r="G1683" s="47" t="s">
        <v>1299</v>
      </c>
      <c r="H1683" s="47" t="s">
        <v>22</v>
      </c>
      <c r="I1683" s="47" t="s">
        <v>1300</v>
      </c>
      <c r="J1683" s="47" t="s">
        <v>1301</v>
      </c>
      <c r="K1683" s="47" t="s">
        <v>1302</v>
      </c>
      <c r="L1683" s="47" t="s">
        <v>1303</v>
      </c>
      <c r="M1683" s="47" t="s">
        <v>1304</v>
      </c>
      <c r="N1683" s="47" t="s">
        <v>1305</v>
      </c>
      <c r="O1683" s="47" t="s">
        <v>1306</v>
      </c>
    </row>
    <row r="1684" spans="1:15" x14ac:dyDescent="0.35">
      <c r="A1684" s="1">
        <f>COUNTIF($A$24:$A$1598, "*Math*Buggy")</f>
        <v>195</v>
      </c>
      <c r="B1684" s="1" t="s">
        <v>1679</v>
      </c>
      <c r="C1684" s="27">
        <f>AVERAGEIF($A$24:$A$1598, "*Math-*_Buggy", B$24:B$1598)</f>
        <v>3.4262051282051282</v>
      </c>
      <c r="D1684" s="27">
        <f>AVERAGEIF($A$24:$A$1598, "*Math-*_Buggy", C$24:C$1598)</f>
        <v>78.042256410256385</v>
      </c>
      <c r="E1684" s="27">
        <f>AVERAGEIF($A$24:$A$1598, "*Math-*_Buggy", D$24:D$1598)</f>
        <v>20.374461538461549</v>
      </c>
      <c r="F1684" s="27">
        <f>AVERAGEIF($A$24:$A$1598, "*Math-*_Buggy", E$24:E$1598)</f>
        <v>6.7673333333333341</v>
      </c>
      <c r="G1684" s="27">
        <f>AVERAGEIF($A$24:$A$1598, "*Math-*_Buggy", F$24:F$1598)</f>
        <v>15.485692307692306</v>
      </c>
      <c r="H1684" s="27">
        <f>AVERAGEIF($A$24:$A$1598, "*Math-*_Buggy", G$24:G$1598)</f>
        <v>4.5667692307692347</v>
      </c>
      <c r="I1684" s="27">
        <f>AVERAGEIF($A$24:$A$1598, "*Math-*_Buggy", H$24:H$1598)</f>
        <v>11.334666666666656</v>
      </c>
      <c r="J1684" s="27">
        <f>AVERAGEIF($A$24:$A$1598, "*Math-*_Buggy", I$24:I$1598)</f>
        <v>35.859230769230734</v>
      </c>
      <c r="K1684" s="27">
        <f>AVERAGEIF($A$24:$A$1598, "*Math-*_Buggy", J$24:J$1598)</f>
        <v>60.888256410256396</v>
      </c>
      <c r="L1684" s="27">
        <f>AVERAGEIF($A$24:$A$1598, "*Math-*_Buggy", K$24:K$1598)</f>
        <v>0.51323589743589793</v>
      </c>
      <c r="M1684" s="27">
        <f>AVERAGEIF($A$24:$A$1598, "*Math-*_Buggy", L$24:L$1598)</f>
        <v>9.8297435897435947E-2</v>
      </c>
      <c r="N1684" s="27">
        <f>AVERAGEIF($A$24:$A$1598, "*Math-*_Buggy", M$24:M$1598)</f>
        <v>63.813169230769233</v>
      </c>
      <c r="O1684" s="27">
        <f>AVERAGEIF($A$24:$A$1598, "*Math-*_Buggy", N$24:N$1598)</f>
        <v>3.5454420512820506</v>
      </c>
    </row>
    <row r="1685" spans="1:15" x14ac:dyDescent="0.35">
      <c r="A1685" s="1">
        <f>COUNTIF($A$24:$A$1598, "*Math*Fixed")</f>
        <v>195</v>
      </c>
      <c r="B1685" s="1" t="s">
        <v>1680</v>
      </c>
      <c r="C1685" s="27">
        <f>AVERAGEIF($A$24:$A$1598, "*Math-*_Fixed", B$24:B$1598)</f>
        <v>3.4678461538461565</v>
      </c>
      <c r="D1685" s="27">
        <f>AVERAGEIF($A$24:$A$1598, "*Math-*_Fixed", C$24:C$1598)</f>
        <v>77.937846153846166</v>
      </c>
      <c r="E1685" s="27">
        <f>AVERAGEIF($A$24:$A$1598, "*Math-*_Fixed", D$24:D$1598)</f>
        <v>20.564256410256419</v>
      </c>
      <c r="F1685" s="27">
        <f>AVERAGEIF($A$24:$A$1598, "*Math-*_Fixed", E$24:E$1598)</f>
        <v>6.8213333333333335</v>
      </c>
      <c r="G1685" s="27">
        <f>AVERAGEIF($A$24:$A$1598, "*Math-*_Fixed", F$24:F$1598)</f>
        <v>15.597435897435906</v>
      </c>
      <c r="H1685" s="27">
        <f>AVERAGEIF($A$24:$A$1598, "*Math-*_Fixed", G$24:G$1598)</f>
        <v>4.6223589743589759</v>
      </c>
      <c r="I1685" s="27">
        <f>AVERAGEIF($A$24:$A$1598, "*Math-*_Fixed", H$24:H$1598)</f>
        <v>11.44446153846153</v>
      </c>
      <c r="J1685" s="27">
        <f>AVERAGEIF($A$24:$A$1598, "*Math-*_Fixed", I$24:I$1598)</f>
        <v>36.160307692307647</v>
      </c>
      <c r="K1685" s="27">
        <f>AVERAGEIF($A$24:$A$1598, "*Math-*_Fixed", J$24:J$1598)</f>
        <v>61.678512820512829</v>
      </c>
      <c r="L1685" s="27">
        <f>AVERAGEIF($A$24:$A$1598, "*Math-*_Fixed", K$24:K$1598)</f>
        <v>0.52260000000000062</v>
      </c>
      <c r="M1685" s="27">
        <f>AVERAGEIF($A$24:$A$1598, "*Math-*_Fixed", L$24:L$1598)</f>
        <v>9.8933333333333373E-2</v>
      </c>
      <c r="N1685" s="27">
        <f>AVERAGEIF($A$24:$A$1598, "*Math-*_Fixed", M$24:M$1598)</f>
        <v>64.408605128205139</v>
      </c>
      <c r="O1685" s="27">
        <f>AVERAGEIF($A$24:$A$1598, "*Math-*_Fixed", N$24:N$1598)</f>
        <v>3.5786061538461529</v>
      </c>
    </row>
    <row r="1686" spans="1:15" x14ac:dyDescent="0.35">
      <c r="A1686" s="1">
        <f>COUNTIF($A$24:$A$1598, "*Math*Repaired")</f>
        <v>195</v>
      </c>
      <c r="B1686" s="1" t="s">
        <v>1681</v>
      </c>
      <c r="C1686" s="27">
        <f>AVERAGEIF($A$24:$A$1598, "*Math-*_Repaired", B$24:B$1598)</f>
        <v>3.4405128205128221</v>
      </c>
      <c r="D1686" s="27">
        <f>AVERAGEIF($A$24:$A$1598, "*Math-*_Repaired", C$24:C$1598)</f>
        <v>77.949025641025585</v>
      </c>
      <c r="E1686" s="27">
        <f>AVERAGEIF($A$24:$A$1598, "*Math-*_Repaired", D$24:D$1598)</f>
        <v>20.28861538461539</v>
      </c>
      <c r="F1686" s="27">
        <f>AVERAGEIF($A$24:$A$1598, "*Math-*_Repaired", E$24:E$1598)</f>
        <v>6.7808205128205126</v>
      </c>
      <c r="G1686" s="27">
        <f>AVERAGEIF($A$24:$A$1598, "*Math-*_Repaired", F$24:F$1598)</f>
        <v>15.46466666666667</v>
      </c>
      <c r="H1686" s="27">
        <f>AVERAGEIF($A$24:$A$1598, "*Math-*_Repaired", G$24:G$1598)</f>
        <v>4.6106666666666696</v>
      </c>
      <c r="I1686" s="27">
        <f>AVERAGEIF($A$24:$A$1598, "*Math-*_Repaired", H$24:H$1598)</f>
        <v>11.391948717948715</v>
      </c>
      <c r="J1686" s="27">
        <f>AVERAGEIF($A$24:$A$1598, "*Math-*_Repaired", I$24:I$1598)</f>
        <v>35.753333333333316</v>
      </c>
      <c r="K1686" s="27">
        <f>AVERAGEIF($A$24:$A$1598, "*Math-*_Repaired", J$24:J$1598)</f>
        <v>61.108769230769205</v>
      </c>
      <c r="L1686" s="27">
        <f>AVERAGEIF($A$24:$A$1598, "*Math-*_Repaired", K$24:K$1598)</f>
        <v>0.5275435897435905</v>
      </c>
      <c r="M1686" s="27">
        <f>AVERAGEIF($A$24:$A$1598, "*Math-*_Repaired", L$24:L$1598)</f>
        <v>0.10011282051282054</v>
      </c>
      <c r="N1686" s="27">
        <f>AVERAGEIF($A$24:$A$1598, "*Math-*_Repaired", M$24:M$1598)</f>
        <v>64.392194871794871</v>
      </c>
      <c r="O1686" s="27">
        <f>AVERAGEIF($A$24:$A$1598, "*Math-*_Repaired", N$24:N$1598)</f>
        <v>3.5775958974358963</v>
      </c>
    </row>
    <row r="1687" spans="1:15" ht="15" x14ac:dyDescent="0.35">
      <c r="A1687" s="37" t="s">
        <v>1698</v>
      </c>
      <c r="C1687" s="46"/>
      <c r="D1687" s="46"/>
      <c r="E1687" s="48" t="s">
        <v>1693</v>
      </c>
      <c r="F1687" s="46"/>
      <c r="G1687" s="48"/>
      <c r="H1687" s="48" t="s">
        <v>1693</v>
      </c>
      <c r="I1687" s="48" t="s">
        <v>1693</v>
      </c>
      <c r="J1687" s="46"/>
      <c r="K1687" s="46"/>
      <c r="L1687" s="46"/>
      <c r="M1687" s="46"/>
      <c r="N1687" s="46"/>
      <c r="O1687" s="50"/>
    </row>
    <row r="1688" spans="1:15" ht="28.8" x14ac:dyDescent="0.35">
      <c r="B1688" s="14" t="s">
        <v>1335</v>
      </c>
      <c r="C1688" s="47" t="s">
        <v>1296</v>
      </c>
      <c r="D1688" s="47" t="s">
        <v>1297</v>
      </c>
      <c r="E1688" s="47" t="s">
        <v>1298</v>
      </c>
      <c r="F1688" s="47" t="s">
        <v>21</v>
      </c>
      <c r="G1688" s="47" t="s">
        <v>1299</v>
      </c>
      <c r="H1688" s="47" t="s">
        <v>22</v>
      </c>
      <c r="I1688" s="47" t="s">
        <v>1300</v>
      </c>
      <c r="J1688" s="47" t="s">
        <v>1301</v>
      </c>
      <c r="K1688" s="47" t="s">
        <v>1302</v>
      </c>
      <c r="L1688" s="47" t="s">
        <v>1303</v>
      </c>
      <c r="M1688" s="47" t="s">
        <v>1304</v>
      </c>
      <c r="N1688" s="47" t="s">
        <v>1305</v>
      </c>
      <c r="O1688" s="47" t="s">
        <v>1306</v>
      </c>
    </row>
    <row r="1689" spans="1:15" x14ac:dyDescent="0.35">
      <c r="A1689" s="1">
        <f>COUNTIF($A$24:$A$1598, "*Mockito*Buggy")</f>
        <v>7</v>
      </c>
      <c r="B1689" s="1" t="s">
        <v>1682</v>
      </c>
      <c r="C1689" s="27">
        <f>AVERAGEIF($A$24:$A$1598, "*Mockito-*_Buggy", B$24:B$1598)</f>
        <v>2.2485714285714287</v>
      </c>
      <c r="D1689" s="27">
        <f>AVERAGEIF($A$24:$A$1598, "*Mockito-*_Buggy", C$24:C$1598)</f>
        <v>83.429999999999993</v>
      </c>
      <c r="E1689" s="27">
        <f>AVERAGEIF($A$24:$A$1598, "*Mockito-*_Buggy", D$24:D$1598)</f>
        <v>7.0357142857142856</v>
      </c>
      <c r="F1689" s="27">
        <f>AVERAGEIF($A$24:$A$1598, "*Mockito-*_Buggy", E$24:E$1598)</f>
        <v>3.8228571428571425</v>
      </c>
      <c r="G1689" s="27">
        <f>AVERAGEIF($A$24:$A$1598, "*Mockito-*_Buggy", F$24:F$1598)</f>
        <v>4.6071428571428568</v>
      </c>
      <c r="H1689" s="27">
        <f>AVERAGEIF($A$24:$A$1598, "*Mockito-*_Buggy", G$24:G$1598)</f>
        <v>2.2485714285714287</v>
      </c>
      <c r="I1689" s="27">
        <f>AVERAGEIF($A$24:$A$1598, "*Mockito-*_Buggy", H$24:H$1598)</f>
        <v>6.0714285714285712</v>
      </c>
      <c r="J1689" s="27">
        <f>AVERAGEIF($A$24:$A$1598, "*Mockito-*_Buggy", I$24:I$1598)</f>
        <v>11.642857142857142</v>
      </c>
      <c r="K1689" s="27">
        <f>AVERAGEIF($A$24:$A$1598, "*Mockito-*_Buggy", J$24:J$1598)</f>
        <v>22.495714285714286</v>
      </c>
      <c r="L1689" s="27">
        <f>AVERAGEIF($A$24:$A$1598, "*Mockito-*_Buggy", K$24:K$1598)</f>
        <v>0.21428571428571427</v>
      </c>
      <c r="M1689" s="27">
        <f>AVERAGEIF($A$24:$A$1598, "*Mockito-*_Buggy", L$24:L$1598)</f>
        <v>5.1428571428571428E-2</v>
      </c>
      <c r="N1689" s="27">
        <f>AVERAGEIF($A$24:$A$1598, "*Mockito-*_Buggy", M$24:M$1598)</f>
        <v>3.8571428571428572</v>
      </c>
      <c r="O1689" s="27">
        <f>AVERAGEIF($A$24:$A$1598, "*Mockito-*_Buggy", N$24:N$1598)</f>
        <v>0.21428571428571427</v>
      </c>
    </row>
    <row r="1690" spans="1:15" x14ac:dyDescent="0.35">
      <c r="A1690" s="1">
        <f>COUNTIF($A$24:$A$1598, "*Mockito*Fixed")</f>
        <v>7</v>
      </c>
      <c r="B1690" s="1" t="s">
        <v>1683</v>
      </c>
      <c r="C1690" s="29">
        <f>AVERAGEIF($A$24:$A$1598, "*Mockito-*_Fixed", B$24:B$1598)</f>
        <v>2.5014285714285713</v>
      </c>
      <c r="D1690" s="29">
        <f>AVERAGEIF($A$24:$A$1598, "*Mockito-*_Fixed", C$24:C$1598)</f>
        <v>83.070000000000007</v>
      </c>
      <c r="E1690" s="29">
        <f>AVERAGEIF($A$24:$A$1598, "*Mockito-*_Fixed", D$24:D$1598)</f>
        <v>7.4300000000000006</v>
      </c>
      <c r="F1690" s="29">
        <f>AVERAGEIF($A$24:$A$1598, "*Mockito-*_Fixed", E$24:E$1598)</f>
        <v>4.0714285714285712</v>
      </c>
      <c r="G1690" s="29">
        <f>AVERAGEIF($A$24:$A$1598, "*Mockito-*_Fixed", F$24:F$1598)</f>
        <v>4.8557142857142859</v>
      </c>
      <c r="H1690" s="29">
        <f>AVERAGEIF($A$24:$A$1598, "*Mockito-*_Fixed", G$24:G$1598)</f>
        <v>2.5014285714285713</v>
      </c>
      <c r="I1690" s="29">
        <f>AVERAGEIF($A$24:$A$1598, "*Mockito-*_Fixed", H$24:H$1598)</f>
        <v>6.5728571428571438</v>
      </c>
      <c r="J1690" s="29">
        <f>AVERAGEIF($A$24:$A$1598, "*Mockito-*_Fixed", I$24:I$1598)</f>
        <v>12.285714285714286</v>
      </c>
      <c r="K1690" s="29">
        <f>AVERAGEIF($A$24:$A$1598, "*Mockito-*_Fixed", J$24:J$1598)</f>
        <v>24.69</v>
      </c>
      <c r="L1690" s="29">
        <f>AVERAGEIF($A$24:$A$1598, "*Mockito-*_Fixed", K$24:K$1598)</f>
        <v>0.21428571428571427</v>
      </c>
      <c r="M1690" s="29">
        <f>AVERAGEIF($A$24:$A$1598, "*Mockito-*_Fixed", L$24:L$1598)</f>
        <v>5.1428571428571428E-2</v>
      </c>
      <c r="N1690" s="29">
        <f>AVERAGEIF($A$24:$A$1598, "*Mockito-*_Fixed", M$24:M$1598)</f>
        <v>3.8571428571428572</v>
      </c>
      <c r="O1690" s="29">
        <f>AVERAGEIF($A$24:$A$1598, "*Mockito-*_Fixed", N$24:N$1598)</f>
        <v>0.21428571428571427</v>
      </c>
    </row>
    <row r="1691" spans="1:15" x14ac:dyDescent="0.35">
      <c r="A1691" s="1">
        <f>COUNTIF($A$24:$A$1598, "*Mockito*Repaired")</f>
        <v>7</v>
      </c>
      <c r="B1691" s="1" t="s">
        <v>1684</v>
      </c>
      <c r="C1691" s="29">
        <f>AVERAGEIF($A$24:$A$1598, "*Mockito-*_Repaired", B$24:B$1598)</f>
        <v>2.5014285714285713</v>
      </c>
      <c r="D1691" s="29">
        <f>AVERAGEIF($A$24:$A$1598, "*Mockito-*_Repaired", C$24:C$1598)</f>
        <v>81.141428571428577</v>
      </c>
      <c r="E1691" s="29">
        <f>AVERAGEIF($A$24:$A$1598, "*Mockito-*_Repaired", D$24:D$1598)</f>
        <v>7.1771428571428562</v>
      </c>
      <c r="F1691" s="29">
        <f>AVERAGEIF($A$24:$A$1598, "*Mockito-*_Repaired", E$24:E$1598)</f>
        <v>4.2128571428571435</v>
      </c>
      <c r="G1691" s="29">
        <f>AVERAGEIF($A$24:$A$1598, "*Mockito-*_Repaired", F$24:F$1598)</f>
        <v>5.1085714285714285</v>
      </c>
      <c r="H1691" s="29">
        <f>AVERAGEIF($A$24:$A$1598, "*Mockito-*_Repaired", G$24:G$1598)</f>
        <v>2.75</v>
      </c>
      <c r="I1691" s="29">
        <f>AVERAGEIF($A$24:$A$1598, "*Mockito-*_Repaired", H$24:H$1598)</f>
        <v>6.9628571428571417</v>
      </c>
      <c r="J1691" s="29">
        <f>AVERAGEIF($A$24:$A$1598, "*Mockito-*_Repaired", I$24:I$1598)</f>
        <v>12.285714285714286</v>
      </c>
      <c r="K1691" s="29">
        <f>AVERAGEIF($A$24:$A$1598, "*Mockito-*_Repaired", J$24:J$1598)</f>
        <v>26.099999999999998</v>
      </c>
      <c r="L1691" s="29">
        <f>AVERAGEIF($A$24:$A$1598, "*Mockito-*_Repaired", K$24:K$1598)</f>
        <v>0.21428571428571427</v>
      </c>
      <c r="M1691" s="29">
        <f>AVERAGEIF($A$24:$A$1598, "*Mockito-*_Repaired", L$24:L$1598)</f>
        <v>5.1428571428571428E-2</v>
      </c>
      <c r="N1691" s="29">
        <f>AVERAGEIF($A$24:$A$1598, "*Mockito-*_Repaired", M$24:M$1598)</f>
        <v>3.8571428571428572</v>
      </c>
      <c r="O1691" s="29">
        <f>AVERAGEIF($A$24:$A$1598, "*Mockito-*_Repaired", N$24:N$1598)</f>
        <v>0.21428571428571427</v>
      </c>
    </row>
    <row r="1692" spans="1:15" ht="15" x14ac:dyDescent="0.35">
      <c r="A1692" s="37"/>
      <c r="C1692" s="46"/>
      <c r="D1692" s="46"/>
      <c r="E1692" s="46"/>
      <c r="F1692" s="46"/>
      <c r="G1692" s="46"/>
      <c r="H1692" s="46"/>
      <c r="I1692" s="46"/>
      <c r="J1692" s="46"/>
      <c r="K1692" s="46"/>
      <c r="L1692" s="46"/>
      <c r="M1692" s="46"/>
      <c r="N1692" s="46"/>
      <c r="O1692" s="50"/>
    </row>
    <row r="1693" spans="1:15" ht="28.8" x14ac:dyDescent="0.35">
      <c r="B1693" s="14" t="s">
        <v>1335</v>
      </c>
      <c r="C1693" s="47" t="s">
        <v>1296</v>
      </c>
      <c r="D1693" s="47" t="s">
        <v>1297</v>
      </c>
      <c r="E1693" s="47" t="s">
        <v>1298</v>
      </c>
      <c r="F1693" s="47" t="s">
        <v>21</v>
      </c>
      <c r="G1693" s="47" t="s">
        <v>1299</v>
      </c>
      <c r="H1693" s="47" t="s">
        <v>22</v>
      </c>
      <c r="I1693" s="47" t="s">
        <v>1300</v>
      </c>
      <c r="J1693" s="47" t="s">
        <v>1301</v>
      </c>
      <c r="K1693" s="47" t="s">
        <v>1302</v>
      </c>
      <c r="L1693" s="47" t="s">
        <v>1303</v>
      </c>
      <c r="M1693" s="47" t="s">
        <v>1304</v>
      </c>
      <c r="N1693" s="47" t="s">
        <v>1305</v>
      </c>
      <c r="O1693" s="47" t="s">
        <v>1306</v>
      </c>
    </row>
    <row r="1694" spans="1:15" x14ac:dyDescent="0.35">
      <c r="A1694" s="1">
        <f>COUNTIF($A$24:$A$1598, "*Time*Buggy")</f>
        <v>3</v>
      </c>
      <c r="B1694" s="1" t="s">
        <v>1685</v>
      </c>
      <c r="C1694" s="27">
        <f>AVERAGEIF($A$24:$A$1598, "*Time-*_Buggy", B$24:B$1598)</f>
        <v>2.5</v>
      </c>
      <c r="D1694" s="27">
        <f>AVERAGEIF($A$24:$A$1598, "*Time-*_Buggy", C$24:C$1598)</f>
        <v>81.606666666666669</v>
      </c>
      <c r="E1694" s="27">
        <f>AVERAGEIF($A$24:$A$1598, "*Time-*_Buggy", D$24:D$1598)</f>
        <v>13.269999999999998</v>
      </c>
      <c r="F1694" s="27">
        <f>AVERAGEIF($A$24:$A$1598, "*Time-*_Buggy", E$24:E$1598)</f>
        <v>4.956666666666667</v>
      </c>
      <c r="G1694" s="27">
        <f>AVERAGEIF($A$24:$A$1598, "*Time-*_Buggy", F$24:F$1598)</f>
        <v>8.1333333333333329</v>
      </c>
      <c r="H1694" s="27">
        <f>AVERAGEIF($A$24:$A$1598, "*Time-*_Buggy", G$24:G$1598)</f>
        <v>3.8066666666666666</v>
      </c>
      <c r="I1694" s="27">
        <f>AVERAGEIF($A$24:$A$1598, "*Time-*_Buggy", H$24:H$1598)</f>
        <v>8.7633333333333336</v>
      </c>
      <c r="J1694" s="27">
        <f>AVERAGEIF($A$24:$A$1598, "*Time-*_Buggy", I$24:I$1598)</f>
        <v>21.400000000000002</v>
      </c>
      <c r="K1694" s="27">
        <f>AVERAGEIF($A$24:$A$1598, "*Time-*_Buggy", J$24:J$1598)</f>
        <v>40.943333333333335</v>
      </c>
      <c r="L1694" s="27">
        <f>AVERAGEIF($A$24:$A$1598, "*Time-*_Buggy", K$24:K$1598)</f>
        <v>1.3666666666666667E-2</v>
      </c>
      <c r="M1694" s="27">
        <f>AVERAGEIF($A$24:$A$1598, "*Time-*_Buggy", L$24:L$1598)</f>
        <v>1.3666666666666667E-2</v>
      </c>
      <c r="N1694" s="27">
        <f>AVERAGEIF($A$24:$A$1598, "*Time-*_Buggy", M$24:M$1598)</f>
        <v>0.12666666666666668</v>
      </c>
      <c r="O1694" s="27">
        <f>AVERAGEIF($A$24:$A$1598, "*Time-*_Buggy", N$24:N$1598)</f>
        <v>7.0000000000000001E-3</v>
      </c>
    </row>
    <row r="1695" spans="1:15" x14ac:dyDescent="0.35">
      <c r="A1695" s="1">
        <f>COUNTIF($A$24:$A$1598, "*Time*Fixed")</f>
        <v>3</v>
      </c>
      <c r="B1695" s="1" t="s">
        <v>1686</v>
      </c>
      <c r="C1695" s="29">
        <f>AVERAGEIF($A$24:$A$1598, "*Time-*_Fixed", B$24:B$1598)</f>
        <v>2.5933333333333337</v>
      </c>
      <c r="D1695" s="29">
        <f>AVERAGEIF($A$24:$A$1598, "*Time-*_Fixed", C$24:C$1598)</f>
        <v>81.426666666666662</v>
      </c>
      <c r="E1695" s="29">
        <f>AVERAGEIF($A$24:$A$1598, "*Time-*_Fixed", D$24:D$1598)</f>
        <v>13.776666666666666</v>
      </c>
      <c r="F1695" s="29">
        <f>AVERAGEIF($A$24:$A$1598, "*Time-*_Fixed", E$24:E$1598)</f>
        <v>5.043333333333333</v>
      </c>
      <c r="G1695" s="29">
        <f>AVERAGEIF($A$24:$A$1598, "*Time-*_Fixed", F$24:F$1598)</f>
        <v>8.5666666666666664</v>
      </c>
      <c r="H1695" s="29">
        <f>AVERAGEIF($A$24:$A$1598, "*Time-*_Fixed", G$24:G$1598)</f>
        <v>3.9499999999999997</v>
      </c>
      <c r="I1695" s="29">
        <f>AVERAGEIF($A$24:$A$1598, "*Time-*_Fixed", H$24:H$1598)</f>
        <v>8.9933333333333323</v>
      </c>
      <c r="J1695" s="29">
        <f>AVERAGEIF($A$24:$A$1598, "*Time-*_Fixed", I$24:I$1598)</f>
        <v>22.343333333333334</v>
      </c>
      <c r="K1695" s="29">
        <f>AVERAGEIF($A$24:$A$1598, "*Time-*_Fixed", J$24:J$1598)</f>
        <v>42.800000000000004</v>
      </c>
      <c r="L1695" s="29">
        <f>AVERAGEIF($A$24:$A$1598, "*Time-*_Fixed", K$24:K$1598)</f>
        <v>1.3666666666666667E-2</v>
      </c>
      <c r="M1695" s="29">
        <f>AVERAGEIF($A$24:$A$1598, "*Time-*_Fixed", L$24:L$1598)</f>
        <v>1.3666666666666667E-2</v>
      </c>
      <c r="N1695" s="29">
        <f>AVERAGEIF($A$24:$A$1598, "*Time-*_Fixed", M$24:M$1598)</f>
        <v>0.12666666666666668</v>
      </c>
      <c r="O1695" s="29">
        <f>AVERAGEIF($A$24:$A$1598, "*Time-*_Fixed", N$24:N$1598)</f>
        <v>7.0000000000000001E-3</v>
      </c>
    </row>
    <row r="1696" spans="1:15" x14ac:dyDescent="0.35">
      <c r="A1696" s="1">
        <f>COUNTIF($A$24:$A$1598, "*Time*Repaired")</f>
        <v>3</v>
      </c>
      <c r="B1696" s="1" t="s">
        <v>1687</v>
      </c>
      <c r="C1696" s="29">
        <f>AVERAGEIF($A$24:$A$1598, "*Time-*_Repaired", B$24:B$1598)</f>
        <v>2.5466666666666669</v>
      </c>
      <c r="D1696" s="29">
        <f>AVERAGEIF($A$24:$A$1598, "*Time-*_Repaired", C$24:C$1598)</f>
        <v>81.61666666666666</v>
      </c>
      <c r="E1696" s="29">
        <f>AVERAGEIF($A$24:$A$1598, "*Time-*_Repaired", D$24:D$1598)</f>
        <v>13.213333333333333</v>
      </c>
      <c r="F1696" s="29">
        <f>AVERAGEIF($A$24:$A$1598, "*Time-*_Repaired", E$24:E$1598)</f>
        <v>4.9366666666666665</v>
      </c>
      <c r="G1696" s="29">
        <f>AVERAGEIF($A$24:$A$1598, "*Time-*_Repaired", F$24:F$1598)</f>
        <v>8.2933333333333348</v>
      </c>
      <c r="H1696" s="29">
        <f>AVERAGEIF($A$24:$A$1598, "*Time-*_Repaired", G$24:G$1598)</f>
        <v>3.9600000000000004</v>
      </c>
      <c r="I1696" s="29">
        <f>AVERAGEIF($A$24:$A$1598, "*Time-*_Repaired", H$24:H$1598)</f>
        <v>8.9</v>
      </c>
      <c r="J1696" s="29">
        <f>AVERAGEIF($A$24:$A$1598, "*Time-*_Repaired", I$24:I$1598)</f>
        <v>21.506666666666664</v>
      </c>
      <c r="K1696" s="29">
        <f>AVERAGEIF($A$24:$A$1598, "*Time-*_Repaired", J$24:J$1598)</f>
        <v>41.823333333333331</v>
      </c>
      <c r="L1696" s="29">
        <f>AVERAGEIF($A$24:$A$1598, "*Time-*_Repaired", K$24:K$1598)</f>
        <v>1.3666666666666667E-2</v>
      </c>
      <c r="M1696" s="29">
        <f>AVERAGEIF($A$24:$A$1598, "*Time-*_Repaired", L$24:L$1598)</f>
        <v>1.3666666666666667E-2</v>
      </c>
      <c r="N1696" s="29">
        <f>AVERAGEIF($A$24:$A$1598, "*Time-*_Repaired", M$24:M$1598)</f>
        <v>0.12666666666666668</v>
      </c>
      <c r="O1696" s="29">
        <f>AVERAGEIF($A$24:$A$1598, "*Time-*_Repaired", N$24:N$1598)</f>
        <v>7.0000000000000001E-3</v>
      </c>
    </row>
    <row r="1697" spans="1:29" ht="15" x14ac:dyDescent="0.35">
      <c r="A1697" s="37"/>
      <c r="O1697"/>
    </row>
    <row r="1698" spans="1:29" ht="15" x14ac:dyDescent="0.35">
      <c r="O1698"/>
    </row>
    <row r="1699" spans="1:29" x14ac:dyDescent="0.35">
      <c r="A1699" s="33" t="s">
        <v>1336</v>
      </c>
      <c r="B1699" s="28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28"/>
    </row>
    <row r="1700" spans="1:29" ht="15" x14ac:dyDescent="0.3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</row>
    <row r="1701" spans="1:29" ht="28.8" x14ac:dyDescent="0.35">
      <c r="A1701" s="14" t="s">
        <v>1310</v>
      </c>
      <c r="B1701" s="14" t="s">
        <v>1335</v>
      </c>
      <c r="C1701" s="14" t="s">
        <v>1296</v>
      </c>
      <c r="D1701" s="14" t="s">
        <v>1297</v>
      </c>
      <c r="E1701" s="14" t="s">
        <v>1298</v>
      </c>
      <c r="F1701" s="14" t="s">
        <v>21</v>
      </c>
      <c r="G1701" s="14" t="s">
        <v>1299</v>
      </c>
      <c r="H1701" s="14" t="s">
        <v>22</v>
      </c>
      <c r="I1701" s="14" t="s">
        <v>1300</v>
      </c>
      <c r="J1701" s="14" t="s">
        <v>1301</v>
      </c>
      <c r="K1701" s="14" t="s">
        <v>1302</v>
      </c>
      <c r="L1701" s="14" t="s">
        <v>1303</v>
      </c>
      <c r="M1701" s="14" t="s">
        <v>1304</v>
      </c>
      <c r="N1701" s="14" t="s">
        <v>1305</v>
      </c>
      <c r="O1701" s="14" t="s">
        <v>1306</v>
      </c>
      <c r="Q1701" s="12" t="s">
        <v>1292</v>
      </c>
      <c r="R1701" s="12" t="s">
        <v>1293</v>
      </c>
      <c r="S1701" s="12" t="s">
        <v>1294</v>
      </c>
      <c r="T1701" s="12" t="s">
        <v>1701</v>
      </c>
      <c r="V1701" s="12" t="s">
        <v>1729</v>
      </c>
      <c r="W1701" s="12" t="s">
        <v>1339</v>
      </c>
    </row>
    <row r="1702" spans="1:29" ht="15" x14ac:dyDescent="0.35">
      <c r="A1702" s="1">
        <f>COUNTIF($A$24:$A$1598, "ACS*Fixed")</f>
        <v>19</v>
      </c>
      <c r="B1702" s="1" t="s">
        <v>1311</v>
      </c>
      <c r="C1702" s="27">
        <f>AVERAGEIF($A$24:$A$1598, "ACS*Fixed", B$24:B$1598)</f>
        <v>3.6378947368421053</v>
      </c>
      <c r="D1702" s="27">
        <f>AVERAGEIF($A$24:$A$1598, "ACS*Fixed", C$24:C$1598)</f>
        <v>77.220000000000013</v>
      </c>
      <c r="E1702" s="27">
        <f>AVERAGEIF($A$24:$A$1598, "ACS*Fixed", D$24:D$1598)</f>
        <v>19.461052631578948</v>
      </c>
      <c r="F1702" s="27">
        <f>AVERAGEIF($A$24:$A$1598, "ACS*Fixed", E$24:E$1598)</f>
        <v>6.63578947368421</v>
      </c>
      <c r="G1702" s="27">
        <f>AVERAGEIF($A$24:$A$1598, "ACS*Fixed", F$24:F$1598)</f>
        <v>14.316315789473684</v>
      </c>
      <c r="H1702" s="27">
        <f>AVERAGEIF($A$24:$A$1598, "ACS*Fixed", G$24:G$1598)</f>
        <v>4.7099999999999991</v>
      </c>
      <c r="I1702" s="27">
        <f>AVERAGEIF($A$24:$A$1598, "ACS*Fixed", H$24:H$1598)</f>
        <v>11.346315789473683</v>
      </c>
      <c r="J1702" s="27">
        <f>AVERAGEIF($A$24:$A$1598, "ACS*Fixed", I$24:I$1598)</f>
        <v>33.776315789473678</v>
      </c>
      <c r="K1702" s="27">
        <f>AVERAGEIF($A$24:$A$1598, "ACS*Fixed", J$24:J$1598)</f>
        <v>59.617894736842103</v>
      </c>
      <c r="L1702" s="27">
        <f>AVERAGEIF($A$24:$A$1598, "ACS*Fixed", K$24:K$1598)</f>
        <v>0.38278947368421051</v>
      </c>
      <c r="M1702" s="27">
        <f>AVERAGEIF($A$24:$A$1598, "ACS*Fixed", L$24:L$1598)</f>
        <v>5.5473684210526321E-2</v>
      </c>
      <c r="N1702" s="27">
        <f>AVERAGEIF($A$24:$A$1598, "ACS*Fixed", M$24:M$1598)</f>
        <v>12.57842105263158</v>
      </c>
      <c r="O1702" s="27">
        <f>AVERAGEIF($A$24:$A$1598, "ACS*Fixed", N$24:N$1598)</f>
        <v>0.6986842105263158</v>
      </c>
      <c r="Q1702" s="27">
        <f>AVERAGEIF($A$24:$A$1598, "ACS*Fixed", S$24:S$1598)</f>
        <v>2.1052631578947367</v>
      </c>
      <c r="R1702" s="27">
        <f>AVERAGEIF($A$24:$A$1598, "ACS*Fixed", T$24:T$1598)</f>
        <v>4.1578947368421053</v>
      </c>
      <c r="S1702" s="27">
        <f>AVERAGEIF($A$24:$A$1598, "ACS*Fixed", U$24:U$1598)</f>
        <v>0.94736842105263153</v>
      </c>
      <c r="T1702" s="27">
        <f>AVERAGEIF($A$24:$A$1598, "ACS*Fixed", V$24:V$1598)</f>
        <v>4.3157894736842106</v>
      </c>
      <c r="V1702" s="1">
        <f>N1702+D1702+C1702-C1703-D1703-N1703</f>
        <v>2.0526315789467731E-2</v>
      </c>
      <c r="W1702" s="1" t="s">
        <v>1730</v>
      </c>
      <c r="X1702"/>
      <c r="Y1702"/>
      <c r="Z1702"/>
      <c r="AA1702"/>
      <c r="AB1702"/>
      <c r="AC1702"/>
    </row>
    <row r="1703" spans="1:29" ht="15" thickBot="1" x14ac:dyDescent="0.4">
      <c r="A1703" s="31">
        <f>COUNTIF($A$24:$A$1598, "ACS*Repaired")</f>
        <v>19</v>
      </c>
      <c r="B1703" s="31" t="s">
        <v>1312</v>
      </c>
      <c r="C1703" s="32">
        <f>AVERAGEIF($A$24:$A$1598, "ACS*Repaired", B$24:B$1598)</f>
        <v>3.6494736842105264</v>
      </c>
      <c r="D1703" s="32">
        <f>AVERAGEIF($A$24:$A$1598, "ACS*Repaired", C$24:C$1598)</f>
        <v>76.966842105263183</v>
      </c>
      <c r="E1703" s="32">
        <f>AVERAGEIF($A$24:$A$1598, "ACS*Repaired", D$24:D$1598)</f>
        <v>19.37157894736842</v>
      </c>
      <c r="F1703" s="32">
        <f>AVERAGEIF($A$24:$A$1598, "ACS*Repaired", E$24:E$1598)</f>
        <v>6.7163157894736845</v>
      </c>
      <c r="G1703" s="32">
        <f>AVERAGEIF($A$24:$A$1598, "ACS*Repaired", F$24:F$1598)</f>
        <v>14.276842105263157</v>
      </c>
      <c r="H1703" s="32">
        <f>AVERAGEIF($A$24:$A$1598, "ACS*Repaired", G$24:G$1598)</f>
        <v>4.8273684210526318</v>
      </c>
      <c r="I1703" s="32">
        <f>AVERAGEIF($A$24:$A$1598, "ACS*Repaired", H$24:H$1598)</f>
        <v>11.544210526315791</v>
      </c>
      <c r="J1703" s="32">
        <f>AVERAGEIF($A$24:$A$1598, "ACS*Repaired", I$24:I$1598)</f>
        <v>33.647368421052626</v>
      </c>
      <c r="K1703" s="32">
        <f>AVERAGEIF($A$24:$A$1598, "ACS*Repaired", J$24:J$1598)</f>
        <v>60.594736842105263</v>
      </c>
      <c r="L1703" s="32">
        <f>AVERAGEIF($A$24:$A$1598, "ACS*Repaired", K$24:K$1598)</f>
        <v>0.39657894736842103</v>
      </c>
      <c r="M1703" s="32">
        <f>AVERAGEIF($A$24:$A$1598, "ACS*Repaired", L$24:L$1598)</f>
        <v>6.0631578947368418E-2</v>
      </c>
      <c r="N1703" s="32">
        <f>AVERAGEIF($A$24:$A$1598, "ACS*Repaired", M$24:M$1598)</f>
        <v>12.799473684210525</v>
      </c>
      <c r="O1703" s="32">
        <f>AVERAGEIF($A$24:$A$1598, "ACS*Repaired", N$24:N$1598)</f>
        <v>0.71084210526315794</v>
      </c>
      <c r="Q1703" s="32">
        <f>AVERAGEIF($A$24:$A$1598, "ACS*Repaired", S$24:S$1598)</f>
        <v>1.263157894736842</v>
      </c>
      <c r="R1703" s="32">
        <f>AVERAGEIF($A$24:$A$1598, "ACS*Repaired", T$24:T$1598)</f>
        <v>1.6842105263157894</v>
      </c>
      <c r="S1703" s="32">
        <f>AVERAGEIF($A$24:$A$1598, "ACS*Repaired", U$24:U$1598)</f>
        <v>1.368421052631579</v>
      </c>
      <c r="T1703" s="32">
        <f>AVERAGEIF($A$24:$A$1598, "ACS*Repaired", V$24:V$1598)</f>
        <v>1.9473684210526316</v>
      </c>
      <c r="V1703" s="31">
        <f>N1703+D1703+C1703</f>
        <v>93.415789473684228</v>
      </c>
      <c r="W1703" s="31" t="s">
        <v>1730</v>
      </c>
    </row>
    <row r="1704" spans="1:29" x14ac:dyDescent="0.35">
      <c r="A1704" s="1">
        <f>COUNTIF($A$24:$A$1598, "Arja*Fixed")</f>
        <v>42</v>
      </c>
      <c r="B1704" s="1" t="s">
        <v>1313</v>
      </c>
      <c r="C1704" s="27">
        <f>AVERAGEIF($A$24:$A$1598, "Arja*Fixed", B$24:B$1598)</f>
        <v>3.8414285714285703</v>
      </c>
      <c r="D1704" s="27">
        <f>AVERAGEIF($A$24:$A$1598, "Arja*Fixed", C$24:C$1598)</f>
        <v>77.565476190476176</v>
      </c>
      <c r="E1704" s="27">
        <f>AVERAGEIF($A$24:$A$1598, "Arja*Fixed", D$24:D$1598)</f>
        <v>18.336428571428574</v>
      </c>
      <c r="F1704" s="27">
        <f>AVERAGEIF($A$24:$A$1598, "Arja*Fixed", E$24:E$1598)</f>
        <v>6.4509523809523825</v>
      </c>
      <c r="G1704" s="27">
        <f>AVERAGEIF($A$24:$A$1598, "Arja*Fixed", F$24:F$1598)</f>
        <v>13.723333333333336</v>
      </c>
      <c r="H1704" s="27">
        <f>AVERAGEIF($A$24:$A$1598, "Arja*Fixed", G$24:G$1598)</f>
        <v>4.0107142857142843</v>
      </c>
      <c r="I1704" s="27">
        <f>AVERAGEIF($A$24:$A$1598, "Arja*Fixed", H$24:H$1598)</f>
        <v>10.46166666666667</v>
      </c>
      <c r="J1704" s="27">
        <f>AVERAGEIF($A$24:$A$1598, "Arja*Fixed", I$24:I$1598)</f>
        <v>32.059761904761906</v>
      </c>
      <c r="K1704" s="27">
        <f>AVERAGEIF($A$24:$A$1598, "Arja*Fixed", J$24:J$1598)</f>
        <v>54.547380952380948</v>
      </c>
      <c r="L1704" s="27">
        <f>AVERAGEIF($A$24:$A$1598, "Arja*Fixed", K$24:K$1598)</f>
        <v>0.30504761904761896</v>
      </c>
      <c r="M1704" s="27">
        <f>AVERAGEIF($A$24:$A$1598, "Arja*Fixed", L$24:L$1598)</f>
        <v>5.448571428571429E-2</v>
      </c>
      <c r="N1704" s="27">
        <f>AVERAGEIF($A$24:$A$1598, "Arja*Fixed", M$24:M$1598)</f>
        <v>29.337785714285712</v>
      </c>
      <c r="O1704" s="27">
        <f>AVERAGEIF($A$24:$A$1598, "Arja*Fixed", N$24:N$1598)</f>
        <v>1.6297333333333335</v>
      </c>
      <c r="Q1704" s="27">
        <f>AVERAGEIF($A$24:$A$1598, "Arja*Fixed", S$24:S$1598)</f>
        <v>2.1666666666666665</v>
      </c>
      <c r="R1704" s="27">
        <f>AVERAGEIF($A$24:$A$1598, "Arja*Fixed", T$24:T$1598)</f>
        <v>3.2380952380952381</v>
      </c>
      <c r="S1704" s="27">
        <f>AVERAGEIF($A$24:$A$1598, "Arja*Fixed", U$24:U$1598)</f>
        <v>3.7380952380952381</v>
      </c>
      <c r="T1704" s="27">
        <f>AVERAGEIF($A$24:$A$1598, "Arja*Fixed", V$24:V$1598)</f>
        <v>5.7380952380952381</v>
      </c>
      <c r="V1704" s="1">
        <f>N1704+D1704+C1704-C1705-D1705-N1705</f>
        <v>-1.2371428571428496</v>
      </c>
      <c r="W1704" s="1" t="s">
        <v>1731</v>
      </c>
    </row>
    <row r="1705" spans="1:29" ht="15" thickBot="1" x14ac:dyDescent="0.4">
      <c r="A1705" s="31">
        <f>COUNTIF($A$24:$A$1598, "Arja*Repaired")</f>
        <v>42</v>
      </c>
      <c r="B1705" s="31" t="s">
        <v>1314</v>
      </c>
      <c r="C1705" s="32">
        <f>AVERAGEIF($A$24:$A$1598, "Arja*Repaired", B$24:B$1598)</f>
        <v>3.8221428571428557</v>
      </c>
      <c r="D1705" s="32">
        <f>AVERAGEIF($A$24:$A$1598, "Arja*Repaired", C$24:C$1598)</f>
        <v>77.557142857142836</v>
      </c>
      <c r="E1705" s="32">
        <f>AVERAGEIF($A$24:$A$1598, "Arja*Repaired", D$24:D$1598)</f>
        <v>18.03738095238095</v>
      </c>
      <c r="F1705" s="32">
        <f>AVERAGEIF($A$24:$A$1598, "Arja*Repaired", E$24:E$1598)</f>
        <v>6.418333333333333</v>
      </c>
      <c r="G1705" s="32">
        <f>AVERAGEIF($A$24:$A$1598, "Arja*Repaired", F$24:F$1598)</f>
        <v>13.544999999999996</v>
      </c>
      <c r="H1705" s="32">
        <f>AVERAGEIF($A$24:$A$1598, "Arja*Repaired", G$24:G$1598)</f>
        <v>4.0064285714285708</v>
      </c>
      <c r="I1705" s="32">
        <f>AVERAGEIF($A$24:$A$1598, "Arja*Repaired", H$24:H$1598)</f>
        <v>10.424523809523812</v>
      </c>
      <c r="J1705" s="32">
        <f>AVERAGEIF($A$24:$A$1598, "Arja*Repaired", I$24:I$1598)</f>
        <v>31.584285714285709</v>
      </c>
      <c r="K1705" s="32">
        <f>AVERAGEIF($A$24:$A$1598, "Arja*Repaired", J$24:J$1598)</f>
        <v>53.939523809523813</v>
      </c>
      <c r="L1705" s="32">
        <f>AVERAGEIF($A$24:$A$1598, "Arja*Repaired", K$24:K$1598)</f>
        <v>0.3307619047619047</v>
      </c>
      <c r="M1705" s="32">
        <f>AVERAGEIF($A$24:$A$1598, "Arja*Repaired", L$24:L$1598)</f>
        <v>5.8628571428571433E-2</v>
      </c>
      <c r="N1705" s="32">
        <f>AVERAGEIF($A$24:$A$1598, "Arja*Repaired", M$24:M$1598)</f>
        <v>30.60254761904762</v>
      </c>
      <c r="O1705" s="32">
        <f>AVERAGEIF($A$24:$A$1598, "Arja*Repaired", N$24:N$1598)</f>
        <v>1.699804761904762</v>
      </c>
      <c r="Q1705" s="32">
        <f>AVERAGEIF($A$24:$A$1598, "Arja*Repaired", S$24:S$1598)</f>
        <v>1.2857142857142858</v>
      </c>
      <c r="R1705" s="32">
        <f>AVERAGEIF($A$24:$A$1598, "Arja*Repaired", T$24:T$1598)</f>
        <v>1.6428571428571428</v>
      </c>
      <c r="S1705" s="32">
        <f>AVERAGEIF($A$24:$A$1598, "Arja*Repaired", U$24:U$1598)</f>
        <v>7.6904761904761907</v>
      </c>
      <c r="T1705" s="32">
        <f>AVERAGEIF($A$24:$A$1598, "Arja*Repaired", V$24:V$1598)</f>
        <v>8.3809523809523814</v>
      </c>
      <c r="V1705" s="31">
        <f>N1705+D1705+C1705</f>
        <v>111.98183333333331</v>
      </c>
      <c r="W1705" s="31" t="s">
        <v>1731</v>
      </c>
    </row>
    <row r="1706" spans="1:29" x14ac:dyDescent="0.35">
      <c r="A1706" s="1">
        <f>COUNTIF($A$24:$A$1598, "AVATAR*Fixed")</f>
        <v>52</v>
      </c>
      <c r="B1706" s="1" t="s">
        <v>1315</v>
      </c>
      <c r="C1706" s="27">
        <f>AVERAGEIF($A$24:$A$1598, "AVATAR*Fixed", B$24:B$1598)</f>
        <v>3.8761538461538461</v>
      </c>
      <c r="D1706" s="27">
        <f>AVERAGEIF($A$24:$A$1598, "AVATAR*Fixed", C$24:C$1598)</f>
        <v>77.812884615384618</v>
      </c>
      <c r="E1706" s="27">
        <f>AVERAGEIF($A$24:$A$1598, "AVATAR*Fixed", D$24:D$1598)</f>
        <v>17.430576923076927</v>
      </c>
      <c r="F1706" s="27">
        <f>AVERAGEIF($A$24:$A$1598, "AVATAR*Fixed", E$24:E$1598)</f>
        <v>6.6100000000000012</v>
      </c>
      <c r="G1706" s="27">
        <f>AVERAGEIF($A$24:$A$1598, "AVATAR*Fixed", F$24:F$1598)</f>
        <v>13.420961538461537</v>
      </c>
      <c r="H1706" s="27">
        <f>AVERAGEIF($A$24:$A$1598, "AVATAR*Fixed", G$24:G$1598)</f>
        <v>3.9580769230769226</v>
      </c>
      <c r="I1706" s="27">
        <f>AVERAGEIF($A$24:$A$1598, "AVATAR*Fixed", H$24:H$1598)</f>
        <v>10.568653846153849</v>
      </c>
      <c r="J1706" s="27">
        <f>AVERAGEIF($A$24:$A$1598, "AVATAR*Fixed", I$24:I$1598)</f>
        <v>30.85153846153846</v>
      </c>
      <c r="K1706" s="27">
        <f>AVERAGEIF($A$24:$A$1598, "AVATAR*Fixed", J$24:J$1598)</f>
        <v>54.975576923076929</v>
      </c>
      <c r="L1706" s="27">
        <f>AVERAGEIF($A$24:$A$1598, "AVATAR*Fixed", K$24:K$1598)</f>
        <v>0.30101923076923082</v>
      </c>
      <c r="M1706" s="27">
        <f>AVERAGEIF($A$24:$A$1598, "AVATAR*Fixed", L$24:L$1598)</f>
        <v>5.5125000000000007E-2</v>
      </c>
      <c r="N1706" s="27">
        <f>AVERAGEIF($A$24:$A$1598, "AVATAR*Fixed", M$24:M$1598)</f>
        <v>48.711346153846165</v>
      </c>
      <c r="O1706" s="27">
        <f>AVERAGEIF($A$24:$A$1598, "AVATAR*Fixed", N$24:N$1598)</f>
        <v>2.7063461538461544</v>
      </c>
      <c r="Q1706" s="27">
        <f>AVERAGEIF($A$24:$A$1598, "AVATAR*Fixed", S$24:S$1598)</f>
        <v>2.0192307692307692</v>
      </c>
      <c r="R1706" s="27">
        <f>AVERAGEIF($A$24:$A$1598, "AVATAR*Fixed", T$24:T$1598)</f>
        <v>3.1153846153846154</v>
      </c>
      <c r="S1706" s="27">
        <f>AVERAGEIF($A$24:$A$1598, "AVATAR*Fixed", U$24:U$1598)</f>
        <v>3.0576923076923075</v>
      </c>
      <c r="T1706" s="27">
        <f>AVERAGEIF($A$24:$A$1598, "AVATAR*Fixed", V$24:V$1598)</f>
        <v>5.2884615384615383</v>
      </c>
      <c r="V1706" s="1">
        <f>N1706+D1706+C1706-C1707-D1707-N1707</f>
        <v>0.13538461538462343</v>
      </c>
      <c r="W1706" s="1" t="s">
        <v>1732</v>
      </c>
    </row>
    <row r="1707" spans="1:29" ht="15" thickBot="1" x14ac:dyDescent="0.4">
      <c r="A1707" s="31">
        <f>COUNTIF($A$24:$A$1598, "AVATAR*Repaired")</f>
        <v>52</v>
      </c>
      <c r="B1707" s="31" t="s">
        <v>1316</v>
      </c>
      <c r="C1707" s="32">
        <f>AVERAGEIF($A$24:$A$1598, "AVATAR*Repaired", B$24:B$1598)</f>
        <v>3.893076923076924</v>
      </c>
      <c r="D1707" s="32">
        <f>AVERAGEIF($A$24:$A$1598, "AVATAR*Repaired", C$24:C$1598)</f>
        <v>77.850576923076929</v>
      </c>
      <c r="E1707" s="32">
        <f>AVERAGEIF($A$24:$A$1598, "AVATAR*Repaired", D$24:D$1598)</f>
        <v>17.34615384615385</v>
      </c>
      <c r="F1707" s="32">
        <f>AVERAGEIF($A$24:$A$1598, "AVATAR*Repaired", E$24:E$1598)</f>
        <v>6.5634615384615396</v>
      </c>
      <c r="G1707" s="32">
        <f>AVERAGEIF($A$24:$A$1598, "AVATAR*Repaired", F$24:F$1598)</f>
        <v>13.514615384615384</v>
      </c>
      <c r="H1707" s="32">
        <f>AVERAGEIF($A$24:$A$1598, "AVATAR*Repaired", G$24:G$1598)</f>
        <v>3.9400000000000004</v>
      </c>
      <c r="I1707" s="32">
        <f>AVERAGEIF($A$24:$A$1598, "AVATAR*Repaired", H$24:H$1598)</f>
        <v>10.503269230769234</v>
      </c>
      <c r="J1707" s="32">
        <f>AVERAGEIF($A$24:$A$1598, "AVATAR*Repaired", I$24:I$1598)</f>
        <v>30.860192307692309</v>
      </c>
      <c r="K1707" s="32">
        <f>AVERAGEIF($A$24:$A$1598, "AVATAR*Repaired", J$24:J$1598)</f>
        <v>54.600769230769203</v>
      </c>
      <c r="L1707" s="32">
        <f>AVERAGEIF($A$24:$A$1598, "AVATAR*Repaired", K$24:K$1598)</f>
        <v>0.29638461538461541</v>
      </c>
      <c r="M1707" s="32">
        <f>AVERAGEIF($A$24:$A$1598, "AVATAR*Repaired", L$24:L$1598)</f>
        <v>5.4298076923076935E-2</v>
      </c>
      <c r="N1707" s="32">
        <f>AVERAGEIF($A$24:$A$1598, "AVATAR*Repaired", M$24:M$1598)</f>
        <v>48.521346153846167</v>
      </c>
      <c r="O1707" s="32">
        <f>AVERAGEIF($A$24:$A$1598, "AVATAR*Repaired", N$24:N$1598)</f>
        <v>2.6955769230769233</v>
      </c>
      <c r="Q1707" s="32">
        <f>AVERAGEIF($A$24:$A$1598, "AVATAR*Repaired", S$24:S$1598)</f>
        <v>1.0769230769230769</v>
      </c>
      <c r="R1707" s="32">
        <f>AVERAGEIF($A$24:$A$1598, "AVATAR*Repaired", T$24:T$1598)</f>
        <v>1.4230769230769231</v>
      </c>
      <c r="S1707" s="32">
        <f>AVERAGEIF($A$24:$A$1598, "AVATAR*Repaired", U$24:U$1598)</f>
        <v>3.5576923076923075</v>
      </c>
      <c r="T1707" s="32">
        <f>AVERAGEIF($A$24:$A$1598, "AVATAR*Repaired", V$24:V$1598)</f>
        <v>4</v>
      </c>
      <c r="V1707" s="31">
        <f>N1707+D1707+C1707</f>
        <v>130.26500000000001</v>
      </c>
      <c r="W1707" s="31" t="s">
        <v>1732</v>
      </c>
    </row>
    <row r="1708" spans="1:29" x14ac:dyDescent="0.35">
      <c r="A1708" s="1">
        <f>COUNTIF($A$24:$A$1598, "DynaMoth*Fixed")</f>
        <v>24</v>
      </c>
      <c r="B1708" s="1" t="s">
        <v>1317</v>
      </c>
      <c r="C1708" s="27">
        <f>AVERAGEIF($A$24:$A$1598, "DynaMoth*Fixed", B$24:B$1598)</f>
        <v>3.7154166666666661</v>
      </c>
      <c r="D1708" s="27">
        <f>AVERAGEIF($A$24:$A$1598, "DynaMoth*Fixed", C$24:C$1598)</f>
        <v>77.138749999999987</v>
      </c>
      <c r="E1708" s="27">
        <f>AVERAGEIF($A$24:$A$1598, "DynaMoth*Fixed", D$24:D$1598)</f>
        <v>21.758750000000003</v>
      </c>
      <c r="F1708" s="27">
        <f>AVERAGEIF($A$24:$A$1598, "DynaMoth*Fixed", E$24:E$1598)</f>
        <v>7.003333333333333</v>
      </c>
      <c r="G1708" s="27">
        <f>AVERAGEIF($A$24:$A$1598, "DynaMoth*Fixed", F$24:F$1598)</f>
        <v>15.356666666666664</v>
      </c>
      <c r="H1708" s="27">
        <f>AVERAGEIF($A$24:$A$1598, "DynaMoth*Fixed", G$24:G$1598)</f>
        <v>4.2541666666666655</v>
      </c>
      <c r="I1708" s="27">
        <f>AVERAGEIF($A$24:$A$1598, "DynaMoth*Fixed", H$24:H$1598)</f>
        <v>11.258333333333335</v>
      </c>
      <c r="J1708" s="27">
        <f>AVERAGEIF($A$24:$A$1598, "DynaMoth*Fixed", I$24:I$1598)</f>
        <v>37.115000000000002</v>
      </c>
      <c r="K1708" s="27">
        <f>AVERAGEIF($A$24:$A$1598, "DynaMoth*Fixed", J$24:J$1598)</f>
        <v>61.103333333333332</v>
      </c>
      <c r="L1708" s="27">
        <f>AVERAGEIF($A$24:$A$1598, "DynaMoth*Fixed", K$24:K$1598)</f>
        <v>0.57354166666666651</v>
      </c>
      <c r="M1708" s="27">
        <f>AVERAGEIF($A$24:$A$1598, "DynaMoth*Fixed", L$24:L$1598)</f>
        <v>7.0624999999999993E-2</v>
      </c>
      <c r="N1708" s="27">
        <f>AVERAGEIF($A$24:$A$1598, "DynaMoth*Fixed", M$24:M$1598)</f>
        <v>14.689041666666666</v>
      </c>
      <c r="O1708" s="27">
        <f>AVERAGEIF($A$24:$A$1598, "DynaMoth*Fixed", N$24:N$1598)</f>
        <v>0.81632499999999997</v>
      </c>
      <c r="Q1708" s="27">
        <f>AVERAGEIF($A$24:$A$1598, "DynaMoth*Fixed", S$24:S$1598)</f>
        <v>2.4166666666666665</v>
      </c>
      <c r="R1708" s="27">
        <f>AVERAGEIF($A$24:$A$1598, "DynaMoth*Fixed", T$24:T$1598)</f>
        <v>3.4583333333333335</v>
      </c>
      <c r="S1708" s="27">
        <f>AVERAGEIF($A$24:$A$1598, "DynaMoth*Fixed", U$24:U$1598)</f>
        <v>2.625</v>
      </c>
      <c r="T1708" s="27">
        <f>AVERAGEIF($A$24:$A$1598, "DynaMoth*Fixed", V$24:V$1598)</f>
        <v>4.708333333333333</v>
      </c>
      <c r="V1708" s="1">
        <f>N1708+D1708+C1708-C1709-D1709-N1709</f>
        <v>-0.48583333333333911</v>
      </c>
      <c r="W1708" s="1" t="s">
        <v>1733</v>
      </c>
    </row>
    <row r="1709" spans="1:29" ht="15" thickBot="1" x14ac:dyDescent="0.4">
      <c r="A1709" s="31">
        <f>COUNTIF($A$24:$A$1598, "DynaMoth*Repaired")</f>
        <v>24</v>
      </c>
      <c r="B1709" s="31" t="s">
        <v>1318</v>
      </c>
      <c r="C1709" s="32">
        <f>AVERAGEIF($A$24:$A$1598, "DynaMoth*Repaired", B$24:B$1598)</f>
        <v>3.6891666666666665</v>
      </c>
      <c r="D1709" s="32">
        <f>AVERAGEIF($A$24:$A$1598, "DynaMoth*Repaired", C$24:C$1598)</f>
        <v>77.157083333333333</v>
      </c>
      <c r="E1709" s="32">
        <f>AVERAGEIF($A$24:$A$1598, "DynaMoth*Repaired", D$24:D$1598)</f>
        <v>21.617916666666662</v>
      </c>
      <c r="F1709" s="32">
        <f>AVERAGEIF($A$24:$A$1598, "DynaMoth*Repaired", E$24:E$1598)</f>
        <v>7.010416666666667</v>
      </c>
      <c r="G1709" s="32">
        <f>AVERAGEIF($A$24:$A$1598, "DynaMoth*Repaired", F$24:F$1598)</f>
        <v>15.21708333333333</v>
      </c>
      <c r="H1709" s="32">
        <f>AVERAGEIF($A$24:$A$1598, "DynaMoth*Repaired", G$24:G$1598)</f>
        <v>4.2145833333333327</v>
      </c>
      <c r="I1709" s="32">
        <f>AVERAGEIF($A$24:$A$1598, "DynaMoth*Repaired", H$24:H$1598)</f>
        <v>11.225833333333334</v>
      </c>
      <c r="J1709" s="32">
        <f>AVERAGEIF($A$24:$A$1598, "DynaMoth*Repaired", I$24:I$1598)</f>
        <v>36.837083333333332</v>
      </c>
      <c r="K1709" s="32">
        <f>AVERAGEIF($A$24:$A$1598, "DynaMoth*Repaired", J$24:J$1598)</f>
        <v>60.702916666666674</v>
      </c>
      <c r="L1709" s="32">
        <f>AVERAGEIF($A$24:$A$1598, "DynaMoth*Repaired", K$24:K$1598)</f>
        <v>0.57824999999999982</v>
      </c>
      <c r="M1709" s="32">
        <f>AVERAGEIF($A$24:$A$1598, "DynaMoth*Repaired", L$24:L$1598)</f>
        <v>7.1791666666666656E-2</v>
      </c>
      <c r="N1709" s="32">
        <f>AVERAGEIF($A$24:$A$1598, "DynaMoth*Repaired", M$24:M$1598)</f>
        <v>15.182791666666667</v>
      </c>
      <c r="O1709" s="32">
        <f>AVERAGEIF($A$24:$A$1598, "DynaMoth*Repaired", N$24:N$1598)</f>
        <v>0.84382499999999983</v>
      </c>
      <c r="Q1709" s="32">
        <f>AVERAGEIF($A$24:$A$1598, "DynaMoth*Repaired", S$24:S$1598)</f>
        <v>1.25</v>
      </c>
      <c r="R1709" s="32">
        <f>AVERAGEIF($A$24:$A$1598, "DynaMoth*Repaired", T$24:T$1598)</f>
        <v>4.833333333333333</v>
      </c>
      <c r="S1709" s="32">
        <f>AVERAGEIF($A$24:$A$1598, "DynaMoth*Repaired", U$24:U$1598)</f>
        <v>3.5</v>
      </c>
      <c r="T1709" s="32">
        <f>AVERAGEIF($A$24:$A$1598, "DynaMoth*Repaired", V$24:V$1598)</f>
        <v>5.458333333333333</v>
      </c>
      <c r="V1709" s="31">
        <f>N1709+D1709+C1709</f>
        <v>96.029041666666672</v>
      </c>
      <c r="W1709" s="31" t="s">
        <v>1733</v>
      </c>
    </row>
    <row r="1710" spans="1:29" x14ac:dyDescent="0.35">
      <c r="A1710" s="1">
        <f>COUNTIF($A$24:$A$1598, "FixMiner*Fixed")</f>
        <v>53</v>
      </c>
      <c r="B1710" s="1" t="s">
        <v>1319</v>
      </c>
      <c r="C1710" s="27">
        <f>AVERAGEIF($A$24:$A$1598, "FixMiner*Fixed", B$24:B$1598)</f>
        <v>4.1247169811320745</v>
      </c>
      <c r="D1710" s="27">
        <f>AVERAGEIF($A$24:$A$1598, "FixMiner*Fixed", C$24:C$1598)</f>
        <v>77.770377358490563</v>
      </c>
      <c r="E1710" s="27">
        <f>AVERAGEIF($A$24:$A$1598, "FixMiner*Fixed", D$24:D$1598)</f>
        <v>21.188301886792459</v>
      </c>
      <c r="F1710" s="27">
        <f>AVERAGEIF($A$24:$A$1598, "FixMiner*Fixed", E$24:E$1598)</f>
        <v>7.1550943396226421</v>
      </c>
      <c r="G1710" s="27">
        <f>AVERAGEIF($A$24:$A$1598, "FixMiner*Fixed", F$24:F$1598)</f>
        <v>15.372830188679249</v>
      </c>
      <c r="H1710" s="27">
        <f>AVERAGEIF($A$24:$A$1598, "FixMiner*Fixed", G$24:G$1598)</f>
        <v>4.2958490566037737</v>
      </c>
      <c r="I1710" s="27">
        <f>AVERAGEIF($A$24:$A$1598, "FixMiner*Fixed", H$24:H$1598)</f>
        <v>11.451132075471699</v>
      </c>
      <c r="J1710" s="27">
        <f>AVERAGEIF($A$24:$A$1598, "FixMiner*Fixed", I$24:I$1598)</f>
        <v>36.561509433962264</v>
      </c>
      <c r="K1710" s="27">
        <f>AVERAGEIF($A$24:$A$1598, "FixMiner*Fixed", J$24:J$1598)</f>
        <v>63.226226415094345</v>
      </c>
      <c r="L1710" s="27">
        <f>AVERAGEIF($A$24:$A$1598, "FixMiner*Fixed", K$24:K$1598)</f>
        <v>0.45133962264150951</v>
      </c>
      <c r="M1710" s="27">
        <f>AVERAGEIF($A$24:$A$1598, "FixMiner*Fixed", L$24:L$1598)</f>
        <v>5.9837735849056599E-2</v>
      </c>
      <c r="N1710" s="27">
        <f>AVERAGEIF($A$24:$A$1598, "FixMiner*Fixed", M$24:M$1598)</f>
        <v>33.480377358490578</v>
      </c>
      <c r="O1710" s="27">
        <f>AVERAGEIF($A$24:$A$1598, "FixMiner*Fixed", N$24:N$1598)</f>
        <v>1.8602452830188674</v>
      </c>
      <c r="Q1710" s="27">
        <f>AVERAGEIF($A$24:$A$1598, "FixMiner*Fixed", S$24:S$1598)</f>
        <v>2.1320754716981134</v>
      </c>
      <c r="R1710" s="27">
        <f>AVERAGEIF($A$24:$A$1598, "FixMiner*Fixed", T$24:T$1598)</f>
        <v>2.9433962264150941</v>
      </c>
      <c r="S1710" s="27">
        <f>AVERAGEIF($A$24:$A$1598, "FixMiner*Fixed", U$24:U$1598)</f>
        <v>2.358490566037736</v>
      </c>
      <c r="T1710" s="27">
        <f>AVERAGEIF($A$24:$A$1598, "FixMiner*Fixed", V$24:V$1598)</f>
        <v>4.3584905660377355</v>
      </c>
      <c r="V1710" s="1">
        <f>N1710+D1710+C1710-C1711-D1711-N1711</f>
        <v>0.4192452830188742</v>
      </c>
      <c r="W1710" s="1" t="s">
        <v>1734</v>
      </c>
    </row>
    <row r="1711" spans="1:29" ht="15" thickBot="1" x14ac:dyDescent="0.4">
      <c r="A1711" s="31">
        <f>COUNTIF($A$24:$A$1598, "FixMiner*Repaired")</f>
        <v>53</v>
      </c>
      <c r="B1711" s="31" t="s">
        <v>1320</v>
      </c>
      <c r="C1711" s="32">
        <f>AVERAGEIF($A$24:$A$1598, "FixMiner*Repaired", B$24:B$1598)</f>
        <v>3.9037735849056596</v>
      </c>
      <c r="D1711" s="32">
        <f>AVERAGEIF($A$24:$A$1598, "FixMiner*Repaired", C$24:C$1598)</f>
        <v>77.800566037735848</v>
      </c>
      <c r="E1711" s="32">
        <f>AVERAGEIF($A$24:$A$1598, "FixMiner*Repaired", D$24:D$1598)</f>
        <v>20.514339622641508</v>
      </c>
      <c r="F1711" s="32">
        <f>AVERAGEIF($A$24:$A$1598, "FixMiner*Repaired", E$24:E$1598)</f>
        <v>7.0328301886792461</v>
      </c>
      <c r="G1711" s="32">
        <f>AVERAGEIF($A$24:$A$1598, "FixMiner*Repaired", F$24:F$1598)</f>
        <v>14.666415094339623</v>
      </c>
      <c r="H1711" s="32">
        <f>AVERAGEIF($A$24:$A$1598, "FixMiner*Repaired", G$24:G$1598)</f>
        <v>4.2411320754716986</v>
      </c>
      <c r="I1711" s="32">
        <f>AVERAGEIF($A$24:$A$1598, "FixMiner*Repaired", H$24:H$1598)</f>
        <v>11.274150943396227</v>
      </c>
      <c r="J1711" s="32">
        <f>AVERAGEIF($A$24:$A$1598, "FixMiner*Repaired", I$24:I$1598)</f>
        <v>35.180188679245276</v>
      </c>
      <c r="K1711" s="32">
        <f>AVERAGEIF($A$24:$A$1598, "FixMiner*Repaired", J$24:J$1598)</f>
        <v>61.24</v>
      </c>
      <c r="L1711" s="32">
        <f>AVERAGEIF($A$24:$A$1598, "FixMiner*Repaired", K$24:K$1598)</f>
        <v>0.44667924528301878</v>
      </c>
      <c r="M1711" s="32">
        <f>AVERAGEIF($A$24:$A$1598, "FixMiner*Repaired", L$24:L$1598)</f>
        <v>6.0177358490566039E-2</v>
      </c>
      <c r="N1711" s="32">
        <f>AVERAGEIF($A$24:$A$1598, "FixMiner*Repaired", M$24:M$1598)</f>
        <v>33.251886792452829</v>
      </c>
      <c r="O1711" s="32">
        <f>AVERAGEIF($A$24:$A$1598, "FixMiner*Repaired", N$24:N$1598)</f>
        <v>1.8474150943396221</v>
      </c>
      <c r="Q1711" s="32">
        <f>AVERAGEIF($A$24:$A$1598, "FixMiner*Repaired", S$24:S$1598)</f>
        <v>1.1509433962264151</v>
      </c>
      <c r="R1711" s="32">
        <f>AVERAGEIF($A$24:$A$1598, "FixMiner*Repaired", T$24:T$1598)</f>
        <v>1.5660377358490567</v>
      </c>
      <c r="S1711" s="32">
        <f>AVERAGEIF($A$24:$A$1598, "FixMiner*Repaired", U$24:U$1598)</f>
        <v>1.7169811320754718</v>
      </c>
      <c r="T1711" s="32">
        <f>AVERAGEIF($A$24:$A$1598, "FixMiner*Repaired", V$24:V$1598)</f>
        <v>2.2452830188679247</v>
      </c>
      <c r="V1711" s="31">
        <f>N1711+D1711+C1711</f>
        <v>114.95622641509435</v>
      </c>
      <c r="W1711" s="31" t="s">
        <v>1734</v>
      </c>
    </row>
    <row r="1712" spans="1:29" x14ac:dyDescent="0.35">
      <c r="A1712" s="1">
        <f>COUNTIF($A$24:$A$1598, "GenProg*Fixed")</f>
        <v>28</v>
      </c>
      <c r="B1712" s="1" t="s">
        <v>1321</v>
      </c>
      <c r="C1712" s="27">
        <f>AVERAGEIF($A$24:$A$1598, "GenProg*Fixed", B$24:B$1598)</f>
        <v>4.2857142857142856</v>
      </c>
      <c r="D1712" s="27">
        <f>AVERAGEIF($A$24:$A$1598, "GenProg*Fixed", C$24:C$1598)</f>
        <v>76.343571428571408</v>
      </c>
      <c r="E1712" s="27">
        <f>AVERAGEIF($A$24:$A$1598, "GenProg*Fixed", D$24:D$1598)</f>
        <v>20.396071428571428</v>
      </c>
      <c r="F1712" s="27">
        <f>AVERAGEIF($A$24:$A$1598, "GenProg*Fixed", E$24:E$1598)</f>
        <v>7.0178571428571432</v>
      </c>
      <c r="G1712" s="27">
        <f>AVERAGEIF($A$24:$A$1598, "GenProg*Fixed", F$24:F$1598)</f>
        <v>15.615714285714281</v>
      </c>
      <c r="H1712" s="27">
        <f>AVERAGEIF($A$24:$A$1598, "GenProg*Fixed", G$24:G$1598)</f>
        <v>4.2074999999999987</v>
      </c>
      <c r="I1712" s="27">
        <f>AVERAGEIF($A$24:$A$1598, "GenProg*Fixed", H$24:H$1598)</f>
        <v>11.225357142857145</v>
      </c>
      <c r="J1712" s="27">
        <f>AVERAGEIF($A$24:$A$1598, "GenProg*Fixed", I$24:I$1598)</f>
        <v>36.012142857142855</v>
      </c>
      <c r="K1712" s="27">
        <f>AVERAGEIF($A$24:$A$1598, "GenProg*Fixed", J$24:J$1598)</f>
        <v>60.018214285714272</v>
      </c>
      <c r="L1712" s="27">
        <f>AVERAGEIF($A$24:$A$1598, "GenProg*Fixed", K$24:K$1598)</f>
        <v>0.30746428571428569</v>
      </c>
      <c r="M1712" s="27">
        <f>AVERAGEIF($A$24:$A$1598, "GenProg*Fixed", L$24:L$1598)</f>
        <v>4.1049999999999996E-2</v>
      </c>
      <c r="N1712" s="27">
        <f>AVERAGEIF($A$24:$A$1598, "GenProg*Fixed", M$24:M$1598)</f>
        <v>41.513571428571431</v>
      </c>
      <c r="O1712" s="27">
        <f>AVERAGEIF($A$24:$A$1598, "GenProg*Fixed", N$24:N$1598)</f>
        <v>2.3057857142857143</v>
      </c>
      <c r="Q1712" s="27">
        <f>AVERAGEIF($A$24:$A$1598, "GenProg*Fixed", S$24:S$1598)</f>
        <v>1.8571428571428572</v>
      </c>
      <c r="R1712" s="27">
        <f>AVERAGEIF($A$24:$A$1598, "GenProg*Fixed", T$24:T$1598)</f>
        <v>2.7142857142857144</v>
      </c>
      <c r="S1712" s="27">
        <f>AVERAGEIF($A$24:$A$1598, "GenProg*Fixed", U$24:U$1598)</f>
        <v>4.1071428571428568</v>
      </c>
      <c r="T1712" s="27">
        <f>AVERAGEIF($A$24:$A$1598, "GenProg*Fixed", V$24:V$1598)</f>
        <v>5.9285714285714288</v>
      </c>
      <c r="V1712" s="1">
        <f>N1712+D1712+C1712-C1713-D1713-N1713</f>
        <v>0.36499999999999488</v>
      </c>
      <c r="W1712" s="1" t="s">
        <v>1735</v>
      </c>
    </row>
    <row r="1713" spans="1:23" ht="15" thickBot="1" x14ac:dyDescent="0.4">
      <c r="A1713" s="31">
        <f>COUNTIF($A$24:$A$1598, "GenProg*Repaired")</f>
        <v>28</v>
      </c>
      <c r="B1713" s="31" t="s">
        <v>1322</v>
      </c>
      <c r="C1713" s="32">
        <f>AVERAGEIF($A$24:$A$1598, "GenProg*Repaired", B$24:B$1598)</f>
        <v>4.2999999999999989</v>
      </c>
      <c r="D1713" s="32">
        <f>AVERAGEIF($A$24:$A$1598, "GenProg*Repaired", C$24:C$1598)</f>
        <v>76.361785714285702</v>
      </c>
      <c r="E1713" s="32">
        <f>AVERAGEIF($A$24:$A$1598, "GenProg*Repaired", D$24:D$1598)</f>
        <v>20.203214285714292</v>
      </c>
      <c r="F1713" s="32">
        <f>AVERAGEIF($A$24:$A$1598, "GenProg*Repaired", E$24:E$1598)</f>
        <v>7.0371428571428583</v>
      </c>
      <c r="G1713" s="32">
        <f>AVERAGEIF($A$24:$A$1598, "GenProg*Repaired", F$24:F$1598)</f>
        <v>15.597499999999997</v>
      </c>
      <c r="H1713" s="32">
        <f>AVERAGEIF($A$24:$A$1598, "GenProg*Repaired", G$24:G$1598)</f>
        <v>4.1796428571428574</v>
      </c>
      <c r="I1713" s="32">
        <f>AVERAGEIF($A$24:$A$1598, "GenProg*Repaired", H$24:H$1598)</f>
        <v>11.216428571428574</v>
      </c>
      <c r="J1713" s="32">
        <f>AVERAGEIF($A$24:$A$1598, "GenProg*Repaired", I$24:I$1598)</f>
        <v>35.799999999999997</v>
      </c>
      <c r="K1713" s="32">
        <f>AVERAGEIF($A$24:$A$1598, "GenProg*Repaired", J$24:J$1598)</f>
        <v>59.910357142857144</v>
      </c>
      <c r="L1713" s="32">
        <f>AVERAGEIF($A$24:$A$1598, "GenProg*Repaired", K$24:K$1598)</f>
        <v>0.29924999999999996</v>
      </c>
      <c r="M1713" s="32">
        <f>AVERAGEIF($A$24:$A$1598, "GenProg*Repaired", L$24:L$1598)</f>
        <v>4.0692857142857142E-2</v>
      </c>
      <c r="N1713" s="32">
        <f>AVERAGEIF($A$24:$A$1598, "GenProg*Repaired", M$24:M$1598)</f>
        <v>41.116071428571431</v>
      </c>
      <c r="O1713" s="32">
        <f>AVERAGEIF($A$24:$A$1598, "GenProg*Repaired", N$24:N$1598)</f>
        <v>2.2836428571428571</v>
      </c>
      <c r="Q1713" s="32">
        <f>AVERAGEIF($A$24:$A$1598, "GenProg*Repaired", S$24:S$1598)</f>
        <v>1.1071428571428572</v>
      </c>
      <c r="R1713" s="32">
        <f>AVERAGEIF($A$24:$A$1598, "GenProg*Repaired", T$24:T$1598)</f>
        <v>1.7142857142857142</v>
      </c>
      <c r="S1713" s="32">
        <f>AVERAGEIF($A$24:$A$1598, "GenProg*Repaired", U$24:U$1598)</f>
        <v>7</v>
      </c>
      <c r="T1713" s="32">
        <f>AVERAGEIF($A$24:$A$1598, "GenProg*Repaired", V$24:V$1598)</f>
        <v>7.75</v>
      </c>
      <c r="V1713" s="31">
        <f>N1713+D1713+C1713</f>
        <v>121.77785714285713</v>
      </c>
      <c r="W1713" s="31" t="s">
        <v>1735</v>
      </c>
    </row>
    <row r="1714" spans="1:23" x14ac:dyDescent="0.35">
      <c r="A1714" s="1">
        <f>COUNTIF($A$24:$A$1598, "Kali*Fixed")</f>
        <v>35</v>
      </c>
      <c r="B1714" s="1" t="s">
        <v>1323</v>
      </c>
      <c r="C1714" s="27">
        <f>AVERAGEIF($A$24:$A$1598, "Kali*Fixed", B$24:B$1598)</f>
        <v>4.1511428571428572</v>
      </c>
      <c r="D1714" s="27">
        <f>AVERAGEIF($A$24:$A$1598, "Kali*Fixed", C$24:C$1598)</f>
        <v>77.75800000000001</v>
      </c>
      <c r="E1714" s="27">
        <f>AVERAGEIF($A$24:$A$1598, "Kali*Fixed", D$24:D$1598)</f>
        <v>17.137999999999998</v>
      </c>
      <c r="F1714" s="27">
        <f>AVERAGEIF($A$24:$A$1598, "Kali*Fixed", E$24:E$1598)</f>
        <v>6.4871428571428567</v>
      </c>
      <c r="G1714" s="27">
        <f>AVERAGEIF($A$24:$A$1598, "Kali*Fixed", F$24:F$1598)</f>
        <v>14.225428571428571</v>
      </c>
      <c r="H1714" s="27">
        <f>AVERAGEIF($A$24:$A$1598, "Kali*Fixed", G$24:G$1598)</f>
        <v>3.9245714285714288</v>
      </c>
      <c r="I1714" s="27">
        <f>AVERAGEIF($A$24:$A$1598, "Kali*Fixed", H$24:H$1598)</f>
        <v>10.41314285714286</v>
      </c>
      <c r="J1714" s="27">
        <f>AVERAGEIF($A$24:$A$1598, "Kali*Fixed", I$24:I$1598)</f>
        <v>31.363999999999994</v>
      </c>
      <c r="K1714" s="27">
        <f>AVERAGEIF($A$24:$A$1598, "Kali*Fixed", J$24:J$1598)</f>
        <v>54.313714285714283</v>
      </c>
      <c r="L1714" s="27">
        <f>AVERAGEIF($A$24:$A$1598, "Kali*Fixed", K$24:K$1598)</f>
        <v>0.49397142857142851</v>
      </c>
      <c r="M1714" s="27">
        <f>AVERAGEIF($A$24:$A$1598, "Kali*Fixed", L$24:L$1598)</f>
        <v>5.5628571428571423E-2</v>
      </c>
      <c r="N1714" s="27">
        <f>AVERAGEIF($A$24:$A$1598, "Kali*Fixed", M$24:M$1598)</f>
        <v>78.728485714285711</v>
      </c>
      <c r="O1714" s="27">
        <f>AVERAGEIF($A$24:$A$1598, "Kali*Fixed", N$24:N$1598)</f>
        <v>4.3740800000000002</v>
      </c>
      <c r="Q1714" s="27">
        <f>AVERAGEIF($A$24:$A$1598, "Kali*Fixed", S$24:S$1598)</f>
        <v>2.0285714285714285</v>
      </c>
      <c r="R1714" s="27">
        <f>AVERAGEIF($A$24:$A$1598, "Kali*Fixed", T$24:T$1598)</f>
        <v>3.0285714285714285</v>
      </c>
      <c r="S1714" s="27">
        <f>AVERAGEIF($A$24:$A$1598, "Kali*Fixed", U$24:U$1598)</f>
        <v>4.5428571428571427</v>
      </c>
      <c r="T1714" s="27">
        <f>AVERAGEIF($A$24:$A$1598, "Kali*Fixed", V$24:V$1598)</f>
        <v>6.2571428571428571</v>
      </c>
      <c r="V1714" s="1">
        <f>N1714+D1714+C1714-C1715-D1715-N1715</f>
        <v>-3.4000000000034447E-2</v>
      </c>
      <c r="W1714" s="1" t="s">
        <v>1736</v>
      </c>
    </row>
    <row r="1715" spans="1:23" ht="15" thickBot="1" x14ac:dyDescent="0.4">
      <c r="A1715" s="31">
        <f>COUNTIF($A$24:$A$1598, "Kali*Repaired")</f>
        <v>35</v>
      </c>
      <c r="B1715" s="31" t="s">
        <v>1324</v>
      </c>
      <c r="C1715" s="32">
        <f>AVERAGEIF($A$24:$A$1598, "Kali*Repaired", B$24:B$1598)</f>
        <v>4.2311428571428573</v>
      </c>
      <c r="D1715" s="32">
        <f>AVERAGEIF($A$24:$A$1598, "Kali*Repaired", C$24:C$1598)</f>
        <v>77.712000000000032</v>
      </c>
      <c r="E1715" s="32">
        <f>AVERAGEIF($A$24:$A$1598, "Kali*Repaired", D$24:D$1598)</f>
        <v>17.28857142857143</v>
      </c>
      <c r="F1715" s="32">
        <f>AVERAGEIF($A$24:$A$1598, "Kali*Repaired", E$24:E$1598)</f>
        <v>6.5288571428571434</v>
      </c>
      <c r="G1715" s="32">
        <f>AVERAGEIF($A$24:$A$1598, "Kali*Repaired", F$24:F$1598)</f>
        <v>14.539714285714288</v>
      </c>
      <c r="H1715" s="32">
        <f>AVERAGEIF($A$24:$A$1598, "Kali*Repaired", G$24:G$1598)</f>
        <v>3.9302857142857142</v>
      </c>
      <c r="I1715" s="32">
        <f>AVERAGEIF($A$24:$A$1598, "Kali*Repaired", H$24:H$1598)</f>
        <v>10.459714285714286</v>
      </c>
      <c r="J1715" s="32">
        <f>AVERAGEIF($A$24:$A$1598, "Kali*Repaired", I$24:I$1598)</f>
        <v>31.828285714285716</v>
      </c>
      <c r="K1715" s="32">
        <f>AVERAGEIF($A$24:$A$1598, "Kali*Repaired", J$24:J$1598)</f>
        <v>54.81485714285715</v>
      </c>
      <c r="L1715" s="32">
        <f>AVERAGEIF($A$24:$A$1598, "Kali*Repaired", K$24:K$1598)</f>
        <v>0.49397142857142851</v>
      </c>
      <c r="M1715" s="32">
        <f>AVERAGEIF($A$24:$A$1598, "Kali*Repaired", L$24:L$1598)</f>
        <v>5.5628571428571423E-2</v>
      </c>
      <c r="N1715" s="32">
        <f>AVERAGEIF($A$24:$A$1598, "Kali*Repaired", M$24:M$1598)</f>
        <v>78.728485714285711</v>
      </c>
      <c r="O1715" s="32">
        <f>AVERAGEIF($A$24:$A$1598, "Kali*Repaired", N$24:N$1598)</f>
        <v>4.3740800000000002</v>
      </c>
      <c r="Q1715" s="32">
        <f>AVERAGEIF($A$24:$A$1598, "Kali*Repaired", S$24:S$1598)</f>
        <v>1.0285714285714285</v>
      </c>
      <c r="R1715" s="32">
        <f>AVERAGEIF($A$24:$A$1598, "Kali*Repaired", T$24:T$1598)</f>
        <v>1.3714285714285714</v>
      </c>
      <c r="S1715" s="32">
        <f>AVERAGEIF($A$24:$A$1598, "Kali*Repaired", U$24:U$1598)</f>
        <v>1.3142857142857143</v>
      </c>
      <c r="T1715" s="32">
        <f>AVERAGEIF($A$24:$A$1598, "Kali*Repaired", V$24:V$1598)</f>
        <v>1.7428571428571429</v>
      </c>
      <c r="V1715" s="31">
        <f>N1715+D1715+C1715</f>
        <v>160.67162857142858</v>
      </c>
      <c r="W1715" s="31" t="s">
        <v>1736</v>
      </c>
    </row>
    <row r="1716" spans="1:23" x14ac:dyDescent="0.35">
      <c r="A1716" s="1">
        <f>COUNTIF($A$24:$A$1598, "kPAR*Fixed")</f>
        <v>65</v>
      </c>
      <c r="B1716" s="1" t="s">
        <v>1325</v>
      </c>
      <c r="C1716" s="27">
        <f>AVERAGEIF($A$24:$A$1598, "kPAR*Fixed", B$24:B$1598)</f>
        <v>3.9389230769230781</v>
      </c>
      <c r="D1716" s="27">
        <f>AVERAGEIF($A$24:$A$1598, "kPAR*Fixed", C$24:C$1598)</f>
        <v>78.203846153846129</v>
      </c>
      <c r="E1716" s="27">
        <f>AVERAGEIF($A$24:$A$1598, "kPAR*Fixed", D$24:D$1598)</f>
        <v>18.152615384615387</v>
      </c>
      <c r="F1716" s="27">
        <f>AVERAGEIF($A$24:$A$1598, "kPAR*Fixed", E$24:E$1598)</f>
        <v>6.6123076923076924</v>
      </c>
      <c r="G1716" s="27">
        <f>AVERAGEIF($A$24:$A$1598, "kPAR*Fixed", F$24:F$1598)</f>
        <v>13.688000000000004</v>
      </c>
      <c r="H1716" s="27">
        <f>AVERAGEIF($A$24:$A$1598, "kPAR*Fixed", G$24:G$1598)</f>
        <v>3.9859999999999998</v>
      </c>
      <c r="I1716" s="27">
        <f>AVERAGEIF($A$24:$A$1598, "kPAR*Fixed", H$24:H$1598)</f>
        <v>10.598923076923079</v>
      </c>
      <c r="J1716" s="27">
        <f>AVERAGEIF($A$24:$A$1598, "kPAR*Fixed", I$24:I$1598)</f>
        <v>31.840615384615397</v>
      </c>
      <c r="K1716" s="27">
        <f>AVERAGEIF($A$24:$A$1598, "kPAR*Fixed", J$24:J$1598)</f>
        <v>55.533076923076941</v>
      </c>
      <c r="L1716" s="27">
        <f>AVERAGEIF($A$24:$A$1598, "kPAR*Fixed", K$24:K$1598)</f>
        <v>0.3489692307692307</v>
      </c>
      <c r="M1716" s="27">
        <f>AVERAGEIF($A$24:$A$1598, "kPAR*Fixed", L$24:L$1598)</f>
        <v>4.3123076923076924E-2</v>
      </c>
      <c r="N1716" s="27">
        <f>AVERAGEIF($A$24:$A$1598, "kPAR*Fixed", M$24:M$1598)</f>
        <v>110.70112307692308</v>
      </c>
      <c r="O1716" s="27">
        <f>AVERAGEIF($A$24:$A$1598, "kPAR*Fixed", N$24:N$1598)</f>
        <v>6.1503907692307695</v>
      </c>
      <c r="Q1716" s="27">
        <f>AVERAGEIF($A$24:$A$1598, "kPAR*Fixed", S$24:S$1598)</f>
        <v>1.8153846153846154</v>
      </c>
      <c r="R1716" s="27">
        <f>AVERAGEIF($A$24:$A$1598, "kPAR*Fixed", T$24:T$1598)</f>
        <v>2.4923076923076923</v>
      </c>
      <c r="S1716" s="27">
        <f>AVERAGEIF($A$24:$A$1598, "kPAR*Fixed", U$24:U$1598)</f>
        <v>3.0923076923076924</v>
      </c>
      <c r="T1716" s="27">
        <f>AVERAGEIF($A$24:$A$1598, "kPAR*Fixed", V$24:V$1598)</f>
        <v>4.615384615384615</v>
      </c>
      <c r="V1716" s="1">
        <f>N1716+D1716+C1716-C1717-D1717-N1717</f>
        <v>0.50107692307692275</v>
      </c>
      <c r="W1716" s="1" t="s">
        <v>1737</v>
      </c>
    </row>
    <row r="1717" spans="1:23" ht="15" thickBot="1" x14ac:dyDescent="0.4">
      <c r="A1717" s="31">
        <f>COUNTIF($A$24:$A$1598, "kPAR*Repaired")</f>
        <v>65</v>
      </c>
      <c r="B1717" s="31" t="s">
        <v>1326</v>
      </c>
      <c r="C1717" s="32">
        <f>AVERAGEIF($A$24:$A$1598, "kPAR*Repaired", B$24:B$1598)</f>
        <v>3.9863076923076934</v>
      </c>
      <c r="D1717" s="32">
        <f>AVERAGEIF($A$24:$A$1598, "kPAR*Repaired", C$24:C$1598)</f>
        <v>78.157999999999973</v>
      </c>
      <c r="E1717" s="32">
        <f>AVERAGEIF($A$24:$A$1598, "kPAR*Repaired", D$24:D$1598)</f>
        <v>18.137384615384615</v>
      </c>
      <c r="F1717" s="32">
        <f>AVERAGEIF($A$24:$A$1598, "kPAR*Repaired", E$24:E$1598)</f>
        <v>6.6104615384615384</v>
      </c>
      <c r="G1717" s="32">
        <f>AVERAGEIF($A$24:$A$1598, "kPAR*Repaired", F$24:F$1598)</f>
        <v>13.844000000000001</v>
      </c>
      <c r="H1717" s="32">
        <f>AVERAGEIF($A$24:$A$1598, "kPAR*Repaired", G$24:G$1598)</f>
        <v>3.9818461538461536</v>
      </c>
      <c r="I1717" s="32">
        <f>AVERAGEIF($A$24:$A$1598, "kPAR*Repaired", H$24:H$1598)</f>
        <v>10.592615384615387</v>
      </c>
      <c r="J1717" s="32">
        <f>AVERAGEIF($A$24:$A$1598, "kPAR*Repaired", I$24:I$1598)</f>
        <v>31.98092307692308</v>
      </c>
      <c r="K1717" s="32">
        <f>AVERAGEIF($A$24:$A$1598, "kPAR*Repaired", J$24:J$1598)</f>
        <v>55.503230769230768</v>
      </c>
      <c r="L1717" s="32">
        <f>AVERAGEIF($A$24:$A$1598, "kPAR*Repaired", K$24:K$1598)</f>
        <v>0.34763076923076919</v>
      </c>
      <c r="M1717" s="32">
        <f>AVERAGEIF($A$24:$A$1598, "kPAR*Repaired", L$24:L$1598)</f>
        <v>4.4092307692307695E-2</v>
      </c>
      <c r="N1717" s="32">
        <f>AVERAGEIF($A$24:$A$1598, "kPAR*Repaired", M$24:M$1598)</f>
        <v>110.19850769230771</v>
      </c>
      <c r="O1717" s="32">
        <f>AVERAGEIF($A$24:$A$1598, "kPAR*Repaired", N$24:N$1598)</f>
        <v>6.1222676923076937</v>
      </c>
      <c r="Q1717" s="32">
        <f>AVERAGEIF($A$24:$A$1598, "kPAR*Repaired", S$24:S$1598)</f>
        <v>1.0461538461538462</v>
      </c>
      <c r="R1717" s="32">
        <f>AVERAGEIF($A$24:$A$1598, "kPAR*Repaired", T$24:T$1598)</f>
        <v>1.323076923076923</v>
      </c>
      <c r="S1717" s="32">
        <f>AVERAGEIF($A$24:$A$1598, "kPAR*Repaired", U$24:U$1598)</f>
        <v>1.0307692307692307</v>
      </c>
      <c r="T1717" s="32">
        <f>AVERAGEIF($A$24:$A$1598, "kPAR*Repaired", V$24:V$1598)</f>
        <v>1.3538461538461539</v>
      </c>
      <c r="V1717" s="31">
        <f>N1717+D1717+C1717</f>
        <v>192.34281538461536</v>
      </c>
      <c r="W1717" s="31" t="s">
        <v>1737</v>
      </c>
    </row>
    <row r="1718" spans="1:23" x14ac:dyDescent="0.35">
      <c r="A1718" s="1">
        <f>COUNTIF($A$24:$A$1598, "Nopol*Fixed")</f>
        <v>27</v>
      </c>
      <c r="B1718" s="1" t="s">
        <v>1327</v>
      </c>
      <c r="C1718" s="27">
        <f>AVERAGEIF($A$24:$A$1598, "Nopol*Fixed", B$24:B$1598)</f>
        <v>3.4374074074074068</v>
      </c>
      <c r="D1718" s="27">
        <f>AVERAGEIF($A$24:$A$1598, "Nopol*Fixed", C$24:C$1598)</f>
        <v>78.719999999999985</v>
      </c>
      <c r="E1718" s="27">
        <f>AVERAGEIF($A$24:$A$1598, "Nopol*Fixed", D$24:D$1598)</f>
        <v>18.486666666666668</v>
      </c>
      <c r="F1718" s="27">
        <f>AVERAGEIF($A$24:$A$1598, "Nopol*Fixed", E$24:E$1598)</f>
        <v>6.412592592592592</v>
      </c>
      <c r="G1718" s="27">
        <f>AVERAGEIF($A$24:$A$1598, "Nopol*Fixed", F$24:F$1598)</f>
        <v>13.472962962962965</v>
      </c>
      <c r="H1718" s="27">
        <f>AVERAGEIF($A$24:$A$1598, "Nopol*Fixed", G$24:G$1598)</f>
        <v>3.9962962962962951</v>
      </c>
      <c r="I1718" s="27">
        <f>AVERAGEIF($A$24:$A$1598, "Nopol*Fixed", H$24:H$1598)</f>
        <v>10.409629629629629</v>
      </c>
      <c r="J1718" s="27">
        <f>AVERAGEIF($A$24:$A$1598, "Nopol*Fixed", I$24:I$1598)</f>
        <v>31.958518518518524</v>
      </c>
      <c r="K1718" s="27">
        <f>AVERAGEIF($A$24:$A$1598, "Nopol*Fixed", J$24:J$1598)</f>
        <v>54.469259259259253</v>
      </c>
      <c r="L1718" s="27">
        <f>AVERAGEIF($A$24:$A$1598, "Nopol*Fixed", K$24:K$1598)</f>
        <v>0.52892592592592591</v>
      </c>
      <c r="M1718" s="27">
        <f>AVERAGEIF($A$24:$A$1598, "Nopol*Fixed", L$24:L$1598)</f>
        <v>7.7148148148148132E-2</v>
      </c>
      <c r="N1718" s="27">
        <f>AVERAGEIF($A$24:$A$1598, "Nopol*Fixed", M$24:M$1598)</f>
        <v>15.025444444444442</v>
      </c>
      <c r="O1718" s="27">
        <f>AVERAGEIF($A$24:$A$1598, "Nopol*Fixed", N$24:N$1598)</f>
        <v>0.83510370370370379</v>
      </c>
      <c r="Q1718" s="27">
        <f>AVERAGEIF($A$24:$A$1598, "Nopol*Fixed", S$24:S$1598)</f>
        <v>2.3703703703703702</v>
      </c>
      <c r="R1718" s="27">
        <f>AVERAGEIF($A$24:$A$1598, "Nopol*Fixed", T$24:T$1598)</f>
        <v>3.2222222222222223</v>
      </c>
      <c r="S1718" s="27">
        <f>AVERAGEIF($A$24:$A$1598, "Nopol*Fixed", U$24:U$1598)</f>
        <v>2.1851851851851851</v>
      </c>
      <c r="T1718" s="27">
        <f>AVERAGEIF($A$24:$A$1598, "Nopol*Fixed", V$24:V$1598)</f>
        <v>4</v>
      </c>
      <c r="V1718" s="1">
        <f>N1718+D1718+C1718-C1719-D1719-N1719</f>
        <v>-0.44111111111111612</v>
      </c>
      <c r="W1718" s="1" t="s">
        <v>1738</v>
      </c>
    </row>
    <row r="1719" spans="1:23" ht="15" thickBot="1" x14ac:dyDescent="0.4">
      <c r="A1719" s="31">
        <f>COUNTIF($A$24:$A$1598, "Nopol*Repaired")</f>
        <v>27</v>
      </c>
      <c r="B1719" s="31" t="s">
        <v>1328</v>
      </c>
      <c r="C1719" s="32">
        <f>AVERAGEIF($A$24:$A$1598, "Nopol*Repaired", B$24:B$1598)</f>
        <v>3.4555555555555553</v>
      </c>
      <c r="D1719" s="32">
        <f>AVERAGEIF($A$24:$A$1598, "Nopol*Repaired", C$24:C$1598)</f>
        <v>78.704074074074072</v>
      </c>
      <c r="E1719" s="32">
        <f>AVERAGEIF($A$24:$A$1598, "Nopol*Repaired", D$24:D$1598)</f>
        <v>18.46</v>
      </c>
      <c r="F1719" s="32">
        <f>AVERAGEIF($A$24:$A$1598, "Nopol*Repaired", E$24:E$1598)</f>
        <v>6.4196296296296289</v>
      </c>
      <c r="G1719" s="32">
        <f>AVERAGEIF($A$24:$A$1598, "Nopol*Repaired", F$24:F$1598)</f>
        <v>13.541481481481481</v>
      </c>
      <c r="H1719" s="32">
        <f>AVERAGEIF($A$24:$A$1598, "Nopol*Repaired", G$24:G$1598)</f>
        <v>4.0192592592592593</v>
      </c>
      <c r="I1719" s="32">
        <f>AVERAGEIF($A$24:$A$1598, "Nopol*Repaired", H$24:H$1598)</f>
        <v>10.440370370370371</v>
      </c>
      <c r="J1719" s="32">
        <f>AVERAGEIF($A$24:$A$1598, "Nopol*Repaired", I$24:I$1598)</f>
        <v>32.002592592592585</v>
      </c>
      <c r="K1719" s="32">
        <f>AVERAGEIF($A$24:$A$1598, "Nopol*Repaired", J$24:J$1598)</f>
        <v>54.651111111111113</v>
      </c>
      <c r="L1719" s="32">
        <f>AVERAGEIF($A$24:$A$1598, "Nopol*Repaired", K$24:K$1598)</f>
        <v>0.53311111111111109</v>
      </c>
      <c r="M1719" s="32">
        <f>AVERAGEIF($A$24:$A$1598, "Nopol*Repaired", L$24:L$1598)</f>
        <v>7.8185185185185177E-2</v>
      </c>
      <c r="N1719" s="32">
        <f>AVERAGEIF($A$24:$A$1598, "Nopol*Repaired", M$24:M$1598)</f>
        <v>15.464333333333332</v>
      </c>
      <c r="O1719" s="32">
        <f>AVERAGEIF($A$24:$A$1598, "Nopol*Repaired", N$24:N$1598)</f>
        <v>0.85954814814814828</v>
      </c>
      <c r="Q1719" s="32">
        <f>AVERAGEIF($A$24:$A$1598, "Nopol*Repaired", S$24:S$1598)</f>
        <v>1.2592592592592593</v>
      </c>
      <c r="R1719" s="32">
        <f>AVERAGEIF($A$24:$A$1598, "Nopol*Repaired", T$24:T$1598)</f>
        <v>4.3703703703703702</v>
      </c>
      <c r="S1719" s="32">
        <f>AVERAGEIF($A$24:$A$1598, "Nopol*Repaired", U$24:U$1598)</f>
        <v>2.8518518518518516</v>
      </c>
      <c r="T1719" s="32">
        <f>AVERAGEIF($A$24:$A$1598, "Nopol*Repaired", V$24:V$1598)</f>
        <v>4.5925925925925926</v>
      </c>
      <c r="V1719" s="31">
        <f>N1719+D1719+C1719</f>
        <v>97.623962962962949</v>
      </c>
      <c r="W1719" s="31" t="s">
        <v>1738</v>
      </c>
    </row>
    <row r="1720" spans="1:23" x14ac:dyDescent="0.35">
      <c r="A1720" s="1">
        <f>COUNTIF($A$24:$A$1598, "RSRepair*Fixed")</f>
        <v>41</v>
      </c>
      <c r="B1720" s="1" t="s">
        <v>1329</v>
      </c>
      <c r="C1720" s="27">
        <f>AVERAGEIF($A$24:$A$1598, "RSRepair*Fixed", B$24:B$1598)</f>
        <v>3.9663414634146337</v>
      </c>
      <c r="D1720" s="27">
        <f>AVERAGEIF($A$24:$A$1598, "RSRepair*Fixed", C$24:C$1598)</f>
        <v>77.469024390243902</v>
      </c>
      <c r="E1720" s="27">
        <f>AVERAGEIF($A$24:$A$1598, "RSRepair*Fixed", D$24:D$1598)</f>
        <v>17.033170731707319</v>
      </c>
      <c r="F1720" s="27">
        <f>AVERAGEIF($A$24:$A$1598, "RSRepair*Fixed", E$24:E$1598)</f>
        <v>6.3695121951219509</v>
      </c>
      <c r="G1720" s="27">
        <f>AVERAGEIF($A$24:$A$1598, "RSRepair*Fixed", F$24:F$1598)</f>
        <v>13.589756097560977</v>
      </c>
      <c r="H1720" s="27">
        <f>AVERAGEIF($A$24:$A$1598, "RSRepair*Fixed", G$24:G$1598)</f>
        <v>4.0695121951219502</v>
      </c>
      <c r="I1720" s="27">
        <f>AVERAGEIF($A$24:$A$1598, "RSRepair*Fixed", H$24:H$1598)</f>
        <v>10.439024390243905</v>
      </c>
      <c r="J1720" s="27">
        <f>AVERAGEIF($A$24:$A$1598, "RSRepair*Fixed", I$24:I$1598)</f>
        <v>30.623658536585364</v>
      </c>
      <c r="K1720" s="27">
        <f>AVERAGEIF($A$24:$A$1598, "RSRepair*Fixed", J$24:J$1598)</f>
        <v>53.672439024390236</v>
      </c>
      <c r="L1720" s="27">
        <f>AVERAGEIF($A$24:$A$1598, "RSRepair*Fixed", K$24:K$1598)</f>
        <v>0.46290243902439032</v>
      </c>
      <c r="M1720" s="27">
        <f>AVERAGEIF($A$24:$A$1598, "RSRepair*Fixed", L$24:L$1598)</f>
        <v>6.0936585365853661E-2</v>
      </c>
      <c r="N1720" s="27">
        <f>AVERAGEIF($A$24:$A$1598, "RSRepair*Fixed", M$24:M$1598)</f>
        <v>50.412195121951221</v>
      </c>
      <c r="O1720" s="27">
        <f>AVERAGEIF($A$24:$A$1598, "RSRepair*Fixed", N$24:N$1598)</f>
        <v>2.8000731707317068</v>
      </c>
      <c r="Q1720" s="27">
        <f>AVERAGEIF($A$24:$A$1598, "RSRepair*Fixed", S$24:S$1598)</f>
        <v>2.0975609756097562</v>
      </c>
      <c r="R1720" s="27">
        <f>AVERAGEIF($A$24:$A$1598, "RSRepair*Fixed", T$24:T$1598)</f>
        <v>3.5853658536585367</v>
      </c>
      <c r="S1720" s="27">
        <f>AVERAGEIF($A$24:$A$1598, "RSRepair*Fixed", U$24:U$1598)</f>
        <v>3.3414634146341462</v>
      </c>
      <c r="T1720" s="27">
        <f>AVERAGEIF($A$24:$A$1598, "RSRepair*Fixed", V$24:V$1598)</f>
        <v>5.9268292682926829</v>
      </c>
      <c r="V1720" s="1">
        <f>N1720+D1720+C1720-C1721-D1721-N1721</f>
        <v>4.4146341463431327E-2</v>
      </c>
      <c r="W1720" s="1" t="s">
        <v>1739</v>
      </c>
    </row>
    <row r="1721" spans="1:23" ht="15" thickBot="1" x14ac:dyDescent="0.4">
      <c r="A1721" s="31">
        <f>COUNTIF($A$24:$A$1598, "RSRepair*Repaired")</f>
        <v>41</v>
      </c>
      <c r="B1721" s="31" t="s">
        <v>1330</v>
      </c>
      <c r="C1721" s="32">
        <f>AVERAGEIF($A$24:$A$1598, "RSRepair*Repaired", B$24:B$1598)</f>
        <v>3.9436585365853656</v>
      </c>
      <c r="D1721" s="32">
        <f>AVERAGEIF($A$24:$A$1598, "RSRepair*Repaired", C$24:C$1598)</f>
        <v>77.717560975609729</v>
      </c>
      <c r="E1721" s="32">
        <f>AVERAGEIF($A$24:$A$1598, "RSRepair*Repaired", D$24:D$1598)</f>
        <v>16.619024390243901</v>
      </c>
      <c r="F1721" s="32">
        <f>AVERAGEIF($A$24:$A$1598, "RSRepair*Repaired", E$24:E$1598)</f>
        <v>6.2756097560975617</v>
      </c>
      <c r="G1721" s="32">
        <f>AVERAGEIF($A$24:$A$1598, "RSRepair*Repaired", F$24:F$1598)</f>
        <v>13.389024390243899</v>
      </c>
      <c r="H1721" s="32">
        <f>AVERAGEIF($A$24:$A$1598, "RSRepair*Repaired", G$24:G$1598)</f>
        <v>4.0000000000000009</v>
      </c>
      <c r="I1721" s="32">
        <f>AVERAGEIF($A$24:$A$1598, "RSRepair*Repaired", H$24:H$1598)</f>
        <v>10.275365853658538</v>
      </c>
      <c r="J1721" s="32">
        <f>AVERAGEIF($A$24:$A$1598, "RSRepair*Repaired", I$24:I$1598)</f>
        <v>30.008048780487798</v>
      </c>
      <c r="K1721" s="32">
        <f>AVERAGEIF($A$24:$A$1598, "RSRepair*Repaired", J$24:J$1598)</f>
        <v>52.502439024390256</v>
      </c>
      <c r="L1721" s="32">
        <f>AVERAGEIF($A$24:$A$1598, "RSRepair*Repaired", K$24:K$1598)</f>
        <v>0.45714634146341471</v>
      </c>
      <c r="M1721" s="32">
        <f>AVERAGEIF($A$24:$A$1598, "RSRepair*Repaired", L$24:L$1598)</f>
        <v>6.0692682926829278E-2</v>
      </c>
      <c r="N1721" s="32">
        <f>AVERAGEIF($A$24:$A$1598, "RSRepair*Repaired", M$24:M$1598)</f>
        <v>50.142195121951232</v>
      </c>
      <c r="O1721" s="32">
        <f>AVERAGEIF($A$24:$A$1598, "RSRepair*Repaired", N$24:N$1598)</f>
        <v>2.7850975609756095</v>
      </c>
      <c r="Q1721" s="32">
        <f>AVERAGEIF($A$24:$A$1598, "RSRepair*Repaired", S$24:S$1598)</f>
        <v>1.024390243902439</v>
      </c>
      <c r="R1721" s="32">
        <f>AVERAGEIF($A$24:$A$1598, "RSRepair*Repaired", T$24:T$1598)</f>
        <v>1.0975609756097562</v>
      </c>
      <c r="S1721" s="32">
        <f>AVERAGEIF($A$24:$A$1598, "RSRepair*Repaired", U$24:U$1598)</f>
        <v>4.7560975609756095</v>
      </c>
      <c r="T1721" s="32">
        <f>AVERAGEIF($A$24:$A$1598, "RSRepair*Repaired", V$24:V$1598)</f>
        <v>5.1951219512195124</v>
      </c>
      <c r="V1721" s="31">
        <f>N1721+D1721+C1721</f>
        <v>131.80341463414632</v>
      </c>
      <c r="W1721" s="31" t="s">
        <v>1739</v>
      </c>
    </row>
    <row r="1722" spans="1:23" x14ac:dyDescent="0.35">
      <c r="A1722" s="1">
        <f>COUNTIF($A$24:$A$1598, "SimFix*Fixed")</f>
        <v>54</v>
      </c>
      <c r="B1722" s="1" t="s">
        <v>1331</v>
      </c>
      <c r="C1722" s="27">
        <f>AVERAGEIF($A$24:$A$1598, "SimFix*Fixed", B$24:B$1598)</f>
        <v>3.9398148148148144</v>
      </c>
      <c r="D1722" s="27">
        <f>AVERAGEIF($A$24:$A$1598, "SimFix*Fixed", C$24:C$1598)</f>
        <v>77.628888888888852</v>
      </c>
      <c r="E1722" s="27">
        <f>AVERAGEIF($A$24:$A$1598, "SimFix*Fixed", D$24:D$1598)</f>
        <v>19.485185185185188</v>
      </c>
      <c r="F1722" s="27">
        <f>AVERAGEIF($A$24:$A$1598, "SimFix*Fixed", E$24:E$1598)</f>
        <v>6.8544444444444457</v>
      </c>
      <c r="G1722" s="27">
        <f>AVERAGEIF($A$24:$A$1598, "SimFix*Fixed", F$24:F$1598)</f>
        <v>14.755740740740739</v>
      </c>
      <c r="H1722" s="27">
        <f>AVERAGEIF($A$24:$A$1598, "SimFix*Fixed", G$24:G$1598)</f>
        <v>4.2961111111111103</v>
      </c>
      <c r="I1722" s="27">
        <f>AVERAGEIF($A$24:$A$1598, "SimFix*Fixed", H$24:H$1598)</f>
        <v>11.150555555555556</v>
      </c>
      <c r="J1722" s="27">
        <f>AVERAGEIF($A$24:$A$1598, "SimFix*Fixed", I$24:I$1598)</f>
        <v>34.241296296296298</v>
      </c>
      <c r="K1722" s="27">
        <f>AVERAGEIF($A$24:$A$1598, "SimFix*Fixed", J$24:J$1598)</f>
        <v>59.68666666666666</v>
      </c>
      <c r="L1722" s="27">
        <f>AVERAGEIF($A$24:$A$1598, "SimFix*Fixed", K$24:K$1598)</f>
        <v>0.36953703703703716</v>
      </c>
      <c r="M1722" s="27">
        <f>AVERAGEIF($A$24:$A$1598, "SimFix*Fixed", L$24:L$1598)</f>
        <v>5.4648148148148147E-2</v>
      </c>
      <c r="N1722" s="27">
        <f>AVERAGEIF($A$24:$A$1598, "SimFix*Fixed", M$24:M$1598)</f>
        <v>50.662037037037038</v>
      </c>
      <c r="O1722" s="27">
        <f>AVERAGEIF($A$24:$A$1598, "SimFix*Fixed", N$24:N$1598)</f>
        <v>2.8143333333333334</v>
      </c>
      <c r="Q1722" s="27">
        <f>AVERAGEIF($A$24:$A$1598, "SimFix*Fixed", S$24:S$1598)</f>
        <v>1.962962962962963</v>
      </c>
      <c r="R1722" s="27">
        <f>AVERAGEIF($A$24:$A$1598, "SimFix*Fixed", T$24:T$1598)</f>
        <v>3.1666666666666665</v>
      </c>
      <c r="S1722" s="27">
        <f>AVERAGEIF($A$24:$A$1598, "SimFix*Fixed", U$24:U$1598)</f>
        <v>3.0925925925925926</v>
      </c>
      <c r="T1722" s="27">
        <f>AVERAGEIF($A$24:$A$1598, "SimFix*Fixed", V$24:V$1598)</f>
        <v>5.1851851851851851</v>
      </c>
      <c r="V1722" s="1">
        <f>N1722+D1722+C1722-C1723-D1723-N1723</f>
        <v>-0.1212962962963573</v>
      </c>
      <c r="W1722" s="1" t="s">
        <v>1740</v>
      </c>
    </row>
    <row r="1723" spans="1:23" ht="15" thickBot="1" x14ac:dyDescent="0.4">
      <c r="A1723" s="31">
        <f>COUNTIF($A$24:$A$1598, "SimFix*Repaired")</f>
        <v>54</v>
      </c>
      <c r="B1723" s="31" t="s">
        <v>1332</v>
      </c>
      <c r="C1723" s="32">
        <f>AVERAGEIF($A$24:$A$1598, "SimFix*Repaired", B$24:B$1598)</f>
        <v>3.9848148148148144</v>
      </c>
      <c r="D1723" s="32">
        <f>AVERAGEIF($A$24:$A$1598, "SimFix*Repaired", C$24:C$1598)</f>
        <v>77.523888888888877</v>
      </c>
      <c r="E1723" s="32">
        <f>AVERAGEIF($A$24:$A$1598, "SimFix*Repaired", D$24:D$1598)</f>
        <v>19.458333333333339</v>
      </c>
      <c r="F1723" s="32">
        <f>AVERAGEIF($A$24:$A$1598, "SimFix*Repaired", E$24:E$1598)</f>
        <v>6.8507407407407417</v>
      </c>
      <c r="G1723" s="32">
        <f>AVERAGEIF($A$24:$A$1598, "SimFix*Repaired", F$24:F$1598)</f>
        <v>14.928518518518516</v>
      </c>
      <c r="H1723" s="32">
        <f>AVERAGEIF($A$24:$A$1598, "SimFix*Repaired", G$24:G$1598)</f>
        <v>4.3237037037037043</v>
      </c>
      <c r="I1723" s="32">
        <f>AVERAGEIF($A$24:$A$1598, "SimFix*Repaired", H$24:H$1598)</f>
        <v>11.174444444444443</v>
      </c>
      <c r="J1723" s="32">
        <f>AVERAGEIF($A$24:$A$1598, "SimFix*Repaired", I$24:I$1598)</f>
        <v>34.38611111111112</v>
      </c>
      <c r="K1723" s="32">
        <f>AVERAGEIF($A$24:$A$1598, "SimFix*Repaired", J$24:J$1598)</f>
        <v>59.765925925925927</v>
      </c>
      <c r="L1723" s="32">
        <f>AVERAGEIF($A$24:$A$1598, "SimFix*Repaired", K$24:K$1598)</f>
        <v>0.37638888888888894</v>
      </c>
      <c r="M1723" s="32">
        <f>AVERAGEIF($A$24:$A$1598, "SimFix*Repaired", L$24:L$1598)</f>
        <v>5.5629629629629633E-2</v>
      </c>
      <c r="N1723" s="32">
        <f>AVERAGEIF($A$24:$A$1598, "SimFix*Repaired", M$24:M$1598)</f>
        <v>50.843333333333341</v>
      </c>
      <c r="O1723" s="32">
        <f>AVERAGEIF($A$24:$A$1598, "SimFix*Repaired", N$24:N$1598)</f>
        <v>2.8243333333333336</v>
      </c>
      <c r="Q1723" s="32">
        <f>AVERAGEIF($A$24:$A$1598, "SimFix*Repaired", S$24:S$1598)</f>
        <v>2.2777777777777777</v>
      </c>
      <c r="R1723" s="32">
        <f>AVERAGEIF($A$24:$A$1598, "SimFix*Repaired", T$24:T$1598)</f>
        <v>10.407407407407407</v>
      </c>
      <c r="S1723" s="32">
        <f>AVERAGEIF($A$24:$A$1598, "SimFix*Repaired", U$24:U$1598)</f>
        <v>1.8518518518518517E-2</v>
      </c>
      <c r="T1723" s="32">
        <f>AVERAGEIF($A$24:$A$1598, "SimFix*Repaired", V$24:V$1598)</f>
        <v>10.407407407407407</v>
      </c>
      <c r="V1723" s="31">
        <f>N1723+D1723+C1723</f>
        <v>132.35203703703704</v>
      </c>
      <c r="W1723" s="31" t="s">
        <v>1740</v>
      </c>
    </row>
    <row r="1724" spans="1:23" x14ac:dyDescent="0.35">
      <c r="A1724" s="1">
        <f>COUNTIF($A$24:$A$1598, "TBar*Fixed")</f>
        <v>85</v>
      </c>
      <c r="B1724" s="1" t="s">
        <v>1333</v>
      </c>
      <c r="C1724" s="27">
        <f>AVERAGEIF($A$24:$A$1598, "TBar*Fixed", B$24:B$1598)</f>
        <v>3.6254117647058819</v>
      </c>
      <c r="D1724" s="27">
        <f>AVERAGEIF($A$24:$A$1598, "TBar*Fixed", C$24:C$1598)</f>
        <v>78.65235294117646</v>
      </c>
      <c r="E1724" s="27">
        <f>AVERAGEIF($A$24:$A$1598, "TBar*Fixed", D$24:D$1598)</f>
        <v>16.867647058823529</v>
      </c>
      <c r="F1724" s="27">
        <f>AVERAGEIF($A$24:$A$1598, "TBar*Fixed", E$24:E$1598)</f>
        <v>6.1972941176470595</v>
      </c>
      <c r="G1724" s="27">
        <f>AVERAGEIF($A$24:$A$1598, "TBar*Fixed", F$24:F$1598)</f>
        <v>12.531176470588237</v>
      </c>
      <c r="H1724" s="27">
        <f>AVERAGEIF($A$24:$A$1598, "TBar*Fixed", G$24:G$1598)</f>
        <v>3.8063529411764709</v>
      </c>
      <c r="I1724" s="27">
        <f>AVERAGEIF($A$24:$A$1598, "TBar*Fixed", H$24:H$1598)</f>
        <v>10.004117647058827</v>
      </c>
      <c r="J1724" s="27">
        <f>AVERAGEIF($A$24:$A$1598, "TBar*Fixed", I$24:I$1598)</f>
        <v>29.398705882352949</v>
      </c>
      <c r="K1724" s="27">
        <f>AVERAGEIF($A$24:$A$1598, "TBar*Fixed", J$24:J$1598)</f>
        <v>51.236235294117655</v>
      </c>
      <c r="L1724" s="27">
        <f>AVERAGEIF($A$24:$A$1598, "TBar*Fixed", K$24:K$1598)</f>
        <v>0.33519999999999994</v>
      </c>
      <c r="M1724" s="27">
        <f>AVERAGEIF($A$24:$A$1598, "TBar*Fixed", L$24:L$1598)</f>
        <v>4.7095294117647069E-2</v>
      </c>
      <c r="N1724" s="27">
        <f>AVERAGEIF($A$24:$A$1598, "TBar*Fixed", M$24:M$1598)</f>
        <v>85.979682352941182</v>
      </c>
      <c r="O1724" s="27">
        <f>AVERAGEIF($A$24:$A$1598, "TBar*Fixed", N$24:N$1598)</f>
        <v>4.7767929411764705</v>
      </c>
      <c r="Q1724" s="27">
        <f>AVERAGEIF($A$24:$A$1598, "TBar*Fixed", S$24:S$1598)</f>
        <v>1.8235294117647058</v>
      </c>
      <c r="R1724" s="27">
        <f>AVERAGEIF($A$24:$A$1598, "TBar*Fixed", T$24:T$1598)</f>
        <v>2.6588235294117646</v>
      </c>
      <c r="S1724" s="27">
        <f>AVERAGEIF($A$24:$A$1598, "TBar*Fixed", U$24:U$1598)</f>
        <v>2.7647058823529411</v>
      </c>
      <c r="T1724" s="27">
        <f>AVERAGEIF($A$24:$A$1598, "TBar*Fixed", V$24:V$1598)</f>
        <v>4.4823529411764707</v>
      </c>
      <c r="V1724" s="1">
        <f>N1724+D1724+C1724-C1725-D1725-N1725</f>
        <v>-9.0588235293864727E-3</v>
      </c>
      <c r="W1724" s="1" t="s">
        <v>1741</v>
      </c>
    </row>
    <row r="1725" spans="1:23" ht="15" thickBot="1" x14ac:dyDescent="0.4">
      <c r="A1725" s="31">
        <f>COUNTIF($A$24:$A$1598, "TBar*Repaired")</f>
        <v>85</v>
      </c>
      <c r="B1725" s="31" t="s">
        <v>1334</v>
      </c>
      <c r="C1725" s="32">
        <f>AVERAGEIF($A$24:$A$1598, "TBar*Repaired", B$24:B$1598)</f>
        <v>3.6557647058823526</v>
      </c>
      <c r="D1725" s="32">
        <f>AVERAGEIF($A$24:$A$1598, "TBar*Repaired", C$24:C$1598)</f>
        <v>78.692117647058808</v>
      </c>
      <c r="E1725" s="32">
        <f>AVERAGEIF($A$24:$A$1598, "TBar*Repaired", D$24:D$1598)</f>
        <v>16.83423529411764</v>
      </c>
      <c r="F1725" s="32">
        <f>AVERAGEIF($A$24:$A$1598, "TBar*Repaired", E$24:E$1598)</f>
        <v>6.1654117647058841</v>
      </c>
      <c r="G1725" s="32">
        <f>AVERAGEIF($A$24:$A$1598, "TBar*Repaired", F$24:F$1598)</f>
        <v>12.635882352941175</v>
      </c>
      <c r="H1725" s="32">
        <f>AVERAGEIF($A$24:$A$1598, "TBar*Repaired", G$24:G$1598)</f>
        <v>3.8027058823529423</v>
      </c>
      <c r="I1725" s="32">
        <f>AVERAGEIF($A$24:$A$1598, "TBar*Repaired", H$24:H$1598)</f>
        <v>9.9681176470588273</v>
      </c>
      <c r="J1725" s="32">
        <f>AVERAGEIF($A$24:$A$1598, "TBar*Repaired", I$24:I$1598)</f>
        <v>29.469647058823536</v>
      </c>
      <c r="K1725" s="32">
        <f>AVERAGEIF($A$24:$A$1598, "TBar*Repaired", J$24:J$1598)</f>
        <v>51.088117647058823</v>
      </c>
      <c r="L1725" s="32">
        <f>AVERAGEIF($A$24:$A$1598, "TBar*Repaired", K$24:K$1598)</f>
        <v>0.33930588235294112</v>
      </c>
      <c r="M1725" s="32">
        <f>AVERAGEIF($A$24:$A$1598, "TBar*Repaired", L$24:L$1598)</f>
        <v>4.6165882352941182E-2</v>
      </c>
      <c r="N1725" s="32">
        <f>AVERAGEIF($A$24:$A$1598, "TBar*Repaired", M$24:M$1598)</f>
        <v>85.918623529411775</v>
      </c>
      <c r="O1725" s="32">
        <f>AVERAGEIF($A$24:$A$1598, "TBar*Repaired", N$24:N$1598)</f>
        <v>4.7732635294117651</v>
      </c>
      <c r="Q1725" s="32">
        <f>AVERAGEIF($A$24:$A$1598, "TBar*Repaired", S$24:S$1598)</f>
        <v>1.1176470588235294</v>
      </c>
      <c r="R1725" s="32">
        <f>AVERAGEIF($A$24:$A$1598, "TBar*Repaired", T$24:T$1598)</f>
        <v>1.6470588235294117</v>
      </c>
      <c r="S1725" s="32">
        <f>AVERAGEIF($A$24:$A$1598, "TBar*Repaired", U$24:U$1598)</f>
        <v>2.1411764705882352</v>
      </c>
      <c r="T1725" s="32">
        <f>AVERAGEIF($A$24:$A$1598, "TBar*Repaired", V$24:V$1598)</f>
        <v>2.7294117647058824</v>
      </c>
      <c r="V1725" s="31">
        <f>N1725+D1725+C1725</f>
        <v>168.26650588235293</v>
      </c>
      <c r="W1725" s="31" t="s">
        <v>1741</v>
      </c>
    </row>
    <row r="1726" spans="1:23" ht="15" x14ac:dyDescent="0.3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</row>
    <row r="1727" spans="1:23" ht="15" x14ac:dyDescent="0.3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</row>
    <row r="1728" spans="1:23" ht="28.8" x14ac:dyDescent="0.35">
      <c r="A1728" s="14" t="s">
        <v>1310</v>
      </c>
      <c r="B1728" s="14" t="s">
        <v>1652</v>
      </c>
      <c r="C1728" s="14" t="s">
        <v>1296</v>
      </c>
      <c r="D1728" s="14" t="s">
        <v>1297</v>
      </c>
      <c r="E1728" s="14" t="s">
        <v>1298</v>
      </c>
      <c r="F1728" s="14" t="s">
        <v>21</v>
      </c>
      <c r="G1728" s="14" t="s">
        <v>1299</v>
      </c>
      <c r="H1728" s="14" t="s">
        <v>22</v>
      </c>
      <c r="I1728" s="14" t="s">
        <v>1300</v>
      </c>
      <c r="J1728" s="14" t="s">
        <v>1301</v>
      </c>
      <c r="K1728" s="14" t="s">
        <v>1302</v>
      </c>
      <c r="L1728" s="14" t="s">
        <v>1303</v>
      </c>
      <c r="M1728" s="14" t="s">
        <v>1304</v>
      </c>
      <c r="N1728" s="14" t="s">
        <v>1305</v>
      </c>
      <c r="O1728" s="14" t="s">
        <v>1306</v>
      </c>
      <c r="Q1728" s="12" t="s">
        <v>1292</v>
      </c>
      <c r="R1728" s="12" t="s">
        <v>1293</v>
      </c>
      <c r="S1728" s="12" t="s">
        <v>1294</v>
      </c>
      <c r="T1728" s="12" t="s">
        <v>1701</v>
      </c>
      <c r="V1728" s="12" t="s">
        <v>1729</v>
      </c>
      <c r="W1728" s="12" t="s">
        <v>1339</v>
      </c>
    </row>
    <row r="1729" spans="1:24" ht="15" x14ac:dyDescent="0.35">
      <c r="A1729" s="1">
        <f>COUNTIFS($P$24:$P$1598, "True Search", $Q$24:$Q$1598, "Fixed")</f>
        <v>54</v>
      </c>
      <c r="B1729" s="1" t="s">
        <v>1653</v>
      </c>
      <c r="C1729" s="27">
        <f>AVERAGEIFS(B$24:B$1598, $P$24:$P$1598, "True Search", $Q$24:$Q$1598, "Fixed")</f>
        <v>3.9705555555555545</v>
      </c>
      <c r="D1729" s="27">
        <f>AVERAGEIFS(C$24:C$1598, $P$24:$P$1598, "True Search", $Q$24:$Q$1598, "Fixed")</f>
        <v>77.56870370370369</v>
      </c>
      <c r="E1729" s="27">
        <f>AVERAGEIFS(D$24:D$1598, $P$24:$P$1598, "True Search", $Q$24:$Q$1598, "Fixed")</f>
        <v>17.955370370370375</v>
      </c>
      <c r="F1729" s="27">
        <f>AVERAGEIFS(E$24:E$1598, $P$24:$P$1598, "True Search", $Q$24:$Q$1598, "Fixed")</f>
        <v>6.5394444444444479</v>
      </c>
      <c r="G1729" s="27">
        <f>AVERAGEIFS(F$24:F$1598, $P$24:$P$1598, "True Search", $Q$24:$Q$1598, "Fixed")</f>
        <v>14.257407407407406</v>
      </c>
      <c r="H1729" s="27">
        <f>AVERAGEIFS(G$24:G$1598, $P$24:$P$1598, "True Search", $Q$24:$Q$1598, "Fixed")</f>
        <v>4.2009259259259251</v>
      </c>
      <c r="I1729" s="27">
        <f>AVERAGEIFS(H$24:H$1598, $P$24:$P$1598, "True Search", $Q$24:$Q$1598, "Fixed")</f>
        <v>10.741481481481483</v>
      </c>
      <c r="J1729" s="27">
        <f>AVERAGEIFS(I$24:I$1598, $P$24:$P$1598, "True Search", $Q$24:$Q$1598, "Fixed")</f>
        <v>32.212777777777767</v>
      </c>
      <c r="K1729" s="27">
        <f>AVERAGEIFS(J$24:J$1598, $P$24:$P$1598, "True Search", $Q$24:$Q$1598, "Fixed")</f>
        <v>56.180000000000007</v>
      </c>
      <c r="L1729" s="27">
        <f>AVERAGEIFS(K$24:K$1598, $P$24:$P$1598, "True Search", $Q$24:$Q$1598, "Fixed")</f>
        <v>0.45485185185185179</v>
      </c>
      <c r="M1729" s="27">
        <f>AVERAGEIFS(L$24:L$1598, $P$24:$P$1598, "True Search", $Q$24:$Q$1598, "Fixed")</f>
        <v>5.557407407407406E-2</v>
      </c>
      <c r="N1729" s="27">
        <f>AVERAGEIFS(M$24:M$1598, $P$24:$P$1598, "True Search", $Q$24:$Q$1598, "Fixed")</f>
        <v>55.453462962962966</v>
      </c>
      <c r="O1729" s="27">
        <f>AVERAGEIFS(N$24:N$1598, $P$24:$P$1598, "True Search", $Q$24:$Q$1598, "Fixed")</f>
        <v>3.0808851851851862</v>
      </c>
      <c r="Q1729" s="27">
        <f>AVERAGEIFS(S$24:S$1598, $P$24:$P$1598, "True Search", $Q$24:$Q$1598, "Fixed")</f>
        <v>2.0555555555555554</v>
      </c>
      <c r="R1729" s="27">
        <f>AVERAGEIFS(T$24:T$1598, $P$24:$P$1598, "True Search", $Q$24:$Q$1598, "Fixed")</f>
        <v>3.425925925925926</v>
      </c>
      <c r="S1729" s="27">
        <f>AVERAGEIFS(U$24:U$1598, $P$24:$P$1598, "True Search", $Q$24:$Q$1598, "Fixed")</f>
        <v>3.2777777777777777</v>
      </c>
      <c r="T1729" s="27">
        <f>AVERAGEIFS(V$24:V$1598, $P$24:$P$1598, "True Search", $Q$24:$Q$1598, "Fixed")</f>
        <v>5.5740740740740744</v>
      </c>
      <c r="V1729" s="1">
        <f>N1729+D1729+C1729-C1730-D1730-N1730</f>
        <v>-1.4814814814805288E-2</v>
      </c>
      <c r="W1729" s="1" t="s">
        <v>1742</v>
      </c>
      <c r="X1729"/>
    </row>
    <row r="1730" spans="1:24" ht="15" x14ac:dyDescent="0.35">
      <c r="A1730" s="38">
        <f>COUNTIFS($P$24:$P$1598, "True Search", $Q$24:$Q$1598, "Repaired")</f>
        <v>54</v>
      </c>
      <c r="B1730" s="38" t="s">
        <v>1654</v>
      </c>
      <c r="C1730" s="39">
        <f>AVERAGEIFS(B$24:B$1598, $P$24:$P$1598, "True Search", $Q$24:$Q$1598, "Repaired")</f>
        <v>4.02648148148148</v>
      </c>
      <c r="D1730" s="39">
        <f>AVERAGEIFS(C$24:C$1598, $P$24:$P$1598, "True Search", $Q$24:$Q$1598, "Repaired")</f>
        <v>77.4498148148148</v>
      </c>
      <c r="E1730" s="39">
        <f>AVERAGEIFS(D$24:D$1598, $P$24:$P$1598, "True Search", $Q$24:$Q$1598, "Repaired")</f>
        <v>18.02148148148148</v>
      </c>
      <c r="F1730" s="39">
        <f>AVERAGEIFS(E$24:E$1598, $P$24:$P$1598, "True Search", $Q$24:$Q$1598, "Repaired")</f>
        <v>6.5948148148148142</v>
      </c>
      <c r="G1730" s="39">
        <f>AVERAGEIFS(F$24:F$1598, $P$24:$P$1598, "True Search", $Q$24:$Q$1598, "Repaired")</f>
        <v>14.447222222222225</v>
      </c>
      <c r="H1730" s="39">
        <f>AVERAGEIFS(G$24:G$1598, $P$24:$P$1598, "True Search", $Q$24:$Q$1598, "Repaired")</f>
        <v>4.245925925925925</v>
      </c>
      <c r="I1730" s="39">
        <f>AVERAGEIFS(H$24:H$1598, $P$24:$P$1598, "True Search", $Q$24:$Q$1598, "Repaired")</f>
        <v>10.841296296296299</v>
      </c>
      <c r="J1730" s="39">
        <f>AVERAGEIFS(I$24:I$1598, $P$24:$P$1598, "True Search", $Q$24:$Q$1598, "Repaired")</f>
        <v>32.468333333333327</v>
      </c>
      <c r="K1730" s="39">
        <f>AVERAGEIFS(J$24:J$1598, $P$24:$P$1598, "True Search", $Q$24:$Q$1598, "Repaired")</f>
        <v>56.84851851851851</v>
      </c>
      <c r="L1730" s="39">
        <f>AVERAGEIFS(K$24:K$1598, $P$24:$P$1598, "True Search", $Q$24:$Q$1598, "Repaired")</f>
        <v>0.45970370370370367</v>
      </c>
      <c r="M1730" s="39">
        <f>AVERAGEIFS(L$24:L$1598, $P$24:$P$1598, "True Search", $Q$24:$Q$1598, "Repaired")</f>
        <v>5.7388888888888878E-2</v>
      </c>
      <c r="N1730" s="39">
        <f>AVERAGEIFS(M$24:M$1598, $P$24:$P$1598, "True Search", $Q$24:$Q$1598, "Repaired")</f>
        <v>55.531240740740749</v>
      </c>
      <c r="O1730" s="39">
        <f>AVERAGEIFS(N$24:N$1598, $P$24:$P$1598, "True Search", $Q$24:$Q$1598, "Repaired")</f>
        <v>3.0851629629629636</v>
      </c>
      <c r="Q1730" s="39">
        <f>AVERAGEIFS(S$24:S$1598, $P$24:$P$1598, "True Search", $Q$24:$Q$1598, "Repaired")</f>
        <v>1.1111111111111112</v>
      </c>
      <c r="R1730" s="39">
        <f>AVERAGEIFS(T$24:T$1598, $P$24:$P$1598, "True Search", $Q$24:$Q$1598, "Repaired")</f>
        <v>1.4814814814814814</v>
      </c>
      <c r="S1730" s="39">
        <f>AVERAGEIFS(U$24:U$1598, $P$24:$P$1598, "True Search", $Q$24:$Q$1598, "Repaired")</f>
        <v>1.3333333333333333</v>
      </c>
      <c r="T1730" s="39">
        <f>AVERAGEIFS(V$24:V$1598, $P$24:$P$1598, "True Search", $Q$24:$Q$1598, "Repaired")</f>
        <v>1.8148148148148149</v>
      </c>
      <c r="V1730" s="38">
        <f>N1730+D1730+C1730</f>
        <v>137.00753703703703</v>
      </c>
      <c r="W1730" s="1" t="s">
        <v>1742</v>
      </c>
      <c r="X1730"/>
    </row>
    <row r="1731" spans="1:24" ht="15.6" thickBot="1" x14ac:dyDescent="0.4">
      <c r="A1731" s="40" t="s">
        <v>1698</v>
      </c>
      <c r="B1731" s="31"/>
      <c r="C1731" s="51"/>
      <c r="D1731" s="51"/>
      <c r="E1731" s="51"/>
      <c r="F1731" s="52" t="s">
        <v>1693</v>
      </c>
      <c r="G1731" s="51"/>
      <c r="H1731" s="51"/>
      <c r="I1731" s="51"/>
      <c r="J1731" s="51"/>
      <c r="K1731" s="51"/>
      <c r="L1731" s="51"/>
      <c r="M1731" s="51"/>
      <c r="N1731" s="51"/>
      <c r="O1731" s="51"/>
      <c r="Q1731" s="41"/>
      <c r="R1731" s="41"/>
      <c r="S1731" s="41"/>
      <c r="T1731" s="41"/>
      <c r="V1731" s="31"/>
      <c r="W1731" s="31"/>
      <c r="X1731"/>
    </row>
    <row r="1732" spans="1:24" ht="15" x14ac:dyDescent="0.35">
      <c r="A1732" s="1">
        <f>COUNTIFS($P$24:$P$1598, "Evolutionary Search", $Q$24:$Q$1598, "Fixed")</f>
        <v>111</v>
      </c>
      <c r="B1732" s="1" t="s">
        <v>1655</v>
      </c>
      <c r="C1732" s="27">
        <f>AVERAGEIFS(B$24:B$1598, $P$24:$P$1598, "Evolutionary Search", $Q$24:$Q$1598, "Fixed")</f>
        <v>3.9996396396396401</v>
      </c>
      <c r="D1732" s="27">
        <f>AVERAGEIFS(C$24:C$1598, $P$24:$P$1598, "Evolutionary Search", $Q$24:$Q$1598, "Fixed")</f>
        <v>77.221621621621594</v>
      </c>
      <c r="E1732" s="27">
        <f>AVERAGEIFS(D$24:D$1598, $P$24:$P$1598, "Evolutionary Search", $Q$24:$Q$1598, "Fixed")</f>
        <v>18.374594594594587</v>
      </c>
      <c r="F1732" s="27">
        <f>AVERAGEIFS(E$24:E$1598, $P$24:$P$1598, "Evolutionary Search", $Q$24:$Q$1598, "Fixed")</f>
        <v>6.5638738738738729</v>
      </c>
      <c r="G1732" s="27">
        <f>AVERAGEIFS(F$24:F$1598, $P$24:$P$1598, "Evolutionary Search", $Q$24:$Q$1598, "Fixed")</f>
        <v>14.15135135135136</v>
      </c>
      <c r="H1732" s="27">
        <f>AVERAGEIFS(G$24:G$1598, $P$24:$P$1598, "Evolutionary Search", $Q$24:$Q$1598, "Fixed")</f>
        <v>4.082072072072072</v>
      </c>
      <c r="I1732" s="27">
        <f>AVERAGEIFS(H$24:H$1598, $P$24:$P$1598, "Evolutionary Search", $Q$24:$Q$1598, "Fixed")</f>
        <v>10.64594594594594</v>
      </c>
      <c r="J1732" s="27">
        <f>AVERAGEIFS(I$24:I$1598, $P$24:$P$1598, "Evolutionary Search", $Q$24:$Q$1598, "Fixed")</f>
        <v>32.526306306306317</v>
      </c>
      <c r="K1732" s="27">
        <f>AVERAGEIFS(J$24:J$1598, $P$24:$P$1598, "Evolutionary Search", $Q$24:$Q$1598, "Fixed")</f>
        <v>55.604234234234248</v>
      </c>
      <c r="L1732" s="27">
        <f>AVERAGEIFS(K$24:K$1598, $P$24:$P$1598, "Evolutionary Search", $Q$24:$Q$1598, "Fixed")</f>
        <v>0.36396396396396397</v>
      </c>
      <c r="M1732" s="27">
        <f>AVERAGEIFS(L$24:L$1598, $P$24:$P$1598, "Evolutionary Search", $Q$24:$Q$1598, "Fixed")</f>
        <v>5.3479279279279278E-2</v>
      </c>
      <c r="N1732" s="27">
        <f>AVERAGEIFS(M$24:M$1598, $P$24:$P$1598, "Evolutionary Search", $Q$24:$Q$1598, "Fixed")</f>
        <v>40.193396396396402</v>
      </c>
      <c r="O1732" s="27">
        <f>AVERAGEIFS(N$24:N$1598, $P$24:$P$1598, "Evolutionary Search", $Q$24:$Q$1598, "Fixed")</f>
        <v>2.2325567567567575</v>
      </c>
      <c r="Q1732" s="27">
        <f>AVERAGEIFS(S$24:S$1598, $P$24:$P$1598, "Evolutionary Search", $Q$24:$Q$1598, "Fixed")</f>
        <v>2.0630630630630629</v>
      </c>
      <c r="R1732" s="27">
        <f>AVERAGEIFS(T$24:T$1598, $P$24:$P$1598, "Evolutionary Search", $Q$24:$Q$1598, "Fixed")</f>
        <v>3.2342342342342341</v>
      </c>
      <c r="S1732" s="27">
        <f>AVERAGEIFS(U$24:U$1598, $P$24:$P$1598, "Evolutionary Search", $Q$24:$Q$1598, "Fixed")</f>
        <v>3.6846846846846848</v>
      </c>
      <c r="T1732" s="27">
        <f>AVERAGEIFS(V$24:V$1598, $P$24:$P$1598, "Evolutionary Search", $Q$24:$Q$1598, "Fixed")</f>
        <v>5.8558558558558556</v>
      </c>
      <c r="V1732" s="1">
        <f>N1732+D1732+C1732-C1733-D1733-N1733</f>
        <v>-0.35972972972974304</v>
      </c>
      <c r="W1732" s="1" t="s">
        <v>1743</v>
      </c>
      <c r="X1732"/>
    </row>
    <row r="1733" spans="1:24" ht="15" x14ac:dyDescent="0.35">
      <c r="A1733" s="38">
        <f>COUNTIFS($P$24:$P$1598, "Evolutionary Search", $Q$24:$Q$1598, "Repaired")</f>
        <v>111</v>
      </c>
      <c r="B1733" s="38" t="s">
        <v>1656</v>
      </c>
      <c r="C1733" s="39">
        <f>AVERAGEIFS(B$24:B$1598, $P$24:$P$1598, "Evolutionary Search", $Q$24:$Q$1598, "Repaired")</f>
        <v>3.9875675675675661</v>
      </c>
      <c r="D1733" s="39">
        <f>AVERAGEIFS(C$24:C$1598, $P$24:$P$1598, "Evolutionary Search", $Q$24:$Q$1598, "Repaired")</f>
        <v>77.314864864864859</v>
      </c>
      <c r="E1733" s="39">
        <f>AVERAGEIFS(D$24:D$1598, $P$24:$P$1598, "Evolutionary Search", $Q$24:$Q$1598, "Repaired")</f>
        <v>18.059819819819818</v>
      </c>
      <c r="F1733" s="39">
        <f>AVERAGEIFS(E$24:E$1598, $P$24:$P$1598, "Evolutionary Search", $Q$24:$Q$1598, "Repaired")</f>
        <v>6.5217117117117089</v>
      </c>
      <c r="G1733" s="39">
        <f>AVERAGEIFS(F$24:F$1598, $P$24:$P$1598, "Evolutionary Search", $Q$24:$Q$1598, "Repaired")</f>
        <v>14.005135135135141</v>
      </c>
      <c r="H1733" s="39">
        <f>AVERAGEIFS(G$24:G$1598, $P$24:$P$1598, "Evolutionary Search", $Q$24:$Q$1598, "Repaired")</f>
        <v>4.0477477477477493</v>
      </c>
      <c r="I1733" s="39">
        <f>AVERAGEIFS(H$24:H$1598, $P$24:$P$1598, "Evolutionary Search", $Q$24:$Q$1598, "Repaired")</f>
        <v>10.569189189189185</v>
      </c>
      <c r="J1733" s="39">
        <f>AVERAGEIFS(I$24:I$1598, $P$24:$P$1598, "Evolutionary Search", $Q$24:$Q$1598, "Repaired")</f>
        <v>32.065495495495497</v>
      </c>
      <c r="K1733" s="39">
        <f>AVERAGEIFS(J$24:J$1598, $P$24:$P$1598, "Evolutionary Search", $Q$24:$Q$1598, "Repaired")</f>
        <v>54.914864864864853</v>
      </c>
      <c r="L1733" s="39">
        <f>AVERAGEIFS(K$24:K$1598, $P$24:$P$1598, "Evolutionary Search", $Q$24:$Q$1598, "Repaired")</f>
        <v>0.36949549549549554</v>
      </c>
      <c r="M1733" s="39">
        <f>AVERAGEIFS(L$24:L$1598, $P$24:$P$1598, "Evolutionary Search", $Q$24:$Q$1598, "Repaired")</f>
        <v>5.4866666666666661E-2</v>
      </c>
      <c r="N1733" s="39">
        <f>AVERAGEIFS(M$24:M$1598, $P$24:$P$1598, "Evolutionary Search", $Q$24:$Q$1598, "Repaired")</f>
        <v>40.47195495495496</v>
      </c>
      <c r="O1733" s="39">
        <f>AVERAGEIFS(N$24:N$1598, $P$24:$P$1598, "Evolutionary Search", $Q$24:$Q$1598, "Repaired")</f>
        <v>2.247953153153154</v>
      </c>
      <c r="Q1733" s="39">
        <f>AVERAGEIFS(S$24:S$1598, $P$24:$P$1598, "Evolutionary Search", $Q$24:$Q$1598, "Repaired")</f>
        <v>1.1441441441441442</v>
      </c>
      <c r="R1733" s="39">
        <f>AVERAGEIFS(T$24:T$1598, $P$24:$P$1598, "Evolutionary Search", $Q$24:$Q$1598, "Repaired")</f>
        <v>1.4594594594594594</v>
      </c>
      <c r="S1733" s="39">
        <f>AVERAGEIFS(U$24:U$1598, $P$24:$P$1598, "Evolutionary Search", $Q$24:$Q$1598, "Repaired")</f>
        <v>6.4324324324324325</v>
      </c>
      <c r="T1733" s="39">
        <f>AVERAGEIFS(V$24:V$1598, $P$24:$P$1598, "Evolutionary Search", $Q$24:$Q$1598, "Repaired")</f>
        <v>7.045045045045045</v>
      </c>
      <c r="V1733" s="38">
        <f>N1733+D1733+C1733</f>
        <v>121.77438738738738</v>
      </c>
      <c r="W1733" s="38" t="s">
        <v>1743</v>
      </c>
      <c r="X1733"/>
    </row>
    <row r="1734" spans="1:24" ht="15.6" thickBot="1" x14ac:dyDescent="0.4">
      <c r="A1734" s="40" t="s">
        <v>1698</v>
      </c>
      <c r="B1734" s="31"/>
      <c r="C1734" s="52" t="s">
        <v>1693</v>
      </c>
      <c r="D1734" s="51"/>
      <c r="E1734" s="52" t="s">
        <v>1693</v>
      </c>
      <c r="F1734" s="51"/>
      <c r="G1734" s="52" t="s">
        <v>1693</v>
      </c>
      <c r="H1734" s="52" t="s">
        <v>1693</v>
      </c>
      <c r="I1734" s="52" t="s">
        <v>1693</v>
      </c>
      <c r="J1734" s="52" t="s">
        <v>1693</v>
      </c>
      <c r="K1734" s="52" t="s">
        <v>1693</v>
      </c>
      <c r="L1734" s="51"/>
      <c r="M1734" s="51"/>
      <c r="N1734" s="51"/>
      <c r="O1734" s="51"/>
      <c r="Q1734" s="41"/>
      <c r="R1734" s="41"/>
      <c r="S1734" s="41"/>
      <c r="T1734" s="41"/>
      <c r="V1734" s="31"/>
      <c r="W1734" s="31"/>
      <c r="X1734"/>
    </row>
    <row r="1735" spans="1:24" ht="15" x14ac:dyDescent="0.35">
      <c r="A1735" s="1">
        <f>COUNTIFS($P$24:$P$1598, "True Semantic", $Q$24:$Q$1598, "Fixed")</f>
        <v>51</v>
      </c>
      <c r="B1735" s="1" t="s">
        <v>1657</v>
      </c>
      <c r="C1735" s="27">
        <f>AVERAGEIFS(B$24:B$1598, $P$24:$P$1598, "True Semantic", $Q$24:$Q$1598, "Fixed")</f>
        <v>3.5682352941176458</v>
      </c>
      <c r="D1735" s="27">
        <f>AVERAGEIFS(C$24:C$1598, $P$24:$P$1598, "True Semantic", $Q$24:$Q$1598, "Fixed")</f>
        <v>77.975882352941156</v>
      </c>
      <c r="E1735" s="27">
        <f>AVERAGEIFS(D$24:D$1598, $P$24:$P$1598, "True Semantic", $Q$24:$Q$1598, "Fixed")</f>
        <v>20.026470588235295</v>
      </c>
      <c r="F1735" s="27">
        <f>AVERAGEIFS(E$24:E$1598, $P$24:$P$1598, "True Semantic", $Q$24:$Q$1598, "Fixed")</f>
        <v>6.6905882352941184</v>
      </c>
      <c r="G1735" s="27">
        <f>AVERAGEIFS(F$24:F$1598, $P$24:$P$1598, "True Semantic", $Q$24:$Q$1598, "Fixed")</f>
        <v>14.359411764705882</v>
      </c>
      <c r="H1735" s="27">
        <f>AVERAGEIFS(G$24:G$1598, $P$24:$P$1598, "True Semantic", $Q$24:$Q$1598, "Fixed")</f>
        <v>4.1176470588235281</v>
      </c>
      <c r="I1735" s="27">
        <f>AVERAGEIFS(H$24:H$1598, $P$24:$P$1598, "True Semantic", $Q$24:$Q$1598, "Fixed")</f>
        <v>10.809019607843139</v>
      </c>
      <c r="J1735" s="27">
        <f>AVERAGEIFS(I$24:I$1598, $P$24:$P$1598, "True Semantic", $Q$24:$Q$1598, "Fixed")</f>
        <v>34.385098039215698</v>
      </c>
      <c r="K1735" s="27">
        <f>AVERAGEIFS(J$24:J$1598, $P$24:$P$1598, "True Semantic", $Q$24:$Q$1598, "Fixed")</f>
        <v>57.591176470588216</v>
      </c>
      <c r="L1735" s="27">
        <f>AVERAGEIFS(K$24:K$1598, $P$24:$P$1598, "True Semantic", $Q$24:$Q$1598, "Fixed")</f>
        <v>0.5499215686274509</v>
      </c>
      <c r="M1735" s="27">
        <f>AVERAGEIFS(L$24:L$1598, $P$24:$P$1598, "True Semantic", $Q$24:$Q$1598, "Fixed")</f>
        <v>7.4078431372549006E-2</v>
      </c>
      <c r="N1735" s="27">
        <f>AVERAGEIFS(M$24:M$1598, $P$24:$P$1598, "True Semantic", $Q$24:$Q$1598, "Fixed")</f>
        <v>14.867137254901962</v>
      </c>
      <c r="O1735" s="27">
        <f>AVERAGEIFS(N$24:N$1598, $P$24:$P$1598, "True Semantic", $Q$24:$Q$1598, "Fixed")</f>
        <v>0.82626666666666682</v>
      </c>
      <c r="Q1735" s="27">
        <f>AVERAGEIFS(S$24:S$1598, $P$24:$P$1598, "True Semantic", $Q$24:$Q$1598, "Fixed")</f>
        <v>2.392156862745098</v>
      </c>
      <c r="R1735" s="27">
        <f>AVERAGEIFS(T$24:T$1598, $P$24:$P$1598, "True Semantic", $Q$24:$Q$1598, "Fixed")</f>
        <v>3.3333333333333335</v>
      </c>
      <c r="S1735" s="27">
        <f>AVERAGEIFS(U$24:U$1598, $P$24:$P$1598, "True Semantic", $Q$24:$Q$1598, "Fixed")</f>
        <v>2.392156862745098</v>
      </c>
      <c r="T1735" s="27">
        <f>AVERAGEIFS(V$24:V$1598, $P$24:$P$1598, "True Semantic", $Q$24:$Q$1598, "Fixed")</f>
        <v>4.333333333333333</v>
      </c>
      <c r="V1735" s="1">
        <f>N1735+D1735+C1735-C1736-D1736-N1736</f>
        <v>-0.46215686274512535</v>
      </c>
      <c r="W1735" s="1" t="s">
        <v>1744</v>
      </c>
      <c r="X1735"/>
    </row>
    <row r="1736" spans="1:24" ht="15" x14ac:dyDescent="0.35">
      <c r="A1736" s="38">
        <f>COUNTIFS($P$24:$P$1598, "True Semantic", $Q$24:$Q$1598, "Repaired")</f>
        <v>51</v>
      </c>
      <c r="B1736" s="38" t="s">
        <v>1658</v>
      </c>
      <c r="C1736" s="39">
        <f>AVERAGEIFS(B$24:B$1598, $P$24:$P$1598, "True Semantic", $Q$24:$Q$1598, "Repaired")</f>
        <v>3.5654901960784309</v>
      </c>
      <c r="D1736" s="39">
        <f>AVERAGEIFS(C$24:C$1598, $P$24:$P$1598, "True Semantic", $Q$24:$Q$1598, "Repaired")</f>
        <v>77.976078431372557</v>
      </c>
      <c r="E1736" s="39">
        <f>AVERAGEIFS(D$24:D$1598, $P$24:$P$1598, "True Semantic", $Q$24:$Q$1598, "Repaired")</f>
        <v>19.946078431372552</v>
      </c>
      <c r="F1736" s="39">
        <f>AVERAGEIFS(E$24:E$1598, $P$24:$P$1598, "True Semantic", $Q$24:$Q$1598, "Repaired")</f>
        <v>6.6976470588235291</v>
      </c>
      <c r="G1736" s="39">
        <f>AVERAGEIFS(F$24:F$1598, $P$24:$P$1598, "True Semantic", $Q$24:$Q$1598, "Repaired")</f>
        <v>14.329999999999997</v>
      </c>
      <c r="H1736" s="39">
        <f>AVERAGEIFS(G$24:G$1598, $P$24:$P$1598, "True Semantic", $Q$24:$Q$1598, "Repaired")</f>
        <v>4.1111764705882345</v>
      </c>
      <c r="I1736" s="39">
        <f>AVERAGEIFS(H$24:H$1598, $P$24:$P$1598, "True Semantic", $Q$24:$Q$1598, "Repaired")</f>
        <v>10.810000000000004</v>
      </c>
      <c r="J1736" s="39">
        <f>AVERAGEIFS(I$24:I$1598, $P$24:$P$1598, "True Semantic", $Q$24:$Q$1598, "Repaired")</f>
        <v>34.277647058823526</v>
      </c>
      <c r="K1736" s="39">
        <f>AVERAGEIFS(J$24:J$1598, $P$24:$P$1598, "True Semantic", $Q$24:$Q$1598, "Repaired")</f>
        <v>57.499019607843152</v>
      </c>
      <c r="L1736" s="39">
        <f>AVERAGEIFS(K$24:K$1598, $P$24:$P$1598, "True Semantic", $Q$24:$Q$1598, "Repaired")</f>
        <v>0.55435294117647049</v>
      </c>
      <c r="M1736" s="39">
        <f>AVERAGEIFS(L$24:L$1598, $P$24:$P$1598, "True Semantic", $Q$24:$Q$1598, "Repaired")</f>
        <v>7.5176470588235275E-2</v>
      </c>
      <c r="N1736" s="39">
        <f>AVERAGEIFS(M$24:M$1598, $P$24:$P$1598, "True Semantic", $Q$24:$Q$1598, "Repaired")</f>
        <v>15.3318431372549</v>
      </c>
      <c r="O1736" s="39">
        <f>AVERAGEIFS(N$24:N$1598, $P$24:$P$1598, "True Semantic", $Q$24:$Q$1598, "Repaired")</f>
        <v>0.85214901960784317</v>
      </c>
      <c r="Q1736" s="39">
        <f>AVERAGEIFS(S$24:S$1598, $P$24:$P$1598, "True Semantic", $Q$24:$Q$1598, "Repaired")</f>
        <v>1.2549019607843137</v>
      </c>
      <c r="R1736" s="39">
        <f>AVERAGEIFS(T$24:T$1598, $P$24:$P$1598, "True Semantic", $Q$24:$Q$1598, "Repaired")</f>
        <v>4.5882352941176467</v>
      </c>
      <c r="S1736" s="39">
        <f>AVERAGEIFS(U$24:U$1598, $P$24:$P$1598, "True Semantic", $Q$24:$Q$1598, "Repaired")</f>
        <v>3.1568627450980391</v>
      </c>
      <c r="T1736" s="39">
        <f>AVERAGEIFS(V$24:V$1598, $P$24:$P$1598, "True Semantic", $Q$24:$Q$1598, "Repaired")</f>
        <v>5</v>
      </c>
      <c r="V1736" s="38">
        <f>N1736+D1736+C1736</f>
        <v>96.873411764705878</v>
      </c>
      <c r="W1736" s="38" t="s">
        <v>1744</v>
      </c>
      <c r="X1736"/>
    </row>
    <row r="1737" spans="1:24" ht="15.6" thickBot="1" x14ac:dyDescent="0.4">
      <c r="A1737" s="40" t="s">
        <v>1698</v>
      </c>
      <c r="B1737" s="31"/>
      <c r="C1737" s="51"/>
      <c r="D1737" s="51"/>
      <c r="E1737" s="51"/>
      <c r="F1737" s="51"/>
      <c r="G1737" s="51"/>
      <c r="H1737" s="51"/>
      <c r="I1737" s="51"/>
      <c r="J1737" s="51"/>
      <c r="K1737" s="51"/>
      <c r="L1737" s="51"/>
      <c r="M1737" s="51"/>
      <c r="N1737" s="51"/>
      <c r="O1737" s="51"/>
      <c r="Q1737" s="41"/>
      <c r="R1737" s="41"/>
      <c r="S1737" s="41"/>
      <c r="T1737" s="41"/>
      <c r="V1737" s="31"/>
      <c r="W1737" s="31"/>
      <c r="X1737"/>
    </row>
    <row r="1738" spans="1:24" ht="15" x14ac:dyDescent="0.35">
      <c r="A1738" s="1">
        <f>COUNTIFS($P$24:$P$1598, "True Pattern", $Q$24:$Q$1598, "Fixed")</f>
        <v>255</v>
      </c>
      <c r="B1738" s="1" t="s">
        <v>1659</v>
      </c>
      <c r="C1738" s="27">
        <f>AVERAGEIFS(B$24:B$1598, $P$24:$P$1598, "True Pattern", $Q$24:$Q$1598, "Fixed")</f>
        <v>3.8602352941176497</v>
      </c>
      <c r="D1738" s="27">
        <f>AVERAGEIFS(C$24:C$1598, $P$24:$P$1598, "True Pattern", $Q$24:$Q$1598, "Fixed")</f>
        <v>78.183529411764724</v>
      </c>
      <c r="E1738" s="27">
        <f>AVERAGEIFS(D$24:D$1598, $P$24:$P$1598, "True Pattern", $Q$24:$Q$1598, "Fixed")</f>
        <v>18.207999999999998</v>
      </c>
      <c r="F1738" s="27">
        <f>AVERAGEIFS(E$24:E$1598, $P$24:$P$1598, "True Pattern", $Q$24:$Q$1598, "Fixed")</f>
        <v>6.5863137254901982</v>
      </c>
      <c r="G1738" s="27">
        <f>AVERAGEIFS(F$24:F$1598, $P$24:$P$1598, "True Pattern", $Q$24:$Q$1598, "Fixed")</f>
        <v>13.598117647058823</v>
      </c>
      <c r="H1738" s="27">
        <f>AVERAGEIFS(G$24:G$1598, $P$24:$P$1598, "True Pattern", $Q$24:$Q$1598, "Fixed")</f>
        <v>3.9848235294117651</v>
      </c>
      <c r="I1738" s="27">
        <f>AVERAGEIFS(H$24:H$1598, $P$24:$P$1598, "True Pattern", $Q$24:$Q$1598, "Fixed")</f>
        <v>10.571607843137253</v>
      </c>
      <c r="J1738" s="27">
        <f>AVERAGEIFS(I$24:I$1598, $P$24:$P$1598, "True Pattern", $Q$24:$Q$1598, "Fixed")</f>
        <v>31.80615686274508</v>
      </c>
      <c r="K1738" s="27">
        <f>AVERAGEIFS(J$24:J$1598, $P$24:$P$1598, "True Pattern", $Q$24:$Q$1598, "Fixed")</f>
        <v>55.586078431372535</v>
      </c>
      <c r="L1738" s="27">
        <f>AVERAGEIFS(K$24:K$1598, $P$24:$P$1598, "True Pattern", $Q$24:$Q$1598, "Fixed")</f>
        <v>0.35587843137254904</v>
      </c>
      <c r="M1738" s="27">
        <f>AVERAGEIFS(L$24:L$1598, $P$24:$P$1598, "True Pattern", $Q$24:$Q$1598, "Fixed")</f>
        <v>5.0368627450980405E-2</v>
      </c>
      <c r="N1738" s="27">
        <f>AVERAGEIFS(M$24:M$1598, $P$24:$P$1598, "True Pattern", $Q$24:$Q$1598, "Fixed")</f>
        <v>73.769788235294115</v>
      </c>
      <c r="O1738" s="27">
        <f>AVERAGEIFS(N$24:N$1598, $P$24:$P$1598, "True Pattern", $Q$24:$Q$1598, "Fixed")</f>
        <v>4.098532549019609</v>
      </c>
      <c r="Q1738" s="27">
        <f>AVERAGEIFS(S$24:S$1598, $P$24:$P$1598, "True Pattern", $Q$24:$Q$1598, "Fixed")</f>
        <v>1.9254901960784314</v>
      </c>
      <c r="R1738" s="27">
        <f>AVERAGEIFS(T$24:T$1598, $P$24:$P$1598, "True Pattern", $Q$24:$Q$1598, "Fixed")</f>
        <v>2.7686274509803921</v>
      </c>
      <c r="S1738" s="27">
        <f>AVERAGEIFS(U$24:U$1598, $P$24:$P$1598, "True Pattern", $Q$24:$Q$1598, "Fixed")</f>
        <v>2.8235294117647061</v>
      </c>
      <c r="T1738" s="27">
        <f>AVERAGEIFS(V$24:V$1598, $P$24:$P$1598, "True Pattern", $Q$24:$Q$1598, "Fixed")</f>
        <v>4.6549019607843141</v>
      </c>
      <c r="V1738" s="1">
        <f>N1738+D1738+C1738-C1739-D1739-N1739</f>
        <v>0.23945098039217783</v>
      </c>
      <c r="W1738" s="1" t="s">
        <v>1745</v>
      </c>
      <c r="X1738"/>
    </row>
    <row r="1739" spans="1:24" ht="15" x14ac:dyDescent="0.35">
      <c r="A1739" s="38">
        <f>COUNTIFS($P$24:$P$1598, "True Pattern", $Q$24:$Q$1598, "Repaired")</f>
        <v>255</v>
      </c>
      <c r="B1739" s="38" t="s">
        <v>1660</v>
      </c>
      <c r="C1739" s="39">
        <f>AVERAGEIFS(B$24:B$1598, $P$24:$P$1598, "True Pattern", $Q$24:$Q$1598, "Repaired")</f>
        <v>3.8399607843137269</v>
      </c>
      <c r="D1739" s="39">
        <f>AVERAGEIFS(C$24:C$1598, $P$24:$P$1598, "True Pattern", $Q$24:$Q$1598, "Repaired")</f>
        <v>78.199058823529427</v>
      </c>
      <c r="E1739" s="39">
        <f>AVERAGEIFS(D$24:D$1598, $P$24:$P$1598, "True Pattern", $Q$24:$Q$1598, "Repaired")</f>
        <v>18.035686274509789</v>
      </c>
      <c r="F1739" s="39">
        <f>AVERAGEIFS(E$24:E$1598, $P$24:$P$1598, "True Pattern", $Q$24:$Q$1598, "Repaired")</f>
        <v>6.5403137254901971</v>
      </c>
      <c r="G1739" s="39">
        <f>AVERAGEIFS(F$24:F$1598, $P$24:$P$1598, "True Pattern", $Q$24:$Q$1598, "Repaired")</f>
        <v>13.545058823529407</v>
      </c>
      <c r="H1739" s="39">
        <f>AVERAGEIFS(G$24:G$1598, $P$24:$P$1598, "True Pattern", $Q$24:$Q$1598, "Repaired")</f>
        <v>3.9674901960784341</v>
      </c>
      <c r="I1739" s="39">
        <f>AVERAGEIFS(H$24:H$1598, $P$24:$P$1598, "True Pattern", $Q$24:$Q$1598, "Repaired")</f>
        <v>10.507882352941166</v>
      </c>
      <c r="J1739" s="39">
        <f>AVERAGEIFS(I$24:I$1598, $P$24:$P$1598, "True Pattern", $Q$24:$Q$1598, "Repaired")</f>
        <v>31.580235294117639</v>
      </c>
      <c r="K1739" s="39">
        <f>AVERAGEIFS(J$24:J$1598, $P$24:$P$1598, "True Pattern", $Q$24:$Q$1598, "Repaired")</f>
        <v>55.039843137254856</v>
      </c>
      <c r="L1739" s="39">
        <f>AVERAGEIFS(K$24:K$1598, $P$24:$P$1598, "True Pattern", $Q$24:$Q$1598, "Repaired")</f>
        <v>0.35499215686274521</v>
      </c>
      <c r="M1739" s="39">
        <f>AVERAGEIFS(L$24:L$1598, $P$24:$P$1598, "True Pattern", $Q$24:$Q$1598, "Repaired")</f>
        <v>5.0207843137254918E-2</v>
      </c>
      <c r="N1739" s="39">
        <f>AVERAGEIFS(M$24:M$1598, $P$24:$P$1598, "True Pattern", $Q$24:$Q$1598, "Repaired")</f>
        <v>73.53508235294116</v>
      </c>
      <c r="O1739" s="39">
        <f>AVERAGEIFS(N$24:N$1598, $P$24:$P$1598, "True Pattern", $Q$24:$Q$1598, "Repaired")</f>
        <v>4.0853247058823525</v>
      </c>
      <c r="Q1739" s="39">
        <f>AVERAGEIFS(S$24:S$1598, $P$24:$P$1598, "True Pattern", $Q$24:$Q$1598, "Repaired")</f>
        <v>1.0980392156862746</v>
      </c>
      <c r="R1739" s="39">
        <f>AVERAGEIFS(T$24:T$1598, $P$24:$P$1598, "True Pattern", $Q$24:$Q$1598, "Repaired")</f>
        <v>1.5019607843137255</v>
      </c>
      <c r="S1739" s="39">
        <f>AVERAGEIFS(U$24:U$1598, $P$24:$P$1598, "True Pattern", $Q$24:$Q$1598, "Repaired")</f>
        <v>2.0588235294117645</v>
      </c>
      <c r="T1739" s="39">
        <f>AVERAGEIFS(V$24:V$1598, $P$24:$P$1598, "True Pattern", $Q$24:$Q$1598, "Repaired")</f>
        <v>2.5372549019607842</v>
      </c>
      <c r="V1739" s="38">
        <f>N1739+D1739+C1739</f>
        <v>155.5741019607843</v>
      </c>
      <c r="W1739" s="38" t="s">
        <v>1745</v>
      </c>
      <c r="X1739"/>
    </row>
    <row r="1740" spans="1:24" ht="15.6" thickBot="1" x14ac:dyDescent="0.4">
      <c r="A1740" s="40" t="s">
        <v>1698</v>
      </c>
      <c r="B1740" s="31"/>
      <c r="C1740" s="51"/>
      <c r="D1740" s="51"/>
      <c r="E1740" s="52" t="s">
        <v>1693</v>
      </c>
      <c r="F1740" s="51"/>
      <c r="G1740" s="51"/>
      <c r="H1740" s="51"/>
      <c r="I1740" s="51"/>
      <c r="J1740" s="51"/>
      <c r="K1740" s="51"/>
      <c r="L1740" s="51"/>
      <c r="M1740" s="51"/>
      <c r="N1740" s="51"/>
      <c r="O1740" s="51"/>
      <c r="Q1740" s="41"/>
      <c r="R1740" s="41"/>
      <c r="S1740" s="41"/>
      <c r="T1740" s="41"/>
      <c r="V1740" s="31"/>
      <c r="W1740" s="31"/>
      <c r="X1740"/>
    </row>
    <row r="1741" spans="1:24" ht="15" x14ac:dyDescent="0.35">
      <c r="A1741" s="1">
        <f>COUNTIFS($P$24:$P$1598, "Search Like Pattern", $Q$24:$Q$1598, "Fixed")</f>
        <v>54</v>
      </c>
      <c r="B1741" s="1" t="s">
        <v>1661</v>
      </c>
      <c r="C1741" s="27">
        <f>AVERAGEIFS(B$24:B$1598, $P$24:$P$1598, "Search Like Pattern", $Q$24:$Q$1598, "Fixed")</f>
        <v>3.9398148148148144</v>
      </c>
      <c r="D1741" s="27">
        <f>AVERAGEIFS(C$24:C$1598, $P$24:$P$1598, "Search Like Pattern", $Q$24:$Q$1598, "Fixed")</f>
        <v>77.628888888888852</v>
      </c>
      <c r="E1741" s="27">
        <f>AVERAGEIFS(D$24:D$1598, $P$24:$P$1598, "Search Like Pattern", $Q$24:$Q$1598, "Fixed")</f>
        <v>19.485185185185188</v>
      </c>
      <c r="F1741" s="27">
        <f>AVERAGEIFS(E$24:E$1598, $P$24:$P$1598, "Search Like Pattern", $Q$24:$Q$1598, "Fixed")</f>
        <v>6.8544444444444457</v>
      </c>
      <c r="G1741" s="27">
        <f>AVERAGEIFS(F$24:F$1598, $P$24:$P$1598, "Search Like Pattern", $Q$24:$Q$1598, "Fixed")</f>
        <v>14.755740740740739</v>
      </c>
      <c r="H1741" s="27">
        <f>AVERAGEIFS(G$24:G$1598, $P$24:$P$1598, "Search Like Pattern", $Q$24:$Q$1598, "Fixed")</f>
        <v>4.2961111111111103</v>
      </c>
      <c r="I1741" s="27">
        <f>AVERAGEIFS(H$24:H$1598, $P$24:$P$1598, "Search Like Pattern", $Q$24:$Q$1598, "Fixed")</f>
        <v>11.150555555555556</v>
      </c>
      <c r="J1741" s="27">
        <f>AVERAGEIFS(I$24:I$1598, $P$24:$P$1598, "Search Like Pattern", $Q$24:$Q$1598, "Fixed")</f>
        <v>34.241296296296298</v>
      </c>
      <c r="K1741" s="27">
        <f>AVERAGEIFS(J$24:J$1598, $P$24:$P$1598, "Search Like Pattern", $Q$24:$Q$1598, "Fixed")</f>
        <v>59.68666666666666</v>
      </c>
      <c r="L1741" s="27">
        <f>AVERAGEIFS(K$24:K$1598, $P$24:$P$1598, "Search Like Pattern", $Q$24:$Q$1598, "Fixed")</f>
        <v>0.36953703703703716</v>
      </c>
      <c r="M1741" s="27">
        <f>AVERAGEIFS(L$24:L$1598, $P$24:$P$1598, "Search Like Pattern", $Q$24:$Q$1598, "Fixed")</f>
        <v>5.4648148148148147E-2</v>
      </c>
      <c r="N1741" s="27">
        <f>AVERAGEIFS(M$24:M$1598, $P$24:$P$1598, "Search Like Pattern", $Q$24:$Q$1598, "Fixed")</f>
        <v>50.662037037037038</v>
      </c>
      <c r="O1741" s="27">
        <f>AVERAGEIFS(N$24:N$1598, $P$24:$P$1598, "Search Like Pattern", $Q$24:$Q$1598, "Fixed")</f>
        <v>2.8143333333333334</v>
      </c>
      <c r="Q1741" s="27">
        <f>AVERAGEIFS(S$24:S$1598, $P$24:$P$1598, "Search Like Pattern", $Q$24:$Q$1598, "Fixed")</f>
        <v>1.962962962962963</v>
      </c>
      <c r="R1741" s="27">
        <f>AVERAGEIFS(T$24:T$1598, $P$24:$P$1598, "Search Like Pattern", $Q$24:$Q$1598, "Fixed")</f>
        <v>3.1666666666666665</v>
      </c>
      <c r="S1741" s="27">
        <f>AVERAGEIFS(U$24:U$1598, $P$24:$P$1598, "Search Like Pattern", $Q$24:$Q$1598, "Fixed")</f>
        <v>3.0925925925925926</v>
      </c>
      <c r="T1741" s="27">
        <f>AVERAGEIFS(V$24:V$1598, $P$24:$P$1598, "Search Like Pattern", $Q$24:$Q$1598, "Fixed")</f>
        <v>5.1851851851851851</v>
      </c>
      <c r="V1741" s="1">
        <f>N1741+D1741+C1741-C1742-D1742-N1742</f>
        <v>-0.1212962962963573</v>
      </c>
      <c r="W1741" s="1" t="s">
        <v>1746</v>
      </c>
      <c r="X1741"/>
    </row>
    <row r="1742" spans="1:24" ht="15" x14ac:dyDescent="0.35">
      <c r="A1742" s="38">
        <f>COUNTIFS($P$24:$P$1598, "Search Like Pattern", $Q$24:$Q$1598, "Repaired")</f>
        <v>54</v>
      </c>
      <c r="B1742" s="38" t="s">
        <v>1662</v>
      </c>
      <c r="C1742" s="39">
        <f>AVERAGEIFS(B$24:B$1598, $P$24:$P$1598, "Search Like Pattern", $Q$24:$Q$1598, "Repaired")</f>
        <v>3.9848148148148144</v>
      </c>
      <c r="D1742" s="39">
        <f>AVERAGEIFS(C$24:C$1598, $P$24:$P$1598, "Search Like Pattern", $Q$24:$Q$1598, "Repaired")</f>
        <v>77.523888888888877</v>
      </c>
      <c r="E1742" s="39">
        <f>AVERAGEIFS(D$24:D$1598, $P$24:$P$1598, "Search Like Pattern", $Q$24:$Q$1598, "Repaired")</f>
        <v>19.458333333333339</v>
      </c>
      <c r="F1742" s="39">
        <f>AVERAGEIFS(E$24:E$1598, $P$24:$P$1598, "Search Like Pattern", $Q$24:$Q$1598, "Repaired")</f>
        <v>6.8507407407407417</v>
      </c>
      <c r="G1742" s="39">
        <f>AVERAGEIFS(F$24:F$1598, $P$24:$P$1598, "Search Like Pattern", $Q$24:$Q$1598, "Repaired")</f>
        <v>14.928518518518516</v>
      </c>
      <c r="H1742" s="39">
        <f>AVERAGEIFS(G$24:G$1598, $P$24:$P$1598, "Search Like Pattern", $Q$24:$Q$1598, "Repaired")</f>
        <v>4.3237037037037043</v>
      </c>
      <c r="I1742" s="39">
        <f>AVERAGEIFS(H$24:H$1598, $P$24:$P$1598, "Search Like Pattern", $Q$24:$Q$1598, "Repaired")</f>
        <v>11.174444444444443</v>
      </c>
      <c r="J1742" s="39">
        <f>AVERAGEIFS(I$24:I$1598, $P$24:$P$1598, "Search Like Pattern", $Q$24:$Q$1598, "Repaired")</f>
        <v>34.38611111111112</v>
      </c>
      <c r="K1742" s="39">
        <f>AVERAGEIFS(J$24:J$1598, $P$24:$P$1598, "Search Like Pattern", $Q$24:$Q$1598, "Repaired")</f>
        <v>59.765925925925927</v>
      </c>
      <c r="L1742" s="39">
        <f>AVERAGEIFS(K$24:K$1598, $P$24:$P$1598, "Search Like Pattern", $Q$24:$Q$1598, "Repaired")</f>
        <v>0.37638888888888894</v>
      </c>
      <c r="M1742" s="39">
        <f>AVERAGEIFS(L$24:L$1598, $P$24:$P$1598, "Search Like Pattern", $Q$24:$Q$1598, "Repaired")</f>
        <v>5.5629629629629633E-2</v>
      </c>
      <c r="N1742" s="39">
        <f>AVERAGEIFS(M$24:M$1598, $P$24:$P$1598, "Search Like Pattern", $Q$24:$Q$1598, "Repaired")</f>
        <v>50.843333333333341</v>
      </c>
      <c r="O1742" s="39">
        <f>AVERAGEIFS(N$24:N$1598, $P$24:$P$1598, "Search Like Pattern", $Q$24:$Q$1598, "Repaired")</f>
        <v>2.8243333333333336</v>
      </c>
      <c r="Q1742" s="39">
        <f>AVERAGEIFS(S$24:S$1598, $P$24:$P$1598, "Search Like Pattern", $Q$24:$Q$1598, "Repaired")</f>
        <v>2.2777777777777777</v>
      </c>
      <c r="R1742" s="39">
        <f>AVERAGEIFS(T$24:T$1598, $P$24:$P$1598, "Search Like Pattern", $Q$24:$Q$1598, "Repaired")</f>
        <v>10.407407407407407</v>
      </c>
      <c r="S1742" s="39">
        <f>AVERAGEIFS(U$24:U$1598, $P$24:$P$1598, "Search Like Pattern", $Q$24:$Q$1598, "Repaired")</f>
        <v>1.8518518518518517E-2</v>
      </c>
      <c r="T1742" s="39">
        <f>AVERAGEIFS(V$24:V$1598, $P$24:$P$1598, "Search Like Pattern", $Q$24:$Q$1598, "Repaired")</f>
        <v>10.407407407407407</v>
      </c>
      <c r="V1742" s="38">
        <f>N1742+D1742+C1742</f>
        <v>132.35203703703704</v>
      </c>
      <c r="W1742" s="38" t="s">
        <v>1746</v>
      </c>
      <c r="X1742"/>
    </row>
    <row r="1743" spans="1:24" ht="15.6" thickBot="1" x14ac:dyDescent="0.4">
      <c r="A1743" s="40" t="s">
        <v>1698</v>
      </c>
      <c r="B1743" s="31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2"/>
      <c r="O1743" s="32"/>
      <c r="P1743" s="50"/>
      <c r="Q1743" s="32"/>
      <c r="R1743" s="32"/>
      <c r="S1743" s="32"/>
      <c r="T1743" s="32"/>
      <c r="V1743" s="31"/>
      <c r="W1743" s="31"/>
      <c r="X1743"/>
    </row>
    <row r="1744" spans="1:24" x14ac:dyDescent="0.35">
      <c r="A1744" s="1">
        <f>COUNTIFS($P$24:$P$1598, "Learning Pattern", $Q$24:$Q$1598, "Fixed")</f>
        <v>0</v>
      </c>
      <c r="B1744" s="1" t="s">
        <v>1663</v>
      </c>
      <c r="C1744" s="27" t="e">
        <f>AVERAGEIFS(B$24:B$1598, $P$24:$P$1598, "Learning Pattern", $Q$24:$Q$1598, "Fixed")</f>
        <v>#DIV/0!</v>
      </c>
      <c r="D1744" s="27" t="e">
        <f>AVERAGEIFS(C$24:C$1598, $P$24:$P$1598, "Learning Pattern", $Q$24:$Q$1598, "Fixed")</f>
        <v>#DIV/0!</v>
      </c>
      <c r="E1744" s="27" t="e">
        <f>AVERAGEIFS(D$24:D$1598, $P$24:$P$1598, "Learning Pattern", $Q$24:$Q$1598, "Fixed")</f>
        <v>#DIV/0!</v>
      </c>
      <c r="F1744" s="27" t="e">
        <f>AVERAGEIFS(E$24:E$1598, $P$24:$P$1598, "Learning Pattern", $Q$24:$Q$1598, "Fixed")</f>
        <v>#DIV/0!</v>
      </c>
      <c r="G1744" s="27" t="e">
        <f>AVERAGEIFS(F$24:F$1598, $P$24:$P$1598, "Learning Pattern", $Q$24:$Q$1598, "Fixed")</f>
        <v>#DIV/0!</v>
      </c>
      <c r="H1744" s="27" t="e">
        <f>AVERAGEIFS(G$24:G$1598, $P$24:$P$1598, "Learning Pattern", $Q$24:$Q$1598, "Fixed")</f>
        <v>#DIV/0!</v>
      </c>
      <c r="I1744" s="27" t="e">
        <f>AVERAGEIFS(H$24:H$1598, $P$24:$P$1598, "Learning Pattern", $Q$24:$Q$1598, "Fixed")</f>
        <v>#DIV/0!</v>
      </c>
      <c r="J1744" s="27" t="e">
        <f>AVERAGEIFS(I$24:I$1598, $P$24:$P$1598, "Learning Pattern", $Q$24:$Q$1598, "Fixed")</f>
        <v>#DIV/0!</v>
      </c>
      <c r="K1744" s="27" t="e">
        <f>AVERAGEIFS(J$24:J$1598, $P$24:$P$1598, "Learning Pattern", $Q$24:$Q$1598, "Fixed")</f>
        <v>#DIV/0!</v>
      </c>
      <c r="L1744" s="27" t="e">
        <f>AVERAGEIFS(K$24:K$1598, $P$24:$P$1598, "Learning Pattern", $Q$24:$Q$1598, "Fixed")</f>
        <v>#DIV/0!</v>
      </c>
      <c r="M1744" s="27" t="e">
        <f>AVERAGEIFS(L$24:L$1598, $P$24:$P$1598, "Learning Pattern", $Q$24:$Q$1598, "Fixed")</f>
        <v>#DIV/0!</v>
      </c>
      <c r="N1744" s="27" t="e">
        <f>AVERAGEIFS(M$24:M$1598, $P$24:$P$1598, "Learning Pattern", $Q$24:$Q$1598, "Fixed")</f>
        <v>#DIV/0!</v>
      </c>
      <c r="O1744" s="27" t="e">
        <f>AVERAGEIFS(N$24:N$1598, $P$24:$P$1598, "Learning Pattern", $Q$24:$Q$1598, "Fixed")</f>
        <v>#DIV/0!</v>
      </c>
    </row>
    <row r="1745" spans="1:15" ht="15" thickBot="1" x14ac:dyDescent="0.4">
      <c r="A1745" s="31">
        <f>COUNTIFS($P$24:$P$1598, "Learning Pattern", $Q$24:$Q$1598, "Repaired")</f>
        <v>0</v>
      </c>
      <c r="B1745" s="31" t="s">
        <v>1664</v>
      </c>
      <c r="C1745" s="32" t="e">
        <f>AVERAGEIFS(B$24:B$1598, $P$24:$P$1598, "Learning Pattern", $Q$24:$Q$1598, "Repaired")</f>
        <v>#DIV/0!</v>
      </c>
      <c r="D1745" s="32" t="e">
        <f>AVERAGEIFS(C$24:C$1598, $P$24:$P$1598, "Learning Pattern", $Q$24:$Q$1598, "Repaired")</f>
        <v>#DIV/0!</v>
      </c>
      <c r="E1745" s="32" t="e">
        <f>AVERAGEIFS(D$24:D$1598, $P$24:$P$1598, "Learning Pattern", $Q$24:$Q$1598, "Repaired")</f>
        <v>#DIV/0!</v>
      </c>
      <c r="F1745" s="32" t="e">
        <f>AVERAGEIFS(E$24:E$1598, $P$24:$P$1598, "Learning Pattern", $Q$24:$Q$1598, "Repaired")</f>
        <v>#DIV/0!</v>
      </c>
      <c r="G1745" s="32" t="e">
        <f>AVERAGEIFS(F$24:F$1598, $P$24:$P$1598, "Learning Pattern", $Q$24:$Q$1598, "Repaired")</f>
        <v>#DIV/0!</v>
      </c>
      <c r="H1745" s="32" t="e">
        <f>AVERAGEIFS(G$24:G$1598, $P$24:$P$1598, "Learning Pattern", $Q$24:$Q$1598, "Repaired")</f>
        <v>#DIV/0!</v>
      </c>
      <c r="I1745" s="32" t="e">
        <f>AVERAGEIFS(H$24:H$1598, $P$24:$P$1598, "Learning Pattern", $Q$24:$Q$1598, "Repaired")</f>
        <v>#DIV/0!</v>
      </c>
      <c r="J1745" s="32" t="e">
        <f>AVERAGEIFS(I$24:I$1598, $P$24:$P$1598, "Learning Pattern", $Q$24:$Q$1598, "Repaired")</f>
        <v>#DIV/0!</v>
      </c>
      <c r="K1745" s="32" t="e">
        <f>AVERAGEIFS(J$24:J$1598, $P$24:$P$1598, "Learning Pattern", $Q$24:$Q$1598, "Repaired")</f>
        <v>#DIV/0!</v>
      </c>
      <c r="L1745" s="32" t="e">
        <f>AVERAGEIFS(K$24:K$1598, $P$24:$P$1598, "Learning Pattern", $Q$24:$Q$1598, "Repaired")</f>
        <v>#DIV/0!</v>
      </c>
      <c r="M1745" s="32" t="e">
        <f>AVERAGEIFS(L$24:L$1598, $P$24:$P$1598, "Learning Pattern", $Q$24:$Q$1598, "Repaired")</f>
        <v>#DIV/0!</v>
      </c>
      <c r="N1745" s="32" t="e">
        <f>AVERAGEIFS(M$24:M$1598, $P$24:$P$1598, "Learning Pattern", $Q$24:$Q$1598, "Repaired")</f>
        <v>#DIV/0!</v>
      </c>
      <c r="O1745" s="32" t="e">
        <f>AVERAGEIFS(N$24:N$1598, $P$24:$P$1598, "Learning Pattern", $Q$24:$Q$1598, "Repaired")</f>
        <v>#DIV/0!</v>
      </c>
    </row>
    <row r="1746" spans="1:15" x14ac:dyDescent="0.35">
      <c r="A1746" s="1">
        <f>COUNTIFS($P$24:$P$1598, "Deep Learning", $Q$24:$Q$1598, "Fixed")</f>
        <v>0</v>
      </c>
      <c r="B1746" s="1" t="s">
        <v>1665</v>
      </c>
      <c r="C1746" s="27" t="e">
        <f>AVERAGEIFS(B$24:B$1598, $P$24:$P$1598, "Deep Learning", $Q$24:$Q$1598, "Fixed")</f>
        <v>#DIV/0!</v>
      </c>
      <c r="D1746" s="27" t="e">
        <f>AVERAGEIFS(C$24:C$1598, $P$24:$P$1598, "Deep Learning", $Q$24:$Q$1598, "Fixed")</f>
        <v>#DIV/0!</v>
      </c>
      <c r="E1746" s="27" t="e">
        <f>AVERAGEIFS(D$24:D$1598, $P$24:$P$1598, "Deep Learning", $Q$24:$Q$1598, "Fixed")</f>
        <v>#DIV/0!</v>
      </c>
      <c r="F1746" s="27" t="e">
        <f>AVERAGEIFS(E$24:E$1598, $P$24:$P$1598, "Deep Learning", $Q$24:$Q$1598, "Fixed")</f>
        <v>#DIV/0!</v>
      </c>
      <c r="G1746" s="27" t="e">
        <f>AVERAGEIFS(F$24:F$1598, $P$24:$P$1598, "Deep Learning", $Q$24:$Q$1598, "Fixed")</f>
        <v>#DIV/0!</v>
      </c>
      <c r="H1746" s="27" t="e">
        <f>AVERAGEIFS(G$24:G$1598, $P$24:$P$1598, "Deep Learning", $Q$24:$Q$1598, "Fixed")</f>
        <v>#DIV/0!</v>
      </c>
      <c r="I1746" s="27" t="e">
        <f>AVERAGEIFS(H$24:H$1598, $P$24:$P$1598, "Deep Learning", $Q$24:$Q$1598, "Fixed")</f>
        <v>#DIV/0!</v>
      </c>
      <c r="J1746" s="27" t="e">
        <f>AVERAGEIFS(I$24:I$1598, $P$24:$P$1598, "Deep Learning", $Q$24:$Q$1598, "Fixed")</f>
        <v>#DIV/0!</v>
      </c>
      <c r="K1746" s="27" t="e">
        <f>AVERAGEIFS(J$24:J$1598, $P$24:$P$1598, "Deep Learning", $Q$24:$Q$1598, "Fixed")</f>
        <v>#DIV/0!</v>
      </c>
      <c r="L1746" s="27" t="e">
        <f>AVERAGEIFS(K$24:K$1598, $P$24:$P$1598, "Deep Learning", $Q$24:$Q$1598, "Fixed")</f>
        <v>#DIV/0!</v>
      </c>
      <c r="M1746" s="27" t="e">
        <f>AVERAGEIFS(L$24:L$1598, $P$24:$P$1598, "Deep Learning", $Q$24:$Q$1598, "Fixed")</f>
        <v>#DIV/0!</v>
      </c>
      <c r="N1746" s="27" t="e">
        <f>AVERAGEIFS(M$24:M$1598, $P$24:$P$1598, "Deep Learning", $Q$24:$Q$1598, "Fixed")</f>
        <v>#DIV/0!</v>
      </c>
      <c r="O1746" s="27" t="e">
        <f>AVERAGEIFS(N$24:N$1598, $P$24:$P$1598, "Deep Learning", $Q$24:$Q$1598, "Fixed")</f>
        <v>#DIV/0!</v>
      </c>
    </row>
    <row r="1747" spans="1:15" ht="15" thickBot="1" x14ac:dyDescent="0.4">
      <c r="A1747" s="31">
        <f>COUNTIFS($P$24:$P$1598, "Deep Learning", $Q$24:$Q$1598, "Repaired")</f>
        <v>0</v>
      </c>
      <c r="B1747" s="31" t="s">
        <v>1666</v>
      </c>
      <c r="C1747" s="32" t="e">
        <f>AVERAGEIFS(B$24:B$1598, $P$24:$P$1598, "Deep Learning", $Q$24:$Q$1598, "Repaired")</f>
        <v>#DIV/0!</v>
      </c>
      <c r="D1747" s="32" t="e">
        <f>AVERAGEIFS(C$24:C$1598, $P$24:$P$1598, "Deep Learning", $Q$24:$Q$1598, "Repaired")</f>
        <v>#DIV/0!</v>
      </c>
      <c r="E1747" s="32" t="e">
        <f>AVERAGEIFS(D$24:D$1598, $P$24:$P$1598, "Deep Learning", $Q$24:$Q$1598, "Repaired")</f>
        <v>#DIV/0!</v>
      </c>
      <c r="F1747" s="32" t="e">
        <f>AVERAGEIFS(E$24:E$1598, $P$24:$P$1598, "Deep Learning", $Q$24:$Q$1598, "Repaired")</f>
        <v>#DIV/0!</v>
      </c>
      <c r="G1747" s="32" t="e">
        <f>AVERAGEIFS(F$24:F$1598, $P$24:$P$1598, "Deep Learning", $Q$24:$Q$1598, "Repaired")</f>
        <v>#DIV/0!</v>
      </c>
      <c r="H1747" s="32" t="e">
        <f>AVERAGEIFS(G$24:G$1598, $P$24:$P$1598, "Deep Learning", $Q$24:$Q$1598, "Repaired")</f>
        <v>#DIV/0!</v>
      </c>
      <c r="I1747" s="32" t="e">
        <f>AVERAGEIFS(H$24:H$1598, $P$24:$P$1598, "Deep Learning", $Q$24:$Q$1598, "Repaired")</f>
        <v>#DIV/0!</v>
      </c>
      <c r="J1747" s="32" t="e">
        <f>AVERAGEIFS(I$24:I$1598, $P$24:$P$1598, "Deep Learning", $Q$24:$Q$1598, "Repaired")</f>
        <v>#DIV/0!</v>
      </c>
      <c r="K1747" s="32" t="e">
        <f>AVERAGEIFS(J$24:J$1598, $P$24:$P$1598, "Deep Learning", $Q$24:$Q$1598, "Repaired")</f>
        <v>#DIV/0!</v>
      </c>
      <c r="L1747" s="32" t="e">
        <f>AVERAGEIFS(K$24:K$1598, $P$24:$P$1598, "Deep Learning", $Q$24:$Q$1598, "Repaired")</f>
        <v>#DIV/0!</v>
      </c>
      <c r="M1747" s="32" t="e">
        <f>AVERAGEIFS(L$24:L$1598, $P$24:$P$1598, "Deep Learning", $Q$24:$Q$1598, "Repaired")</f>
        <v>#DIV/0!</v>
      </c>
      <c r="N1747" s="32" t="e">
        <f>AVERAGEIFS(M$24:M$1598, $P$24:$P$1598, "Deep Learning", $Q$24:$Q$1598, "Repaired")</f>
        <v>#DIV/0!</v>
      </c>
      <c r="O1747" s="32" t="e">
        <f>AVERAGEIFS(N$24:N$1598, $P$24:$P$1598, "Deep Learning", $Q$24:$Q$1598, "Repaired")</f>
        <v>#DIV/0!</v>
      </c>
    </row>
    <row r="1748" spans="1:15" ht="15" x14ac:dyDescent="0.3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5" ht="15" x14ac:dyDescent="0.3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5" ht="15" x14ac:dyDescent="0.3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5" ht="15" x14ac:dyDescent="0.3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</sheetData>
  <sortState ref="A551:W1074">
    <sortCondition ref="O26:O1601"/>
    <sortCondition ref="A26:A1601"/>
  </sortState>
  <mergeCells count="2">
    <mergeCell ref="S1626:V1626"/>
    <mergeCell ref="S1646:V1646"/>
  </mergeCells>
  <conditionalFormatting sqref="S549:U1598">
    <cfRule type="cellIs" dxfId="16" priority="56" operator="greaterThan">
      <formula>$S$550</formula>
    </cfRule>
  </conditionalFormatting>
  <conditionalFormatting sqref="C1746:O1746 C1744:O1744 C1702:O1702 Q1702:T1702 C1704:O1704 C1706:O1706 C1708:O1708 C1710:O1710 C1712:O1712 C1714:O1714 C1716:O1716 C1718:O1718 C1720:O1720 C1722:O1722 C1724:O1724 Q1724:T1724 Q1722:T1722 Q1720:T1720 Q1718:T1718 Q1716:T1716 Q1714:T1714 Q1712:T1712 Q1710:T1710 Q1708:T1708 Q1706:T1706 Q1704:T1704 C1729:O1729 C1732:O1732 C1741:O1741 C1738:O1738 C1735:O1735 Q1735:T1735 Q1738:T1738 Q1741:T1741 Q1732:T1732 Q1729:T1729">
    <cfRule type="cellIs" dxfId="15" priority="43" operator="equal">
      <formula>C1703</formula>
    </cfRule>
    <cfRule type="cellIs" dxfId="14" priority="45" operator="greaterThan">
      <formula>C1703</formula>
    </cfRule>
  </conditionalFormatting>
  <conditionalFormatting sqref="C1747:O1747 C1745:O1745 C1703:O1703 C1705:O1705 C1707:O1707 C1709:O1709 C1711:O1711 C1713:O1713 C1715:O1715 C1717:O1717 C1719:O1719 C1721:O1721 C1723:O1723 C1725:O1725 Q1725:T1725 Q1723:T1723 Q1721:T1721 Q1719:T1719 Q1717:T1717 Q1715:T1715 Q1713:T1713 Q1711:T1711 Q1709:T1709 Q1707:T1707 Q1705:T1705 Q1703:T1703 C1730:O1730 C1733:O1733 C1742:O1743 C1739:O1739 C1736:O1736 Q1736:T1736 Q1739:T1739 Q1742:T1743 Q1733:T1733 Q1730:T1730">
    <cfRule type="cellIs" dxfId="13" priority="42" operator="equal">
      <formula>C1702</formula>
    </cfRule>
    <cfRule type="cellIs" dxfId="12" priority="44" operator="greaterThan">
      <formula>C1702</formula>
    </cfRule>
  </conditionalFormatting>
  <conditionalFormatting sqref="C1612:O1612 C1619:O1619 C1623:O1623 C1629:O1629 C1633:O1633 C1638:O1638 C1642:O1642 C1695:O1695 C1690:O1690 C1685:O1685 C1680:O1680 C1675:O1675 C1670:O1670">
    <cfRule type="cellIs" dxfId="11" priority="47" operator="equal">
      <formula>C1613</formula>
    </cfRule>
    <cfRule type="cellIs" dxfId="10" priority="49" operator="greaterThan">
      <formula>C1613</formula>
    </cfRule>
  </conditionalFormatting>
  <conditionalFormatting sqref="C1613:O1613 C1620:O1620 O1624 C1630:O1630 C1634:O1634 C1643:O1644 C1639:O1639 C1696:O1696 C1691:O1691 C1686:O1686 C1681:O1681 C1676:O1676 C1671:O1671">
    <cfRule type="cellIs" dxfId="9" priority="46" operator="equal">
      <formula>C1612</formula>
    </cfRule>
    <cfRule type="cellIs" dxfId="8" priority="48" operator="greaterThan">
      <formula>C1612</formula>
    </cfRule>
  </conditionalFormatting>
  <conditionalFormatting sqref="C1650:O1650 C1654:O1654 C1659:O1659 C1663:O1663 T1630:AF1630 T1634:AF1634 T1639:AF1639 T1643:AF1643 T1659:AF1659 T1663:AF1663 T1650:AF1650 T1654:AF1654">
    <cfRule type="cellIs" dxfId="7" priority="26" operator="equal">
      <formula>C1629</formula>
    </cfRule>
    <cfRule type="cellIs" dxfId="6" priority="28" operator="greaterThan">
      <formula>C1629</formula>
    </cfRule>
  </conditionalFormatting>
  <conditionalFormatting sqref="C1649:O1649 C1653:O1653 C1658:O1658 C1662:O1662 T1629:AF1629 T1633:AF1633 T1638:AF1638 T1642:AF1642 T1658:AF1658 T1662:AF1662 T1649:AF1649 T1653:AF1653">
    <cfRule type="cellIs" dxfId="5" priority="27" operator="equal">
      <formula>C1630</formula>
    </cfRule>
    <cfRule type="cellIs" dxfId="4" priority="29" operator="greaterThan">
      <formula>C1630</formula>
    </cfRule>
  </conditionalFormatting>
  <conditionalFormatting sqref="AK1643:AW1643">
    <cfRule type="cellIs" dxfId="3" priority="1" operator="equal">
      <formula>AK1642</formula>
    </cfRule>
    <cfRule type="cellIs" dxfId="2" priority="3" operator="greaterThan">
      <formula>AK1642</formula>
    </cfRule>
  </conditionalFormatting>
  <conditionalFormatting sqref="AK1642:AW1642">
    <cfRule type="cellIs" dxfId="1" priority="2" operator="equal">
      <formula>AK1643</formula>
    </cfRule>
    <cfRule type="cellIs" dxfId="0" priority="4" operator="greaterThan">
      <formula>AK1643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2023-10-29T09:45:13Z</dcterms:modified>
</cp:coreProperties>
</file>