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E98" i="2" l="1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F74" i="2"/>
  <c r="AE74" i="2"/>
  <c r="AD74" i="2"/>
  <c r="AC74" i="2"/>
  <c r="V50" i="2" l="1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49" i="2"/>
  <c r="V102" i="2" l="1"/>
  <c r="V101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200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199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194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193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187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185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182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181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180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177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175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172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171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170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167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166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165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162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161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160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154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153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149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145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141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133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U102" i="2"/>
  <c r="T102" i="2"/>
  <c r="S102" i="2"/>
  <c r="R102" i="2"/>
  <c r="Q102" i="2"/>
  <c r="P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U101" i="2"/>
  <c r="T101" i="2"/>
  <c r="S101" i="2"/>
  <c r="R101" i="2"/>
  <c r="Q101" i="2"/>
  <c r="P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A98" i="2"/>
  <c r="Z98" i="2"/>
  <c r="Y98" i="2"/>
  <c r="X98" i="2"/>
  <c r="O98" i="2"/>
  <c r="AA97" i="2"/>
  <c r="Z97" i="2"/>
  <c r="Y97" i="2"/>
  <c r="X97" i="2"/>
  <c r="O97" i="2"/>
  <c r="AA96" i="2"/>
  <c r="Z96" i="2"/>
  <c r="Y96" i="2"/>
  <c r="X96" i="2"/>
  <c r="O96" i="2"/>
  <c r="AA95" i="2"/>
  <c r="Z95" i="2"/>
  <c r="Y95" i="2"/>
  <c r="X95" i="2"/>
  <c r="O95" i="2"/>
  <c r="AA94" i="2"/>
  <c r="Z94" i="2"/>
  <c r="Y94" i="2"/>
  <c r="X94" i="2"/>
  <c r="O94" i="2"/>
  <c r="AA93" i="2"/>
  <c r="Z93" i="2"/>
  <c r="Y93" i="2"/>
  <c r="X93" i="2"/>
  <c r="O93" i="2"/>
  <c r="AA92" i="2"/>
  <c r="Z92" i="2"/>
  <c r="Y92" i="2"/>
  <c r="X92" i="2"/>
  <c r="O92" i="2"/>
  <c r="AA91" i="2"/>
  <c r="Z91" i="2"/>
  <c r="Y91" i="2"/>
  <c r="X91" i="2"/>
  <c r="O91" i="2"/>
  <c r="AA90" i="2"/>
  <c r="Z90" i="2"/>
  <c r="Y90" i="2"/>
  <c r="X90" i="2"/>
  <c r="O90" i="2"/>
  <c r="AA89" i="2"/>
  <c r="Z89" i="2"/>
  <c r="Y89" i="2"/>
  <c r="X89" i="2"/>
  <c r="O89" i="2"/>
  <c r="AA88" i="2"/>
  <c r="Z88" i="2"/>
  <c r="Y88" i="2"/>
  <c r="X88" i="2"/>
  <c r="O88" i="2"/>
  <c r="AA87" i="2"/>
  <c r="Z87" i="2"/>
  <c r="Y87" i="2"/>
  <c r="X87" i="2"/>
  <c r="O87" i="2"/>
  <c r="AA86" i="2"/>
  <c r="Z86" i="2"/>
  <c r="Y86" i="2"/>
  <c r="X86" i="2"/>
  <c r="O86" i="2"/>
  <c r="AA85" i="2"/>
  <c r="Z85" i="2"/>
  <c r="Y85" i="2"/>
  <c r="X85" i="2"/>
  <c r="O85" i="2"/>
  <c r="AA84" i="2"/>
  <c r="Z84" i="2"/>
  <c r="Y84" i="2"/>
  <c r="X84" i="2"/>
  <c r="O84" i="2"/>
  <c r="AA83" i="2"/>
  <c r="Z83" i="2"/>
  <c r="Y83" i="2"/>
  <c r="X83" i="2"/>
  <c r="O83" i="2"/>
  <c r="AA82" i="2"/>
  <c r="Z82" i="2"/>
  <c r="Y82" i="2"/>
  <c r="X82" i="2"/>
  <c r="O82" i="2"/>
  <c r="AA81" i="2"/>
  <c r="Z81" i="2"/>
  <c r="Y81" i="2"/>
  <c r="X81" i="2"/>
  <c r="O81" i="2"/>
  <c r="AA80" i="2"/>
  <c r="Z80" i="2"/>
  <c r="Y80" i="2"/>
  <c r="X80" i="2"/>
  <c r="O80" i="2"/>
  <c r="AA79" i="2"/>
  <c r="Z79" i="2"/>
  <c r="Y79" i="2"/>
  <c r="X79" i="2"/>
  <c r="O79" i="2"/>
  <c r="AA78" i="2"/>
  <c r="Z78" i="2"/>
  <c r="Y78" i="2"/>
  <c r="X78" i="2"/>
  <c r="O78" i="2"/>
  <c r="AA77" i="2"/>
  <c r="Z77" i="2"/>
  <c r="Y77" i="2"/>
  <c r="X77" i="2"/>
  <c r="O77" i="2"/>
  <c r="AA76" i="2"/>
  <c r="Z76" i="2"/>
  <c r="Y76" i="2"/>
  <c r="X76" i="2"/>
  <c r="O76" i="2"/>
  <c r="AA75" i="2"/>
  <c r="Z75" i="2"/>
  <c r="Y75" i="2"/>
  <c r="X75" i="2"/>
  <c r="O75" i="2"/>
  <c r="AA74" i="2"/>
  <c r="Z74" i="2"/>
  <c r="Y74" i="2"/>
  <c r="X74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U141" i="2" l="1"/>
  <c r="V146" i="2"/>
  <c r="AC154" i="2"/>
  <c r="X150" i="2"/>
  <c r="AB154" i="2"/>
  <c r="AB142" i="2"/>
  <c r="AA142" i="2"/>
  <c r="W150" i="2"/>
  <c r="AA154" i="2"/>
  <c r="AF146" i="2"/>
  <c r="AC142" i="2"/>
  <c r="U146" i="2"/>
  <c r="AD142" i="2"/>
  <c r="Z145" i="2"/>
  <c r="AA145" i="2"/>
  <c r="W146" i="2"/>
  <c r="R149" i="2"/>
  <c r="AE149" i="2"/>
  <c r="AA150" i="2"/>
  <c r="R154" i="2"/>
  <c r="AE154" i="2"/>
  <c r="X141" i="2"/>
  <c r="T142" i="2"/>
  <c r="AF142" i="2"/>
  <c r="AB145" i="2"/>
  <c r="X146" i="2"/>
  <c r="T149" i="2"/>
  <c r="AF149" i="2"/>
  <c r="AB150" i="2"/>
  <c r="X153" i="2"/>
  <c r="T154" i="2"/>
  <c r="AF154" i="2"/>
  <c r="W141" i="2"/>
  <c r="R142" i="2"/>
  <c r="W153" i="2"/>
  <c r="Y141" i="2"/>
  <c r="U142" i="2"/>
  <c r="AC145" i="2"/>
  <c r="Y146" i="2"/>
  <c r="U149" i="2"/>
  <c r="AC150" i="2"/>
  <c r="Y153" i="2"/>
  <c r="U154" i="2"/>
  <c r="AE142" i="2"/>
  <c r="Z141" i="2"/>
  <c r="V142" i="2"/>
  <c r="AD145" i="2"/>
  <c r="Z146" i="2"/>
  <c r="V149" i="2"/>
  <c r="AD150" i="2"/>
  <c r="Z153" i="2"/>
  <c r="V154" i="2"/>
  <c r="Y145" i="2"/>
  <c r="AC149" i="2"/>
  <c r="Y150" i="2"/>
  <c r="U153" i="2"/>
  <c r="AA141" i="2"/>
  <c r="W142" i="2"/>
  <c r="R145" i="2"/>
  <c r="AE145" i="2"/>
  <c r="AA146" i="2"/>
  <c r="W149" i="2"/>
  <c r="R150" i="2"/>
  <c r="AE150" i="2"/>
  <c r="AA153" i="2"/>
  <c r="W154" i="2"/>
  <c r="AB141" i="2"/>
  <c r="X142" i="2"/>
  <c r="T145" i="2"/>
  <c r="AF145" i="2"/>
  <c r="AB146" i="2"/>
  <c r="X149" i="2"/>
  <c r="T150" i="2"/>
  <c r="AF150" i="2"/>
  <c r="AB153" i="2"/>
  <c r="X154" i="2"/>
  <c r="AC141" i="2"/>
  <c r="Y142" i="2"/>
  <c r="U145" i="2"/>
  <c r="AC146" i="2"/>
  <c r="Y149" i="2"/>
  <c r="U150" i="2"/>
  <c r="AC153" i="2"/>
  <c r="Y154" i="2"/>
  <c r="AD141" i="2"/>
  <c r="Z142" i="2"/>
  <c r="V145" i="2"/>
  <c r="AD146" i="2"/>
  <c r="Z149" i="2"/>
  <c r="V150" i="2"/>
  <c r="AD153" i="2"/>
  <c r="Z154" i="2"/>
  <c r="V141" i="2"/>
  <c r="AD149" i="2"/>
  <c r="Z150" i="2"/>
  <c r="V153" i="2"/>
  <c r="AD154" i="2"/>
  <c r="R141" i="2"/>
  <c r="AE141" i="2"/>
  <c r="W145" i="2"/>
  <c r="R146" i="2"/>
  <c r="AE146" i="2"/>
  <c r="AA149" i="2"/>
  <c r="R153" i="2"/>
  <c r="AE153" i="2"/>
  <c r="T141" i="2"/>
  <c r="AF141" i="2"/>
  <c r="X145" i="2"/>
  <c r="T146" i="2"/>
  <c r="AB149" i="2"/>
  <c r="T153" i="2"/>
  <c r="AF153" i="2"/>
</calcChain>
</file>

<file path=xl/sharedStrings.xml><?xml version="1.0" encoding="utf-8"?>
<sst xmlns="http://schemas.openxmlformats.org/spreadsheetml/2006/main" count="458" uniqueCount="205">
  <si>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</si>
  <si>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</si>
  <si>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</si>
  <si>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</si>
  <si>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</si>
  <si>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</si>
  <si>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</si>
  <si>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</si>
  <si>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</si>
  <si>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</si>
  <si>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</si>
  <si>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</si>
  <si>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</si>
  <si>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</si>
  <si>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</si>
  <si>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</si>
  <si>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</si>
  <si>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</si>
  <si>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</si>
  <si>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</si>
  <si>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</si>
  <si>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</si>
  <si>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</si>
  <si>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</si>
  <si>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</si>
  <si>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</si>
  <si>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</si>
  <si>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</si>
  <si>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</si>
  <si>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</si>
  <si>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</si>
  <si>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</si>
  <si>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</si>
  <si>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</si>
  <si>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</si>
  <si>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</si>
  <si>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</si>
  <si>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</si>
  <si>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</si>
  <si>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</si>
  <si>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</si>
  <si>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</si>
  <si>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</si>
  <si>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</si>
  <si>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Source Version</t>
  </si>
  <si>
    <t>Cyclomatic Complexity</t>
  </si>
  <si>
    <t>Project Type</t>
  </si>
  <si>
    <t>Tool Type</t>
  </si>
  <si>
    <t>Count</t>
  </si>
  <si>
    <t>Avg-albfernandez-GDS-PMD-Security-Buggy</t>
  </si>
  <si>
    <t>Avg-dungba88-libra-Buggy</t>
  </si>
  <si>
    <t>Avg-julianps-modelmapper-module-Buggy</t>
  </si>
  <si>
    <t>Avg-opentracing-contrib-java-p6sp-Buggy</t>
  </si>
  <si>
    <t>Avg-SzFMV2018-Tavasz-AutomatedCar-Buggy</t>
  </si>
  <si>
    <t>Avg-traccar-traccar-Buggy</t>
  </si>
  <si>
    <t>Lines</t>
  </si>
  <si>
    <t>MC-SL Comm</t>
  </si>
  <si>
    <t>MC-ML Comm</t>
  </si>
  <si>
    <t>SC-SL Comm</t>
  </si>
  <si>
    <t>SC-ML Comm</t>
  </si>
  <si>
    <t>Two-Factor Common</t>
  </si>
  <si>
    <t>Chunks &amp; Lines Common</t>
  </si>
  <si>
    <t>Avg-Manual</t>
  </si>
  <si>
    <t>Single-Chunk-Avg-Manual</t>
  </si>
  <si>
    <t>Single-Chunk-Single-Edit-Avg-Manual</t>
  </si>
  <si>
    <t>Multi-Chunk-Avg-Manual</t>
  </si>
  <si>
    <t>Single-Chunk-Multi-Edits-Avg-Manual</t>
  </si>
  <si>
    <t>Single-Line-Avg-Manual</t>
  </si>
  <si>
    <t>Multi-Chunk-Single-Edit-Avg-Manual</t>
  </si>
  <si>
    <t>Multi-Line-Avg-Manual</t>
  </si>
  <si>
    <t>Multi-Chunk-Multi-Edits-Avg-Manual</t>
  </si>
  <si>
    <t>Avg-albfernandez-GDS-PMD-Security-Manual</t>
  </si>
  <si>
    <t>Avg-dungba88-libra-Manual</t>
  </si>
  <si>
    <t>Avg-julianps-modelmapper-module-Manual</t>
  </si>
  <si>
    <t>Avg-opentracing-contrib-java-p6sp-Manual</t>
  </si>
  <si>
    <t>Avg-SzFMV2018-Tavasz-AutomatedCar-Manual</t>
  </si>
  <si>
    <t>Avg-traccar-traccar-Manual</t>
  </si>
  <si>
    <t>Avg-Arja-Manual</t>
  </si>
  <si>
    <t>Avg-GenProg-Manual</t>
  </si>
  <si>
    <t>Avg-Kali-Manual</t>
  </si>
  <si>
    <t>Avg-Nopol-Manual</t>
  </si>
  <si>
    <t>Avg-RSRepair-Manual</t>
  </si>
  <si>
    <t>Avg-Auto</t>
  </si>
  <si>
    <t>Single-Chunk-Avg-Auto</t>
  </si>
  <si>
    <t>Single-Chunk-Single-Edit-Avg-Auto</t>
  </si>
  <si>
    <t>Multi-Chunk-Avg-Auto</t>
  </si>
  <si>
    <t>Single-Chunk-Multi-Edits-Avg-Auto</t>
  </si>
  <si>
    <t>Single-Line-Avg-Auto</t>
  </si>
  <si>
    <t>Multi-Chunk-Single-Edit-Avg-Auto</t>
  </si>
  <si>
    <t>Multi-Line-Avg-Auto</t>
  </si>
  <si>
    <t>Multi-Chunk-Multi-Edits-Avg-Auto</t>
  </si>
  <si>
    <t>Avg-albfernandez-GDS-PMD-Security-Auto</t>
  </si>
  <si>
    <t>Avg-dungba88-libra-Auto</t>
  </si>
  <si>
    <t>Avg-julianps-modelmapper-module-Auto</t>
  </si>
  <si>
    <t>Avg-opentracing-contrib-java-p6sp-Auto</t>
  </si>
  <si>
    <t>Avg-SzFMV2018-Tavasz-AutomatedCar-Auto</t>
  </si>
  <si>
    <t>Avg-traccar-traccar-Auto</t>
  </si>
  <si>
    <t>Avg-Arja-Auto</t>
  </si>
  <si>
    <t>Avg-GenProg-Auto</t>
  </si>
  <si>
    <t>Avg-Kali-Auto</t>
  </si>
  <si>
    <t>Avg-Nopol-Auto</t>
  </si>
  <si>
    <t>Avg-RSRepair-Auto</t>
  </si>
  <si>
    <t>Update</t>
  </si>
  <si>
    <t>Move</t>
  </si>
  <si>
    <t>Arja-Bears-albfernandez-GDS-PMD-Security-Rules-451155169-455669767_2_Buggy</t>
  </si>
  <si>
    <t>Arja-Bears-opentracing-contrib-java-p6spy-390188323-431527545_1_Buggy</t>
  </si>
  <si>
    <t>Arja-Bears-opentracing-contrib-java-p6spy-390188323-431527545_2_Buggy</t>
  </si>
  <si>
    <t>Arja-Bears-opentracing-contrib-java-p6spy-390188323-431527545_3_Buggy</t>
  </si>
  <si>
    <t>Arja-Bears-opentracing-contrib-java-p6spy-390188323-431527545_4_Buggy</t>
  </si>
  <si>
    <t>Arja-Bears-SzFMV2018-Tavasz-AutomatedCar-351742666-351759763_0_Buggy</t>
  </si>
  <si>
    <t>Arja-Bears-SzFMV2018-Tavasz-AutomatedCar-351742666-351759763_1_Buggy</t>
  </si>
  <si>
    <t>Arja-Bears-SzFMV2018-Tavasz-AutomatedCar-351742666-351759763_2_Buggy</t>
  </si>
  <si>
    <t>Arja-Bears-SzFMV2018-Tavasz-AutomatedCar-351742666-351759763_3_Buggy</t>
  </si>
  <si>
    <t>Arja-Bears-SzFMV2018-Tavasz-AutomatedCar-351742666-351759763_4_Buggy</t>
  </si>
  <si>
    <t>Arja-Bears-traccar-traccar-255051210-255052458_0_Buggy</t>
  </si>
  <si>
    <t>GenProg-Bears-SzFMV2018-Tavasz-AutomatedCar-351742666-351759763_0_Buggy</t>
  </si>
  <si>
    <t>GenProg-Bears-SzFMV2018-Tavasz-AutomatedCar-351742666-351759763_1_Buggy</t>
  </si>
  <si>
    <t>GenProg-Bears-SzFMV2018-Tavasz-AutomatedCar-351742666-351759763_2_Buggy</t>
  </si>
  <si>
    <t>GenProg-Bears-SzFMV2018-Tavasz-AutomatedCar-351742666-351759763_3_Buggy</t>
  </si>
  <si>
    <t>GenProg-Bears-SzFMV2018-Tavasz-AutomatedCar-351742666-351759763_4_Buggy</t>
  </si>
  <si>
    <t>Kali-Bears-albfernandez-GDS-PMD-Security-Rules-451155169-455669767_0_Buggy</t>
  </si>
  <si>
    <t>Kali-Bears-dungba88-libra-436514153-436524727_0_Buggy</t>
  </si>
  <si>
    <t>Kali-Bears-SzFMV2018-Tavasz-AutomatedCar-351742666-351759763_0_Buggy</t>
  </si>
  <si>
    <t>Kali-Bears-traccar-traccar-255051210-255052458_0_Buggy</t>
  </si>
  <si>
    <t>RSRepair-Bears-SzFMV2018-Tavasz-AutomatedCar-351742666-351759763_0_Buggy</t>
  </si>
  <si>
    <t>RSRepair-Bears-SzFMV2018-Tavasz-AutomatedCar-351742666-351759763_1_Buggy</t>
  </si>
  <si>
    <t>RSRepair-Bears-SzFMV2018-Tavasz-AutomatedCar-351742666-351759763_2_Buggy</t>
  </si>
  <si>
    <t>RSRepair-Bears-SzFMV2018-Tavasz-AutomatedCar-351742666-351759763_3_Buggy</t>
  </si>
  <si>
    <t>RSRepair-Bears-SzFMV2018-Tavasz-AutomatedCar-351742666-351759763_4_Buggy</t>
  </si>
  <si>
    <t>Arja-Bears-albfernandez-GDS-PMD-Security-Rules-451155169-455669767_2_Manual</t>
  </si>
  <si>
    <t>Arja-Bears-opentracing-contrib-java-p6spy-390188323-431527545_1_Manual</t>
  </si>
  <si>
    <t>Arja-Bears-opentracing-contrib-java-p6spy-390188323-431527545_2_Manual</t>
  </si>
  <si>
    <t>Arja-Bears-opentracing-contrib-java-p6spy-390188323-431527545_3_Manual</t>
  </si>
  <si>
    <t>Arja-Bears-opentracing-contrib-java-p6spy-390188323-431527545_4_Manual</t>
  </si>
  <si>
    <t>Arja-Bears-SzFMV2018-Tavasz-AutomatedCar-351742666-351759763_0_Manual</t>
  </si>
  <si>
    <t>Arja-Bears-SzFMV2018-Tavasz-AutomatedCar-351742666-351759763_1_Manual</t>
  </si>
  <si>
    <t>Arja-Bears-SzFMV2018-Tavasz-AutomatedCar-351742666-351759763_2_Manual</t>
  </si>
  <si>
    <t>Arja-Bears-SzFMV2018-Tavasz-AutomatedCar-351742666-351759763_3_Manual</t>
  </si>
  <si>
    <t>Arja-Bears-SzFMV2018-Tavasz-AutomatedCar-351742666-351759763_4_Manual</t>
  </si>
  <si>
    <t>Arja-Bears-traccar-traccar-255051210-255052458_0_Manual</t>
  </si>
  <si>
    <t>GenProg-Bears-SzFMV2018-Tavasz-AutomatedCar-351742666-351759763_0_Manual</t>
  </si>
  <si>
    <t>GenProg-Bears-SzFMV2018-Tavasz-AutomatedCar-351742666-351759763_1_Manual</t>
  </si>
  <si>
    <t>GenProg-Bears-SzFMV2018-Tavasz-AutomatedCar-351742666-351759763_2_Manual</t>
  </si>
  <si>
    <t>GenProg-Bears-SzFMV2018-Tavasz-AutomatedCar-351742666-351759763_3_Manual</t>
  </si>
  <si>
    <t>GenProg-Bears-SzFMV2018-Tavasz-AutomatedCar-351742666-351759763_4_Manual</t>
  </si>
  <si>
    <t>Kali-Bears-albfernandez-GDS-PMD-Security-Rules-451155169-455669767_0_Manual</t>
  </si>
  <si>
    <t>Kali-Bears-dungba88-libra-436514153-436524727_0_Manual</t>
  </si>
  <si>
    <t>Kali-Bears-SzFMV2018-Tavasz-AutomatedCar-351742666-351759763_0_Manual</t>
  </si>
  <si>
    <t>Kali-Bears-traccar-traccar-255051210-255052458_0_Manual</t>
  </si>
  <si>
    <t>RSRepair-Bears-SzFMV2018-Tavasz-AutomatedCar-351742666-351759763_0_Manual</t>
  </si>
  <si>
    <t>RSRepair-Bears-SzFMV2018-Tavasz-AutomatedCar-351742666-351759763_1_Manual</t>
  </si>
  <si>
    <t>RSRepair-Bears-SzFMV2018-Tavasz-AutomatedCar-351742666-351759763_2_Manual</t>
  </si>
  <si>
    <t>RSRepair-Bears-SzFMV2018-Tavasz-AutomatedCar-351742666-351759763_3_Manual</t>
  </si>
  <si>
    <t>RSRepair-Bears-SzFMV2018-Tavasz-AutomatedCar-351742666-351759763_4_Manual</t>
  </si>
  <si>
    <t>Arja-Bears-albfernandez-GDS-PMD-Security-Rules-451155169-455669767_2_Auto</t>
  </si>
  <si>
    <t>Arja-Bears-opentracing-contrib-java-p6spy-390188323-431527545_0_Auto</t>
  </si>
  <si>
    <t>Arja-Bears-opentracing-contrib-java-p6spy-390188323-431527545_1_Auto</t>
  </si>
  <si>
    <t>Arja-Bears-opentracing-contrib-java-p6spy-390188323-431527545_2_Auto</t>
  </si>
  <si>
    <t>Arja-Bears-opentracing-contrib-java-p6spy-390188323-431527545_3_Auto</t>
  </si>
  <si>
    <t>Arja-Bears-opentracing-contrib-java-p6spy-390188323-431527545_4_Auto</t>
  </si>
  <si>
    <t>Arja-Bears-SzFMV2018-Tavasz-AutomatedCar-351742666-351759763_0_Auto</t>
  </si>
  <si>
    <t>Arja-Bears-SzFMV2018-Tavasz-AutomatedCar-351742666-351759763_1_Auto</t>
  </si>
  <si>
    <t>Arja-Bears-SzFMV2018-Tavasz-AutomatedCar-351742666-351759763_2_Auto</t>
  </si>
  <si>
    <t>Arja-Bears-SzFMV2018-Tavasz-AutomatedCar-351742666-351759763_3_Auto</t>
  </si>
  <si>
    <t>Arja-Bears-SzFMV2018-Tavasz-AutomatedCar-351742666-351759763_4_Auto</t>
  </si>
  <si>
    <t>Arja-Bears-traccar-traccar-255051210-255052458_0_Auto</t>
  </si>
  <si>
    <t>Arja-Bears-traccar-traccar-255051210-255052458_1_Auto</t>
  </si>
  <si>
    <t>Arja-Bears-traccar-traccar-255051210-255052458_2_Auto</t>
  </si>
  <si>
    <t>Arja-Bears-traccar-traccar-255051210-255052458_3_Auto</t>
  </si>
  <si>
    <t>Arja-Bears-traccar-traccar-255051210-255052458_4_Auto</t>
  </si>
  <si>
    <t>GenProg-Bears-SzFMV2018-Tavasz-AutomatedCar-351742666-351759763_0_Auto</t>
  </si>
  <si>
    <t>GenProg-Bears-SzFMV2018-Tavasz-AutomatedCar-351742666-351759763_1_Auto</t>
  </si>
  <si>
    <t>GenProg-Bears-SzFMV2018-Tavasz-AutomatedCar-351742666-351759763_2_Auto</t>
  </si>
  <si>
    <t>GenProg-Bears-SzFMV2018-Tavasz-AutomatedCar-351742666-351759763_3_Auto</t>
  </si>
  <si>
    <t>GenProg-Bears-SzFMV2018-Tavasz-AutomatedCar-351742666-351759763_4_Auto</t>
  </si>
  <si>
    <t>Kali-Bears-albfernandez-GDS-PMD-Security-Rules-451155169-455669767_0_Auto</t>
  </si>
  <si>
    <t>Kali-Bears-dungba88-libra-436514153-436524727_0_Auto</t>
  </si>
  <si>
    <t>Kali-Bears-SzFMV2018-Tavasz-AutomatedCar-351742666-351759763_0_Auto</t>
  </si>
  <si>
    <t>Kali-Bears-traccar-traccar-255051210-255052458_0_Auto</t>
  </si>
  <si>
    <t>RSRepair-Bears-SzFMV2018-Tavasz-AutomatedCar-351742666-351759763_0_Auto</t>
  </si>
  <si>
    <t>RSRepair-Bears-SzFMV2018-Tavasz-AutomatedCar-351742666-351759763_1_Auto</t>
  </si>
  <si>
    <t>RSRepair-Bears-SzFMV2018-Tavasz-AutomatedCar-351742666-351759763_2_Auto</t>
  </si>
  <si>
    <t>RSRepair-Bears-SzFMV2018-Tavasz-AutomatedCar-351742666-351759763_3_Auto</t>
  </si>
  <si>
    <t>RSRepair-Bears-SzFMV2018-Tavasz-AutomatedCar-351742666-351759763_4_Auto</t>
  </si>
  <si>
    <t>Edits</t>
  </si>
  <si>
    <t>Arja-Bears-albfernandez-GDS-PMD-Security-Rules-451155169-455669767_0</t>
  </si>
  <si>
    <t>Arja-Bears-albfernandez-GDS-PMD-Security-Rules-451155169-455669767_1</t>
  </si>
  <si>
    <t>Arja-Bears-albfernandez-GDS-PMD-Security-Rules-451155169-455669767_4</t>
  </si>
  <si>
    <t>Arja-Bears-dungba88-libra-436514153-436524727_0</t>
  </si>
  <si>
    <t>Arja-Bears-dungba88-libra-436514153-436524727_1</t>
  </si>
  <si>
    <t>Arja-Bears-julianps-modelmapper-module-vavr-441307573-461240331_0</t>
  </si>
  <si>
    <t>Arja-Bears-julianps-modelmapper-module-vavr-441307573-461240331_1</t>
  </si>
  <si>
    <t>Arja-Bears-julianps-modelmapper-module-vavr-441307573-461240331_2</t>
  </si>
  <si>
    <t>Arja-Bears-julianps-modelmapper-module-vavr-441307573-461240331_3</t>
  </si>
  <si>
    <t>Arja-Bears-julianps-modelmapper-module-vavr-441307573-461240331_4</t>
  </si>
  <si>
    <t>Kali-Bears-julianps-modelmapper-module-vavr-441307573-461240331_0</t>
  </si>
  <si>
    <t>Nopol-Bears-vkostyukov-la4j-414793864-436911083_0</t>
  </si>
  <si>
    <t>Error Samples (Buggy=Manual):</t>
  </si>
  <si>
    <t>Duplicates:</t>
  </si>
  <si>
    <t>25 projects</t>
  </si>
  <si>
    <t>75 total</t>
  </si>
  <si>
    <t>SC Comm</t>
  </si>
  <si>
    <t>MC Comm</t>
  </si>
  <si>
    <t>SL Comm</t>
  </si>
  <si>
    <t>ML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</si>
</sst>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0"/>
      <color theme="1"/>
      <name val="Trebuchet MS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left" wrapText="1"/>
    </xf>
    <xf numFmtId="0" fontId="24" fillId="36" borderId="11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2" xfId="0" applyFont="1" applyBorder="1"/>
    <xf numFmtId="164" fontId="18" fillId="0" borderId="12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6" fillId="0" borderId="0" xfId="0" applyFont="1"/>
    <xf numFmtId="0" fontId="18" fillId="40" borderId="0" xfId="0" applyFont="1" applyFill="1" applyAlignment="1">
      <alignment vertical="center"/>
    </xf>
    <xf numFmtId="2" fontId="18" fillId="0" borderId="0" xfId="0" applyNumberFormat="1" applyFont="1"/>
    <xf numFmtId="0" fontId="24" fillId="35" borderId="10" xfId="0" applyFont="1" applyFill="1" applyBorder="1" applyAlignment="1">
      <alignment horizontal="center" wrapText="1"/>
    </xf>
    <xf numFmtId="0" fontId="24" fillId="35" borderId="11" xfId="0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/>
    <xf numFmtId="0" fontId="24" fillId="35" borderId="13" xfId="0" applyFont="1" applyFill="1" applyBorder="1" applyAlignment="1">
      <alignment horizontal="center" wrapText="1"/>
    </xf>
    <xf numFmtId="0" fontId="28" fillId="0" borderId="0" xfId="0" applyFont="1" applyFill="1"/>
    <xf numFmtId="0" fontId="18" fillId="40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6"/>
  <sheetViews>
    <sheetView showGridLines="0" tabSelected="1" topLeftCell="N61" zoomScale="55" zoomScaleNormal="55" workbookViewId="0">
      <selection activeCell="AE97" sqref="AE97:AE98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20" width="11.33203125" style="1" customWidth="1"/>
    <col min="21" max="21" width="12.77734375" style="1" bestFit="1" customWidth="1"/>
    <col min="22" max="22" width="10.77734375" style="1" customWidth="1"/>
    <col min="23" max="23" width="11.6640625" style="1" bestFit="1" customWidth="1"/>
    <col min="24" max="24" width="11.21875" style="1" customWidth="1"/>
    <col min="25" max="25" width="12.21875" style="1" bestFit="1" customWidth="1"/>
    <col min="26" max="26" width="10.88671875" style="1" customWidth="1"/>
    <col min="27" max="27" width="11.88671875" style="1" customWidth="1"/>
    <col min="28" max="28" width="10.21875" style="1" customWidth="1"/>
    <col min="29" max="29" width="11.21875" style="1" customWidth="1"/>
    <col min="30" max="32" width="11.109375" style="1" customWidth="1"/>
    <col min="33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2" x14ac:dyDescent="0.35">
      <c r="A17" s="4" t="s">
        <v>15</v>
      </c>
    </row>
    <row r="18" spans="1:22" x14ac:dyDescent="0.35">
      <c r="A18" s="4" t="s">
        <v>16</v>
      </c>
    </row>
    <row r="19" spans="1:22" x14ac:dyDescent="0.35">
      <c r="A19" s="4" t="s">
        <v>17</v>
      </c>
    </row>
    <row r="20" spans="1:22" x14ac:dyDescent="0.35">
      <c r="A20" s="4" t="s">
        <v>18</v>
      </c>
    </row>
    <row r="21" spans="1:22" x14ac:dyDescent="0.35">
      <c r="A21" s="4" t="s">
        <v>19</v>
      </c>
    </row>
    <row r="23" spans="1:22" ht="28.8" x14ac:dyDescent="0.35">
      <c r="A23" s="13" t="s">
        <v>200</v>
      </c>
      <c r="B23" s="13" t="s">
        <v>20</v>
      </c>
      <c r="C23" s="13" t="s">
        <v>31</v>
      </c>
      <c r="D23" s="13" t="s">
        <v>32</v>
      </c>
      <c r="E23" s="13" t="s">
        <v>21</v>
      </c>
      <c r="F23" s="13" t="s">
        <v>33</v>
      </c>
      <c r="G23" s="13" t="s">
        <v>22</v>
      </c>
      <c r="H23" s="13" t="s">
        <v>34</v>
      </c>
      <c r="I23" s="13" t="s">
        <v>35</v>
      </c>
      <c r="J23" s="13" t="s">
        <v>36</v>
      </c>
      <c r="K23" s="13" t="s">
        <v>37</v>
      </c>
      <c r="L23" s="13" t="s">
        <v>38</v>
      </c>
      <c r="M23" s="13" t="s">
        <v>39</v>
      </c>
      <c r="N23" s="13" t="s">
        <v>40</v>
      </c>
      <c r="O23" s="13" t="s">
        <v>29</v>
      </c>
      <c r="P23" s="13" t="s">
        <v>41</v>
      </c>
      <c r="Q23" s="13" t="s">
        <v>42</v>
      </c>
      <c r="R23" s="13" t="s">
        <v>43</v>
      </c>
      <c r="S23" s="13" t="s">
        <v>102</v>
      </c>
      <c r="T23" s="13" t="s">
        <v>103</v>
      </c>
      <c r="U23" s="13" t="s">
        <v>55</v>
      </c>
      <c r="V23" s="13" t="s">
        <v>184</v>
      </c>
    </row>
    <row r="24" spans="1:22" x14ac:dyDescent="0.35">
      <c r="A24" s="7" t="s">
        <v>104</v>
      </c>
      <c r="B24" s="8">
        <v>4.58</v>
      </c>
      <c r="C24" s="8">
        <v>72.25</v>
      </c>
      <c r="D24" s="8">
        <v>16.25</v>
      </c>
      <c r="E24" s="8">
        <v>6.73</v>
      </c>
      <c r="F24" s="8">
        <v>15.13</v>
      </c>
      <c r="G24" s="8">
        <v>4.63</v>
      </c>
      <c r="H24" s="8">
        <v>11.37</v>
      </c>
      <c r="I24" s="8">
        <v>31.38</v>
      </c>
      <c r="J24" s="8">
        <v>56.97</v>
      </c>
      <c r="K24" s="8">
        <v>0.57999999999999996</v>
      </c>
      <c r="L24" s="8">
        <v>1.4999999999999999E-2</v>
      </c>
      <c r="M24" s="8">
        <v>13.41</v>
      </c>
      <c r="N24" s="8">
        <v>0.75</v>
      </c>
      <c r="O24" s="12" t="str">
        <f t="shared" ref="O24:O40" si="0">IF(NOT(ISERR(SEARCH("*_Buggy",$A24))), "Buggy", IF(NOT(ISERR(SEARCH("*_Manual",$A24))), "Manual", IF(NOT(ISERR(SEARCH("*_Auto",$A24))), "Auto", "")))</f>
        <v>Buggy</v>
      </c>
      <c r="P24" s="12"/>
      <c r="Q24" s="12"/>
      <c r="R24" s="12"/>
      <c r="S24" s="12"/>
      <c r="T24" s="12"/>
      <c r="U24" s="12"/>
      <c r="V24" s="12"/>
    </row>
    <row r="25" spans="1:22" x14ac:dyDescent="0.35">
      <c r="A25" s="7" t="s">
        <v>105</v>
      </c>
      <c r="B25" s="8">
        <v>2.62</v>
      </c>
      <c r="C25" s="8">
        <v>79.849999999999994</v>
      </c>
      <c r="D25" s="8">
        <v>10.31</v>
      </c>
      <c r="E25" s="8">
        <v>5.54</v>
      </c>
      <c r="F25" s="8">
        <v>8.69</v>
      </c>
      <c r="G25" s="8">
        <v>3.31</v>
      </c>
      <c r="H25" s="8">
        <v>8.85</v>
      </c>
      <c r="I25" s="8">
        <v>19</v>
      </c>
      <c r="J25" s="8">
        <v>37.72</v>
      </c>
      <c r="K25" s="8">
        <v>0</v>
      </c>
      <c r="L25" s="8">
        <v>0</v>
      </c>
      <c r="M25" s="8">
        <v>0</v>
      </c>
      <c r="N25" s="8">
        <v>0</v>
      </c>
      <c r="O25" s="12" t="str">
        <f t="shared" si="0"/>
        <v>Buggy</v>
      </c>
      <c r="P25" s="12"/>
      <c r="Q25" s="12"/>
      <c r="R25" s="12"/>
      <c r="S25" s="12"/>
      <c r="T25" s="12"/>
      <c r="U25" s="12"/>
      <c r="V25" s="12"/>
    </row>
    <row r="26" spans="1:22" x14ac:dyDescent="0.35">
      <c r="A26" s="7" t="s">
        <v>106</v>
      </c>
      <c r="B26" s="8">
        <v>2.62</v>
      </c>
      <c r="C26" s="8">
        <v>79.849999999999994</v>
      </c>
      <c r="D26" s="8">
        <v>10.31</v>
      </c>
      <c r="E26" s="8">
        <v>5.54</v>
      </c>
      <c r="F26" s="8">
        <v>8.69</v>
      </c>
      <c r="G26" s="8">
        <v>3.31</v>
      </c>
      <c r="H26" s="8">
        <v>8.85</v>
      </c>
      <c r="I26" s="8">
        <v>19</v>
      </c>
      <c r="J26" s="8">
        <v>37.72</v>
      </c>
      <c r="K26" s="8">
        <v>0</v>
      </c>
      <c r="L26" s="8">
        <v>0</v>
      </c>
      <c r="M26" s="8">
        <v>0</v>
      </c>
      <c r="N26" s="8">
        <v>0</v>
      </c>
      <c r="O26" s="12" t="str">
        <f t="shared" si="0"/>
        <v>Buggy</v>
      </c>
      <c r="P26" s="12"/>
      <c r="Q26" s="12"/>
      <c r="R26" s="12"/>
      <c r="S26" s="12"/>
      <c r="T26" s="12"/>
      <c r="U26" s="12"/>
      <c r="V26" s="12"/>
    </row>
    <row r="27" spans="1:22" x14ac:dyDescent="0.35">
      <c r="A27" s="7" t="s">
        <v>107</v>
      </c>
      <c r="B27" s="8">
        <v>2.62</v>
      </c>
      <c r="C27" s="8">
        <v>79.849999999999994</v>
      </c>
      <c r="D27" s="8">
        <v>10.31</v>
      </c>
      <c r="E27" s="8">
        <v>5.54</v>
      </c>
      <c r="F27" s="8">
        <v>8.69</v>
      </c>
      <c r="G27" s="8">
        <v>3.31</v>
      </c>
      <c r="H27" s="8">
        <v>8.85</v>
      </c>
      <c r="I27" s="8">
        <v>19</v>
      </c>
      <c r="J27" s="8">
        <v>37.72</v>
      </c>
      <c r="K27" s="8">
        <v>0</v>
      </c>
      <c r="L27" s="8">
        <v>0</v>
      </c>
      <c r="M27" s="8">
        <v>0</v>
      </c>
      <c r="N27" s="8">
        <v>0</v>
      </c>
      <c r="O27" s="12" t="str">
        <f t="shared" si="0"/>
        <v>Buggy</v>
      </c>
      <c r="P27" s="12"/>
      <c r="Q27" s="12"/>
      <c r="R27" s="12"/>
      <c r="S27" s="12"/>
      <c r="T27" s="12"/>
      <c r="U27" s="12"/>
      <c r="V27" s="12"/>
    </row>
    <row r="28" spans="1:22" x14ac:dyDescent="0.35">
      <c r="A28" s="7" t="s">
        <v>108</v>
      </c>
      <c r="B28" s="8">
        <v>2.62</v>
      </c>
      <c r="C28" s="8">
        <v>79.849999999999994</v>
      </c>
      <c r="D28" s="8">
        <v>10.31</v>
      </c>
      <c r="E28" s="8">
        <v>5.54</v>
      </c>
      <c r="F28" s="8">
        <v>8.69</v>
      </c>
      <c r="G28" s="8">
        <v>3.31</v>
      </c>
      <c r="H28" s="8">
        <v>8.85</v>
      </c>
      <c r="I28" s="8">
        <v>19</v>
      </c>
      <c r="J28" s="8">
        <v>37.72</v>
      </c>
      <c r="K28" s="8">
        <v>0</v>
      </c>
      <c r="L28" s="8">
        <v>0</v>
      </c>
      <c r="M28" s="8">
        <v>0</v>
      </c>
      <c r="N28" s="8">
        <v>0</v>
      </c>
      <c r="O28" s="12" t="str">
        <f t="shared" si="0"/>
        <v>Buggy</v>
      </c>
      <c r="P28" s="12"/>
      <c r="Q28" s="12"/>
      <c r="R28" s="12"/>
      <c r="S28" s="12"/>
      <c r="T28" s="12"/>
      <c r="U28" s="12"/>
      <c r="V28" s="12"/>
    </row>
    <row r="29" spans="1:22" x14ac:dyDescent="0.35">
      <c r="A29" s="5" t="s">
        <v>109</v>
      </c>
      <c r="B29" s="6">
        <v>1</v>
      </c>
      <c r="C29" s="6">
        <v>74.569999999999993</v>
      </c>
      <c r="D29" s="6">
        <v>11</v>
      </c>
      <c r="E29" s="6">
        <v>9.86</v>
      </c>
      <c r="F29" s="6">
        <v>6.86</v>
      </c>
      <c r="G29" s="6">
        <v>2</v>
      </c>
      <c r="H29" s="6">
        <v>11.86</v>
      </c>
      <c r="I29" s="6">
        <v>17.86</v>
      </c>
      <c r="J29" s="6">
        <v>52.87</v>
      </c>
      <c r="K29" s="6">
        <v>2</v>
      </c>
      <c r="L29" s="6">
        <v>0.05</v>
      </c>
      <c r="M29" s="6">
        <v>30.41</v>
      </c>
      <c r="N29" s="6">
        <v>1.69</v>
      </c>
      <c r="O29" s="12" t="str">
        <f t="shared" si="0"/>
        <v>Buggy</v>
      </c>
      <c r="P29" s="12"/>
      <c r="Q29" s="12"/>
      <c r="R29" s="12"/>
      <c r="S29" s="12"/>
      <c r="T29" s="12"/>
      <c r="U29" s="12"/>
      <c r="V29" s="12"/>
    </row>
    <row r="30" spans="1:22" x14ac:dyDescent="0.35">
      <c r="A30" s="7" t="s">
        <v>110</v>
      </c>
      <c r="B30" s="8">
        <v>1</v>
      </c>
      <c r="C30" s="8">
        <v>74.569999999999993</v>
      </c>
      <c r="D30" s="8">
        <v>11</v>
      </c>
      <c r="E30" s="8">
        <v>9.86</v>
      </c>
      <c r="F30" s="8">
        <v>6.86</v>
      </c>
      <c r="G30" s="8">
        <v>2</v>
      </c>
      <c r="H30" s="8">
        <v>11.86</v>
      </c>
      <c r="I30" s="8">
        <v>17.86</v>
      </c>
      <c r="J30" s="8">
        <v>52.87</v>
      </c>
      <c r="K30" s="8">
        <v>2</v>
      </c>
      <c r="L30" s="8">
        <v>0.05</v>
      </c>
      <c r="M30" s="8">
        <v>30.41</v>
      </c>
      <c r="N30" s="8">
        <v>1.69</v>
      </c>
      <c r="O30" s="12" t="str">
        <f t="shared" si="0"/>
        <v>Buggy</v>
      </c>
      <c r="P30" s="12"/>
      <c r="Q30" s="12"/>
      <c r="R30" s="12"/>
      <c r="S30" s="12"/>
      <c r="T30" s="12"/>
      <c r="U30" s="12"/>
      <c r="V30" s="12"/>
    </row>
    <row r="31" spans="1:22" x14ac:dyDescent="0.35">
      <c r="A31" s="5" t="s">
        <v>111</v>
      </c>
      <c r="B31" s="6">
        <v>1</v>
      </c>
      <c r="C31" s="6">
        <v>74.569999999999993</v>
      </c>
      <c r="D31" s="6">
        <v>11</v>
      </c>
      <c r="E31" s="6">
        <v>9.86</v>
      </c>
      <c r="F31" s="6">
        <v>6.86</v>
      </c>
      <c r="G31" s="6">
        <v>2</v>
      </c>
      <c r="H31" s="6">
        <v>11.86</v>
      </c>
      <c r="I31" s="6">
        <v>17.86</v>
      </c>
      <c r="J31" s="6">
        <v>52.87</v>
      </c>
      <c r="K31" s="6">
        <v>2</v>
      </c>
      <c r="L31" s="6">
        <v>0.05</v>
      </c>
      <c r="M31" s="6">
        <v>30.41</v>
      </c>
      <c r="N31" s="6">
        <v>1.69</v>
      </c>
      <c r="O31" s="12" t="str">
        <f t="shared" si="0"/>
        <v>Buggy</v>
      </c>
      <c r="P31" s="12"/>
      <c r="Q31" s="12"/>
      <c r="R31" s="12"/>
      <c r="S31" s="12"/>
      <c r="T31" s="12"/>
      <c r="U31" s="12"/>
      <c r="V31" s="12"/>
    </row>
    <row r="32" spans="1:22" x14ac:dyDescent="0.35">
      <c r="A32" s="7" t="s">
        <v>112</v>
      </c>
      <c r="B32" s="8">
        <v>1</v>
      </c>
      <c r="C32" s="8">
        <v>74.569999999999993</v>
      </c>
      <c r="D32" s="8">
        <v>11</v>
      </c>
      <c r="E32" s="8">
        <v>9.86</v>
      </c>
      <c r="F32" s="8">
        <v>6.86</v>
      </c>
      <c r="G32" s="8">
        <v>2</v>
      </c>
      <c r="H32" s="8">
        <v>11.86</v>
      </c>
      <c r="I32" s="8">
        <v>17.86</v>
      </c>
      <c r="J32" s="8">
        <v>52.87</v>
      </c>
      <c r="K32" s="8">
        <v>2</v>
      </c>
      <c r="L32" s="8">
        <v>0.05</v>
      </c>
      <c r="M32" s="8">
        <v>30.41</v>
      </c>
      <c r="N32" s="8">
        <v>1.69</v>
      </c>
      <c r="O32" s="12" t="str">
        <f t="shared" si="0"/>
        <v>Buggy</v>
      </c>
      <c r="P32" s="12"/>
      <c r="Q32" s="12"/>
      <c r="R32" s="12"/>
      <c r="S32" s="12"/>
      <c r="T32" s="12"/>
      <c r="U32" s="12"/>
      <c r="V32" s="12"/>
    </row>
    <row r="33" spans="1:22" x14ac:dyDescent="0.35">
      <c r="A33" s="5" t="s">
        <v>113</v>
      </c>
      <c r="B33" s="6">
        <v>1</v>
      </c>
      <c r="C33" s="6">
        <v>74.569999999999993</v>
      </c>
      <c r="D33" s="6">
        <v>11</v>
      </c>
      <c r="E33" s="6">
        <v>9.86</v>
      </c>
      <c r="F33" s="6">
        <v>6.86</v>
      </c>
      <c r="G33" s="6">
        <v>2</v>
      </c>
      <c r="H33" s="6">
        <v>11.86</v>
      </c>
      <c r="I33" s="6">
        <v>17.86</v>
      </c>
      <c r="J33" s="6">
        <v>52.87</v>
      </c>
      <c r="K33" s="6">
        <v>2</v>
      </c>
      <c r="L33" s="6">
        <v>0.05</v>
      </c>
      <c r="M33" s="6">
        <v>30.41</v>
      </c>
      <c r="N33" s="6">
        <v>1.69</v>
      </c>
      <c r="O33" s="12" t="str">
        <f t="shared" si="0"/>
        <v>Buggy</v>
      </c>
      <c r="P33" s="12"/>
      <c r="Q33" s="12"/>
      <c r="R33" s="12"/>
      <c r="S33" s="12"/>
      <c r="T33" s="12"/>
      <c r="U33" s="12"/>
      <c r="V33" s="12"/>
    </row>
    <row r="34" spans="1:22" x14ac:dyDescent="0.35">
      <c r="A34" s="7" t="s">
        <v>114</v>
      </c>
      <c r="B34" s="8">
        <v>5.75</v>
      </c>
      <c r="C34" s="8">
        <v>68.5</v>
      </c>
      <c r="D34" s="8">
        <v>22.25</v>
      </c>
      <c r="E34" s="8">
        <v>7.62</v>
      </c>
      <c r="F34" s="8">
        <v>21.62</v>
      </c>
      <c r="G34" s="8">
        <v>4.38</v>
      </c>
      <c r="H34" s="8">
        <v>12</v>
      </c>
      <c r="I34" s="8">
        <v>43.88</v>
      </c>
      <c r="J34" s="8">
        <v>66.92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  <c r="S34" s="12"/>
      <c r="T34" s="12"/>
      <c r="U34" s="12"/>
      <c r="V34" s="12"/>
    </row>
    <row r="35" spans="1:22" x14ac:dyDescent="0.35">
      <c r="A35" s="7" t="s">
        <v>115</v>
      </c>
      <c r="B35" s="8">
        <v>1</v>
      </c>
      <c r="C35" s="8">
        <v>74.569999999999993</v>
      </c>
      <c r="D35" s="8">
        <v>11</v>
      </c>
      <c r="E35" s="8">
        <v>9.86</v>
      </c>
      <c r="F35" s="8">
        <v>6.86</v>
      </c>
      <c r="G35" s="8">
        <v>2</v>
      </c>
      <c r="H35" s="8">
        <v>11.86</v>
      </c>
      <c r="I35" s="8">
        <v>17.86</v>
      </c>
      <c r="J35" s="8">
        <v>52.87</v>
      </c>
      <c r="K35" s="8">
        <v>2</v>
      </c>
      <c r="L35" s="8">
        <v>0.05</v>
      </c>
      <c r="M35" s="8">
        <v>30.41</v>
      </c>
      <c r="N35" s="8">
        <v>1.69</v>
      </c>
      <c r="O35" s="12" t="str">
        <f t="shared" si="0"/>
        <v>Buggy</v>
      </c>
      <c r="P35" s="12"/>
      <c r="Q35" s="12"/>
      <c r="R35" s="12"/>
      <c r="S35" s="12"/>
      <c r="T35" s="12"/>
      <c r="U35" s="12"/>
      <c r="V35" s="12"/>
    </row>
    <row r="36" spans="1:22" x14ac:dyDescent="0.35">
      <c r="A36" s="5" t="s">
        <v>116</v>
      </c>
      <c r="B36" s="6">
        <v>1</v>
      </c>
      <c r="C36" s="6">
        <v>74.569999999999993</v>
      </c>
      <c r="D36" s="6">
        <v>11</v>
      </c>
      <c r="E36" s="6">
        <v>9.86</v>
      </c>
      <c r="F36" s="6">
        <v>6.86</v>
      </c>
      <c r="G36" s="6">
        <v>2</v>
      </c>
      <c r="H36" s="6">
        <v>11.86</v>
      </c>
      <c r="I36" s="6">
        <v>17.86</v>
      </c>
      <c r="J36" s="6">
        <v>52.87</v>
      </c>
      <c r="K36" s="6">
        <v>2</v>
      </c>
      <c r="L36" s="6">
        <v>0.05</v>
      </c>
      <c r="M36" s="6">
        <v>30.41</v>
      </c>
      <c r="N36" s="6">
        <v>1.69</v>
      </c>
      <c r="O36" s="12" t="str">
        <f t="shared" si="0"/>
        <v>Buggy</v>
      </c>
      <c r="P36" s="12"/>
      <c r="Q36" s="12"/>
      <c r="R36" s="12"/>
      <c r="S36" s="12"/>
      <c r="T36" s="12"/>
      <c r="U36" s="12"/>
      <c r="V36" s="12"/>
    </row>
    <row r="37" spans="1:22" x14ac:dyDescent="0.35">
      <c r="A37" s="7" t="s">
        <v>117</v>
      </c>
      <c r="B37" s="8">
        <v>1</v>
      </c>
      <c r="C37" s="8">
        <v>74.569999999999993</v>
      </c>
      <c r="D37" s="8">
        <v>11</v>
      </c>
      <c r="E37" s="8">
        <v>9.86</v>
      </c>
      <c r="F37" s="8">
        <v>6.86</v>
      </c>
      <c r="G37" s="8">
        <v>2</v>
      </c>
      <c r="H37" s="8">
        <v>11.86</v>
      </c>
      <c r="I37" s="8">
        <v>17.86</v>
      </c>
      <c r="J37" s="8">
        <v>52.87</v>
      </c>
      <c r="K37" s="8">
        <v>2</v>
      </c>
      <c r="L37" s="8">
        <v>0.05</v>
      </c>
      <c r="M37" s="8">
        <v>30.41</v>
      </c>
      <c r="N37" s="8">
        <v>1.69</v>
      </c>
      <c r="O37" s="12" t="str">
        <f t="shared" si="0"/>
        <v>Buggy</v>
      </c>
      <c r="P37" s="12"/>
      <c r="Q37" s="12"/>
      <c r="R37" s="12"/>
      <c r="S37" s="12"/>
      <c r="T37" s="12"/>
      <c r="U37" s="12"/>
      <c r="V37" s="12"/>
    </row>
    <row r="38" spans="1:22" x14ac:dyDescent="0.35">
      <c r="A38" s="5" t="s">
        <v>118</v>
      </c>
      <c r="B38" s="6">
        <v>1</v>
      </c>
      <c r="C38" s="6">
        <v>74.569999999999993</v>
      </c>
      <c r="D38" s="6">
        <v>11</v>
      </c>
      <c r="E38" s="6">
        <v>9.86</v>
      </c>
      <c r="F38" s="6">
        <v>6.86</v>
      </c>
      <c r="G38" s="6">
        <v>2</v>
      </c>
      <c r="H38" s="6">
        <v>11.86</v>
      </c>
      <c r="I38" s="6">
        <v>17.86</v>
      </c>
      <c r="J38" s="6">
        <v>52.87</v>
      </c>
      <c r="K38" s="6">
        <v>2</v>
      </c>
      <c r="L38" s="6">
        <v>0.05</v>
      </c>
      <c r="M38" s="6">
        <v>30.41</v>
      </c>
      <c r="N38" s="6">
        <v>1.69</v>
      </c>
      <c r="O38" s="12" t="str">
        <f t="shared" si="0"/>
        <v>Buggy</v>
      </c>
      <c r="P38" s="12"/>
      <c r="Q38" s="12"/>
      <c r="R38" s="12"/>
      <c r="S38" s="12"/>
      <c r="T38" s="12"/>
      <c r="U38" s="12"/>
      <c r="V38" s="12"/>
    </row>
    <row r="39" spans="1:22" x14ac:dyDescent="0.35">
      <c r="A39" s="5" t="s">
        <v>119</v>
      </c>
      <c r="B39" s="6">
        <v>1</v>
      </c>
      <c r="C39" s="6">
        <v>74.569999999999993</v>
      </c>
      <c r="D39" s="6">
        <v>11</v>
      </c>
      <c r="E39" s="6">
        <v>9.86</v>
      </c>
      <c r="F39" s="6">
        <v>6.86</v>
      </c>
      <c r="G39" s="6">
        <v>2</v>
      </c>
      <c r="H39" s="6">
        <v>11.86</v>
      </c>
      <c r="I39" s="6">
        <v>17.86</v>
      </c>
      <c r="J39" s="6">
        <v>52.87</v>
      </c>
      <c r="K39" s="6">
        <v>2</v>
      </c>
      <c r="L39" s="6">
        <v>0.05</v>
      </c>
      <c r="M39" s="6">
        <v>30.41</v>
      </c>
      <c r="N39" s="6">
        <v>1.69</v>
      </c>
      <c r="O39" s="12" t="str">
        <f t="shared" si="0"/>
        <v>Buggy</v>
      </c>
      <c r="P39" s="12"/>
      <c r="Q39" s="12"/>
      <c r="R39" s="12"/>
      <c r="S39" s="12"/>
      <c r="T39" s="12"/>
      <c r="U39" s="12"/>
      <c r="V39" s="12"/>
    </row>
    <row r="40" spans="1:22" x14ac:dyDescent="0.35">
      <c r="A40" s="7" t="s">
        <v>120</v>
      </c>
      <c r="B40" s="8">
        <v>4.58</v>
      </c>
      <c r="C40" s="8">
        <v>72.25</v>
      </c>
      <c r="D40" s="8">
        <v>16.25</v>
      </c>
      <c r="E40" s="8">
        <v>6.73</v>
      </c>
      <c r="F40" s="8">
        <v>15.13</v>
      </c>
      <c r="G40" s="8">
        <v>4.63</v>
      </c>
      <c r="H40" s="8">
        <v>11.37</v>
      </c>
      <c r="I40" s="8">
        <v>31.38</v>
      </c>
      <c r="J40" s="8">
        <v>56.97</v>
      </c>
      <c r="K40" s="8">
        <v>0.57999999999999996</v>
      </c>
      <c r="L40" s="8">
        <v>1.4999999999999999E-2</v>
      </c>
      <c r="M40" s="8">
        <v>13.41</v>
      </c>
      <c r="N40" s="8">
        <v>0.75</v>
      </c>
      <c r="O40" s="12" t="str">
        <f t="shared" si="0"/>
        <v>Buggy</v>
      </c>
      <c r="P40" s="12"/>
      <c r="Q40" s="12"/>
      <c r="R40" s="12"/>
      <c r="S40" s="12"/>
      <c r="T40" s="12"/>
      <c r="U40" s="12"/>
      <c r="V40" s="12"/>
    </row>
    <row r="41" spans="1:22" x14ac:dyDescent="0.35">
      <c r="A41" s="5" t="s">
        <v>121</v>
      </c>
      <c r="B41" s="6">
        <v>2.33</v>
      </c>
      <c r="C41" s="6">
        <v>84.67</v>
      </c>
      <c r="D41" s="6">
        <v>5.33</v>
      </c>
      <c r="E41" s="6">
        <v>4.33</v>
      </c>
      <c r="F41" s="6">
        <v>4.33</v>
      </c>
      <c r="G41" s="6">
        <v>2.33</v>
      </c>
      <c r="H41" s="6">
        <v>6.67</v>
      </c>
      <c r="I41" s="6">
        <v>9.67</v>
      </c>
      <c r="J41" s="6">
        <v>22.35</v>
      </c>
      <c r="K41" s="6">
        <v>0</v>
      </c>
      <c r="L41" s="6">
        <v>0</v>
      </c>
      <c r="M41" s="6">
        <v>0</v>
      </c>
      <c r="N41" s="6">
        <v>0</v>
      </c>
      <c r="O41" s="12" t="str">
        <f t="shared" ref="O41:O59" si="1">IF(NOT(ISERR(SEARCH("*_Buggy",$A41))), "Buggy", IF(NOT(ISERR(SEARCH("*_Manual",$A41))), "Manual", IF(NOT(ISERR(SEARCH("*_Auto",$A41))), "Auto", "")))</f>
        <v>Buggy</v>
      </c>
      <c r="P41" s="12"/>
      <c r="Q41" s="12"/>
      <c r="R41" s="12"/>
      <c r="S41" s="12"/>
      <c r="T41" s="12"/>
      <c r="U41" s="12"/>
      <c r="V41" s="12"/>
    </row>
    <row r="42" spans="1:22" x14ac:dyDescent="0.35">
      <c r="A42" s="5" t="s">
        <v>122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1"/>
        <v>Buggy</v>
      </c>
      <c r="P42" s="12"/>
      <c r="Q42" s="12"/>
      <c r="R42" s="12"/>
      <c r="S42" s="12"/>
      <c r="T42" s="12"/>
      <c r="U42" s="12"/>
      <c r="V42" s="12"/>
    </row>
    <row r="43" spans="1:22" x14ac:dyDescent="0.35">
      <c r="A43" s="5" t="s">
        <v>123</v>
      </c>
      <c r="B43" s="6">
        <v>5.75</v>
      </c>
      <c r="C43" s="6">
        <v>68.5</v>
      </c>
      <c r="D43" s="6">
        <v>22.25</v>
      </c>
      <c r="E43" s="6">
        <v>7.62</v>
      </c>
      <c r="F43" s="6">
        <v>21.62</v>
      </c>
      <c r="G43" s="6">
        <v>4.38</v>
      </c>
      <c r="H43" s="6">
        <v>12</v>
      </c>
      <c r="I43" s="6">
        <v>43.88</v>
      </c>
      <c r="J43" s="6">
        <v>66.92</v>
      </c>
      <c r="K43" s="6">
        <v>0</v>
      </c>
      <c r="L43" s="6">
        <v>0</v>
      </c>
      <c r="M43" s="6">
        <v>0</v>
      </c>
      <c r="N43" s="6">
        <v>0</v>
      </c>
      <c r="O43" s="12" t="str">
        <f t="shared" si="1"/>
        <v>Buggy</v>
      </c>
      <c r="P43" s="12"/>
      <c r="Q43" s="12"/>
      <c r="R43" s="12"/>
      <c r="S43" s="12"/>
      <c r="T43" s="12"/>
      <c r="U43" s="12"/>
      <c r="V43" s="12"/>
    </row>
    <row r="44" spans="1:22" x14ac:dyDescent="0.35">
      <c r="A44" s="7" t="s">
        <v>124</v>
      </c>
      <c r="B44" s="8">
        <v>1</v>
      </c>
      <c r="C44" s="8">
        <v>74.569999999999993</v>
      </c>
      <c r="D44" s="8">
        <v>11</v>
      </c>
      <c r="E44" s="8">
        <v>9.86</v>
      </c>
      <c r="F44" s="8">
        <v>6.86</v>
      </c>
      <c r="G44" s="8">
        <v>2</v>
      </c>
      <c r="H44" s="8">
        <v>11.86</v>
      </c>
      <c r="I44" s="8">
        <v>17.86</v>
      </c>
      <c r="J44" s="8">
        <v>52.87</v>
      </c>
      <c r="K44" s="8">
        <v>2</v>
      </c>
      <c r="L44" s="8">
        <v>0.05</v>
      </c>
      <c r="M44" s="8">
        <v>30.41</v>
      </c>
      <c r="N44" s="8">
        <v>1.69</v>
      </c>
      <c r="O44" s="12" t="str">
        <f t="shared" si="1"/>
        <v>Buggy</v>
      </c>
      <c r="P44" s="12"/>
      <c r="Q44" s="12"/>
      <c r="R44" s="12"/>
      <c r="S44" s="12"/>
      <c r="T44" s="12"/>
      <c r="U44" s="12"/>
      <c r="V44" s="12"/>
    </row>
    <row r="45" spans="1:22" x14ac:dyDescent="0.35">
      <c r="A45" s="5" t="s">
        <v>125</v>
      </c>
      <c r="B45" s="6">
        <v>1</v>
      </c>
      <c r="C45" s="6">
        <v>74.569999999999993</v>
      </c>
      <c r="D45" s="6">
        <v>11</v>
      </c>
      <c r="E45" s="6">
        <v>9.86</v>
      </c>
      <c r="F45" s="6">
        <v>6.86</v>
      </c>
      <c r="G45" s="6">
        <v>2</v>
      </c>
      <c r="H45" s="6">
        <v>11.86</v>
      </c>
      <c r="I45" s="6">
        <v>17.86</v>
      </c>
      <c r="J45" s="6">
        <v>52.87</v>
      </c>
      <c r="K45" s="6">
        <v>2</v>
      </c>
      <c r="L45" s="6">
        <v>0.05</v>
      </c>
      <c r="M45" s="6">
        <v>30.41</v>
      </c>
      <c r="N45" s="6">
        <v>1.69</v>
      </c>
      <c r="O45" s="12" t="str">
        <f t="shared" si="1"/>
        <v>Buggy</v>
      </c>
      <c r="P45" s="12"/>
      <c r="Q45" s="12"/>
      <c r="R45" s="12"/>
      <c r="S45" s="12"/>
      <c r="T45" s="12"/>
      <c r="U45" s="12"/>
      <c r="V45" s="12"/>
    </row>
    <row r="46" spans="1:22" x14ac:dyDescent="0.35">
      <c r="A46" s="5" t="s">
        <v>126</v>
      </c>
      <c r="B46" s="6">
        <v>1</v>
      </c>
      <c r="C46" s="6">
        <v>74.569999999999993</v>
      </c>
      <c r="D46" s="6">
        <v>11</v>
      </c>
      <c r="E46" s="6">
        <v>9.86</v>
      </c>
      <c r="F46" s="6">
        <v>6.86</v>
      </c>
      <c r="G46" s="6">
        <v>2</v>
      </c>
      <c r="H46" s="6">
        <v>11.86</v>
      </c>
      <c r="I46" s="6">
        <v>17.86</v>
      </c>
      <c r="J46" s="6">
        <v>52.87</v>
      </c>
      <c r="K46" s="6">
        <v>2</v>
      </c>
      <c r="L46" s="6">
        <v>0.05</v>
      </c>
      <c r="M46" s="6">
        <v>30.41</v>
      </c>
      <c r="N46" s="6">
        <v>1.69</v>
      </c>
      <c r="O46" s="12" t="str">
        <f t="shared" si="1"/>
        <v>Buggy</v>
      </c>
      <c r="P46" s="12"/>
      <c r="Q46" s="12"/>
      <c r="R46" s="12"/>
      <c r="S46" s="12"/>
      <c r="T46" s="12"/>
      <c r="U46" s="12"/>
      <c r="V46" s="12"/>
    </row>
    <row r="47" spans="1:22" x14ac:dyDescent="0.35">
      <c r="A47" s="7" t="s">
        <v>127</v>
      </c>
      <c r="B47" s="8">
        <v>1</v>
      </c>
      <c r="C47" s="8">
        <v>74.569999999999993</v>
      </c>
      <c r="D47" s="8">
        <v>11</v>
      </c>
      <c r="E47" s="8">
        <v>9.86</v>
      </c>
      <c r="F47" s="8">
        <v>6.86</v>
      </c>
      <c r="G47" s="8">
        <v>2</v>
      </c>
      <c r="H47" s="8">
        <v>11.86</v>
      </c>
      <c r="I47" s="8">
        <v>17.86</v>
      </c>
      <c r="J47" s="8">
        <v>52.87</v>
      </c>
      <c r="K47" s="8">
        <v>2</v>
      </c>
      <c r="L47" s="8">
        <v>0.05</v>
      </c>
      <c r="M47" s="8">
        <v>30.41</v>
      </c>
      <c r="N47" s="8">
        <v>1.69</v>
      </c>
      <c r="O47" s="12" t="str">
        <f t="shared" si="1"/>
        <v>Buggy</v>
      </c>
      <c r="P47" s="12"/>
      <c r="Q47" s="12"/>
      <c r="R47" s="12"/>
      <c r="S47" s="12"/>
      <c r="T47" s="12"/>
      <c r="U47" s="12"/>
      <c r="V47" s="12"/>
    </row>
    <row r="48" spans="1:22" ht="15" thickBot="1" x14ac:dyDescent="0.4">
      <c r="A48" s="17" t="s">
        <v>128</v>
      </c>
      <c r="B48" s="18">
        <v>1</v>
      </c>
      <c r="C48" s="18">
        <v>74.569999999999993</v>
      </c>
      <c r="D48" s="18">
        <v>11</v>
      </c>
      <c r="E48" s="18">
        <v>9.86</v>
      </c>
      <c r="F48" s="18">
        <v>6.86</v>
      </c>
      <c r="G48" s="18">
        <v>2</v>
      </c>
      <c r="H48" s="18">
        <v>11.86</v>
      </c>
      <c r="I48" s="18">
        <v>17.86</v>
      </c>
      <c r="J48" s="18">
        <v>52.87</v>
      </c>
      <c r="K48" s="18">
        <v>2</v>
      </c>
      <c r="L48" s="18">
        <v>0.05</v>
      </c>
      <c r="M48" s="18">
        <v>30.41</v>
      </c>
      <c r="N48" s="18">
        <v>1.69</v>
      </c>
      <c r="O48" s="16" t="str">
        <f t="shared" si="1"/>
        <v>Buggy</v>
      </c>
      <c r="P48" s="16"/>
      <c r="Q48" s="16"/>
      <c r="R48" s="16"/>
      <c r="S48" s="16"/>
      <c r="T48" s="16"/>
      <c r="U48" s="16"/>
      <c r="V48" s="16"/>
    </row>
    <row r="49" spans="1:22" x14ac:dyDescent="0.35">
      <c r="A49" s="7" t="s">
        <v>129</v>
      </c>
      <c r="B49" s="8">
        <v>4.5999999999999996</v>
      </c>
      <c r="C49" s="8">
        <v>72</v>
      </c>
      <c r="D49" s="8">
        <v>16.420000000000002</v>
      </c>
      <c r="E49" s="8">
        <v>6.79</v>
      </c>
      <c r="F49" s="8">
        <v>15.15</v>
      </c>
      <c r="G49" s="8">
        <v>4.62</v>
      </c>
      <c r="H49" s="8">
        <v>11.42</v>
      </c>
      <c r="I49" s="8">
        <v>31.57</v>
      </c>
      <c r="J49" s="8">
        <v>57.34</v>
      </c>
      <c r="K49" s="8">
        <v>0.56999999999999995</v>
      </c>
      <c r="L49" s="8">
        <v>1.4999999999999999E-2</v>
      </c>
      <c r="M49" s="8">
        <v>13.16</v>
      </c>
      <c r="N49" s="8">
        <v>0.73</v>
      </c>
      <c r="O49" s="12" t="str">
        <f t="shared" si="1"/>
        <v>Manual</v>
      </c>
      <c r="P49" s="12">
        <v>2</v>
      </c>
      <c r="Q49" s="12">
        <v>23</v>
      </c>
      <c r="R49" s="12">
        <v>0</v>
      </c>
      <c r="S49" s="12">
        <v>0</v>
      </c>
      <c r="T49" s="12">
        <v>0</v>
      </c>
      <c r="U49" s="33">
        <v>23</v>
      </c>
      <c r="V49" s="33">
        <f>P49-1+Q49+R49+2*S49+2*T49</f>
        <v>24</v>
      </c>
    </row>
    <row r="50" spans="1:22" x14ac:dyDescent="0.35">
      <c r="A50" s="7" t="s">
        <v>130</v>
      </c>
      <c r="B50" s="8">
        <v>2.57</v>
      </c>
      <c r="C50" s="8">
        <v>80.36</v>
      </c>
      <c r="D50" s="8">
        <v>9.7899999999999991</v>
      </c>
      <c r="E50" s="8">
        <v>5.43</v>
      </c>
      <c r="F50" s="8">
        <v>8.43</v>
      </c>
      <c r="G50" s="8">
        <v>3.36</v>
      </c>
      <c r="H50" s="8">
        <v>8.7899999999999991</v>
      </c>
      <c r="I50" s="8">
        <v>18.21</v>
      </c>
      <c r="J50" s="8">
        <v>36.97</v>
      </c>
      <c r="K50" s="8">
        <v>0</v>
      </c>
      <c r="L50" s="8">
        <v>0</v>
      </c>
      <c r="M50" s="8">
        <v>0</v>
      </c>
      <c r="N50" s="8">
        <v>0</v>
      </c>
      <c r="O50" s="12" t="str">
        <f t="shared" si="1"/>
        <v>Manual</v>
      </c>
      <c r="P50" s="12">
        <v>4</v>
      </c>
      <c r="Q50" s="12">
        <v>7</v>
      </c>
      <c r="R50" s="12">
        <v>0</v>
      </c>
      <c r="S50" s="12">
        <v>8</v>
      </c>
      <c r="T50" s="12">
        <v>6</v>
      </c>
      <c r="U50" s="33">
        <v>17</v>
      </c>
      <c r="V50" s="33">
        <f t="shared" ref="V50:V98" si="2">P50-1+Q50+R50+2*S50+2*T50</f>
        <v>38</v>
      </c>
    </row>
    <row r="51" spans="1:22" x14ac:dyDescent="0.35">
      <c r="A51" s="7" t="s">
        <v>131</v>
      </c>
      <c r="B51" s="8">
        <v>2.57</v>
      </c>
      <c r="C51" s="8">
        <v>80.36</v>
      </c>
      <c r="D51" s="8">
        <v>9.7899999999999991</v>
      </c>
      <c r="E51" s="8">
        <v>5.43</v>
      </c>
      <c r="F51" s="8">
        <v>8.43</v>
      </c>
      <c r="G51" s="8">
        <v>3.36</v>
      </c>
      <c r="H51" s="8">
        <v>8.7899999999999991</v>
      </c>
      <c r="I51" s="8">
        <v>18.21</v>
      </c>
      <c r="J51" s="8">
        <v>36.97</v>
      </c>
      <c r="K51" s="8">
        <v>0</v>
      </c>
      <c r="L51" s="8">
        <v>0</v>
      </c>
      <c r="M51" s="8">
        <v>0</v>
      </c>
      <c r="N51" s="8">
        <v>0</v>
      </c>
      <c r="O51" s="12" t="str">
        <f t="shared" si="1"/>
        <v>Manual</v>
      </c>
      <c r="P51" s="12">
        <v>4</v>
      </c>
      <c r="Q51" s="12">
        <v>7</v>
      </c>
      <c r="R51" s="12">
        <v>0</v>
      </c>
      <c r="S51" s="12">
        <v>8</v>
      </c>
      <c r="T51" s="12">
        <v>6</v>
      </c>
      <c r="U51" s="33">
        <v>17</v>
      </c>
      <c r="V51" s="33">
        <f t="shared" si="2"/>
        <v>38</v>
      </c>
    </row>
    <row r="52" spans="1:22" x14ac:dyDescent="0.35">
      <c r="A52" s="5" t="s">
        <v>132</v>
      </c>
      <c r="B52" s="6">
        <v>2.57</v>
      </c>
      <c r="C52" s="6">
        <v>80.36</v>
      </c>
      <c r="D52" s="6">
        <v>9.7899999999999991</v>
      </c>
      <c r="E52" s="6">
        <v>5.43</v>
      </c>
      <c r="F52" s="6">
        <v>8.43</v>
      </c>
      <c r="G52" s="6">
        <v>3.36</v>
      </c>
      <c r="H52" s="6">
        <v>8.7899999999999991</v>
      </c>
      <c r="I52" s="6">
        <v>18.21</v>
      </c>
      <c r="J52" s="6">
        <v>36.97</v>
      </c>
      <c r="K52" s="6">
        <v>0</v>
      </c>
      <c r="L52" s="6">
        <v>0</v>
      </c>
      <c r="M52" s="6">
        <v>0</v>
      </c>
      <c r="N52" s="6">
        <v>0</v>
      </c>
      <c r="O52" s="12" t="str">
        <f t="shared" si="1"/>
        <v>Manual</v>
      </c>
      <c r="P52" s="12">
        <v>4</v>
      </c>
      <c r="Q52" s="12">
        <v>7</v>
      </c>
      <c r="R52" s="12">
        <v>0</v>
      </c>
      <c r="S52" s="12">
        <v>8</v>
      </c>
      <c r="T52" s="12">
        <v>6</v>
      </c>
      <c r="U52" s="33">
        <v>17</v>
      </c>
      <c r="V52" s="33">
        <f t="shared" si="2"/>
        <v>38</v>
      </c>
    </row>
    <row r="53" spans="1:22" x14ac:dyDescent="0.35">
      <c r="A53" s="5" t="s">
        <v>133</v>
      </c>
      <c r="B53" s="6">
        <v>2.57</v>
      </c>
      <c r="C53" s="6">
        <v>80.36</v>
      </c>
      <c r="D53" s="6">
        <v>9.7899999999999991</v>
      </c>
      <c r="E53" s="6">
        <v>5.43</v>
      </c>
      <c r="F53" s="6">
        <v>8.43</v>
      </c>
      <c r="G53" s="6">
        <v>3.36</v>
      </c>
      <c r="H53" s="6">
        <v>8.7899999999999991</v>
      </c>
      <c r="I53" s="6">
        <v>18.21</v>
      </c>
      <c r="J53" s="6">
        <v>36.97</v>
      </c>
      <c r="K53" s="6">
        <v>0</v>
      </c>
      <c r="L53" s="6">
        <v>0</v>
      </c>
      <c r="M53" s="6">
        <v>0</v>
      </c>
      <c r="N53" s="6">
        <v>0</v>
      </c>
      <c r="O53" s="12" t="str">
        <f t="shared" si="1"/>
        <v>Manual</v>
      </c>
      <c r="P53" s="12">
        <v>4</v>
      </c>
      <c r="Q53" s="12">
        <v>7</v>
      </c>
      <c r="R53" s="12">
        <v>0</v>
      </c>
      <c r="S53" s="12">
        <v>8</v>
      </c>
      <c r="T53" s="12">
        <v>6</v>
      </c>
      <c r="U53" s="33">
        <v>17</v>
      </c>
      <c r="V53" s="33">
        <f t="shared" si="2"/>
        <v>38</v>
      </c>
    </row>
    <row r="54" spans="1:22" x14ac:dyDescent="0.35">
      <c r="A54" s="5" t="s">
        <v>134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6.71</v>
      </c>
      <c r="G54" s="6">
        <v>2</v>
      </c>
      <c r="H54" s="6">
        <v>11.86</v>
      </c>
      <c r="I54" s="6">
        <v>17.71</v>
      </c>
      <c r="J54" s="6">
        <v>52.8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1"/>
        <v>Manual</v>
      </c>
      <c r="P54" s="12">
        <v>1</v>
      </c>
      <c r="Q54" s="12">
        <v>0</v>
      </c>
      <c r="R54" s="12">
        <v>0</v>
      </c>
      <c r="S54" s="12">
        <v>1</v>
      </c>
      <c r="T54" s="12">
        <v>0</v>
      </c>
      <c r="U54" s="33">
        <v>1</v>
      </c>
      <c r="V54" s="33">
        <f t="shared" si="2"/>
        <v>2</v>
      </c>
    </row>
    <row r="55" spans="1:22" x14ac:dyDescent="0.35">
      <c r="A55" s="5" t="s">
        <v>135</v>
      </c>
      <c r="B55" s="6">
        <v>1</v>
      </c>
      <c r="C55" s="6">
        <v>74.569999999999993</v>
      </c>
      <c r="D55" s="6">
        <v>11</v>
      </c>
      <c r="E55" s="6">
        <v>9.86</v>
      </c>
      <c r="F55" s="6">
        <v>6.71</v>
      </c>
      <c r="G55" s="6">
        <v>2</v>
      </c>
      <c r="H55" s="6">
        <v>11.86</v>
      </c>
      <c r="I55" s="6">
        <v>17.71</v>
      </c>
      <c r="J55" s="6">
        <v>52.8</v>
      </c>
      <c r="K55" s="6">
        <v>2</v>
      </c>
      <c r="L55" s="6">
        <v>0.05</v>
      </c>
      <c r="M55" s="6">
        <v>30.41</v>
      </c>
      <c r="N55" s="6">
        <v>1.69</v>
      </c>
      <c r="O55" s="12" t="str">
        <f t="shared" si="1"/>
        <v>Manual</v>
      </c>
      <c r="P55" s="12">
        <v>1</v>
      </c>
      <c r="Q55" s="12">
        <v>0</v>
      </c>
      <c r="R55" s="12">
        <v>0</v>
      </c>
      <c r="S55" s="12">
        <v>1</v>
      </c>
      <c r="T55" s="12">
        <v>0</v>
      </c>
      <c r="U55" s="33">
        <v>1</v>
      </c>
      <c r="V55" s="33">
        <f t="shared" si="2"/>
        <v>2</v>
      </c>
    </row>
    <row r="56" spans="1:22" x14ac:dyDescent="0.35">
      <c r="A56" s="5" t="s">
        <v>136</v>
      </c>
      <c r="B56" s="6">
        <v>1</v>
      </c>
      <c r="C56" s="6">
        <v>74.569999999999993</v>
      </c>
      <c r="D56" s="6">
        <v>11</v>
      </c>
      <c r="E56" s="6">
        <v>9.86</v>
      </c>
      <c r="F56" s="6">
        <v>6.71</v>
      </c>
      <c r="G56" s="6">
        <v>2</v>
      </c>
      <c r="H56" s="6">
        <v>11.86</v>
      </c>
      <c r="I56" s="6">
        <v>17.71</v>
      </c>
      <c r="J56" s="6">
        <v>52.8</v>
      </c>
      <c r="K56" s="6">
        <v>2</v>
      </c>
      <c r="L56" s="6">
        <v>0.05</v>
      </c>
      <c r="M56" s="6">
        <v>30.41</v>
      </c>
      <c r="N56" s="6">
        <v>1.69</v>
      </c>
      <c r="O56" s="12" t="str">
        <f t="shared" si="1"/>
        <v>Manual</v>
      </c>
      <c r="P56" s="12">
        <v>1</v>
      </c>
      <c r="Q56" s="12">
        <v>0</v>
      </c>
      <c r="R56" s="12">
        <v>0</v>
      </c>
      <c r="S56" s="12">
        <v>1</v>
      </c>
      <c r="T56" s="12">
        <v>0</v>
      </c>
      <c r="U56" s="33">
        <v>1</v>
      </c>
      <c r="V56" s="33">
        <f t="shared" si="2"/>
        <v>2</v>
      </c>
    </row>
    <row r="57" spans="1:22" x14ac:dyDescent="0.35">
      <c r="A57" s="7" t="s">
        <v>137</v>
      </c>
      <c r="B57" s="8">
        <v>1</v>
      </c>
      <c r="C57" s="8">
        <v>74.569999999999993</v>
      </c>
      <c r="D57" s="8">
        <v>11</v>
      </c>
      <c r="E57" s="8">
        <v>9.86</v>
      </c>
      <c r="F57" s="8">
        <v>6.71</v>
      </c>
      <c r="G57" s="8">
        <v>2</v>
      </c>
      <c r="H57" s="8">
        <v>11.86</v>
      </c>
      <c r="I57" s="8">
        <v>17.71</v>
      </c>
      <c r="J57" s="8">
        <v>52.8</v>
      </c>
      <c r="K57" s="8">
        <v>2</v>
      </c>
      <c r="L57" s="8">
        <v>0.05</v>
      </c>
      <c r="M57" s="8">
        <v>30.41</v>
      </c>
      <c r="N57" s="8">
        <v>1.69</v>
      </c>
      <c r="O57" s="12" t="str">
        <f t="shared" si="1"/>
        <v>Manual</v>
      </c>
      <c r="P57" s="12">
        <v>1</v>
      </c>
      <c r="Q57" s="12">
        <v>0</v>
      </c>
      <c r="R57" s="12">
        <v>0</v>
      </c>
      <c r="S57" s="12">
        <v>1</v>
      </c>
      <c r="T57" s="12">
        <v>0</v>
      </c>
      <c r="U57" s="33">
        <v>1</v>
      </c>
      <c r="V57" s="33">
        <f t="shared" si="2"/>
        <v>2</v>
      </c>
    </row>
    <row r="58" spans="1:22" x14ac:dyDescent="0.35">
      <c r="A58" s="5" t="s">
        <v>138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6.71</v>
      </c>
      <c r="G58" s="6">
        <v>2</v>
      </c>
      <c r="H58" s="6">
        <v>11.86</v>
      </c>
      <c r="I58" s="6">
        <v>17.71</v>
      </c>
      <c r="J58" s="6">
        <v>52.8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Manual</v>
      </c>
      <c r="P58" s="12">
        <v>1</v>
      </c>
      <c r="Q58" s="12">
        <v>0</v>
      </c>
      <c r="R58" s="12">
        <v>0</v>
      </c>
      <c r="S58" s="12">
        <v>1</v>
      </c>
      <c r="T58" s="12">
        <v>0</v>
      </c>
      <c r="U58" s="33">
        <v>1</v>
      </c>
      <c r="V58" s="33">
        <f t="shared" si="2"/>
        <v>2</v>
      </c>
    </row>
    <row r="59" spans="1:22" x14ac:dyDescent="0.35">
      <c r="A59" s="5" t="s">
        <v>139</v>
      </c>
      <c r="B59" s="6">
        <v>5.88</v>
      </c>
      <c r="C59" s="6">
        <v>68.5</v>
      </c>
      <c r="D59" s="6">
        <v>22.5</v>
      </c>
      <c r="E59" s="6">
        <v>7.62</v>
      </c>
      <c r="F59" s="6">
        <v>22</v>
      </c>
      <c r="G59" s="6">
        <v>4.38</v>
      </c>
      <c r="H59" s="6">
        <v>12</v>
      </c>
      <c r="I59" s="6">
        <v>44.5</v>
      </c>
      <c r="J59" s="6">
        <v>67.08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Manual</v>
      </c>
      <c r="P59" s="12">
        <v>1</v>
      </c>
      <c r="Q59" s="12">
        <v>0</v>
      </c>
      <c r="R59" s="12">
        <v>0</v>
      </c>
      <c r="S59" s="12">
        <v>1</v>
      </c>
      <c r="T59" s="12">
        <v>0</v>
      </c>
      <c r="U59" s="33">
        <v>1</v>
      </c>
      <c r="V59" s="33">
        <f t="shared" si="2"/>
        <v>2</v>
      </c>
    </row>
    <row r="60" spans="1:22" x14ac:dyDescent="0.35">
      <c r="A60" s="7" t="s">
        <v>140</v>
      </c>
      <c r="B60" s="8">
        <v>1</v>
      </c>
      <c r="C60" s="8">
        <v>74.569999999999993</v>
      </c>
      <c r="D60" s="8">
        <v>11</v>
      </c>
      <c r="E60" s="8">
        <v>9.86</v>
      </c>
      <c r="F60" s="8">
        <v>6.71</v>
      </c>
      <c r="G60" s="8">
        <v>2</v>
      </c>
      <c r="H60" s="8">
        <v>11.86</v>
      </c>
      <c r="I60" s="8">
        <v>17.71</v>
      </c>
      <c r="J60" s="8">
        <v>52.8</v>
      </c>
      <c r="K60" s="8">
        <v>2</v>
      </c>
      <c r="L60" s="8">
        <v>0.05</v>
      </c>
      <c r="M60" s="8">
        <v>30.41</v>
      </c>
      <c r="N60" s="8">
        <v>1.69</v>
      </c>
      <c r="O60" s="12" t="str">
        <f t="shared" ref="O60:O74" si="3">IF(NOT(ISERR(SEARCH("*_Buggy",$A60))), "Buggy", IF(NOT(ISERR(SEARCH("*_Manual",$A60))), "Manual", IF(NOT(ISERR(SEARCH("*_Auto",$A60))), "Auto", "")))</f>
        <v>Manual</v>
      </c>
      <c r="P60" s="12">
        <v>1</v>
      </c>
      <c r="Q60" s="12">
        <v>0</v>
      </c>
      <c r="R60" s="12">
        <v>0</v>
      </c>
      <c r="S60" s="12">
        <v>1</v>
      </c>
      <c r="T60" s="12">
        <v>0</v>
      </c>
      <c r="U60" s="33">
        <v>1</v>
      </c>
      <c r="V60" s="33">
        <f t="shared" si="2"/>
        <v>2</v>
      </c>
    </row>
    <row r="61" spans="1:22" x14ac:dyDescent="0.35">
      <c r="A61" s="5" t="s">
        <v>141</v>
      </c>
      <c r="B61" s="6">
        <v>1</v>
      </c>
      <c r="C61" s="6">
        <v>74.569999999999993</v>
      </c>
      <c r="D61" s="6">
        <v>11</v>
      </c>
      <c r="E61" s="6">
        <v>9.86</v>
      </c>
      <c r="F61" s="6">
        <v>6.71</v>
      </c>
      <c r="G61" s="6">
        <v>2</v>
      </c>
      <c r="H61" s="6">
        <v>11.86</v>
      </c>
      <c r="I61" s="6">
        <v>17.71</v>
      </c>
      <c r="J61" s="6">
        <v>52.8</v>
      </c>
      <c r="K61" s="6">
        <v>2</v>
      </c>
      <c r="L61" s="6">
        <v>0.05</v>
      </c>
      <c r="M61" s="6">
        <v>30.41</v>
      </c>
      <c r="N61" s="6">
        <v>1.69</v>
      </c>
      <c r="O61" s="12" t="str">
        <f t="shared" si="3"/>
        <v>Manual</v>
      </c>
      <c r="P61" s="12">
        <v>1</v>
      </c>
      <c r="Q61" s="12">
        <v>0</v>
      </c>
      <c r="R61" s="12">
        <v>0</v>
      </c>
      <c r="S61" s="12">
        <v>1</v>
      </c>
      <c r="T61" s="12">
        <v>0</v>
      </c>
      <c r="U61" s="33">
        <v>1</v>
      </c>
      <c r="V61" s="33">
        <f t="shared" si="2"/>
        <v>2</v>
      </c>
    </row>
    <row r="62" spans="1:22" x14ac:dyDescent="0.35">
      <c r="A62" s="7" t="s">
        <v>142</v>
      </c>
      <c r="B62" s="8">
        <v>1</v>
      </c>
      <c r="C62" s="8">
        <v>74.569999999999993</v>
      </c>
      <c r="D62" s="8">
        <v>11</v>
      </c>
      <c r="E62" s="8">
        <v>9.86</v>
      </c>
      <c r="F62" s="8">
        <v>6.71</v>
      </c>
      <c r="G62" s="8">
        <v>2</v>
      </c>
      <c r="H62" s="8">
        <v>11.86</v>
      </c>
      <c r="I62" s="8">
        <v>17.71</v>
      </c>
      <c r="J62" s="8">
        <v>52.8</v>
      </c>
      <c r="K62" s="8">
        <v>2</v>
      </c>
      <c r="L62" s="8">
        <v>0.05</v>
      </c>
      <c r="M62" s="8">
        <v>30.41</v>
      </c>
      <c r="N62" s="8">
        <v>1.69</v>
      </c>
      <c r="O62" s="12" t="str">
        <f t="shared" si="3"/>
        <v>Manual</v>
      </c>
      <c r="P62" s="12">
        <v>1</v>
      </c>
      <c r="Q62" s="12">
        <v>0</v>
      </c>
      <c r="R62" s="12">
        <v>0</v>
      </c>
      <c r="S62" s="12">
        <v>1</v>
      </c>
      <c r="T62" s="12">
        <v>0</v>
      </c>
      <c r="U62" s="33">
        <v>1</v>
      </c>
      <c r="V62" s="33">
        <f t="shared" si="2"/>
        <v>2</v>
      </c>
    </row>
    <row r="63" spans="1:22" x14ac:dyDescent="0.35">
      <c r="A63" s="5" t="s">
        <v>143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6.71</v>
      </c>
      <c r="G63" s="6">
        <v>2</v>
      </c>
      <c r="H63" s="6">
        <v>11.86</v>
      </c>
      <c r="I63" s="6">
        <v>17.71</v>
      </c>
      <c r="J63" s="6">
        <v>52.8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3"/>
        <v>Manual</v>
      </c>
      <c r="P63" s="12">
        <v>1</v>
      </c>
      <c r="Q63" s="12">
        <v>0</v>
      </c>
      <c r="R63" s="12">
        <v>0</v>
      </c>
      <c r="S63" s="12">
        <v>1</v>
      </c>
      <c r="T63" s="12">
        <v>0</v>
      </c>
      <c r="U63" s="33">
        <v>1</v>
      </c>
      <c r="V63" s="33">
        <f t="shared" si="2"/>
        <v>2</v>
      </c>
    </row>
    <row r="64" spans="1:22" x14ac:dyDescent="0.35">
      <c r="A64" s="5" t="s">
        <v>144</v>
      </c>
      <c r="B64" s="6">
        <v>1</v>
      </c>
      <c r="C64" s="6">
        <v>74.569999999999993</v>
      </c>
      <c r="D64" s="6">
        <v>11</v>
      </c>
      <c r="E64" s="6">
        <v>9.86</v>
      </c>
      <c r="F64" s="6">
        <v>6.71</v>
      </c>
      <c r="G64" s="6">
        <v>2</v>
      </c>
      <c r="H64" s="6">
        <v>11.86</v>
      </c>
      <c r="I64" s="6">
        <v>17.71</v>
      </c>
      <c r="J64" s="6">
        <v>52.8</v>
      </c>
      <c r="K64" s="6">
        <v>2</v>
      </c>
      <c r="L64" s="6">
        <v>0.05</v>
      </c>
      <c r="M64" s="6">
        <v>30.41</v>
      </c>
      <c r="N64" s="6">
        <v>1.69</v>
      </c>
      <c r="O64" s="12" t="str">
        <f t="shared" si="3"/>
        <v>Manual</v>
      </c>
      <c r="P64" s="12">
        <v>1</v>
      </c>
      <c r="Q64" s="12">
        <v>0</v>
      </c>
      <c r="R64" s="12">
        <v>0</v>
      </c>
      <c r="S64" s="12">
        <v>1</v>
      </c>
      <c r="T64" s="12">
        <v>0</v>
      </c>
      <c r="U64" s="33">
        <v>1</v>
      </c>
      <c r="V64" s="33">
        <f t="shared" si="2"/>
        <v>2</v>
      </c>
    </row>
    <row r="65" spans="1:32" x14ac:dyDescent="0.35">
      <c r="A65" s="7" t="s">
        <v>145</v>
      </c>
      <c r="B65" s="8">
        <v>4.5999999999999996</v>
      </c>
      <c r="C65" s="8">
        <v>72</v>
      </c>
      <c r="D65" s="8">
        <v>16.420000000000002</v>
      </c>
      <c r="E65" s="8">
        <v>6.79</v>
      </c>
      <c r="F65" s="8">
        <v>15.15</v>
      </c>
      <c r="G65" s="8">
        <v>4.62</v>
      </c>
      <c r="H65" s="8">
        <v>11.42</v>
      </c>
      <c r="I65" s="8">
        <v>31.57</v>
      </c>
      <c r="J65" s="8">
        <v>57.34</v>
      </c>
      <c r="K65" s="8">
        <v>0.56999999999999995</v>
      </c>
      <c r="L65" s="8">
        <v>1.4999999999999999E-2</v>
      </c>
      <c r="M65" s="8">
        <v>13.16</v>
      </c>
      <c r="N65" s="8">
        <v>0.73</v>
      </c>
      <c r="O65" s="12" t="str">
        <f t="shared" si="3"/>
        <v>Manual</v>
      </c>
      <c r="P65" s="12">
        <v>2</v>
      </c>
      <c r="Q65" s="12">
        <v>23</v>
      </c>
      <c r="R65" s="12">
        <v>0</v>
      </c>
      <c r="S65" s="12">
        <v>0</v>
      </c>
      <c r="T65" s="12">
        <v>0</v>
      </c>
      <c r="U65" s="33">
        <v>23</v>
      </c>
      <c r="V65" s="33">
        <f t="shared" si="2"/>
        <v>24</v>
      </c>
    </row>
    <row r="66" spans="1:32" x14ac:dyDescent="0.35">
      <c r="A66" s="5" t="s">
        <v>146</v>
      </c>
      <c r="B66" s="6">
        <v>3</v>
      </c>
      <c r="C66" s="6">
        <v>83.33</v>
      </c>
      <c r="D66" s="6">
        <v>6.67</v>
      </c>
      <c r="E66" s="6">
        <v>4.67</v>
      </c>
      <c r="F66" s="6">
        <v>6</v>
      </c>
      <c r="G66" s="6">
        <v>2.33</v>
      </c>
      <c r="H66" s="6">
        <v>7</v>
      </c>
      <c r="I66" s="6">
        <v>12.67</v>
      </c>
      <c r="J66" s="6">
        <v>26.04</v>
      </c>
      <c r="K66" s="6">
        <v>0</v>
      </c>
      <c r="L66" s="6">
        <v>0</v>
      </c>
      <c r="M66" s="6">
        <v>0</v>
      </c>
      <c r="N66" s="6">
        <v>0</v>
      </c>
      <c r="O66" s="12" t="str">
        <f t="shared" si="3"/>
        <v>Manual</v>
      </c>
      <c r="P66" s="12">
        <v>1</v>
      </c>
      <c r="Q66" s="12">
        <v>3</v>
      </c>
      <c r="R66" s="12">
        <v>0</v>
      </c>
      <c r="S66" s="12">
        <v>36</v>
      </c>
      <c r="T66" s="12">
        <v>36</v>
      </c>
      <c r="U66" s="33">
        <v>47</v>
      </c>
      <c r="V66" s="33">
        <f t="shared" si="2"/>
        <v>147</v>
      </c>
    </row>
    <row r="67" spans="1:32" x14ac:dyDescent="0.35">
      <c r="A67" s="7" t="s">
        <v>147</v>
      </c>
      <c r="B67" s="8">
        <v>1</v>
      </c>
      <c r="C67" s="8">
        <v>74.569999999999993</v>
      </c>
      <c r="D67" s="8">
        <v>11</v>
      </c>
      <c r="E67" s="8">
        <v>9.86</v>
      </c>
      <c r="F67" s="8">
        <v>6.71</v>
      </c>
      <c r="G67" s="8">
        <v>2</v>
      </c>
      <c r="H67" s="8">
        <v>11.86</v>
      </c>
      <c r="I67" s="8">
        <v>17.71</v>
      </c>
      <c r="J67" s="8">
        <v>52.8</v>
      </c>
      <c r="K67" s="8">
        <v>2</v>
      </c>
      <c r="L67" s="8">
        <v>0.05</v>
      </c>
      <c r="M67" s="8">
        <v>30.41</v>
      </c>
      <c r="N67" s="8">
        <v>1.69</v>
      </c>
      <c r="O67" s="12" t="str">
        <f t="shared" si="3"/>
        <v>Manual</v>
      </c>
      <c r="P67" s="12">
        <v>1</v>
      </c>
      <c r="Q67" s="12">
        <v>0</v>
      </c>
      <c r="R67" s="12">
        <v>0</v>
      </c>
      <c r="S67" s="12">
        <v>1</v>
      </c>
      <c r="T67" s="12">
        <v>0</v>
      </c>
      <c r="U67" s="33">
        <v>1</v>
      </c>
      <c r="V67" s="33">
        <f t="shared" si="2"/>
        <v>2</v>
      </c>
    </row>
    <row r="68" spans="1:32" x14ac:dyDescent="0.35">
      <c r="A68" s="7" t="s">
        <v>148</v>
      </c>
      <c r="B68" s="8">
        <v>5.88</v>
      </c>
      <c r="C68" s="8">
        <v>68.5</v>
      </c>
      <c r="D68" s="8">
        <v>22.5</v>
      </c>
      <c r="E68" s="8">
        <v>7.62</v>
      </c>
      <c r="F68" s="8">
        <v>22</v>
      </c>
      <c r="G68" s="8">
        <v>4.38</v>
      </c>
      <c r="H68" s="8">
        <v>12</v>
      </c>
      <c r="I68" s="8">
        <v>44.5</v>
      </c>
      <c r="J68" s="8">
        <v>67.08</v>
      </c>
      <c r="K68" s="8">
        <v>0</v>
      </c>
      <c r="L68" s="8">
        <v>0</v>
      </c>
      <c r="M68" s="8">
        <v>0</v>
      </c>
      <c r="N68" s="8">
        <v>0</v>
      </c>
      <c r="O68" s="12" t="str">
        <f t="shared" si="3"/>
        <v>Manual</v>
      </c>
      <c r="P68" s="12">
        <v>1</v>
      </c>
      <c r="Q68" s="12">
        <v>0</v>
      </c>
      <c r="R68" s="12">
        <v>0</v>
      </c>
      <c r="S68" s="12">
        <v>1</v>
      </c>
      <c r="T68" s="12">
        <v>0</v>
      </c>
      <c r="U68" s="33">
        <v>1</v>
      </c>
      <c r="V68" s="33">
        <f t="shared" si="2"/>
        <v>2</v>
      </c>
    </row>
    <row r="69" spans="1:32" x14ac:dyDescent="0.35">
      <c r="A69" s="7" t="s">
        <v>149</v>
      </c>
      <c r="B69" s="8">
        <v>1</v>
      </c>
      <c r="C69" s="8">
        <v>74.569999999999993</v>
      </c>
      <c r="D69" s="8">
        <v>11</v>
      </c>
      <c r="E69" s="8">
        <v>9.86</v>
      </c>
      <c r="F69" s="8">
        <v>6.71</v>
      </c>
      <c r="G69" s="8">
        <v>2</v>
      </c>
      <c r="H69" s="8">
        <v>11.86</v>
      </c>
      <c r="I69" s="8">
        <v>17.71</v>
      </c>
      <c r="J69" s="8">
        <v>52.8</v>
      </c>
      <c r="K69" s="8">
        <v>2</v>
      </c>
      <c r="L69" s="8">
        <v>0.05</v>
      </c>
      <c r="M69" s="8">
        <v>30.41</v>
      </c>
      <c r="N69" s="8">
        <v>1.69</v>
      </c>
      <c r="O69" s="12" t="str">
        <f t="shared" si="3"/>
        <v>Manual</v>
      </c>
      <c r="P69" s="12">
        <v>1</v>
      </c>
      <c r="Q69" s="12">
        <v>0</v>
      </c>
      <c r="R69" s="12">
        <v>0</v>
      </c>
      <c r="S69" s="12">
        <v>1</v>
      </c>
      <c r="T69" s="12">
        <v>0</v>
      </c>
      <c r="U69" s="33">
        <v>1</v>
      </c>
      <c r="V69" s="33">
        <f t="shared" si="2"/>
        <v>2</v>
      </c>
    </row>
    <row r="70" spans="1:32" x14ac:dyDescent="0.35">
      <c r="A70" s="5" t="s">
        <v>150</v>
      </c>
      <c r="B70" s="6">
        <v>1</v>
      </c>
      <c r="C70" s="6">
        <v>74.569999999999993</v>
      </c>
      <c r="D70" s="6">
        <v>11</v>
      </c>
      <c r="E70" s="6">
        <v>9.86</v>
      </c>
      <c r="F70" s="6">
        <v>6.71</v>
      </c>
      <c r="G70" s="6">
        <v>2</v>
      </c>
      <c r="H70" s="6">
        <v>11.86</v>
      </c>
      <c r="I70" s="6">
        <v>17.71</v>
      </c>
      <c r="J70" s="6">
        <v>52.8</v>
      </c>
      <c r="K70" s="6">
        <v>2</v>
      </c>
      <c r="L70" s="6">
        <v>0.05</v>
      </c>
      <c r="M70" s="6">
        <v>30.41</v>
      </c>
      <c r="N70" s="6">
        <v>1.69</v>
      </c>
      <c r="O70" s="12" t="str">
        <f t="shared" si="3"/>
        <v>Manual</v>
      </c>
      <c r="P70" s="12">
        <v>1</v>
      </c>
      <c r="Q70" s="12">
        <v>0</v>
      </c>
      <c r="R70" s="12">
        <v>0</v>
      </c>
      <c r="S70" s="12">
        <v>1</v>
      </c>
      <c r="T70" s="12">
        <v>0</v>
      </c>
      <c r="U70" s="33">
        <v>1</v>
      </c>
      <c r="V70" s="33">
        <f t="shared" si="2"/>
        <v>2</v>
      </c>
    </row>
    <row r="71" spans="1:32" x14ac:dyDescent="0.35">
      <c r="A71" s="5" t="s">
        <v>151</v>
      </c>
      <c r="B71" s="6">
        <v>1</v>
      </c>
      <c r="C71" s="6">
        <v>74.569999999999993</v>
      </c>
      <c r="D71" s="6">
        <v>11</v>
      </c>
      <c r="E71" s="6">
        <v>9.86</v>
      </c>
      <c r="F71" s="6">
        <v>6.71</v>
      </c>
      <c r="G71" s="6">
        <v>2</v>
      </c>
      <c r="H71" s="6">
        <v>11.86</v>
      </c>
      <c r="I71" s="6">
        <v>17.71</v>
      </c>
      <c r="J71" s="6">
        <v>52.8</v>
      </c>
      <c r="K71" s="6">
        <v>2</v>
      </c>
      <c r="L71" s="6">
        <v>0.05</v>
      </c>
      <c r="M71" s="6">
        <v>30.41</v>
      </c>
      <c r="N71" s="6">
        <v>1.69</v>
      </c>
      <c r="O71" s="12" t="str">
        <f t="shared" si="3"/>
        <v>Manual</v>
      </c>
      <c r="P71" s="12">
        <v>1</v>
      </c>
      <c r="Q71" s="12">
        <v>0</v>
      </c>
      <c r="R71" s="12">
        <v>0</v>
      </c>
      <c r="S71" s="12">
        <v>1</v>
      </c>
      <c r="T71" s="12">
        <v>0</v>
      </c>
      <c r="U71" s="33">
        <v>1</v>
      </c>
      <c r="V71" s="33">
        <f t="shared" si="2"/>
        <v>2</v>
      </c>
    </row>
    <row r="72" spans="1:32" x14ac:dyDescent="0.35">
      <c r="A72" s="7" t="s">
        <v>152</v>
      </c>
      <c r="B72" s="8">
        <v>1</v>
      </c>
      <c r="C72" s="8">
        <v>74.569999999999993</v>
      </c>
      <c r="D72" s="8">
        <v>11</v>
      </c>
      <c r="E72" s="8">
        <v>9.86</v>
      </c>
      <c r="F72" s="8">
        <v>6.71</v>
      </c>
      <c r="G72" s="8">
        <v>2</v>
      </c>
      <c r="H72" s="8">
        <v>11.86</v>
      </c>
      <c r="I72" s="8">
        <v>17.71</v>
      </c>
      <c r="J72" s="8">
        <v>52.8</v>
      </c>
      <c r="K72" s="8">
        <v>2</v>
      </c>
      <c r="L72" s="8">
        <v>0.05</v>
      </c>
      <c r="M72" s="8">
        <v>30.41</v>
      </c>
      <c r="N72" s="8">
        <v>1.69</v>
      </c>
      <c r="O72" s="12" t="str">
        <f t="shared" si="3"/>
        <v>Manual</v>
      </c>
      <c r="P72" s="12">
        <v>1</v>
      </c>
      <c r="Q72" s="12">
        <v>0</v>
      </c>
      <c r="R72" s="12">
        <v>0</v>
      </c>
      <c r="S72" s="12">
        <v>1</v>
      </c>
      <c r="T72" s="12">
        <v>0</v>
      </c>
      <c r="U72" s="33">
        <v>1</v>
      </c>
      <c r="V72" s="33">
        <f t="shared" si="2"/>
        <v>2</v>
      </c>
    </row>
    <row r="73" spans="1:32" ht="29.4" thickBot="1" x14ac:dyDescent="0.4">
      <c r="A73" s="14" t="s">
        <v>153</v>
      </c>
      <c r="B73" s="15">
        <v>1</v>
      </c>
      <c r="C73" s="15">
        <v>74.569999999999993</v>
      </c>
      <c r="D73" s="15">
        <v>11</v>
      </c>
      <c r="E73" s="15">
        <v>9.86</v>
      </c>
      <c r="F73" s="15">
        <v>6.71</v>
      </c>
      <c r="G73" s="15">
        <v>2</v>
      </c>
      <c r="H73" s="15">
        <v>11.86</v>
      </c>
      <c r="I73" s="15">
        <v>17.71</v>
      </c>
      <c r="J73" s="15">
        <v>52.8</v>
      </c>
      <c r="K73" s="15">
        <v>2</v>
      </c>
      <c r="L73" s="15">
        <v>0.05</v>
      </c>
      <c r="M73" s="15">
        <v>30.41</v>
      </c>
      <c r="N73" s="15">
        <v>1.69</v>
      </c>
      <c r="O73" s="16" t="str">
        <f t="shared" si="3"/>
        <v>Manual</v>
      </c>
      <c r="P73" s="16">
        <v>1</v>
      </c>
      <c r="Q73" s="16">
        <v>0</v>
      </c>
      <c r="R73" s="16">
        <v>0</v>
      </c>
      <c r="S73" s="16">
        <v>1</v>
      </c>
      <c r="T73" s="16">
        <v>0</v>
      </c>
      <c r="U73" s="34">
        <v>1</v>
      </c>
      <c r="V73" s="34">
        <f t="shared" si="2"/>
        <v>2</v>
      </c>
      <c r="X73" s="28" t="s">
        <v>58</v>
      </c>
      <c r="Y73" s="28" t="s">
        <v>59</v>
      </c>
      <c r="Z73" s="28" t="s">
        <v>56</v>
      </c>
      <c r="AA73" s="28" t="s">
        <v>57</v>
      </c>
      <c r="AB73"/>
      <c r="AC73" s="28" t="s">
        <v>201</v>
      </c>
      <c r="AD73" s="28" t="s">
        <v>202</v>
      </c>
      <c r="AE73" s="28" t="s">
        <v>203</v>
      </c>
      <c r="AF73" s="28" t="s">
        <v>204</v>
      </c>
    </row>
    <row r="74" spans="1:32" ht="15" x14ac:dyDescent="0.35">
      <c r="A74" s="7" t="s">
        <v>154</v>
      </c>
      <c r="B74" s="8">
        <v>4.58</v>
      </c>
      <c r="C74" s="8">
        <v>72.27</v>
      </c>
      <c r="D74" s="8">
        <v>16.25</v>
      </c>
      <c r="E74" s="8">
        <v>6.73</v>
      </c>
      <c r="F74" s="8">
        <v>15.1</v>
      </c>
      <c r="G74" s="8">
        <v>4.63</v>
      </c>
      <c r="H74" s="8">
        <v>11.37</v>
      </c>
      <c r="I74" s="8">
        <v>31.35</v>
      </c>
      <c r="J74" s="8">
        <v>56.96</v>
      </c>
      <c r="K74" s="8">
        <v>0.52</v>
      </c>
      <c r="L74" s="8">
        <v>1.4999999999999999E-2</v>
      </c>
      <c r="M74" s="8">
        <v>11.87</v>
      </c>
      <c r="N74" s="8">
        <v>0.66</v>
      </c>
      <c r="O74" s="12" t="str">
        <f t="shared" si="3"/>
        <v>Auto</v>
      </c>
      <c r="P74" s="12">
        <v>1</v>
      </c>
      <c r="Q74" s="12">
        <v>0</v>
      </c>
      <c r="R74" s="12">
        <v>1</v>
      </c>
      <c r="S74" s="12">
        <v>0</v>
      </c>
      <c r="T74" s="12">
        <v>0</v>
      </c>
      <c r="U74" s="33">
        <v>1</v>
      </c>
      <c r="V74" s="37">
        <f t="shared" si="2"/>
        <v>1</v>
      </c>
      <c r="X74" t="str">
        <f t="shared" ref="X74:X98" si="4">IF(AND($P49=1,$P74=1,$U49=1,$U74=1), "YES", "NO")</f>
        <v>NO</v>
      </c>
      <c r="Y74" t="str">
        <f t="shared" ref="Y74:Y98" si="5">IF(AND($P49=1,$P74=1,$U49&gt;1,$U74&gt;1), "YES", "NO")</f>
        <v>NO</v>
      </c>
      <c r="Z74" t="str">
        <f t="shared" ref="Z74:Z98" si="6">IF(AND(P49&gt;1,P74&gt;1,P49=U49,P74=U74), "YES", "NO")</f>
        <v>NO</v>
      </c>
      <c r="AA74" t="str">
        <f t="shared" ref="AA74:AA98" si="7">IF(AND(P49&gt;1,P74&gt;1,P49&lt;U49,P74&lt;U74), "YES", "NO")</f>
        <v>NO</v>
      </c>
      <c r="AB74"/>
      <c r="AC74" s="40" t="str">
        <f>IF(OR(X74="YES", Y74="YES"), "YES", "NO")</f>
        <v>NO</v>
      </c>
      <c r="AD74" s="40" t="str">
        <f>IF(OR(Z74="YES", AA74="YES"), "YES", "NO")</f>
        <v>NO</v>
      </c>
      <c r="AE74" s="1" t="str">
        <f>X74</f>
        <v>NO</v>
      </c>
      <c r="AF74" s="40" t="str">
        <f>IF(OR(Y74="YES", AA74="YES"), "YES", "NO")</f>
        <v>NO</v>
      </c>
    </row>
    <row r="75" spans="1:32" ht="15" x14ac:dyDescent="0.35">
      <c r="A75" s="5" t="s">
        <v>156</v>
      </c>
      <c r="B75" s="6">
        <v>2.62</v>
      </c>
      <c r="C75" s="6">
        <v>79.92</v>
      </c>
      <c r="D75" s="6">
        <v>10.15</v>
      </c>
      <c r="E75" s="6">
        <v>5.54</v>
      </c>
      <c r="F75" s="6">
        <v>8.5399999999999991</v>
      </c>
      <c r="G75" s="6">
        <v>3.31</v>
      </c>
      <c r="H75" s="6">
        <v>8.85</v>
      </c>
      <c r="I75" s="6">
        <v>18.690000000000001</v>
      </c>
      <c r="J75" s="6">
        <v>37.54</v>
      </c>
      <c r="K75" s="6">
        <v>0</v>
      </c>
      <c r="L75" s="6">
        <v>0</v>
      </c>
      <c r="M75" s="6">
        <v>0</v>
      </c>
      <c r="N75" s="6">
        <v>0</v>
      </c>
      <c r="O75" s="12" t="str">
        <f t="shared" ref="O75:O98" si="8">IF(NOT(ISERR(SEARCH("*_Buggy",$A75))), "Buggy", IF(NOT(ISERR(SEARCH("*_Manual",$A75))), "Manual", IF(NOT(ISERR(SEARCH("*_Auto",$A75))), "Auto", "")))</f>
        <v>Auto</v>
      </c>
      <c r="P75" s="12">
        <v>2</v>
      </c>
      <c r="Q75" s="12">
        <v>1</v>
      </c>
      <c r="R75" s="12">
        <v>1</v>
      </c>
      <c r="S75" s="12">
        <v>1</v>
      </c>
      <c r="T75" s="12">
        <v>0</v>
      </c>
      <c r="U75" s="33">
        <v>3</v>
      </c>
      <c r="V75" s="33">
        <f t="shared" si="2"/>
        <v>5</v>
      </c>
      <c r="X75" t="str">
        <f t="shared" si="4"/>
        <v>NO</v>
      </c>
      <c r="Y75" t="str">
        <f t="shared" si="5"/>
        <v>NO</v>
      </c>
      <c r="Z75" t="str">
        <f t="shared" si="6"/>
        <v>NO</v>
      </c>
      <c r="AA75" t="str">
        <f t="shared" si="7"/>
        <v>YES</v>
      </c>
      <c r="AB75"/>
      <c r="AC75" s="40" t="str">
        <f t="shared" ref="AC75:AC98" si="9">IF(OR(X75="YES", Y75="YES"), "YES", "NO")</f>
        <v>NO</v>
      </c>
      <c r="AD75" s="40" t="str">
        <f t="shared" ref="AD75:AD98" si="10">IF(OR(Z75="YES", AA75="YES"), "YES", "NO")</f>
        <v>YES</v>
      </c>
      <c r="AE75" s="1" t="str">
        <f t="shared" ref="AE75:AE98" si="11">X75</f>
        <v>NO</v>
      </c>
      <c r="AF75" s="40" t="str">
        <f t="shared" ref="AF75:AF98" si="12">IF(OR(Y75="YES", AA75="YES"), "YES", "NO")</f>
        <v>YES</v>
      </c>
    </row>
    <row r="76" spans="1:32" ht="15" x14ac:dyDescent="0.35">
      <c r="A76" s="7" t="s">
        <v>157</v>
      </c>
      <c r="B76" s="8">
        <v>2.46</v>
      </c>
      <c r="C76" s="8">
        <v>80.23</v>
      </c>
      <c r="D76" s="8">
        <v>9.92</v>
      </c>
      <c r="E76" s="8">
        <v>5.54</v>
      </c>
      <c r="F76" s="8">
        <v>8.08</v>
      </c>
      <c r="G76" s="8">
        <v>3</v>
      </c>
      <c r="H76" s="8">
        <v>8.5399999999999991</v>
      </c>
      <c r="I76" s="8">
        <v>18</v>
      </c>
      <c r="J76" s="8">
        <v>35.54</v>
      </c>
      <c r="K76" s="8">
        <v>0</v>
      </c>
      <c r="L76" s="8">
        <v>0</v>
      </c>
      <c r="M76" s="8">
        <v>0</v>
      </c>
      <c r="N76" s="8">
        <v>0</v>
      </c>
      <c r="O76" s="12" t="str">
        <f t="shared" si="8"/>
        <v>Auto</v>
      </c>
      <c r="P76" s="12">
        <v>3</v>
      </c>
      <c r="Q76" s="12">
        <v>0</v>
      </c>
      <c r="R76" s="12">
        <v>6</v>
      </c>
      <c r="S76" s="12">
        <v>0</v>
      </c>
      <c r="T76" s="12">
        <v>0</v>
      </c>
      <c r="U76" s="33">
        <v>6</v>
      </c>
      <c r="V76" s="33">
        <f t="shared" si="2"/>
        <v>8</v>
      </c>
      <c r="X76" t="str">
        <f t="shared" si="4"/>
        <v>NO</v>
      </c>
      <c r="Y76" t="str">
        <f t="shared" si="5"/>
        <v>NO</v>
      </c>
      <c r="Z76" t="str">
        <f t="shared" si="6"/>
        <v>NO</v>
      </c>
      <c r="AA76" t="str">
        <f t="shared" si="7"/>
        <v>YES</v>
      </c>
      <c r="AB76"/>
      <c r="AC76" s="40" t="str">
        <f t="shared" si="9"/>
        <v>NO</v>
      </c>
      <c r="AD76" s="40" t="str">
        <f t="shared" si="10"/>
        <v>YES</v>
      </c>
      <c r="AE76" s="1" t="str">
        <f t="shared" si="11"/>
        <v>NO</v>
      </c>
      <c r="AF76" s="40" t="str">
        <f t="shared" si="12"/>
        <v>YES</v>
      </c>
    </row>
    <row r="77" spans="1:32" ht="15" x14ac:dyDescent="0.35">
      <c r="A77" s="7" t="s">
        <v>158</v>
      </c>
      <c r="B77" s="8">
        <v>2.54</v>
      </c>
      <c r="C77" s="8">
        <v>80.38</v>
      </c>
      <c r="D77" s="8">
        <v>10.08</v>
      </c>
      <c r="E77" s="8">
        <v>5.46</v>
      </c>
      <c r="F77" s="8">
        <v>8.3800000000000008</v>
      </c>
      <c r="G77" s="8">
        <v>3.15</v>
      </c>
      <c r="H77" s="8">
        <v>8.6199999999999992</v>
      </c>
      <c r="I77" s="8">
        <v>18.46</v>
      </c>
      <c r="J77" s="8">
        <v>36.49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8"/>
        <v>Auto</v>
      </c>
      <c r="P77" s="12">
        <v>2</v>
      </c>
      <c r="Q77" s="12">
        <v>0</v>
      </c>
      <c r="R77" s="12">
        <v>2</v>
      </c>
      <c r="S77" s="12">
        <v>0</v>
      </c>
      <c r="T77" s="12">
        <v>0</v>
      </c>
      <c r="U77" s="33">
        <v>2</v>
      </c>
      <c r="V77" s="33">
        <f t="shared" si="2"/>
        <v>3</v>
      </c>
      <c r="X77" t="str">
        <f t="shared" si="4"/>
        <v>NO</v>
      </c>
      <c r="Y77" t="str">
        <f t="shared" si="5"/>
        <v>NO</v>
      </c>
      <c r="Z77" t="str">
        <f t="shared" si="6"/>
        <v>NO</v>
      </c>
      <c r="AA77" t="str">
        <f t="shared" si="7"/>
        <v>NO</v>
      </c>
      <c r="AB77"/>
      <c r="AC77" s="40" t="str">
        <f t="shared" si="9"/>
        <v>NO</v>
      </c>
      <c r="AD77" s="40" t="str">
        <f t="shared" si="10"/>
        <v>NO</v>
      </c>
      <c r="AE77" s="1" t="str">
        <f t="shared" si="11"/>
        <v>NO</v>
      </c>
      <c r="AF77" s="40" t="str">
        <f t="shared" si="12"/>
        <v>NO</v>
      </c>
    </row>
    <row r="78" spans="1:32" ht="15" x14ac:dyDescent="0.35">
      <c r="A78" s="7" t="s">
        <v>159</v>
      </c>
      <c r="B78" s="8">
        <v>2.46</v>
      </c>
      <c r="C78" s="8">
        <v>80.150000000000006</v>
      </c>
      <c r="D78" s="8">
        <v>9.92</v>
      </c>
      <c r="E78" s="8">
        <v>5.54</v>
      </c>
      <c r="F78" s="8">
        <v>8.08</v>
      </c>
      <c r="G78" s="8">
        <v>3</v>
      </c>
      <c r="H78" s="8">
        <v>8.5399999999999991</v>
      </c>
      <c r="I78" s="8">
        <v>18</v>
      </c>
      <c r="J78" s="8">
        <v>35.54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8"/>
        <v>Auto</v>
      </c>
      <c r="P78" s="12">
        <v>2</v>
      </c>
      <c r="Q78" s="12">
        <v>0</v>
      </c>
      <c r="R78" s="12">
        <v>5</v>
      </c>
      <c r="S78" s="12">
        <v>0</v>
      </c>
      <c r="T78" s="12">
        <v>0</v>
      </c>
      <c r="U78" s="33">
        <v>5</v>
      </c>
      <c r="V78" s="33">
        <f t="shared" si="2"/>
        <v>6</v>
      </c>
      <c r="X78" t="str">
        <f t="shared" si="4"/>
        <v>NO</v>
      </c>
      <c r="Y78" t="str">
        <f t="shared" si="5"/>
        <v>NO</v>
      </c>
      <c r="Z78" t="str">
        <f t="shared" si="6"/>
        <v>NO</v>
      </c>
      <c r="AA78" t="str">
        <f t="shared" si="7"/>
        <v>YES</v>
      </c>
      <c r="AB78"/>
      <c r="AC78" s="40" t="str">
        <f t="shared" si="9"/>
        <v>NO</v>
      </c>
      <c r="AD78" s="40" t="str">
        <f t="shared" si="10"/>
        <v>YES</v>
      </c>
      <c r="AE78" s="1" t="str">
        <f t="shared" si="11"/>
        <v>NO</v>
      </c>
      <c r="AF78" s="40" t="str">
        <f t="shared" si="12"/>
        <v>YES</v>
      </c>
    </row>
    <row r="79" spans="1:32" ht="15" x14ac:dyDescent="0.35">
      <c r="A79" s="5" t="s">
        <v>160</v>
      </c>
      <c r="B79" s="6">
        <v>1</v>
      </c>
      <c r="C79" s="6">
        <v>74.290000000000006</v>
      </c>
      <c r="D79" s="6">
        <v>11</v>
      </c>
      <c r="E79" s="6">
        <v>9.86</v>
      </c>
      <c r="F79" s="6">
        <v>6.86</v>
      </c>
      <c r="G79" s="6">
        <v>2.14</v>
      </c>
      <c r="H79" s="6">
        <v>12</v>
      </c>
      <c r="I79" s="6">
        <v>17.86</v>
      </c>
      <c r="J79" s="6">
        <v>53.59</v>
      </c>
      <c r="K79" s="6">
        <v>2</v>
      </c>
      <c r="L79" s="6">
        <v>0.05</v>
      </c>
      <c r="M79" s="6">
        <v>30.41</v>
      </c>
      <c r="N79" s="6">
        <v>1.69</v>
      </c>
      <c r="O79" s="12" t="str">
        <f t="shared" si="8"/>
        <v>Auto</v>
      </c>
      <c r="P79" s="12">
        <v>2</v>
      </c>
      <c r="Q79" s="12">
        <v>0</v>
      </c>
      <c r="R79" s="12">
        <v>0</v>
      </c>
      <c r="S79" s="12">
        <v>2</v>
      </c>
      <c r="T79" s="12">
        <v>1</v>
      </c>
      <c r="U79" s="33">
        <v>3</v>
      </c>
      <c r="V79" s="33">
        <f t="shared" si="2"/>
        <v>7</v>
      </c>
      <c r="X79" t="str">
        <f t="shared" si="4"/>
        <v>NO</v>
      </c>
      <c r="Y79" t="str">
        <f t="shared" si="5"/>
        <v>NO</v>
      </c>
      <c r="Z79" t="str">
        <f t="shared" si="6"/>
        <v>NO</v>
      </c>
      <c r="AA79" t="str">
        <f t="shared" si="7"/>
        <v>NO</v>
      </c>
      <c r="AB79"/>
      <c r="AC79" s="40" t="str">
        <f t="shared" si="9"/>
        <v>NO</v>
      </c>
      <c r="AD79" s="40" t="str">
        <f t="shared" si="10"/>
        <v>NO</v>
      </c>
      <c r="AE79" s="1" t="str">
        <f t="shared" si="11"/>
        <v>NO</v>
      </c>
      <c r="AF79" s="40" t="str">
        <f t="shared" si="12"/>
        <v>NO</v>
      </c>
    </row>
    <row r="80" spans="1:32" ht="15" x14ac:dyDescent="0.35">
      <c r="A80" s="5" t="s">
        <v>161</v>
      </c>
      <c r="B80" s="6">
        <v>1</v>
      </c>
      <c r="C80" s="6">
        <v>74.709999999999994</v>
      </c>
      <c r="D80" s="6">
        <v>10.71</v>
      </c>
      <c r="E80" s="6">
        <v>10</v>
      </c>
      <c r="F80" s="6">
        <v>6.86</v>
      </c>
      <c r="G80" s="6">
        <v>2</v>
      </c>
      <c r="H80" s="6">
        <v>12</v>
      </c>
      <c r="I80" s="6">
        <v>17.57</v>
      </c>
      <c r="J80" s="6">
        <v>53.31</v>
      </c>
      <c r="K80" s="6">
        <v>2.29</v>
      </c>
      <c r="L80" s="6">
        <v>4.8000000000000001E-2</v>
      </c>
      <c r="M80" s="6">
        <v>43.14</v>
      </c>
      <c r="N80" s="6">
        <v>2.4</v>
      </c>
      <c r="O80" s="12" t="str">
        <f t="shared" si="8"/>
        <v>Auto</v>
      </c>
      <c r="P80" s="12">
        <v>3</v>
      </c>
      <c r="Q80" s="12">
        <v>0</v>
      </c>
      <c r="R80" s="12">
        <v>1</v>
      </c>
      <c r="S80" s="12">
        <v>2</v>
      </c>
      <c r="T80" s="12">
        <v>1</v>
      </c>
      <c r="U80" s="33">
        <v>4</v>
      </c>
      <c r="V80" s="33">
        <f t="shared" si="2"/>
        <v>9</v>
      </c>
      <c r="X80" t="str">
        <f t="shared" si="4"/>
        <v>NO</v>
      </c>
      <c r="Y80" t="str">
        <f t="shared" si="5"/>
        <v>NO</v>
      </c>
      <c r="Z80" t="str">
        <f t="shared" si="6"/>
        <v>NO</v>
      </c>
      <c r="AA80" t="str">
        <f t="shared" si="7"/>
        <v>NO</v>
      </c>
      <c r="AB80"/>
      <c r="AC80" s="40" t="str">
        <f t="shared" si="9"/>
        <v>NO</v>
      </c>
      <c r="AD80" s="40" t="str">
        <f t="shared" si="10"/>
        <v>NO</v>
      </c>
      <c r="AE80" s="1" t="str">
        <f t="shared" si="11"/>
        <v>NO</v>
      </c>
      <c r="AF80" s="40" t="str">
        <f t="shared" si="12"/>
        <v>NO</v>
      </c>
    </row>
    <row r="81" spans="1:32" ht="15" x14ac:dyDescent="0.35">
      <c r="A81" s="5" t="s">
        <v>162</v>
      </c>
      <c r="B81" s="6">
        <v>1</v>
      </c>
      <c r="C81" s="6">
        <v>74.14</v>
      </c>
      <c r="D81" s="6">
        <v>11.14</v>
      </c>
      <c r="E81" s="6">
        <v>9.86</v>
      </c>
      <c r="F81" s="6">
        <v>6.86</v>
      </c>
      <c r="G81" s="6">
        <v>2</v>
      </c>
      <c r="H81" s="6">
        <v>11.86</v>
      </c>
      <c r="I81" s="6">
        <v>18</v>
      </c>
      <c r="J81" s="6">
        <v>53.01</v>
      </c>
      <c r="K81" s="6">
        <v>1.71</v>
      </c>
      <c r="L81" s="6">
        <v>8.5999999999999993E-2</v>
      </c>
      <c r="M81" s="6">
        <v>28.84</v>
      </c>
      <c r="N81" s="6">
        <v>1.6</v>
      </c>
      <c r="O81" s="12" t="str">
        <f t="shared" si="8"/>
        <v>Auto</v>
      </c>
      <c r="P81" s="12">
        <v>2</v>
      </c>
      <c r="Q81" s="12">
        <v>0</v>
      </c>
      <c r="R81" s="12">
        <v>0</v>
      </c>
      <c r="S81" s="12">
        <v>2</v>
      </c>
      <c r="T81" s="12">
        <v>1</v>
      </c>
      <c r="U81" s="33">
        <v>3</v>
      </c>
      <c r="V81" s="33">
        <f t="shared" si="2"/>
        <v>7</v>
      </c>
      <c r="X81" t="str">
        <f t="shared" si="4"/>
        <v>NO</v>
      </c>
      <c r="Y81" t="str">
        <f t="shared" si="5"/>
        <v>NO</v>
      </c>
      <c r="Z81" t="str">
        <f t="shared" si="6"/>
        <v>NO</v>
      </c>
      <c r="AA81" t="str">
        <f t="shared" si="7"/>
        <v>NO</v>
      </c>
      <c r="AB81"/>
      <c r="AC81" s="40" t="str">
        <f t="shared" si="9"/>
        <v>NO</v>
      </c>
      <c r="AD81" s="40" t="str">
        <f t="shared" si="10"/>
        <v>NO</v>
      </c>
      <c r="AE81" s="1" t="str">
        <f t="shared" si="11"/>
        <v>NO</v>
      </c>
      <c r="AF81" s="40" t="str">
        <f t="shared" si="12"/>
        <v>NO</v>
      </c>
    </row>
    <row r="82" spans="1:32" ht="15" x14ac:dyDescent="0.35">
      <c r="A82" s="5" t="s">
        <v>163</v>
      </c>
      <c r="B82" s="6">
        <v>1</v>
      </c>
      <c r="C82" s="6">
        <v>74.290000000000006</v>
      </c>
      <c r="D82" s="6">
        <v>11.14</v>
      </c>
      <c r="E82" s="6">
        <v>10</v>
      </c>
      <c r="F82" s="6">
        <v>7</v>
      </c>
      <c r="G82" s="6">
        <v>2</v>
      </c>
      <c r="H82" s="6">
        <v>12</v>
      </c>
      <c r="I82" s="6">
        <v>18.14</v>
      </c>
      <c r="J82" s="6">
        <v>53.58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8"/>
        <v>Auto</v>
      </c>
      <c r="P82" s="12">
        <v>2</v>
      </c>
      <c r="Q82" s="12">
        <v>0</v>
      </c>
      <c r="R82" s="12">
        <v>0</v>
      </c>
      <c r="S82" s="12">
        <v>2</v>
      </c>
      <c r="T82" s="12">
        <v>1</v>
      </c>
      <c r="U82" s="33">
        <v>3</v>
      </c>
      <c r="V82" s="33">
        <f t="shared" si="2"/>
        <v>7</v>
      </c>
      <c r="X82" t="str">
        <f t="shared" si="4"/>
        <v>NO</v>
      </c>
      <c r="Y82" t="str">
        <f t="shared" si="5"/>
        <v>NO</v>
      </c>
      <c r="Z82" t="str">
        <f t="shared" si="6"/>
        <v>NO</v>
      </c>
      <c r="AA82" t="str">
        <f t="shared" si="7"/>
        <v>NO</v>
      </c>
      <c r="AB82"/>
      <c r="AC82" s="40" t="str">
        <f t="shared" si="9"/>
        <v>NO</v>
      </c>
      <c r="AD82" s="40" t="str">
        <f t="shared" si="10"/>
        <v>NO</v>
      </c>
      <c r="AE82" s="1" t="str">
        <f t="shared" si="11"/>
        <v>NO</v>
      </c>
      <c r="AF82" s="40" t="str">
        <f t="shared" si="12"/>
        <v>NO</v>
      </c>
    </row>
    <row r="83" spans="1:32" ht="15" x14ac:dyDescent="0.35">
      <c r="A83" s="7" t="s">
        <v>164</v>
      </c>
      <c r="B83" s="8">
        <v>1</v>
      </c>
      <c r="C83" s="8">
        <v>74.290000000000006</v>
      </c>
      <c r="D83" s="8">
        <v>11</v>
      </c>
      <c r="E83" s="8">
        <v>10</v>
      </c>
      <c r="F83" s="8">
        <v>7</v>
      </c>
      <c r="G83" s="8">
        <v>2.29</v>
      </c>
      <c r="H83" s="8">
        <v>12.29</v>
      </c>
      <c r="I83" s="8">
        <v>18</v>
      </c>
      <c r="J83" s="8">
        <v>54.77</v>
      </c>
      <c r="K83" s="8">
        <v>2.29</v>
      </c>
      <c r="L83" s="8">
        <v>4.8000000000000001E-2</v>
      </c>
      <c r="M83" s="8">
        <v>50.86</v>
      </c>
      <c r="N83" s="8">
        <v>2.83</v>
      </c>
      <c r="O83" s="12" t="str">
        <f t="shared" si="8"/>
        <v>Auto</v>
      </c>
      <c r="P83" s="12">
        <v>4</v>
      </c>
      <c r="Q83" s="12">
        <v>0</v>
      </c>
      <c r="R83" s="12">
        <v>1</v>
      </c>
      <c r="S83" s="12">
        <v>3</v>
      </c>
      <c r="T83" s="12">
        <v>2</v>
      </c>
      <c r="U83" s="33">
        <v>6</v>
      </c>
      <c r="V83" s="33">
        <f t="shared" si="2"/>
        <v>14</v>
      </c>
      <c r="X83" t="str">
        <f t="shared" si="4"/>
        <v>NO</v>
      </c>
      <c r="Y83" t="str">
        <f t="shared" si="5"/>
        <v>NO</v>
      </c>
      <c r="Z83" t="str">
        <f t="shared" si="6"/>
        <v>NO</v>
      </c>
      <c r="AA83" t="str">
        <f t="shared" si="7"/>
        <v>NO</v>
      </c>
      <c r="AB83"/>
      <c r="AC83" s="40" t="str">
        <f t="shared" si="9"/>
        <v>NO</v>
      </c>
      <c r="AD83" s="40" t="str">
        <f t="shared" si="10"/>
        <v>NO</v>
      </c>
      <c r="AE83" s="1" t="str">
        <f t="shared" si="11"/>
        <v>NO</v>
      </c>
      <c r="AF83" s="40" t="str">
        <f t="shared" si="12"/>
        <v>NO</v>
      </c>
    </row>
    <row r="84" spans="1:32" ht="15" x14ac:dyDescent="0.35">
      <c r="A84" s="7" t="s">
        <v>165</v>
      </c>
      <c r="B84" s="8">
        <v>5.25</v>
      </c>
      <c r="C84" s="8">
        <v>69</v>
      </c>
      <c r="D84" s="8">
        <v>20.5</v>
      </c>
      <c r="E84" s="8">
        <v>7.5</v>
      </c>
      <c r="F84" s="8">
        <v>19.62</v>
      </c>
      <c r="G84" s="8">
        <v>4.38</v>
      </c>
      <c r="H84" s="8">
        <v>11.88</v>
      </c>
      <c r="I84" s="8">
        <v>40.119999999999997</v>
      </c>
      <c r="J84" s="8">
        <v>65.010000000000005</v>
      </c>
      <c r="K84" s="8">
        <v>0</v>
      </c>
      <c r="L84" s="8">
        <v>0</v>
      </c>
      <c r="M84" s="8">
        <v>0</v>
      </c>
      <c r="N84" s="8">
        <v>0</v>
      </c>
      <c r="O84" s="12" t="str">
        <f t="shared" si="8"/>
        <v>Auto</v>
      </c>
      <c r="P84" s="12">
        <v>1</v>
      </c>
      <c r="Q84" s="12">
        <v>0</v>
      </c>
      <c r="R84" s="12">
        <v>12</v>
      </c>
      <c r="S84" s="12">
        <v>0</v>
      </c>
      <c r="T84" s="12">
        <v>0</v>
      </c>
      <c r="U84" s="33">
        <v>12</v>
      </c>
      <c r="V84" s="33">
        <f t="shared" si="2"/>
        <v>12</v>
      </c>
      <c r="X84" t="str">
        <f t="shared" si="4"/>
        <v>NO</v>
      </c>
      <c r="Y84" t="str">
        <f t="shared" si="5"/>
        <v>NO</v>
      </c>
      <c r="Z84" t="str">
        <f t="shared" si="6"/>
        <v>NO</v>
      </c>
      <c r="AA84" t="str">
        <f t="shared" si="7"/>
        <v>NO</v>
      </c>
      <c r="AB84"/>
      <c r="AC84" s="40" t="str">
        <f t="shared" si="9"/>
        <v>NO</v>
      </c>
      <c r="AD84" s="40" t="str">
        <f t="shared" si="10"/>
        <v>NO</v>
      </c>
      <c r="AE84" s="1" t="str">
        <f t="shared" si="11"/>
        <v>NO</v>
      </c>
      <c r="AF84" s="40" t="str">
        <f t="shared" si="12"/>
        <v>NO</v>
      </c>
    </row>
    <row r="85" spans="1:32" ht="15" x14ac:dyDescent="0.35">
      <c r="A85" s="7" t="s">
        <v>170</v>
      </c>
      <c r="B85" s="8">
        <v>1</v>
      </c>
      <c r="C85" s="8">
        <v>73.290000000000006</v>
      </c>
      <c r="D85" s="8">
        <v>11.14</v>
      </c>
      <c r="E85" s="8">
        <v>10.57</v>
      </c>
      <c r="F85" s="8">
        <v>7</v>
      </c>
      <c r="G85" s="8">
        <v>2.14</v>
      </c>
      <c r="H85" s="8">
        <v>12.71</v>
      </c>
      <c r="I85" s="8">
        <v>18.14</v>
      </c>
      <c r="J85" s="8">
        <v>56.64</v>
      </c>
      <c r="K85" s="8">
        <v>2</v>
      </c>
      <c r="L85" s="8">
        <v>9.5000000000000001E-2</v>
      </c>
      <c r="M85" s="8">
        <v>44.15</v>
      </c>
      <c r="N85" s="8">
        <v>2.4500000000000002</v>
      </c>
      <c r="O85" s="12" t="str">
        <f t="shared" si="8"/>
        <v>Auto</v>
      </c>
      <c r="P85" s="12">
        <v>8</v>
      </c>
      <c r="Q85" s="12">
        <v>1</v>
      </c>
      <c r="R85" s="12">
        <v>1</v>
      </c>
      <c r="S85" s="12">
        <v>11</v>
      </c>
      <c r="T85" s="12">
        <v>6</v>
      </c>
      <c r="U85" s="33">
        <v>16</v>
      </c>
      <c r="V85" s="33">
        <f t="shared" si="2"/>
        <v>43</v>
      </c>
      <c r="X85" t="str">
        <f t="shared" si="4"/>
        <v>NO</v>
      </c>
      <c r="Y85" t="str">
        <f t="shared" si="5"/>
        <v>NO</v>
      </c>
      <c r="Z85" t="str">
        <f t="shared" si="6"/>
        <v>NO</v>
      </c>
      <c r="AA85" t="str">
        <f t="shared" si="7"/>
        <v>NO</v>
      </c>
      <c r="AB85"/>
      <c r="AC85" s="40" t="str">
        <f t="shared" si="9"/>
        <v>NO</v>
      </c>
      <c r="AD85" s="40" t="str">
        <f t="shared" si="10"/>
        <v>NO</v>
      </c>
      <c r="AE85" s="1" t="str">
        <f t="shared" si="11"/>
        <v>NO</v>
      </c>
      <c r="AF85" s="40" t="str">
        <f t="shared" si="12"/>
        <v>NO</v>
      </c>
    </row>
    <row r="86" spans="1:32" ht="15" x14ac:dyDescent="0.35">
      <c r="A86" s="5" t="s">
        <v>171</v>
      </c>
      <c r="B86" s="6">
        <v>1</v>
      </c>
      <c r="C86" s="6">
        <v>74</v>
      </c>
      <c r="D86" s="6">
        <v>11.43</v>
      </c>
      <c r="E86" s="6">
        <v>10.14</v>
      </c>
      <c r="F86" s="6">
        <v>8</v>
      </c>
      <c r="G86" s="6">
        <v>2.29</v>
      </c>
      <c r="H86" s="6">
        <v>12.43</v>
      </c>
      <c r="I86" s="6">
        <v>19.43</v>
      </c>
      <c r="J86" s="6">
        <v>57.32</v>
      </c>
      <c r="K86" s="6">
        <v>0.86</v>
      </c>
      <c r="L86" s="6">
        <v>0.17</v>
      </c>
      <c r="M86" s="6">
        <v>25.05</v>
      </c>
      <c r="N86" s="6">
        <v>1.39</v>
      </c>
      <c r="O86" s="12" t="str">
        <f t="shared" si="8"/>
        <v>Auto</v>
      </c>
      <c r="P86" s="12">
        <v>11</v>
      </c>
      <c r="Q86" s="12">
        <v>16</v>
      </c>
      <c r="R86" s="12">
        <v>9</v>
      </c>
      <c r="S86" s="12">
        <v>9</v>
      </c>
      <c r="T86" s="12">
        <v>9</v>
      </c>
      <c r="U86" s="33">
        <v>39</v>
      </c>
      <c r="V86" s="33">
        <f t="shared" si="2"/>
        <v>71</v>
      </c>
      <c r="X86" t="str">
        <f t="shared" si="4"/>
        <v>NO</v>
      </c>
      <c r="Y86" t="str">
        <f t="shared" si="5"/>
        <v>NO</v>
      </c>
      <c r="Z86" t="str">
        <f t="shared" si="6"/>
        <v>NO</v>
      </c>
      <c r="AA86" t="str">
        <f t="shared" si="7"/>
        <v>NO</v>
      </c>
      <c r="AB86"/>
      <c r="AC86" s="40" t="str">
        <f t="shared" si="9"/>
        <v>NO</v>
      </c>
      <c r="AD86" s="40" t="str">
        <f t="shared" si="10"/>
        <v>NO</v>
      </c>
      <c r="AE86" s="1" t="str">
        <f t="shared" si="11"/>
        <v>NO</v>
      </c>
      <c r="AF86" s="40" t="str">
        <f t="shared" si="12"/>
        <v>NO</v>
      </c>
    </row>
    <row r="87" spans="1:32" ht="15" x14ac:dyDescent="0.35">
      <c r="A87" s="5" t="s">
        <v>172</v>
      </c>
      <c r="B87" s="6">
        <v>1</v>
      </c>
      <c r="C87" s="6">
        <v>73.709999999999994</v>
      </c>
      <c r="D87" s="6">
        <v>10.86</v>
      </c>
      <c r="E87" s="6">
        <v>10.29</v>
      </c>
      <c r="F87" s="6">
        <v>6.86</v>
      </c>
      <c r="G87" s="6">
        <v>2.14</v>
      </c>
      <c r="H87" s="6">
        <v>12.43</v>
      </c>
      <c r="I87" s="6">
        <v>17.71</v>
      </c>
      <c r="J87" s="6">
        <v>55.03</v>
      </c>
      <c r="K87" s="6">
        <v>2.4300000000000002</v>
      </c>
      <c r="L87" s="6">
        <v>9.1999999999999998E-2</v>
      </c>
      <c r="M87" s="6">
        <v>38.79</v>
      </c>
      <c r="N87" s="6">
        <v>2.16</v>
      </c>
      <c r="O87" s="12" t="str">
        <f t="shared" si="8"/>
        <v>Auto</v>
      </c>
      <c r="P87" s="12">
        <v>8</v>
      </c>
      <c r="Q87" s="12">
        <v>2</v>
      </c>
      <c r="R87" s="12">
        <v>2</v>
      </c>
      <c r="S87" s="12">
        <v>7</v>
      </c>
      <c r="T87" s="12">
        <v>3</v>
      </c>
      <c r="U87" s="33">
        <v>13</v>
      </c>
      <c r="V87" s="33">
        <f t="shared" si="2"/>
        <v>31</v>
      </c>
      <c r="X87" t="str">
        <f t="shared" si="4"/>
        <v>NO</v>
      </c>
      <c r="Y87" t="str">
        <f t="shared" si="5"/>
        <v>NO</v>
      </c>
      <c r="Z87" t="str">
        <f t="shared" si="6"/>
        <v>NO</v>
      </c>
      <c r="AA87" t="str">
        <f t="shared" si="7"/>
        <v>NO</v>
      </c>
      <c r="AB87"/>
      <c r="AC87" s="40" t="str">
        <f t="shared" si="9"/>
        <v>NO</v>
      </c>
      <c r="AD87" s="40" t="str">
        <f t="shared" si="10"/>
        <v>NO</v>
      </c>
      <c r="AE87" s="1" t="str">
        <f t="shared" si="11"/>
        <v>NO</v>
      </c>
      <c r="AF87" s="40" t="str">
        <f t="shared" si="12"/>
        <v>NO</v>
      </c>
    </row>
    <row r="88" spans="1:32" ht="15" x14ac:dyDescent="0.35">
      <c r="A88" s="7" t="s">
        <v>173</v>
      </c>
      <c r="B88" s="8">
        <v>1</v>
      </c>
      <c r="C88" s="8">
        <v>74</v>
      </c>
      <c r="D88" s="8">
        <v>11.14</v>
      </c>
      <c r="E88" s="8">
        <v>10.14</v>
      </c>
      <c r="F88" s="8">
        <v>6.86</v>
      </c>
      <c r="G88" s="8">
        <v>2.4300000000000002</v>
      </c>
      <c r="H88" s="8">
        <v>12.57</v>
      </c>
      <c r="I88" s="8">
        <v>18</v>
      </c>
      <c r="J88" s="8">
        <v>56.19</v>
      </c>
      <c r="K88" s="8">
        <v>1.29</v>
      </c>
      <c r="L88" s="8">
        <v>6.4000000000000001E-2</v>
      </c>
      <c r="M88" s="8">
        <v>14.22</v>
      </c>
      <c r="N88" s="8">
        <v>0.79</v>
      </c>
      <c r="O88" s="12" t="str">
        <f t="shared" si="8"/>
        <v>Auto</v>
      </c>
      <c r="P88" s="12">
        <v>6</v>
      </c>
      <c r="Q88" s="12">
        <v>0</v>
      </c>
      <c r="R88" s="12">
        <v>2</v>
      </c>
      <c r="S88" s="12">
        <v>4</v>
      </c>
      <c r="T88" s="12">
        <v>3</v>
      </c>
      <c r="U88" s="33">
        <v>9</v>
      </c>
      <c r="V88" s="33">
        <f t="shared" si="2"/>
        <v>21</v>
      </c>
      <c r="X88" t="str">
        <f t="shared" si="4"/>
        <v>NO</v>
      </c>
      <c r="Y88" t="str">
        <f t="shared" si="5"/>
        <v>NO</v>
      </c>
      <c r="Z88" t="str">
        <f t="shared" si="6"/>
        <v>NO</v>
      </c>
      <c r="AA88" t="str">
        <f t="shared" si="7"/>
        <v>NO</v>
      </c>
      <c r="AB88"/>
      <c r="AC88" s="40" t="str">
        <f t="shared" si="9"/>
        <v>NO</v>
      </c>
      <c r="AD88" s="40" t="str">
        <f t="shared" si="10"/>
        <v>NO</v>
      </c>
      <c r="AE88" s="1" t="str">
        <f t="shared" si="11"/>
        <v>NO</v>
      </c>
      <c r="AF88" s="40" t="str">
        <f t="shared" si="12"/>
        <v>NO</v>
      </c>
    </row>
    <row r="89" spans="1:32" ht="15" x14ac:dyDescent="0.35">
      <c r="A89" s="7" t="s">
        <v>174</v>
      </c>
      <c r="B89" s="8">
        <v>1</v>
      </c>
      <c r="C89" s="8">
        <v>72.430000000000007</v>
      </c>
      <c r="D89" s="8">
        <v>11.43</v>
      </c>
      <c r="E89" s="8">
        <v>10.71</v>
      </c>
      <c r="F89" s="8">
        <v>7.29</v>
      </c>
      <c r="G89" s="8">
        <v>2.14</v>
      </c>
      <c r="H89" s="8">
        <v>12.86</v>
      </c>
      <c r="I89" s="8">
        <v>18.71</v>
      </c>
      <c r="J89" s="8">
        <v>57.52</v>
      </c>
      <c r="K89" s="8">
        <v>3.14</v>
      </c>
      <c r="L89" s="8">
        <v>6.9000000000000006E-2</v>
      </c>
      <c r="M89" s="8">
        <v>60.82</v>
      </c>
      <c r="N89" s="8">
        <v>3.38</v>
      </c>
      <c r="O89" s="12" t="str">
        <f t="shared" si="8"/>
        <v>Auto</v>
      </c>
      <c r="P89" s="12">
        <v>7</v>
      </c>
      <c r="Q89" s="12">
        <v>5</v>
      </c>
      <c r="R89" s="12">
        <v>2</v>
      </c>
      <c r="S89" s="12">
        <v>9</v>
      </c>
      <c r="T89" s="12">
        <v>5</v>
      </c>
      <c r="U89" s="33">
        <v>20</v>
      </c>
      <c r="V89" s="33">
        <f t="shared" si="2"/>
        <v>41</v>
      </c>
      <c r="X89" t="str">
        <f t="shared" si="4"/>
        <v>NO</v>
      </c>
      <c r="Y89" t="str">
        <f t="shared" si="5"/>
        <v>NO</v>
      </c>
      <c r="Z89" t="str">
        <f t="shared" si="6"/>
        <v>NO</v>
      </c>
      <c r="AA89" t="str">
        <f t="shared" si="7"/>
        <v>NO</v>
      </c>
      <c r="AB89"/>
      <c r="AC89" s="40" t="str">
        <f t="shared" si="9"/>
        <v>NO</v>
      </c>
      <c r="AD89" s="40" t="str">
        <f t="shared" si="10"/>
        <v>NO</v>
      </c>
      <c r="AE89" s="1" t="str">
        <f t="shared" si="11"/>
        <v>NO</v>
      </c>
      <c r="AF89" s="40" t="str">
        <f t="shared" si="12"/>
        <v>NO</v>
      </c>
    </row>
    <row r="90" spans="1:32" ht="15" x14ac:dyDescent="0.35">
      <c r="A90" s="7" t="s">
        <v>175</v>
      </c>
      <c r="B90" s="8">
        <v>4.58</v>
      </c>
      <c r="C90" s="8">
        <v>72.27</v>
      </c>
      <c r="D90" s="8">
        <v>16.27</v>
      </c>
      <c r="E90" s="8">
        <v>6.73</v>
      </c>
      <c r="F90" s="8">
        <v>15.12</v>
      </c>
      <c r="G90" s="8">
        <v>4.62</v>
      </c>
      <c r="H90" s="8">
        <v>11.35</v>
      </c>
      <c r="I90" s="8">
        <v>31.38</v>
      </c>
      <c r="J90" s="8">
        <v>56.92</v>
      </c>
      <c r="K90" s="8">
        <v>0.54</v>
      </c>
      <c r="L90" s="8">
        <v>5.5999999999999999E-3</v>
      </c>
      <c r="M90" s="8">
        <v>12.82</v>
      </c>
      <c r="N90" s="8">
        <v>0.71</v>
      </c>
      <c r="O90" s="12" t="str">
        <f t="shared" si="8"/>
        <v>Auto</v>
      </c>
      <c r="P90" s="12">
        <v>1</v>
      </c>
      <c r="Q90" s="12">
        <v>0</v>
      </c>
      <c r="R90" s="12">
        <v>0</v>
      </c>
      <c r="S90" s="12">
        <v>1</v>
      </c>
      <c r="T90" s="12">
        <v>0</v>
      </c>
      <c r="U90" s="33">
        <v>1</v>
      </c>
      <c r="V90" s="33">
        <f t="shared" si="2"/>
        <v>2</v>
      </c>
      <c r="X90" t="str">
        <f t="shared" si="4"/>
        <v>NO</v>
      </c>
      <c r="Y90" t="str">
        <f t="shared" si="5"/>
        <v>NO</v>
      </c>
      <c r="Z90" t="str">
        <f t="shared" si="6"/>
        <v>NO</v>
      </c>
      <c r="AA90" t="str">
        <f t="shared" si="7"/>
        <v>NO</v>
      </c>
      <c r="AB90"/>
      <c r="AC90" s="40" t="str">
        <f t="shared" si="9"/>
        <v>NO</v>
      </c>
      <c r="AD90" s="40" t="str">
        <f t="shared" si="10"/>
        <v>NO</v>
      </c>
      <c r="AE90" s="1" t="str">
        <f t="shared" si="11"/>
        <v>NO</v>
      </c>
      <c r="AF90" s="40" t="str">
        <f t="shared" si="12"/>
        <v>NO</v>
      </c>
    </row>
    <row r="91" spans="1:32" ht="15" x14ac:dyDescent="0.35">
      <c r="A91" s="7" t="s">
        <v>176</v>
      </c>
      <c r="B91" s="8">
        <v>2.33</v>
      </c>
      <c r="C91" s="8">
        <v>84.67</v>
      </c>
      <c r="D91" s="8">
        <v>5.33</v>
      </c>
      <c r="E91" s="8">
        <v>4.33</v>
      </c>
      <c r="F91" s="8">
        <v>4.33</v>
      </c>
      <c r="G91" s="8">
        <v>2.33</v>
      </c>
      <c r="H91" s="8">
        <v>6.67</v>
      </c>
      <c r="I91" s="8">
        <v>9.67</v>
      </c>
      <c r="J91" s="8">
        <v>22.35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8"/>
        <v>Auto</v>
      </c>
      <c r="P91" s="12">
        <v>1</v>
      </c>
      <c r="Q91" s="12">
        <v>0</v>
      </c>
      <c r="R91" s="12">
        <v>0</v>
      </c>
      <c r="S91" s="12">
        <v>1</v>
      </c>
      <c r="T91" s="12">
        <v>0</v>
      </c>
      <c r="U91" s="33">
        <v>1</v>
      </c>
      <c r="V91" s="33">
        <f t="shared" si="2"/>
        <v>2</v>
      </c>
      <c r="X91" t="str">
        <f t="shared" si="4"/>
        <v>NO</v>
      </c>
      <c r="Y91" t="str">
        <f t="shared" si="5"/>
        <v>NO</v>
      </c>
      <c r="Z91" t="str">
        <f t="shared" si="6"/>
        <v>NO</v>
      </c>
      <c r="AA91" t="str">
        <f t="shared" si="7"/>
        <v>NO</v>
      </c>
      <c r="AB91"/>
      <c r="AC91" s="40" t="str">
        <f t="shared" si="9"/>
        <v>NO</v>
      </c>
      <c r="AD91" s="40" t="str">
        <f t="shared" si="10"/>
        <v>NO</v>
      </c>
      <c r="AE91" s="1" t="str">
        <f t="shared" si="11"/>
        <v>NO</v>
      </c>
      <c r="AF91" s="40" t="str">
        <f t="shared" si="12"/>
        <v>NO</v>
      </c>
    </row>
    <row r="92" spans="1:32" ht="15" x14ac:dyDescent="0.35">
      <c r="A92" s="7" t="s">
        <v>177</v>
      </c>
      <c r="B92" s="8">
        <v>1.1399999999999999</v>
      </c>
      <c r="C92" s="8">
        <v>73.86</v>
      </c>
      <c r="D92" s="8">
        <v>11</v>
      </c>
      <c r="E92" s="8">
        <v>10</v>
      </c>
      <c r="F92" s="8">
        <v>7</v>
      </c>
      <c r="G92" s="8">
        <v>2.14</v>
      </c>
      <c r="H92" s="8">
        <v>12.14</v>
      </c>
      <c r="I92" s="8">
        <v>18</v>
      </c>
      <c r="J92" s="8">
        <v>54.08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8"/>
        <v>Auto</v>
      </c>
      <c r="P92" s="12">
        <v>1</v>
      </c>
      <c r="Q92" s="12">
        <v>1</v>
      </c>
      <c r="R92" s="12">
        <v>0</v>
      </c>
      <c r="S92" s="12">
        <v>1</v>
      </c>
      <c r="T92" s="12">
        <v>1</v>
      </c>
      <c r="U92" s="33">
        <v>3</v>
      </c>
      <c r="V92" s="33">
        <f t="shared" si="2"/>
        <v>5</v>
      </c>
      <c r="X92" t="str">
        <f t="shared" si="4"/>
        <v>NO</v>
      </c>
      <c r="Y92" t="str">
        <f t="shared" si="5"/>
        <v>NO</v>
      </c>
      <c r="Z92" t="str">
        <f t="shared" si="6"/>
        <v>NO</v>
      </c>
      <c r="AA92" t="str">
        <f t="shared" si="7"/>
        <v>NO</v>
      </c>
      <c r="AB92"/>
      <c r="AC92" s="40" t="str">
        <f t="shared" si="9"/>
        <v>NO</v>
      </c>
      <c r="AD92" s="40" t="str">
        <f t="shared" si="10"/>
        <v>NO</v>
      </c>
      <c r="AE92" s="1" t="str">
        <f t="shared" si="11"/>
        <v>NO</v>
      </c>
      <c r="AF92" s="40" t="str">
        <f t="shared" si="12"/>
        <v>NO</v>
      </c>
    </row>
    <row r="93" spans="1:32" ht="15" x14ac:dyDescent="0.35">
      <c r="A93" s="5" t="s">
        <v>178</v>
      </c>
      <c r="B93" s="6">
        <v>5.62</v>
      </c>
      <c r="C93" s="6">
        <v>68.5</v>
      </c>
      <c r="D93" s="6">
        <v>22</v>
      </c>
      <c r="E93" s="6">
        <v>7.62</v>
      </c>
      <c r="F93" s="6">
        <v>20.75</v>
      </c>
      <c r="G93" s="6">
        <v>4.38</v>
      </c>
      <c r="H93" s="6">
        <v>12</v>
      </c>
      <c r="I93" s="6">
        <v>42.75</v>
      </c>
      <c r="J93" s="6">
        <v>66.62</v>
      </c>
      <c r="K93" s="6">
        <v>0</v>
      </c>
      <c r="L93" s="6">
        <v>0</v>
      </c>
      <c r="M93" s="6">
        <v>0</v>
      </c>
      <c r="N93" s="6">
        <v>0</v>
      </c>
      <c r="O93" s="12" t="str">
        <f t="shared" si="8"/>
        <v>Auto</v>
      </c>
      <c r="P93" s="12">
        <v>1</v>
      </c>
      <c r="Q93" s="12">
        <v>0</v>
      </c>
      <c r="R93" s="12">
        <v>1</v>
      </c>
      <c r="S93" s="12">
        <v>1</v>
      </c>
      <c r="T93" s="12">
        <v>0</v>
      </c>
      <c r="U93" s="33">
        <v>2</v>
      </c>
      <c r="V93" s="33">
        <f t="shared" si="2"/>
        <v>3</v>
      </c>
      <c r="X93" t="str">
        <f t="shared" si="4"/>
        <v>NO</v>
      </c>
      <c r="Y93" t="str">
        <f t="shared" si="5"/>
        <v>NO</v>
      </c>
      <c r="Z93" t="str">
        <f t="shared" si="6"/>
        <v>NO</v>
      </c>
      <c r="AA93" t="str">
        <f t="shared" si="7"/>
        <v>NO</v>
      </c>
      <c r="AB93"/>
      <c r="AC93" s="40" t="str">
        <f t="shared" si="9"/>
        <v>NO</v>
      </c>
      <c r="AD93" s="40" t="str">
        <f t="shared" si="10"/>
        <v>NO</v>
      </c>
      <c r="AE93" s="1" t="str">
        <f t="shared" si="11"/>
        <v>NO</v>
      </c>
      <c r="AF93" s="40" t="str">
        <f t="shared" si="12"/>
        <v>NO</v>
      </c>
    </row>
    <row r="94" spans="1:32" ht="15" x14ac:dyDescent="0.35">
      <c r="A94" s="5" t="s">
        <v>179</v>
      </c>
      <c r="B94" s="6">
        <v>1</v>
      </c>
      <c r="C94" s="6">
        <v>75.14</v>
      </c>
      <c r="D94" s="6">
        <v>10.71</v>
      </c>
      <c r="E94" s="6">
        <v>10.14</v>
      </c>
      <c r="F94" s="6">
        <v>6.29</v>
      </c>
      <c r="G94" s="6">
        <v>2</v>
      </c>
      <c r="H94" s="6">
        <v>12.14</v>
      </c>
      <c r="I94" s="6">
        <v>17</v>
      </c>
      <c r="J94" s="6">
        <v>53.54</v>
      </c>
      <c r="K94" s="6">
        <v>2</v>
      </c>
      <c r="L94" s="6">
        <v>0.05</v>
      </c>
      <c r="M94" s="6">
        <v>30.41</v>
      </c>
      <c r="N94" s="6">
        <v>1.69</v>
      </c>
      <c r="O94" s="12" t="str">
        <f t="shared" si="8"/>
        <v>Auto</v>
      </c>
      <c r="P94" s="12">
        <v>3</v>
      </c>
      <c r="Q94" s="12">
        <v>0</v>
      </c>
      <c r="R94" s="12">
        <v>2</v>
      </c>
      <c r="S94" s="12">
        <v>1</v>
      </c>
      <c r="T94" s="12">
        <v>0</v>
      </c>
      <c r="U94" s="33">
        <v>3</v>
      </c>
      <c r="V94" s="33">
        <f t="shared" si="2"/>
        <v>6</v>
      </c>
      <c r="X94" t="str">
        <f t="shared" si="4"/>
        <v>NO</v>
      </c>
      <c r="Y94" t="str">
        <f t="shared" si="5"/>
        <v>NO</v>
      </c>
      <c r="Z94" t="str">
        <f t="shared" si="6"/>
        <v>NO</v>
      </c>
      <c r="AA94" t="str">
        <f t="shared" si="7"/>
        <v>NO</v>
      </c>
      <c r="AB94"/>
      <c r="AC94" s="40" t="str">
        <f t="shared" si="9"/>
        <v>NO</v>
      </c>
      <c r="AD94" s="40" t="str">
        <f t="shared" si="10"/>
        <v>NO</v>
      </c>
      <c r="AE94" s="1" t="str">
        <f t="shared" si="11"/>
        <v>NO</v>
      </c>
      <c r="AF94" s="40" t="str">
        <f t="shared" si="12"/>
        <v>NO</v>
      </c>
    </row>
    <row r="95" spans="1:32" ht="15" x14ac:dyDescent="0.35">
      <c r="A95" s="7" t="s">
        <v>180</v>
      </c>
      <c r="B95" s="8">
        <v>1</v>
      </c>
      <c r="C95" s="8">
        <v>74.569999999999993</v>
      </c>
      <c r="D95" s="8">
        <v>11.14</v>
      </c>
      <c r="E95" s="8">
        <v>9.86</v>
      </c>
      <c r="F95" s="8">
        <v>6.86</v>
      </c>
      <c r="G95" s="8">
        <v>2</v>
      </c>
      <c r="H95" s="8">
        <v>11.86</v>
      </c>
      <c r="I95" s="8">
        <v>18</v>
      </c>
      <c r="J95" s="8">
        <v>52.93</v>
      </c>
      <c r="K95" s="8">
        <v>2</v>
      </c>
      <c r="L95" s="8">
        <v>0.05</v>
      </c>
      <c r="M95" s="8">
        <v>30.41</v>
      </c>
      <c r="N95" s="8">
        <v>1.69</v>
      </c>
      <c r="O95" s="12" t="str">
        <f t="shared" si="8"/>
        <v>Auto</v>
      </c>
      <c r="P95" s="12">
        <v>3</v>
      </c>
      <c r="Q95" s="12">
        <v>1</v>
      </c>
      <c r="R95" s="12">
        <v>1</v>
      </c>
      <c r="S95" s="12">
        <v>1</v>
      </c>
      <c r="T95" s="12">
        <v>0</v>
      </c>
      <c r="U95" s="33">
        <v>3</v>
      </c>
      <c r="V95" s="33">
        <f t="shared" si="2"/>
        <v>6</v>
      </c>
      <c r="X95" t="str">
        <f t="shared" si="4"/>
        <v>NO</v>
      </c>
      <c r="Y95" t="str">
        <f t="shared" si="5"/>
        <v>NO</v>
      </c>
      <c r="Z95" t="str">
        <f t="shared" si="6"/>
        <v>NO</v>
      </c>
      <c r="AA95" t="str">
        <f t="shared" si="7"/>
        <v>NO</v>
      </c>
      <c r="AB95"/>
      <c r="AC95" s="40" t="str">
        <f t="shared" si="9"/>
        <v>NO</v>
      </c>
      <c r="AD95" s="40" t="str">
        <f t="shared" si="10"/>
        <v>NO</v>
      </c>
      <c r="AE95" s="1" t="str">
        <f t="shared" si="11"/>
        <v>NO</v>
      </c>
      <c r="AF95" s="40" t="str">
        <f t="shared" si="12"/>
        <v>NO</v>
      </c>
    </row>
    <row r="96" spans="1:32" ht="15" x14ac:dyDescent="0.35">
      <c r="A96" s="5" t="s">
        <v>181</v>
      </c>
      <c r="B96" s="6">
        <v>1</v>
      </c>
      <c r="C96" s="6">
        <v>74.14</v>
      </c>
      <c r="D96" s="6">
        <v>11.14</v>
      </c>
      <c r="E96" s="6">
        <v>10.14</v>
      </c>
      <c r="F96" s="6">
        <v>6.71</v>
      </c>
      <c r="G96" s="6">
        <v>2.14</v>
      </c>
      <c r="H96" s="6">
        <v>12.29</v>
      </c>
      <c r="I96" s="6">
        <v>17.86</v>
      </c>
      <c r="J96" s="6">
        <v>54.67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8"/>
        <v>Auto</v>
      </c>
      <c r="P96" s="12">
        <v>2</v>
      </c>
      <c r="Q96" s="12">
        <v>0</v>
      </c>
      <c r="R96" s="12">
        <v>0</v>
      </c>
      <c r="S96" s="12">
        <v>2</v>
      </c>
      <c r="T96" s="12">
        <v>1</v>
      </c>
      <c r="U96" s="33">
        <v>3</v>
      </c>
      <c r="V96" s="33">
        <f t="shared" si="2"/>
        <v>7</v>
      </c>
      <c r="X96" t="str">
        <f t="shared" si="4"/>
        <v>NO</v>
      </c>
      <c r="Y96" t="str">
        <f t="shared" si="5"/>
        <v>NO</v>
      </c>
      <c r="Z96" t="str">
        <f t="shared" si="6"/>
        <v>NO</v>
      </c>
      <c r="AA96" t="str">
        <f t="shared" si="7"/>
        <v>NO</v>
      </c>
      <c r="AB96"/>
      <c r="AC96" s="40" t="str">
        <f t="shared" si="9"/>
        <v>NO</v>
      </c>
      <c r="AD96" s="40" t="str">
        <f t="shared" si="10"/>
        <v>NO</v>
      </c>
      <c r="AE96" s="1" t="str">
        <f t="shared" si="11"/>
        <v>NO</v>
      </c>
      <c r="AF96" s="40" t="str">
        <f t="shared" si="12"/>
        <v>NO</v>
      </c>
    </row>
    <row r="97" spans="1:32" ht="15" x14ac:dyDescent="0.35">
      <c r="A97" s="5" t="s">
        <v>182</v>
      </c>
      <c r="B97" s="6">
        <v>1</v>
      </c>
      <c r="C97" s="6">
        <v>74.14</v>
      </c>
      <c r="D97" s="6">
        <v>11.57</v>
      </c>
      <c r="E97" s="6">
        <v>10.14</v>
      </c>
      <c r="F97" s="6">
        <v>6.71</v>
      </c>
      <c r="G97" s="6">
        <v>2</v>
      </c>
      <c r="H97" s="6">
        <v>12.14</v>
      </c>
      <c r="I97" s="6">
        <v>18.29</v>
      </c>
      <c r="J97" s="6">
        <v>54.47</v>
      </c>
      <c r="K97" s="6">
        <v>2</v>
      </c>
      <c r="L97" s="6">
        <v>0.05</v>
      </c>
      <c r="M97" s="6">
        <v>30.41</v>
      </c>
      <c r="N97" s="6">
        <v>1.69</v>
      </c>
      <c r="O97" s="12" t="str">
        <f t="shared" si="8"/>
        <v>Auto</v>
      </c>
      <c r="P97" s="12">
        <v>3</v>
      </c>
      <c r="Q97" s="12">
        <v>0</v>
      </c>
      <c r="R97" s="12">
        <v>1</v>
      </c>
      <c r="S97" s="12">
        <v>2</v>
      </c>
      <c r="T97" s="12">
        <v>2</v>
      </c>
      <c r="U97" s="33">
        <v>5</v>
      </c>
      <c r="V97" s="33">
        <f t="shared" si="2"/>
        <v>11</v>
      </c>
      <c r="X97" t="str">
        <f t="shared" si="4"/>
        <v>NO</v>
      </c>
      <c r="Y97" t="str">
        <f t="shared" si="5"/>
        <v>NO</v>
      </c>
      <c r="Z97" t="str">
        <f t="shared" si="6"/>
        <v>NO</v>
      </c>
      <c r="AA97" t="str">
        <f t="shared" si="7"/>
        <v>NO</v>
      </c>
      <c r="AB97"/>
      <c r="AC97" s="40" t="str">
        <f t="shared" si="9"/>
        <v>NO</v>
      </c>
      <c r="AD97" s="40" t="str">
        <f t="shared" si="10"/>
        <v>NO</v>
      </c>
      <c r="AE97" s="1" t="str">
        <f t="shared" si="11"/>
        <v>NO</v>
      </c>
      <c r="AF97" s="40" t="str">
        <f t="shared" si="12"/>
        <v>NO</v>
      </c>
    </row>
    <row r="98" spans="1:32" ht="15" x14ac:dyDescent="0.35">
      <c r="A98" s="7" t="s">
        <v>183</v>
      </c>
      <c r="B98" s="8">
        <v>1</v>
      </c>
      <c r="C98" s="8">
        <v>74.709999999999994</v>
      </c>
      <c r="D98" s="8">
        <v>11.14</v>
      </c>
      <c r="E98" s="8">
        <v>10</v>
      </c>
      <c r="F98" s="8">
        <v>6.57</v>
      </c>
      <c r="G98" s="8">
        <v>2.14</v>
      </c>
      <c r="H98" s="8">
        <v>12.14</v>
      </c>
      <c r="I98" s="8">
        <v>17.71</v>
      </c>
      <c r="J98" s="8">
        <v>53.88</v>
      </c>
      <c r="K98" s="8">
        <v>1.29</v>
      </c>
      <c r="L98" s="8">
        <v>6.4000000000000001E-2</v>
      </c>
      <c r="M98" s="8">
        <v>23.02</v>
      </c>
      <c r="N98" s="8">
        <v>1.28</v>
      </c>
      <c r="O98" s="12" t="str">
        <f t="shared" si="8"/>
        <v>Auto</v>
      </c>
      <c r="P98" s="12">
        <v>2</v>
      </c>
      <c r="Q98" s="12">
        <v>0</v>
      </c>
      <c r="R98" s="12">
        <v>1</v>
      </c>
      <c r="S98" s="12">
        <v>1</v>
      </c>
      <c r="T98" s="12">
        <v>0</v>
      </c>
      <c r="U98" s="33">
        <v>2</v>
      </c>
      <c r="V98" s="33">
        <f t="shared" si="2"/>
        <v>4</v>
      </c>
      <c r="X98" t="str">
        <f t="shared" si="4"/>
        <v>NO</v>
      </c>
      <c r="Y98" t="str">
        <f t="shared" si="5"/>
        <v>NO</v>
      </c>
      <c r="Z98" s="29" t="str">
        <f t="shared" si="6"/>
        <v>NO</v>
      </c>
      <c r="AA98" s="29" t="str">
        <f t="shared" si="7"/>
        <v>NO</v>
      </c>
      <c r="AB98"/>
      <c r="AC98" s="40" t="str">
        <f t="shared" si="9"/>
        <v>NO</v>
      </c>
      <c r="AD98" s="40" t="str">
        <f t="shared" si="10"/>
        <v>NO</v>
      </c>
      <c r="AE98" s="1" t="str">
        <f t="shared" si="11"/>
        <v>NO</v>
      </c>
      <c r="AF98" s="40" t="str">
        <f t="shared" si="12"/>
        <v>NO</v>
      </c>
    </row>
    <row r="99" spans="1:32" ht="28.8" x14ac:dyDescent="0.35">
      <c r="A99" s="13" t="s">
        <v>200</v>
      </c>
      <c r="B99" s="13" t="s">
        <v>20</v>
      </c>
      <c r="C99" s="13" t="s">
        <v>31</v>
      </c>
      <c r="D99" s="13" t="s">
        <v>32</v>
      </c>
      <c r="E99" s="13" t="s">
        <v>21</v>
      </c>
      <c r="F99" s="13" t="s">
        <v>33</v>
      </c>
      <c r="G99" s="13" t="s">
        <v>22</v>
      </c>
      <c r="H99" s="13" t="s">
        <v>34</v>
      </c>
      <c r="I99" s="13" t="s">
        <v>35</v>
      </c>
      <c r="J99" s="13" t="s">
        <v>36</v>
      </c>
      <c r="K99" s="13" t="s">
        <v>37</v>
      </c>
      <c r="L99" s="13" t="s">
        <v>38</v>
      </c>
      <c r="M99" s="13" t="s">
        <v>39</v>
      </c>
      <c r="N99" s="13" t="s">
        <v>40</v>
      </c>
      <c r="O99" s="13" t="s">
        <v>29</v>
      </c>
      <c r="P99" s="13" t="s">
        <v>41</v>
      </c>
      <c r="Q99" s="13" t="s">
        <v>42</v>
      </c>
      <c r="R99" s="13" t="s">
        <v>43</v>
      </c>
      <c r="S99" s="13" t="s">
        <v>102</v>
      </c>
      <c r="T99" s="13" t="s">
        <v>103</v>
      </c>
      <c r="U99" s="13" t="s">
        <v>55</v>
      </c>
      <c r="V99" s="13" t="s">
        <v>184</v>
      </c>
      <c r="X99" s="28" t="s">
        <v>58</v>
      </c>
      <c r="Y99" s="28" t="s">
        <v>59</v>
      </c>
      <c r="Z99" s="28" t="s">
        <v>56</v>
      </c>
      <c r="AA99" s="28" t="s">
        <v>57</v>
      </c>
      <c r="AB99"/>
      <c r="AC99" s="28" t="s">
        <v>201</v>
      </c>
      <c r="AD99" s="28" t="s">
        <v>202</v>
      </c>
      <c r="AE99" s="28" t="s">
        <v>203</v>
      </c>
      <c r="AF99" s="28" t="s">
        <v>204</v>
      </c>
    </row>
    <row r="100" spans="1:32" x14ac:dyDescent="0.35">
      <c r="A100" s="9" t="s">
        <v>23</v>
      </c>
      <c r="B100" s="26">
        <f t="shared" ref="B100:N100" si="13">SUM(B24:B98)</f>
        <v>148.29</v>
      </c>
      <c r="C100" s="26">
        <f t="shared" si="13"/>
        <v>5630.680000000003</v>
      </c>
      <c r="D100" s="26">
        <f t="shared" si="13"/>
        <v>897.35000000000014</v>
      </c>
      <c r="E100" s="26">
        <f t="shared" si="13"/>
        <v>642.76000000000045</v>
      </c>
      <c r="F100" s="26">
        <f t="shared" si="13"/>
        <v>662.45999999999992</v>
      </c>
      <c r="G100" s="26">
        <f t="shared" si="13"/>
        <v>198.14999999999992</v>
      </c>
      <c r="H100" s="26">
        <f t="shared" si="13"/>
        <v>841.01000000000022</v>
      </c>
      <c r="I100" s="26">
        <f t="shared" si="13"/>
        <v>1559.8000000000011</v>
      </c>
      <c r="J100" s="26">
        <f t="shared" si="13"/>
        <v>3821.9900000000002</v>
      </c>
      <c r="K100" s="26">
        <f t="shared" si="13"/>
        <v>98.660000000000025</v>
      </c>
      <c r="L100" s="26">
        <f t="shared" si="13"/>
        <v>2.7665999999999999</v>
      </c>
      <c r="M100" s="26">
        <f t="shared" si="13"/>
        <v>1592.71</v>
      </c>
      <c r="N100" s="26">
        <f t="shared" si="13"/>
        <v>88.519999999999953</v>
      </c>
      <c r="O100" s="10"/>
    </row>
    <row r="101" spans="1:32" x14ac:dyDescent="0.35">
      <c r="A101" s="11" t="s">
        <v>24</v>
      </c>
      <c r="B101" s="27">
        <f t="shared" ref="B101:N101" si="14">AVERAGE(B24:B98)</f>
        <v>1.9771999999999998</v>
      </c>
      <c r="C101" s="27">
        <f t="shared" si="14"/>
        <v>75.075733333333375</v>
      </c>
      <c r="D101" s="27">
        <f t="shared" si="14"/>
        <v>11.964666666666668</v>
      </c>
      <c r="E101" s="27">
        <f t="shared" si="14"/>
        <v>8.5701333333333398</v>
      </c>
      <c r="F101" s="27">
        <f t="shared" si="14"/>
        <v>8.8327999999999989</v>
      </c>
      <c r="G101" s="27">
        <f t="shared" si="14"/>
        <v>2.641999999999999</v>
      </c>
      <c r="H101" s="27">
        <f t="shared" si="14"/>
        <v>11.213466666666669</v>
      </c>
      <c r="I101" s="27">
        <f t="shared" si="14"/>
        <v>20.797333333333349</v>
      </c>
      <c r="J101" s="27">
        <f t="shared" si="14"/>
        <v>50.95986666666667</v>
      </c>
      <c r="K101" s="27">
        <f t="shared" si="14"/>
        <v>1.315466666666667</v>
      </c>
      <c r="L101" s="27">
        <f t="shared" si="14"/>
        <v>3.6887999999999997E-2</v>
      </c>
      <c r="M101" s="27">
        <f t="shared" si="14"/>
        <v>21.236133333333335</v>
      </c>
      <c r="N101" s="27">
        <f t="shared" si="14"/>
        <v>1.1802666666666661</v>
      </c>
      <c r="O101" s="10"/>
      <c r="P101" s="32">
        <f t="shared" ref="P101:V101" si="15">AVERAGE(P49:P73)</f>
        <v>1.56</v>
      </c>
      <c r="Q101" s="32">
        <f t="shared" si="15"/>
        <v>3.08</v>
      </c>
      <c r="R101" s="32">
        <f t="shared" si="15"/>
        <v>0</v>
      </c>
      <c r="S101" s="32">
        <f t="shared" si="15"/>
        <v>3.44</v>
      </c>
      <c r="T101" s="32">
        <f t="shared" si="15"/>
        <v>2.4</v>
      </c>
      <c r="U101" s="32">
        <f t="shared" si="15"/>
        <v>7.16</v>
      </c>
      <c r="V101" s="32">
        <f t="shared" si="15"/>
        <v>15.32</v>
      </c>
    </row>
    <row r="102" spans="1:32" x14ac:dyDescent="0.35">
      <c r="A102" s="9" t="s">
        <v>25</v>
      </c>
      <c r="B102" s="26">
        <f t="shared" ref="B102:N102" si="16">MIN(B24:B98)</f>
        <v>1</v>
      </c>
      <c r="C102" s="26">
        <f t="shared" si="16"/>
        <v>68.5</v>
      </c>
      <c r="D102" s="26">
        <f t="shared" si="16"/>
        <v>5.33</v>
      </c>
      <c r="E102" s="26">
        <f t="shared" si="16"/>
        <v>4.33</v>
      </c>
      <c r="F102" s="26">
        <f t="shared" si="16"/>
        <v>4.33</v>
      </c>
      <c r="G102" s="26">
        <f t="shared" si="16"/>
        <v>2</v>
      </c>
      <c r="H102" s="26">
        <f t="shared" si="16"/>
        <v>6.67</v>
      </c>
      <c r="I102" s="26">
        <f t="shared" si="16"/>
        <v>9.67</v>
      </c>
      <c r="J102" s="26">
        <f t="shared" si="16"/>
        <v>22.35</v>
      </c>
      <c r="K102" s="26">
        <f t="shared" si="16"/>
        <v>0</v>
      </c>
      <c r="L102" s="26">
        <f t="shared" si="16"/>
        <v>0</v>
      </c>
      <c r="M102" s="26">
        <f t="shared" si="16"/>
        <v>0</v>
      </c>
      <c r="N102" s="26">
        <f t="shared" si="16"/>
        <v>0</v>
      </c>
      <c r="O102" s="10"/>
      <c r="P102" s="32">
        <f t="shared" ref="P102:V102" si="17">AVERAGE(P74:P98)</f>
        <v>3.24</v>
      </c>
      <c r="Q102" s="32">
        <f t="shared" si="17"/>
        <v>1.08</v>
      </c>
      <c r="R102" s="32">
        <f t="shared" si="17"/>
        <v>2.04</v>
      </c>
      <c r="S102" s="32">
        <f t="shared" si="17"/>
        <v>2.52</v>
      </c>
      <c r="T102" s="32">
        <f t="shared" si="17"/>
        <v>1.44</v>
      </c>
      <c r="U102" s="32">
        <f t="shared" si="17"/>
        <v>6.72</v>
      </c>
      <c r="V102" s="32">
        <f t="shared" si="17"/>
        <v>13.28</v>
      </c>
    </row>
    <row r="103" spans="1:32" x14ac:dyDescent="0.35">
      <c r="A103" s="11" t="s">
        <v>26</v>
      </c>
      <c r="B103" s="27">
        <f t="shared" ref="B103:N103" si="18">MAX(B24:B98)</f>
        <v>5.88</v>
      </c>
      <c r="C103" s="27">
        <f t="shared" si="18"/>
        <v>84.67</v>
      </c>
      <c r="D103" s="27">
        <f t="shared" si="18"/>
        <v>22.5</v>
      </c>
      <c r="E103" s="27">
        <f t="shared" si="18"/>
        <v>10.71</v>
      </c>
      <c r="F103" s="27">
        <f t="shared" si="18"/>
        <v>22</v>
      </c>
      <c r="G103" s="27">
        <f t="shared" si="18"/>
        <v>4.63</v>
      </c>
      <c r="H103" s="27">
        <f t="shared" si="18"/>
        <v>12.86</v>
      </c>
      <c r="I103" s="27">
        <f t="shared" si="18"/>
        <v>44.5</v>
      </c>
      <c r="J103" s="27">
        <f t="shared" si="18"/>
        <v>67.08</v>
      </c>
      <c r="K103" s="27">
        <f t="shared" si="18"/>
        <v>3.14</v>
      </c>
      <c r="L103" s="27">
        <f t="shared" si="18"/>
        <v>0.17</v>
      </c>
      <c r="M103" s="27">
        <f t="shared" si="18"/>
        <v>60.82</v>
      </c>
      <c r="N103" s="27">
        <f t="shared" si="18"/>
        <v>3.38</v>
      </c>
      <c r="O103" s="10"/>
    </row>
    <row r="104" spans="1:32" x14ac:dyDescent="0.35">
      <c r="A104" s="9" t="s">
        <v>27</v>
      </c>
      <c r="B104" s="26">
        <f t="shared" ref="B104:N104" si="19">_xlfn.STDEV.S(B24:B98)</f>
        <v>1.5373771627484718</v>
      </c>
      <c r="C104" s="26">
        <f t="shared" si="19"/>
        <v>3.4715158202275407</v>
      </c>
      <c r="D104" s="26">
        <f t="shared" si="19"/>
        <v>3.5336671608406456</v>
      </c>
      <c r="E104" s="26">
        <f t="shared" si="19"/>
        <v>1.9535452826005986</v>
      </c>
      <c r="F104" s="26">
        <f t="shared" si="19"/>
        <v>4.3738332992616096</v>
      </c>
      <c r="G104" s="26">
        <f t="shared" si="19"/>
        <v>0.9338701802250241</v>
      </c>
      <c r="H104" s="26">
        <f t="shared" si="19"/>
        <v>1.5012089662536348</v>
      </c>
      <c r="I104" s="26">
        <f t="shared" si="19"/>
        <v>7.8157717077321971</v>
      </c>
      <c r="J104" s="26">
        <f t="shared" si="19"/>
        <v>9.4934112989003712</v>
      </c>
      <c r="K104" s="26">
        <f t="shared" si="19"/>
        <v>0.93970422795475117</v>
      </c>
      <c r="L104" s="26">
        <f t="shared" si="19"/>
        <v>3.0302086985481317E-2</v>
      </c>
      <c r="M104" s="26">
        <f t="shared" si="19"/>
        <v>15.177493017830932</v>
      </c>
      <c r="N104" s="26">
        <f t="shared" si="19"/>
        <v>0.8435542138545169</v>
      </c>
      <c r="O104" s="10"/>
    </row>
    <row r="105" spans="1:32" x14ac:dyDescent="0.35">
      <c r="A105" s="11" t="s">
        <v>28</v>
      </c>
      <c r="B105" s="27">
        <f t="shared" ref="B105:N105" si="20">_xlfn.VAR.S(B24:B98)</f>
        <v>2.3635285405405408</v>
      </c>
      <c r="C105" s="27">
        <f t="shared" si="20"/>
        <v>12.051422090090096</v>
      </c>
      <c r="D105" s="27">
        <f t="shared" si="20"/>
        <v>12.48680360360359</v>
      </c>
      <c r="E105" s="27">
        <f t="shared" si="20"/>
        <v>3.8163391711710526</v>
      </c>
      <c r="F105" s="27">
        <f t="shared" si="20"/>
        <v>19.130417729729693</v>
      </c>
      <c r="G105" s="27">
        <f t="shared" si="20"/>
        <v>0.87211351351351907</v>
      </c>
      <c r="H105" s="27">
        <f t="shared" si="20"/>
        <v>2.2536283603603069</v>
      </c>
      <c r="I105" s="27">
        <f t="shared" si="20"/>
        <v>61.08628738738706</v>
      </c>
      <c r="J105" s="27">
        <f t="shared" si="20"/>
        <v>90.124858090089248</v>
      </c>
      <c r="K105" s="27">
        <f t="shared" si="20"/>
        <v>0.88304403603603487</v>
      </c>
      <c r="L105" s="27">
        <f t="shared" si="20"/>
        <v>9.1821647567567628E-4</v>
      </c>
      <c r="M105" s="27">
        <f t="shared" si="20"/>
        <v>230.35629430630669</v>
      </c>
      <c r="N105" s="27">
        <f t="shared" si="20"/>
        <v>0.71158371171171209</v>
      </c>
      <c r="O105" s="10"/>
    </row>
    <row r="108" spans="1:32" x14ac:dyDescent="0.35">
      <c r="A108" s="36" t="s">
        <v>197</v>
      </c>
    </row>
    <row r="109" spans="1:32" customFormat="1" ht="15" x14ac:dyDescent="0.35">
      <c r="A109" s="35" t="s">
        <v>185</v>
      </c>
      <c r="B109" s="1"/>
    </row>
    <row r="110" spans="1:32" customFormat="1" ht="15" x14ac:dyDescent="0.35">
      <c r="A110" s="35" t="s">
        <v>186</v>
      </c>
      <c r="B110" s="1"/>
    </row>
    <row r="111" spans="1:32" customFormat="1" ht="15" x14ac:dyDescent="0.35">
      <c r="A111" s="35" t="s">
        <v>187</v>
      </c>
      <c r="B111" s="1"/>
    </row>
    <row r="112" spans="1:32" customFormat="1" ht="15" x14ac:dyDescent="0.35">
      <c r="A112" t="s">
        <v>188</v>
      </c>
      <c r="B112" s="1"/>
    </row>
    <row r="113" spans="1:2" customFormat="1" ht="15" x14ac:dyDescent="0.35">
      <c r="A113" t="s">
        <v>189</v>
      </c>
      <c r="B113" s="1"/>
    </row>
    <row r="114" spans="1:2" customFormat="1" x14ac:dyDescent="0.3">
      <c r="A114" s="35" t="s">
        <v>190</v>
      </c>
    </row>
    <row r="115" spans="1:2" customFormat="1" x14ac:dyDescent="0.3">
      <c r="A115" s="35" t="s">
        <v>191</v>
      </c>
    </row>
    <row r="116" spans="1:2" customFormat="1" x14ac:dyDescent="0.3">
      <c r="A116" s="35" t="s">
        <v>192</v>
      </c>
    </row>
    <row r="117" spans="1:2" customFormat="1" x14ac:dyDescent="0.3">
      <c r="A117" s="35" t="s">
        <v>193</v>
      </c>
    </row>
    <row r="118" spans="1:2" customFormat="1" x14ac:dyDescent="0.3">
      <c r="A118" s="35" t="s">
        <v>194</v>
      </c>
    </row>
    <row r="119" spans="1:2" customFormat="1" x14ac:dyDescent="0.3">
      <c r="A119" s="35" t="s">
        <v>195</v>
      </c>
    </row>
    <row r="120" spans="1:2" customFormat="1" x14ac:dyDescent="0.3">
      <c r="A120" s="35" t="s">
        <v>196</v>
      </c>
    </row>
    <row r="121" spans="1:2" customFormat="1" x14ac:dyDescent="0.3">
      <c r="A121" s="35"/>
    </row>
    <row r="122" spans="1:2" customFormat="1" x14ac:dyDescent="0.3">
      <c r="A122" s="38" t="s">
        <v>198</v>
      </c>
    </row>
    <row r="123" spans="1:2" customFormat="1" x14ac:dyDescent="0.3">
      <c r="A123" s="35" t="s">
        <v>155</v>
      </c>
    </row>
    <row r="124" spans="1:2" customFormat="1" x14ac:dyDescent="0.3">
      <c r="A124" s="35" t="s">
        <v>166</v>
      </c>
    </row>
    <row r="125" spans="1:2" customFormat="1" x14ac:dyDescent="0.3">
      <c r="A125" s="35" t="s">
        <v>167</v>
      </c>
    </row>
    <row r="126" spans="1:2" ht="15" x14ac:dyDescent="0.35">
      <c r="A126" s="35" t="s">
        <v>168</v>
      </c>
    </row>
    <row r="127" spans="1:2" ht="15" x14ac:dyDescent="0.35">
      <c r="A127" s="35" t="s">
        <v>169</v>
      </c>
    </row>
    <row r="128" spans="1:2" ht="15" x14ac:dyDescent="0.35">
      <c r="A128" s="35"/>
    </row>
    <row r="130" spans="1:34" x14ac:dyDescent="0.35">
      <c r="A130" s="19" t="s">
        <v>44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2" spans="1:34" ht="28.8" x14ac:dyDescent="0.35">
      <c r="B132" s="13" t="s">
        <v>199</v>
      </c>
      <c r="C132" s="13" t="s">
        <v>20</v>
      </c>
      <c r="D132" s="13" t="s">
        <v>31</v>
      </c>
      <c r="E132" s="13" t="s">
        <v>32</v>
      </c>
      <c r="F132" s="13" t="s">
        <v>21</v>
      </c>
      <c r="G132" s="13" t="s">
        <v>33</v>
      </c>
      <c r="H132" s="13" t="s">
        <v>22</v>
      </c>
      <c r="I132" s="13" t="s">
        <v>34</v>
      </c>
      <c r="J132" s="13" t="s">
        <v>35</v>
      </c>
      <c r="K132" s="13" t="s">
        <v>36</v>
      </c>
      <c r="L132" s="13" t="s">
        <v>37</v>
      </c>
      <c r="M132" s="13" t="s">
        <v>38</v>
      </c>
      <c r="N132" s="13" t="s">
        <v>39</v>
      </c>
      <c r="O132" s="13" t="s">
        <v>40</v>
      </c>
    </row>
    <row r="133" spans="1:34" x14ac:dyDescent="0.35">
      <c r="A133" s="1">
        <f>COUNTIF($A$24:$A$98, "*Buggy")</f>
        <v>25</v>
      </c>
      <c r="B133" s="1" t="s">
        <v>30</v>
      </c>
      <c r="C133" s="32">
        <f t="shared" ref="C133:O133" si="21" xml:space="preserve"> AVERAGEIF($A$24:$A$98, "*Buggy",B$24:B$98)</f>
        <v>1.9787999999999999</v>
      </c>
      <c r="D133" s="32">
        <f t="shared" si="21"/>
        <v>75.147599999999969</v>
      </c>
      <c r="E133" s="32">
        <f t="shared" si="21"/>
        <v>11.982800000000003</v>
      </c>
      <c r="F133" s="32">
        <f t="shared" si="21"/>
        <v>8.5180000000000042</v>
      </c>
      <c r="G133" s="32">
        <f t="shared" si="21"/>
        <v>8.8940000000000037</v>
      </c>
      <c r="H133" s="32">
        <f t="shared" si="21"/>
        <v>2.6236000000000002</v>
      </c>
      <c r="I133" s="32">
        <f t="shared" si="21"/>
        <v>11.142800000000005</v>
      </c>
      <c r="J133" s="32">
        <f t="shared" si="21"/>
        <v>20.878000000000007</v>
      </c>
      <c r="K133" s="32">
        <f t="shared" si="21"/>
        <v>50.677199999999985</v>
      </c>
      <c r="L133" s="32">
        <f t="shared" si="21"/>
        <v>1.3263999999999998</v>
      </c>
      <c r="M133" s="32">
        <f t="shared" si="21"/>
        <v>3.3200000000000014E-2</v>
      </c>
      <c r="N133" s="32">
        <f t="shared" si="21"/>
        <v>20.53520000000001</v>
      </c>
      <c r="O133" s="32">
        <f t="shared" si="21"/>
        <v>1.1416000000000002</v>
      </c>
    </row>
    <row r="134" spans="1:34" x14ac:dyDescent="0.35">
      <c r="A134" s="1">
        <f>COUNTIF($A$24:$A$98, "*Manual")</f>
        <v>25</v>
      </c>
      <c r="B134" s="1" t="s">
        <v>62</v>
      </c>
      <c r="C134" s="32">
        <f t="shared" ref="C134:O134" si="22" xml:space="preserve"> AVERAGEIF($A$24:$A$98, "*Manual",B$24:B$98)</f>
        <v>2.0096000000000003</v>
      </c>
      <c r="D134" s="32">
        <f t="shared" si="22"/>
        <v>75.155599999999964</v>
      </c>
      <c r="E134" s="32">
        <f t="shared" si="22"/>
        <v>11.986799999999999</v>
      </c>
      <c r="F134" s="32">
        <f t="shared" si="22"/>
        <v>8.5188000000000006</v>
      </c>
      <c r="G134" s="32">
        <f t="shared" si="22"/>
        <v>8.8552000000000017</v>
      </c>
      <c r="H134" s="32">
        <f t="shared" si="22"/>
        <v>2.6307999999999998</v>
      </c>
      <c r="I134" s="32">
        <f t="shared" si="22"/>
        <v>11.150400000000005</v>
      </c>
      <c r="J134" s="32">
        <f t="shared" si="22"/>
        <v>20.840399999999995</v>
      </c>
      <c r="K134" s="32">
        <f t="shared" si="22"/>
        <v>50.70239999999999</v>
      </c>
      <c r="L134" s="32">
        <f t="shared" si="22"/>
        <v>1.3256000000000001</v>
      </c>
      <c r="M134" s="32">
        <f t="shared" si="22"/>
        <v>3.3200000000000014E-2</v>
      </c>
      <c r="N134" s="32">
        <f t="shared" si="22"/>
        <v>20.515200000000007</v>
      </c>
      <c r="O134" s="32">
        <f t="shared" si="22"/>
        <v>1.1400000000000001</v>
      </c>
    </row>
    <row r="135" spans="1:34" x14ac:dyDescent="0.35">
      <c r="A135" s="1">
        <f>COUNTIF($A$24:$A$98, "*Auto")</f>
        <v>25</v>
      </c>
      <c r="B135" s="1" t="s">
        <v>82</v>
      </c>
      <c r="C135" s="32">
        <f t="shared" ref="C135:O135" si="23" xml:space="preserve"> AVERAGEIF($A$24:$A$98, "*Auto",B$24:B$98)</f>
        <v>1.9432</v>
      </c>
      <c r="D135" s="32">
        <f t="shared" si="23"/>
        <v>74.924000000000007</v>
      </c>
      <c r="E135" s="32">
        <f t="shared" si="23"/>
        <v>11.9244</v>
      </c>
      <c r="F135" s="32">
        <f t="shared" si="23"/>
        <v>8.6735999999999986</v>
      </c>
      <c r="G135" s="32">
        <f t="shared" si="23"/>
        <v>8.7492000000000019</v>
      </c>
      <c r="H135" s="32">
        <f t="shared" si="23"/>
        <v>2.6716000000000002</v>
      </c>
      <c r="I135" s="32">
        <f t="shared" si="23"/>
        <v>11.347199999999997</v>
      </c>
      <c r="J135" s="32">
        <f t="shared" si="23"/>
        <v>20.6736</v>
      </c>
      <c r="K135" s="32">
        <f t="shared" si="23"/>
        <v>51.500000000000007</v>
      </c>
      <c r="L135" s="32">
        <f t="shared" si="23"/>
        <v>1.2944</v>
      </c>
      <c r="M135" s="32">
        <f t="shared" si="23"/>
        <v>4.4264000000000012E-2</v>
      </c>
      <c r="N135" s="32">
        <f t="shared" si="23"/>
        <v>22.658000000000001</v>
      </c>
      <c r="O135" s="32">
        <f t="shared" si="23"/>
        <v>1.2592000000000003</v>
      </c>
    </row>
    <row r="138" spans="1:34" ht="15" x14ac:dyDescent="0.35">
      <c r="A138" s="19" t="s">
        <v>61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R138" s="39" t="s">
        <v>60</v>
      </c>
      <c r="S138" s="39"/>
      <c r="T138" s="39"/>
      <c r="U138" s="31"/>
      <c r="V138" s="31"/>
      <c r="W138" s="31"/>
      <c r="X138" s="20"/>
      <c r="Y138" s="20"/>
      <c r="Z138" s="20"/>
      <c r="AA138" s="20"/>
      <c r="AB138" s="20"/>
      <c r="AC138" s="20"/>
      <c r="AD138" s="20"/>
      <c r="AE138" s="20"/>
      <c r="AF138" s="20"/>
      <c r="AG138"/>
      <c r="AH138"/>
    </row>
    <row r="140" spans="1:34" ht="33.6" customHeight="1" x14ac:dyDescent="0.35">
      <c r="B140" s="13" t="s">
        <v>199</v>
      </c>
      <c r="C140" s="13" t="s">
        <v>45</v>
      </c>
      <c r="D140" s="13" t="s">
        <v>31</v>
      </c>
      <c r="E140" s="13" t="s">
        <v>32</v>
      </c>
      <c r="F140" s="13" t="s">
        <v>21</v>
      </c>
      <c r="G140" s="13" t="s">
        <v>33</v>
      </c>
      <c r="H140" s="13" t="s">
        <v>22</v>
      </c>
      <c r="I140" s="13" t="s">
        <v>34</v>
      </c>
      <c r="J140" s="13" t="s">
        <v>35</v>
      </c>
      <c r="K140" s="13" t="s">
        <v>36</v>
      </c>
      <c r="L140" s="13" t="s">
        <v>37</v>
      </c>
      <c r="M140" s="13" t="s">
        <v>38</v>
      </c>
      <c r="N140" s="13" t="s">
        <v>39</v>
      </c>
      <c r="O140" s="13" t="s">
        <v>40</v>
      </c>
      <c r="S140" s="13" t="s">
        <v>199</v>
      </c>
      <c r="T140" s="13" t="s">
        <v>45</v>
      </c>
      <c r="U140" s="13" t="s">
        <v>31</v>
      </c>
      <c r="V140" s="13" t="s">
        <v>32</v>
      </c>
      <c r="W140" s="13" t="s">
        <v>21</v>
      </c>
      <c r="X140" s="13" t="s">
        <v>33</v>
      </c>
      <c r="Y140" s="13" t="s">
        <v>22</v>
      </c>
      <c r="Z140" s="13" t="s">
        <v>34</v>
      </c>
      <c r="AA140" s="13" t="s">
        <v>35</v>
      </c>
      <c r="AB140" s="13" t="s">
        <v>36</v>
      </c>
      <c r="AC140" s="13" t="s">
        <v>37</v>
      </c>
      <c r="AD140" s="13" t="s">
        <v>38</v>
      </c>
      <c r="AE140" s="13" t="s">
        <v>39</v>
      </c>
      <c r="AF140" s="13" t="s">
        <v>40</v>
      </c>
    </row>
    <row r="141" spans="1:34" x14ac:dyDescent="0.35">
      <c r="A141" s="1">
        <f>COUNTIFS($P$49:$P$73, "=1", $P$74:$P$98, "=1")</f>
        <v>4</v>
      </c>
      <c r="B141" s="1" t="s">
        <v>63</v>
      </c>
      <c r="C141" s="21">
        <f t="shared" ref="C141:O141" si="24">AVERAGEIFS(B$49:B$73, $P$49:$P$73, "=1", $P$74:$P$98, "=1")</f>
        <v>3.9399999999999995</v>
      </c>
      <c r="D141" s="21">
        <f t="shared" si="24"/>
        <v>73.724999999999994</v>
      </c>
      <c r="E141" s="21">
        <f t="shared" si="24"/>
        <v>15.6675</v>
      </c>
      <c r="F141" s="21">
        <f t="shared" si="24"/>
        <v>7.4424999999999999</v>
      </c>
      <c r="G141" s="21">
        <f t="shared" si="24"/>
        <v>14.1775</v>
      </c>
      <c r="H141" s="21">
        <f t="shared" si="24"/>
        <v>3.2725</v>
      </c>
      <c r="I141" s="21">
        <f t="shared" si="24"/>
        <v>10.715</v>
      </c>
      <c r="J141" s="21">
        <f t="shared" si="24"/>
        <v>29.844999999999999</v>
      </c>
      <c r="K141" s="21">
        <f t="shared" si="24"/>
        <v>53.25</v>
      </c>
      <c r="L141" s="21">
        <f t="shared" si="24"/>
        <v>0.5</v>
      </c>
      <c r="M141" s="21">
        <f t="shared" si="24"/>
        <v>1.2500000000000001E-2</v>
      </c>
      <c r="N141" s="21">
        <f t="shared" si="24"/>
        <v>7.6025</v>
      </c>
      <c r="O141" s="21">
        <f t="shared" si="24"/>
        <v>0.42249999999999999</v>
      </c>
      <c r="R141" s="1">
        <f>COUNTIFS($X$74:$X$98, "YES")</f>
        <v>0</v>
      </c>
      <c r="S141" s="1" t="s">
        <v>64</v>
      </c>
      <c r="T141" s="21" t="e">
        <f t="shared" ref="T141:AF141" si="25">AVERAGEIFS(B$49:B$73, $X$74:$X$98, "YES")</f>
        <v>#DIV/0!</v>
      </c>
      <c r="U141" s="21" t="e">
        <f t="shared" si="25"/>
        <v>#DIV/0!</v>
      </c>
      <c r="V141" s="21" t="e">
        <f t="shared" si="25"/>
        <v>#DIV/0!</v>
      </c>
      <c r="W141" s="21" t="e">
        <f t="shared" si="25"/>
        <v>#DIV/0!</v>
      </c>
      <c r="X141" s="21" t="e">
        <f t="shared" si="25"/>
        <v>#DIV/0!</v>
      </c>
      <c r="Y141" s="21" t="e">
        <f t="shared" si="25"/>
        <v>#DIV/0!</v>
      </c>
      <c r="Z141" s="21" t="e">
        <f t="shared" si="25"/>
        <v>#DIV/0!</v>
      </c>
      <c r="AA141" s="21" t="e">
        <f t="shared" si="25"/>
        <v>#DIV/0!</v>
      </c>
      <c r="AB141" s="21" t="e">
        <f t="shared" si="25"/>
        <v>#DIV/0!</v>
      </c>
      <c r="AC141" s="21" t="e">
        <f t="shared" si="25"/>
        <v>#DIV/0!</v>
      </c>
      <c r="AD141" s="21" t="e">
        <f t="shared" si="25"/>
        <v>#DIV/0!</v>
      </c>
      <c r="AE141" s="21" t="e">
        <f t="shared" si="25"/>
        <v>#DIV/0!</v>
      </c>
      <c r="AF141" s="21" t="e">
        <f t="shared" si="25"/>
        <v>#DIV/0!</v>
      </c>
    </row>
    <row r="142" spans="1:34" x14ac:dyDescent="0.35">
      <c r="A142" s="1">
        <f>COUNTIFS($P$49:$P$73, "=1", $P$74:$P$98, "=1")</f>
        <v>4</v>
      </c>
      <c r="B142" s="1" t="s">
        <v>83</v>
      </c>
      <c r="C142" s="21">
        <f t="shared" ref="C142:O142" si="26">AVERAGEIFS(B$74:B$98, $P$49:$P$73, "=1", $P$74:$P$98, "=1")</f>
        <v>3.585</v>
      </c>
      <c r="D142" s="21">
        <f t="shared" si="26"/>
        <v>74.007500000000007</v>
      </c>
      <c r="E142" s="21">
        <f t="shared" si="26"/>
        <v>14.7075</v>
      </c>
      <c r="F142" s="21">
        <f t="shared" si="26"/>
        <v>7.3624999999999998</v>
      </c>
      <c r="G142" s="21">
        <f t="shared" si="26"/>
        <v>12.925000000000001</v>
      </c>
      <c r="H142" s="21">
        <f t="shared" si="26"/>
        <v>3.3075000000000001</v>
      </c>
      <c r="I142" s="21">
        <f t="shared" si="26"/>
        <v>10.672499999999999</v>
      </c>
      <c r="J142" s="21">
        <f t="shared" si="26"/>
        <v>27.634999999999998</v>
      </c>
      <c r="K142" s="21">
        <f t="shared" si="26"/>
        <v>52.015000000000001</v>
      </c>
      <c r="L142" s="21">
        <f t="shared" si="26"/>
        <v>0.5</v>
      </c>
      <c r="M142" s="21">
        <f t="shared" si="26"/>
        <v>1.2500000000000001E-2</v>
      </c>
      <c r="N142" s="21">
        <f t="shared" si="26"/>
        <v>7.6025</v>
      </c>
      <c r="O142" s="21">
        <f t="shared" si="26"/>
        <v>0.42249999999999999</v>
      </c>
      <c r="R142" s="1">
        <f>COUNTIFS($X$74:$X$98, "YES")</f>
        <v>0</v>
      </c>
      <c r="S142" s="1" t="s">
        <v>84</v>
      </c>
      <c r="T142" s="21" t="e">
        <f t="shared" ref="T142:AF142" si="27">AVERAGEIFS(B$74:B$98, $X$74:$X$98, "YES")</f>
        <v>#DIV/0!</v>
      </c>
      <c r="U142" s="21" t="e">
        <f t="shared" si="27"/>
        <v>#DIV/0!</v>
      </c>
      <c r="V142" s="21" t="e">
        <f t="shared" si="27"/>
        <v>#DIV/0!</v>
      </c>
      <c r="W142" s="21" t="e">
        <f t="shared" si="27"/>
        <v>#DIV/0!</v>
      </c>
      <c r="X142" s="21" t="e">
        <f t="shared" si="27"/>
        <v>#DIV/0!</v>
      </c>
      <c r="Y142" s="21" t="e">
        <f t="shared" si="27"/>
        <v>#DIV/0!</v>
      </c>
      <c r="Z142" s="21" t="e">
        <f t="shared" si="27"/>
        <v>#DIV/0!</v>
      </c>
      <c r="AA142" s="21" t="e">
        <f t="shared" si="27"/>
        <v>#DIV/0!</v>
      </c>
      <c r="AB142" s="21" t="e">
        <f t="shared" si="27"/>
        <v>#DIV/0!</v>
      </c>
      <c r="AC142" s="21" t="e">
        <f t="shared" si="27"/>
        <v>#DIV/0!</v>
      </c>
      <c r="AD142" s="21" t="e">
        <f t="shared" si="27"/>
        <v>#DIV/0!</v>
      </c>
      <c r="AE142" s="21" t="e">
        <f t="shared" si="27"/>
        <v>#DIV/0!</v>
      </c>
      <c r="AF142" s="21" t="e">
        <f t="shared" si="27"/>
        <v>#DIV/0!</v>
      </c>
    </row>
    <row r="143" spans="1:34" x14ac:dyDescent="0.35">
      <c r="R143" s="30"/>
    </row>
    <row r="144" spans="1:34" ht="36" customHeight="1" x14ac:dyDescent="0.35">
      <c r="B144" s="13" t="s">
        <v>199</v>
      </c>
      <c r="C144" s="13" t="s">
        <v>45</v>
      </c>
      <c r="D144" s="13" t="s">
        <v>31</v>
      </c>
      <c r="E144" s="13" t="s">
        <v>32</v>
      </c>
      <c r="F144" s="13" t="s">
        <v>21</v>
      </c>
      <c r="G144" s="13" t="s">
        <v>33</v>
      </c>
      <c r="H144" s="13" t="s">
        <v>22</v>
      </c>
      <c r="I144" s="13" t="s">
        <v>34</v>
      </c>
      <c r="J144" s="13" t="s">
        <v>35</v>
      </c>
      <c r="K144" s="13" t="s">
        <v>36</v>
      </c>
      <c r="L144" s="13" t="s">
        <v>37</v>
      </c>
      <c r="M144" s="13" t="s">
        <v>38</v>
      </c>
      <c r="N144" s="13" t="s">
        <v>39</v>
      </c>
      <c r="O144" s="13" t="s">
        <v>40</v>
      </c>
      <c r="S144" s="13" t="s">
        <v>199</v>
      </c>
      <c r="T144" s="13" t="s">
        <v>45</v>
      </c>
      <c r="U144" s="13" t="s">
        <v>31</v>
      </c>
      <c r="V144" s="13" t="s">
        <v>32</v>
      </c>
      <c r="W144" s="13" t="s">
        <v>21</v>
      </c>
      <c r="X144" s="13" t="s">
        <v>33</v>
      </c>
      <c r="Y144" s="13" t="s">
        <v>22</v>
      </c>
      <c r="Z144" s="13" t="s">
        <v>34</v>
      </c>
      <c r="AA144" s="13" t="s">
        <v>35</v>
      </c>
      <c r="AB144" s="13" t="s">
        <v>36</v>
      </c>
      <c r="AC144" s="13" t="s">
        <v>37</v>
      </c>
      <c r="AD144" s="13" t="s">
        <v>38</v>
      </c>
      <c r="AE144" s="13" t="s">
        <v>39</v>
      </c>
      <c r="AF144" s="13" t="s">
        <v>40</v>
      </c>
    </row>
    <row r="145" spans="1:32" x14ac:dyDescent="0.35">
      <c r="A145" s="1">
        <f>COUNTIFS($P$49:$P$73, "&gt;1", $P$74:$P$98, "&gt;1")</f>
        <v>4</v>
      </c>
      <c r="B145" s="1" t="s">
        <v>65</v>
      </c>
      <c r="C145" s="21">
        <f t="shared" ref="C145:O145" si="28">AVERAGEIFS(B$49:B$73, $P$49:$P$73, "&gt;1", $P$74:$P$98, "&gt;1")</f>
        <v>2.57</v>
      </c>
      <c r="D145" s="21">
        <f t="shared" si="28"/>
        <v>80.36</v>
      </c>
      <c r="E145" s="21">
        <f t="shared" si="28"/>
        <v>9.7899999999999991</v>
      </c>
      <c r="F145" s="21">
        <f t="shared" si="28"/>
        <v>5.43</v>
      </c>
      <c r="G145" s="21">
        <f t="shared" si="28"/>
        <v>8.43</v>
      </c>
      <c r="H145" s="21">
        <f t="shared" si="28"/>
        <v>3.36</v>
      </c>
      <c r="I145" s="21">
        <f t="shared" si="28"/>
        <v>8.7899999999999991</v>
      </c>
      <c r="J145" s="21">
        <f t="shared" si="28"/>
        <v>18.21</v>
      </c>
      <c r="K145" s="21">
        <f t="shared" si="28"/>
        <v>36.97</v>
      </c>
      <c r="L145" s="21">
        <f t="shared" si="28"/>
        <v>0</v>
      </c>
      <c r="M145" s="21">
        <f t="shared" si="28"/>
        <v>0</v>
      </c>
      <c r="N145" s="21">
        <f t="shared" si="28"/>
        <v>0</v>
      </c>
      <c r="O145" s="21">
        <f t="shared" si="28"/>
        <v>0</v>
      </c>
      <c r="R145" s="1">
        <f>COUNTIFS($Y$74:$Y$98, "YES")</f>
        <v>0</v>
      </c>
      <c r="S145" s="1" t="s">
        <v>66</v>
      </c>
      <c r="T145" s="21" t="e">
        <f t="shared" ref="T145:AF145" si="29">AVERAGEIFS(B$49:B$73, $Y$74:$Y$98, "YES")</f>
        <v>#DIV/0!</v>
      </c>
      <c r="U145" s="21" t="e">
        <f t="shared" si="29"/>
        <v>#DIV/0!</v>
      </c>
      <c r="V145" s="21" t="e">
        <f t="shared" si="29"/>
        <v>#DIV/0!</v>
      </c>
      <c r="W145" s="21" t="e">
        <f t="shared" si="29"/>
        <v>#DIV/0!</v>
      </c>
      <c r="X145" s="21" t="e">
        <f t="shared" si="29"/>
        <v>#DIV/0!</v>
      </c>
      <c r="Y145" s="21" t="e">
        <f t="shared" si="29"/>
        <v>#DIV/0!</v>
      </c>
      <c r="Z145" s="21" t="e">
        <f t="shared" si="29"/>
        <v>#DIV/0!</v>
      </c>
      <c r="AA145" s="21" t="e">
        <f t="shared" si="29"/>
        <v>#DIV/0!</v>
      </c>
      <c r="AB145" s="21" t="e">
        <f t="shared" si="29"/>
        <v>#DIV/0!</v>
      </c>
      <c r="AC145" s="21" t="e">
        <f t="shared" si="29"/>
        <v>#DIV/0!</v>
      </c>
      <c r="AD145" s="21" t="e">
        <f t="shared" si="29"/>
        <v>#DIV/0!</v>
      </c>
      <c r="AE145" s="21" t="e">
        <f t="shared" si="29"/>
        <v>#DIV/0!</v>
      </c>
      <c r="AF145" s="21" t="e">
        <f t="shared" si="29"/>
        <v>#DIV/0!</v>
      </c>
    </row>
    <row r="146" spans="1:32" x14ac:dyDescent="0.35">
      <c r="A146" s="1">
        <f>COUNTIFS($P$49:$P$73, "&gt;1", $P$74:$P$98, "&gt;1")</f>
        <v>4</v>
      </c>
      <c r="B146" s="1" t="s">
        <v>85</v>
      </c>
      <c r="C146" s="21">
        <f t="shared" ref="C146:O146" si="30">AVERAGEIFS(B$74:B$98, $P$49:$P$73, "&gt;1", $P$74:$P$98, "&gt;1")</f>
        <v>2.52</v>
      </c>
      <c r="D146" s="21">
        <f t="shared" si="30"/>
        <v>80.17</v>
      </c>
      <c r="E146" s="21">
        <f t="shared" si="30"/>
        <v>10.0175</v>
      </c>
      <c r="F146" s="21">
        <f t="shared" si="30"/>
        <v>5.52</v>
      </c>
      <c r="G146" s="21">
        <f t="shared" si="30"/>
        <v>8.27</v>
      </c>
      <c r="H146" s="21">
        <f t="shared" si="30"/>
        <v>3.1150000000000002</v>
      </c>
      <c r="I146" s="21">
        <f t="shared" si="30"/>
        <v>8.6374999999999993</v>
      </c>
      <c r="J146" s="21">
        <f t="shared" si="30"/>
        <v>18.287500000000001</v>
      </c>
      <c r="K146" s="21">
        <f t="shared" si="30"/>
        <v>36.277499999999996</v>
      </c>
      <c r="L146" s="21">
        <f t="shared" si="30"/>
        <v>0</v>
      </c>
      <c r="M146" s="21">
        <f t="shared" si="30"/>
        <v>0</v>
      </c>
      <c r="N146" s="21">
        <f t="shared" si="30"/>
        <v>0</v>
      </c>
      <c r="O146" s="21">
        <f t="shared" si="30"/>
        <v>0</v>
      </c>
      <c r="R146" s="1">
        <f>COUNTIFS($Y$74:$Y$98, "YES")</f>
        <v>0</v>
      </c>
      <c r="S146" s="1" t="s">
        <v>86</v>
      </c>
      <c r="T146" s="21" t="e">
        <f t="shared" ref="T146:AF146" si="31">AVERAGEIFS(B$74:B$98, $Y$74:$Y$98, "YES")</f>
        <v>#DIV/0!</v>
      </c>
      <c r="U146" s="21" t="e">
        <f t="shared" si="31"/>
        <v>#DIV/0!</v>
      </c>
      <c r="V146" s="21" t="e">
        <f t="shared" si="31"/>
        <v>#DIV/0!</v>
      </c>
      <c r="W146" s="21" t="e">
        <f t="shared" si="31"/>
        <v>#DIV/0!</v>
      </c>
      <c r="X146" s="21" t="e">
        <f t="shared" si="31"/>
        <v>#DIV/0!</v>
      </c>
      <c r="Y146" s="21" t="e">
        <f t="shared" si="31"/>
        <v>#DIV/0!</v>
      </c>
      <c r="Z146" s="21" t="e">
        <f t="shared" si="31"/>
        <v>#DIV/0!</v>
      </c>
      <c r="AA146" s="21" t="e">
        <f t="shared" si="31"/>
        <v>#DIV/0!</v>
      </c>
      <c r="AB146" s="21" t="e">
        <f t="shared" si="31"/>
        <v>#DIV/0!</v>
      </c>
      <c r="AC146" s="21" t="e">
        <f t="shared" si="31"/>
        <v>#DIV/0!</v>
      </c>
      <c r="AD146" s="21" t="e">
        <f t="shared" si="31"/>
        <v>#DIV/0!</v>
      </c>
      <c r="AE146" s="21" t="e">
        <f t="shared" si="31"/>
        <v>#DIV/0!</v>
      </c>
      <c r="AF146" s="21" t="e">
        <f t="shared" si="31"/>
        <v>#DIV/0!</v>
      </c>
    </row>
    <row r="147" spans="1:32" x14ac:dyDescent="0.35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R147" s="30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:32" ht="32.4" customHeight="1" x14ac:dyDescent="0.35">
      <c r="B148" s="13" t="s">
        <v>199</v>
      </c>
      <c r="C148" s="13" t="s">
        <v>45</v>
      </c>
      <c r="D148" s="13" t="s">
        <v>31</v>
      </c>
      <c r="E148" s="13" t="s">
        <v>32</v>
      </c>
      <c r="F148" s="13" t="s">
        <v>21</v>
      </c>
      <c r="G148" s="13" t="s">
        <v>33</v>
      </c>
      <c r="H148" s="13" t="s">
        <v>22</v>
      </c>
      <c r="I148" s="13" t="s">
        <v>34</v>
      </c>
      <c r="J148" s="13" t="s">
        <v>35</v>
      </c>
      <c r="K148" s="13" t="s">
        <v>36</v>
      </c>
      <c r="L148" s="13" t="s">
        <v>37</v>
      </c>
      <c r="M148" s="13" t="s">
        <v>38</v>
      </c>
      <c r="N148" s="13" t="s">
        <v>39</v>
      </c>
      <c r="O148" s="13" t="s">
        <v>40</v>
      </c>
      <c r="S148" s="13" t="s">
        <v>199</v>
      </c>
      <c r="T148" s="13" t="s">
        <v>45</v>
      </c>
      <c r="U148" s="13" t="s">
        <v>31</v>
      </c>
      <c r="V148" s="13" t="s">
        <v>32</v>
      </c>
      <c r="W148" s="13" t="s">
        <v>21</v>
      </c>
      <c r="X148" s="13" t="s">
        <v>33</v>
      </c>
      <c r="Y148" s="13" t="s">
        <v>22</v>
      </c>
      <c r="Z148" s="13" t="s">
        <v>34</v>
      </c>
      <c r="AA148" s="13" t="s">
        <v>35</v>
      </c>
      <c r="AB148" s="13" t="s">
        <v>36</v>
      </c>
      <c r="AC148" s="13" t="s">
        <v>37</v>
      </c>
      <c r="AD148" s="13" t="s">
        <v>38</v>
      </c>
      <c r="AE148" s="13" t="s">
        <v>39</v>
      </c>
      <c r="AF148" s="13" t="s">
        <v>40</v>
      </c>
    </row>
    <row r="149" spans="1:32" x14ac:dyDescent="0.35">
      <c r="A149" s="1">
        <f>COUNTIFS($U$49:$U$73, "=1", $U$74:$U$98, "=1")</f>
        <v>0</v>
      </c>
      <c r="B149" s="1" t="s">
        <v>67</v>
      </c>
      <c r="C149" s="21" t="e">
        <f t="shared" ref="C149:O149" si="32">AVERAGEIFS(B$49:B$73, $U$49:$U$73, "=1", $U$74:$U$98, "=1")</f>
        <v>#DIV/0!</v>
      </c>
      <c r="D149" s="21" t="e">
        <f t="shared" si="32"/>
        <v>#DIV/0!</v>
      </c>
      <c r="E149" s="21" t="e">
        <f t="shared" si="32"/>
        <v>#DIV/0!</v>
      </c>
      <c r="F149" s="21" t="e">
        <f t="shared" si="32"/>
        <v>#DIV/0!</v>
      </c>
      <c r="G149" s="21" t="e">
        <f t="shared" si="32"/>
        <v>#DIV/0!</v>
      </c>
      <c r="H149" s="21" t="e">
        <f t="shared" si="32"/>
        <v>#DIV/0!</v>
      </c>
      <c r="I149" s="21" t="e">
        <f t="shared" si="32"/>
        <v>#DIV/0!</v>
      </c>
      <c r="J149" s="21" t="e">
        <f t="shared" si="32"/>
        <v>#DIV/0!</v>
      </c>
      <c r="K149" s="21" t="e">
        <f t="shared" si="32"/>
        <v>#DIV/0!</v>
      </c>
      <c r="L149" s="21" t="e">
        <f t="shared" si="32"/>
        <v>#DIV/0!</v>
      </c>
      <c r="M149" s="21" t="e">
        <f t="shared" si="32"/>
        <v>#DIV/0!</v>
      </c>
      <c r="N149" s="21" t="e">
        <f t="shared" si="32"/>
        <v>#DIV/0!</v>
      </c>
      <c r="O149" s="21" t="e">
        <f t="shared" si="32"/>
        <v>#DIV/0!</v>
      </c>
      <c r="R149" s="1">
        <f>COUNTIFS($Z$74:$Z$98, "YES")</f>
        <v>0</v>
      </c>
      <c r="S149" s="1" t="s">
        <v>68</v>
      </c>
      <c r="T149" s="21" t="e">
        <f t="shared" ref="T149:AF149" si="33">AVERAGEIFS(B$49:B$73, $Z$74:$Z$98, "YES")</f>
        <v>#DIV/0!</v>
      </c>
      <c r="U149" s="21" t="e">
        <f t="shared" si="33"/>
        <v>#DIV/0!</v>
      </c>
      <c r="V149" s="21" t="e">
        <f t="shared" si="33"/>
        <v>#DIV/0!</v>
      </c>
      <c r="W149" s="21" t="e">
        <f t="shared" si="33"/>
        <v>#DIV/0!</v>
      </c>
      <c r="X149" s="21" t="e">
        <f t="shared" si="33"/>
        <v>#DIV/0!</v>
      </c>
      <c r="Y149" s="21" t="e">
        <f t="shared" si="33"/>
        <v>#DIV/0!</v>
      </c>
      <c r="Z149" s="21" t="e">
        <f t="shared" si="33"/>
        <v>#DIV/0!</v>
      </c>
      <c r="AA149" s="21" t="e">
        <f t="shared" si="33"/>
        <v>#DIV/0!</v>
      </c>
      <c r="AB149" s="21" t="e">
        <f t="shared" si="33"/>
        <v>#DIV/0!</v>
      </c>
      <c r="AC149" s="21" t="e">
        <f t="shared" si="33"/>
        <v>#DIV/0!</v>
      </c>
      <c r="AD149" s="21" t="e">
        <f t="shared" si="33"/>
        <v>#DIV/0!</v>
      </c>
      <c r="AE149" s="21" t="e">
        <f t="shared" si="33"/>
        <v>#DIV/0!</v>
      </c>
      <c r="AF149" s="21" t="e">
        <f t="shared" si="33"/>
        <v>#DIV/0!</v>
      </c>
    </row>
    <row r="150" spans="1:32" x14ac:dyDescent="0.35">
      <c r="A150" s="1">
        <f>COUNTIFS($U$49:$U$73, "=1", $U$74:$U$98, "=1")</f>
        <v>0</v>
      </c>
      <c r="B150" s="1" t="s">
        <v>87</v>
      </c>
      <c r="C150" s="21" t="e">
        <f t="shared" ref="C150:O150" si="34">AVERAGEIFS(B$74:B$98, $U$49:$U$73, "=1", $U$74:$U$98, "=1")</f>
        <v>#DIV/0!</v>
      </c>
      <c r="D150" s="21" t="e">
        <f t="shared" si="34"/>
        <v>#DIV/0!</v>
      </c>
      <c r="E150" s="21" t="e">
        <f t="shared" si="34"/>
        <v>#DIV/0!</v>
      </c>
      <c r="F150" s="21" t="e">
        <f t="shared" si="34"/>
        <v>#DIV/0!</v>
      </c>
      <c r="G150" s="21" t="e">
        <f t="shared" si="34"/>
        <v>#DIV/0!</v>
      </c>
      <c r="H150" s="21" t="e">
        <f t="shared" si="34"/>
        <v>#DIV/0!</v>
      </c>
      <c r="I150" s="21" t="e">
        <f t="shared" si="34"/>
        <v>#DIV/0!</v>
      </c>
      <c r="J150" s="21" t="e">
        <f t="shared" si="34"/>
        <v>#DIV/0!</v>
      </c>
      <c r="K150" s="21" t="e">
        <f t="shared" si="34"/>
        <v>#DIV/0!</v>
      </c>
      <c r="L150" s="21" t="e">
        <f t="shared" si="34"/>
        <v>#DIV/0!</v>
      </c>
      <c r="M150" s="21" t="e">
        <f t="shared" si="34"/>
        <v>#DIV/0!</v>
      </c>
      <c r="N150" s="21" t="e">
        <f t="shared" si="34"/>
        <v>#DIV/0!</v>
      </c>
      <c r="O150" s="21" t="e">
        <f t="shared" si="34"/>
        <v>#DIV/0!</v>
      </c>
      <c r="R150" s="1">
        <f>COUNTIFS($Z$74:$Z$98, "YES")</f>
        <v>0</v>
      </c>
      <c r="S150" s="1" t="s">
        <v>88</v>
      </c>
      <c r="T150" s="21" t="e">
        <f t="shared" ref="T150:AF150" si="35">AVERAGEIFS(B$74:B$98, $Z$74:$Z$98, "YES")</f>
        <v>#DIV/0!</v>
      </c>
      <c r="U150" s="21" t="e">
        <f t="shared" si="35"/>
        <v>#DIV/0!</v>
      </c>
      <c r="V150" s="21" t="e">
        <f t="shared" si="35"/>
        <v>#DIV/0!</v>
      </c>
      <c r="W150" s="21" t="e">
        <f t="shared" si="35"/>
        <v>#DIV/0!</v>
      </c>
      <c r="X150" s="21" t="e">
        <f t="shared" si="35"/>
        <v>#DIV/0!</v>
      </c>
      <c r="Y150" s="21" t="e">
        <f t="shared" si="35"/>
        <v>#DIV/0!</v>
      </c>
      <c r="Z150" s="21" t="e">
        <f t="shared" si="35"/>
        <v>#DIV/0!</v>
      </c>
      <c r="AA150" s="21" t="e">
        <f t="shared" si="35"/>
        <v>#DIV/0!</v>
      </c>
      <c r="AB150" s="21" t="e">
        <f t="shared" si="35"/>
        <v>#DIV/0!</v>
      </c>
      <c r="AC150" s="21" t="e">
        <f t="shared" si="35"/>
        <v>#DIV/0!</v>
      </c>
      <c r="AD150" s="21" t="e">
        <f t="shared" si="35"/>
        <v>#DIV/0!</v>
      </c>
      <c r="AE150" s="21" t="e">
        <f t="shared" si="35"/>
        <v>#DIV/0!</v>
      </c>
      <c r="AF150" s="21" t="e">
        <f t="shared" si="35"/>
        <v>#DIV/0!</v>
      </c>
    </row>
    <row r="151" spans="1:32" x14ac:dyDescent="0.3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:32" ht="34.200000000000003" customHeight="1" x14ac:dyDescent="0.35">
      <c r="B152" s="13" t="s">
        <v>199</v>
      </c>
      <c r="C152" s="13" t="s">
        <v>45</v>
      </c>
      <c r="D152" s="13" t="s">
        <v>31</v>
      </c>
      <c r="E152" s="13" t="s">
        <v>32</v>
      </c>
      <c r="F152" s="13" t="s">
        <v>21</v>
      </c>
      <c r="G152" s="13" t="s">
        <v>33</v>
      </c>
      <c r="H152" s="13" t="s">
        <v>22</v>
      </c>
      <c r="I152" s="13" t="s">
        <v>34</v>
      </c>
      <c r="J152" s="13" t="s">
        <v>35</v>
      </c>
      <c r="K152" s="13" t="s">
        <v>36</v>
      </c>
      <c r="L152" s="13" t="s">
        <v>37</v>
      </c>
      <c r="M152" s="13" t="s">
        <v>38</v>
      </c>
      <c r="N152" s="13" t="s">
        <v>39</v>
      </c>
      <c r="O152" s="13" t="s">
        <v>40</v>
      </c>
      <c r="R152" s="30"/>
      <c r="S152" s="13" t="s">
        <v>199</v>
      </c>
      <c r="T152" s="13" t="s">
        <v>45</v>
      </c>
      <c r="U152" s="13" t="s">
        <v>31</v>
      </c>
      <c r="V152" s="13" t="s">
        <v>32</v>
      </c>
      <c r="W152" s="13" t="s">
        <v>21</v>
      </c>
      <c r="X152" s="13" t="s">
        <v>33</v>
      </c>
      <c r="Y152" s="13" t="s">
        <v>22</v>
      </c>
      <c r="Z152" s="13" t="s">
        <v>34</v>
      </c>
      <c r="AA152" s="13" t="s">
        <v>35</v>
      </c>
      <c r="AB152" s="13" t="s">
        <v>36</v>
      </c>
      <c r="AC152" s="13" t="s">
        <v>37</v>
      </c>
      <c r="AD152" s="13" t="s">
        <v>38</v>
      </c>
      <c r="AE152" s="13" t="s">
        <v>39</v>
      </c>
      <c r="AF152" s="13" t="s">
        <v>40</v>
      </c>
    </row>
    <row r="153" spans="1:32" x14ac:dyDescent="0.35">
      <c r="A153" s="1">
        <f>COUNTIFS($U$49:$U$73, "&gt;1", $U$74:$U$98, "&gt;1")</f>
        <v>4</v>
      </c>
      <c r="B153" s="1" t="s">
        <v>69</v>
      </c>
      <c r="C153" s="21">
        <f t="shared" ref="C153:O153" si="36">AVERAGEIFS(B$49:B$73, $U$49:$U$73, "&gt;1", $U$74:$U$98, "&gt;1")</f>
        <v>2.57</v>
      </c>
      <c r="D153" s="21">
        <f t="shared" si="36"/>
        <v>80.36</v>
      </c>
      <c r="E153" s="21">
        <f t="shared" si="36"/>
        <v>9.7899999999999991</v>
      </c>
      <c r="F153" s="21">
        <f t="shared" si="36"/>
        <v>5.43</v>
      </c>
      <c r="G153" s="21">
        <f t="shared" si="36"/>
        <v>8.43</v>
      </c>
      <c r="H153" s="21">
        <f t="shared" si="36"/>
        <v>3.36</v>
      </c>
      <c r="I153" s="21">
        <f t="shared" si="36"/>
        <v>8.7899999999999991</v>
      </c>
      <c r="J153" s="21">
        <f t="shared" si="36"/>
        <v>18.21</v>
      </c>
      <c r="K153" s="21">
        <f t="shared" si="36"/>
        <v>36.97</v>
      </c>
      <c r="L153" s="21">
        <f t="shared" si="36"/>
        <v>0</v>
      </c>
      <c r="M153" s="21">
        <f t="shared" si="36"/>
        <v>0</v>
      </c>
      <c r="N153" s="21">
        <f t="shared" si="36"/>
        <v>0</v>
      </c>
      <c r="O153" s="21">
        <f t="shared" si="36"/>
        <v>0</v>
      </c>
      <c r="R153" s="1">
        <f>COUNTIFS($AA$74:$AA$98, "YES")</f>
        <v>3</v>
      </c>
      <c r="S153" s="1" t="s">
        <v>70</v>
      </c>
      <c r="T153" s="21">
        <f t="shared" ref="T153:AF153" si="37">AVERAGEIFS(B$49:B$73, $AA$74:$AA$98, "YES")</f>
        <v>2.57</v>
      </c>
      <c r="U153" s="21">
        <f t="shared" si="37"/>
        <v>80.36</v>
      </c>
      <c r="V153" s="21">
        <f t="shared" si="37"/>
        <v>9.7899999999999991</v>
      </c>
      <c r="W153" s="21">
        <f t="shared" si="37"/>
        <v>5.43</v>
      </c>
      <c r="X153" s="21">
        <f t="shared" si="37"/>
        <v>8.43</v>
      </c>
      <c r="Y153" s="21">
        <f t="shared" si="37"/>
        <v>3.36</v>
      </c>
      <c r="Z153" s="21">
        <f t="shared" si="37"/>
        <v>8.7899999999999991</v>
      </c>
      <c r="AA153" s="21">
        <f t="shared" si="37"/>
        <v>18.21</v>
      </c>
      <c r="AB153" s="21">
        <f t="shared" si="37"/>
        <v>36.97</v>
      </c>
      <c r="AC153" s="21">
        <f t="shared" si="37"/>
        <v>0</v>
      </c>
      <c r="AD153" s="21">
        <f t="shared" si="37"/>
        <v>0</v>
      </c>
      <c r="AE153" s="21">
        <f t="shared" si="37"/>
        <v>0</v>
      </c>
      <c r="AF153" s="21">
        <f t="shared" si="37"/>
        <v>0</v>
      </c>
    </row>
    <row r="154" spans="1:32" x14ac:dyDescent="0.35">
      <c r="A154" s="1">
        <f>COUNTIFS($U$49:$U$73, "&gt;1", $U$74:$U$98, "&gt;1")</f>
        <v>4</v>
      </c>
      <c r="B154" s="1" t="s">
        <v>89</v>
      </c>
      <c r="C154" s="21">
        <f t="shared" ref="C154:O154" si="38">AVERAGEIFS(B$74:B$98, $U$49:$U$73, "&gt;1", $U$74:$U$98, "&gt;1")</f>
        <v>2.52</v>
      </c>
      <c r="D154" s="21">
        <f t="shared" si="38"/>
        <v>80.17</v>
      </c>
      <c r="E154" s="21">
        <f t="shared" si="38"/>
        <v>10.0175</v>
      </c>
      <c r="F154" s="21">
        <f t="shared" si="38"/>
        <v>5.52</v>
      </c>
      <c r="G154" s="21">
        <f t="shared" si="38"/>
        <v>8.27</v>
      </c>
      <c r="H154" s="21">
        <f t="shared" si="38"/>
        <v>3.1150000000000002</v>
      </c>
      <c r="I154" s="21">
        <f t="shared" si="38"/>
        <v>8.6374999999999993</v>
      </c>
      <c r="J154" s="21">
        <f t="shared" si="38"/>
        <v>18.287500000000001</v>
      </c>
      <c r="K154" s="21">
        <f t="shared" si="38"/>
        <v>36.277499999999996</v>
      </c>
      <c r="L154" s="21">
        <f t="shared" si="38"/>
        <v>0</v>
      </c>
      <c r="M154" s="21">
        <f t="shared" si="38"/>
        <v>0</v>
      </c>
      <c r="N154" s="21">
        <f t="shared" si="38"/>
        <v>0</v>
      </c>
      <c r="O154" s="21">
        <f t="shared" si="38"/>
        <v>0</v>
      </c>
      <c r="R154" s="1">
        <f>COUNTIFS($AA$74:$AA$98, "YES")</f>
        <v>3</v>
      </c>
      <c r="S154" s="1" t="s">
        <v>90</v>
      </c>
      <c r="T154" s="21">
        <f t="shared" ref="T154:AF154" si="39">AVERAGEIFS(B$74:B$98, $AA$74:$AA$98, "YES")</f>
        <v>2.5133333333333332</v>
      </c>
      <c r="U154" s="21">
        <f t="shared" si="39"/>
        <v>80.100000000000009</v>
      </c>
      <c r="V154" s="21">
        <f t="shared" si="39"/>
        <v>9.9966666666666679</v>
      </c>
      <c r="W154" s="21">
        <f t="shared" si="39"/>
        <v>5.54</v>
      </c>
      <c r="X154" s="21">
        <f t="shared" si="39"/>
        <v>8.2333333333333325</v>
      </c>
      <c r="Y154" s="21">
        <f t="shared" si="39"/>
        <v>3.1033333333333335</v>
      </c>
      <c r="Z154" s="21">
        <f t="shared" si="39"/>
        <v>8.6433333333333326</v>
      </c>
      <c r="AA154" s="21">
        <f t="shared" si="39"/>
        <v>18.23</v>
      </c>
      <c r="AB154" s="21">
        <f t="shared" si="39"/>
        <v>36.206666666666671</v>
      </c>
      <c r="AC154" s="21">
        <f t="shared" si="39"/>
        <v>0</v>
      </c>
      <c r="AD154" s="21">
        <f t="shared" si="39"/>
        <v>0</v>
      </c>
      <c r="AE154" s="21">
        <f t="shared" si="39"/>
        <v>0</v>
      </c>
      <c r="AF154" s="21">
        <f t="shared" si="39"/>
        <v>0</v>
      </c>
    </row>
    <row r="156" spans="1:32" ht="15" customHeight="1" x14ac:dyDescent="0.35"/>
    <row r="157" spans="1:32" x14ac:dyDescent="0.35">
      <c r="A157" s="19" t="s">
        <v>46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32" ht="15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32" ht="28.8" x14ac:dyDescent="0.35">
      <c r="A159" s="13" t="s">
        <v>48</v>
      </c>
      <c r="B159" s="13" t="s">
        <v>199</v>
      </c>
      <c r="C159" s="13" t="s">
        <v>45</v>
      </c>
      <c r="D159" s="13" t="s">
        <v>31</v>
      </c>
      <c r="E159" s="13" t="s">
        <v>32</v>
      </c>
      <c r="F159" s="13" t="s">
        <v>21</v>
      </c>
      <c r="G159" s="13" t="s">
        <v>33</v>
      </c>
      <c r="H159" s="13" t="s">
        <v>22</v>
      </c>
      <c r="I159" s="13" t="s">
        <v>34</v>
      </c>
      <c r="J159" s="13" t="s">
        <v>35</v>
      </c>
      <c r="K159" s="13" t="s">
        <v>36</v>
      </c>
      <c r="L159" s="13" t="s">
        <v>37</v>
      </c>
      <c r="M159" s="13" t="s">
        <v>38</v>
      </c>
      <c r="N159" s="13" t="s">
        <v>39</v>
      </c>
      <c r="O159" s="13" t="s">
        <v>40</v>
      </c>
    </row>
    <row r="160" spans="1:32" x14ac:dyDescent="0.35">
      <c r="A160" s="1">
        <f>COUNTIF($A$24:$A$98, "*albfernandez-GDS-PMD-Security*Buggy")</f>
        <v>2</v>
      </c>
      <c r="B160" s="1" t="s">
        <v>49</v>
      </c>
      <c r="C160" s="21">
        <f t="shared" ref="C160:O160" si="40">AVERAGEIF($A$24:$A$98, "*albfernandez-GDS-PMD-Security*_Buggy", B$24:B$98)</f>
        <v>4.58</v>
      </c>
      <c r="D160" s="21">
        <f t="shared" si="40"/>
        <v>72.25</v>
      </c>
      <c r="E160" s="21">
        <f t="shared" si="40"/>
        <v>16.25</v>
      </c>
      <c r="F160" s="21">
        <f t="shared" si="40"/>
        <v>6.73</v>
      </c>
      <c r="G160" s="21">
        <f t="shared" si="40"/>
        <v>15.13</v>
      </c>
      <c r="H160" s="21">
        <f t="shared" si="40"/>
        <v>4.63</v>
      </c>
      <c r="I160" s="21">
        <f t="shared" si="40"/>
        <v>11.37</v>
      </c>
      <c r="J160" s="21">
        <f t="shared" si="40"/>
        <v>31.38</v>
      </c>
      <c r="K160" s="21">
        <f t="shared" si="40"/>
        <v>56.97</v>
      </c>
      <c r="L160" s="21">
        <f t="shared" si="40"/>
        <v>0.57999999999999996</v>
      </c>
      <c r="M160" s="21">
        <f t="shared" si="40"/>
        <v>1.4999999999999999E-2</v>
      </c>
      <c r="N160" s="21">
        <f t="shared" si="40"/>
        <v>13.41</v>
      </c>
      <c r="O160" s="21">
        <f t="shared" si="40"/>
        <v>0.75</v>
      </c>
    </row>
    <row r="161" spans="1:15" x14ac:dyDescent="0.35">
      <c r="A161" s="1">
        <f>COUNTIF($A$24:$A$98, "*albfernandez-GDS-PMD-Security*Manual")</f>
        <v>2</v>
      </c>
      <c r="B161" s="1" t="s">
        <v>71</v>
      </c>
      <c r="C161" s="21">
        <f t="shared" ref="C161:O161" si="41">AVERAGEIF($A$24:$A$98, "*albfernandez-GDS-PMD-Security*_Manual", B$24:B$98)</f>
        <v>4.5999999999999996</v>
      </c>
      <c r="D161" s="21">
        <f t="shared" si="41"/>
        <v>72</v>
      </c>
      <c r="E161" s="21">
        <f t="shared" si="41"/>
        <v>16.420000000000002</v>
      </c>
      <c r="F161" s="21">
        <f t="shared" si="41"/>
        <v>6.79</v>
      </c>
      <c r="G161" s="21">
        <f t="shared" si="41"/>
        <v>15.15</v>
      </c>
      <c r="H161" s="21">
        <f t="shared" si="41"/>
        <v>4.62</v>
      </c>
      <c r="I161" s="21">
        <f t="shared" si="41"/>
        <v>11.42</v>
      </c>
      <c r="J161" s="21">
        <f t="shared" si="41"/>
        <v>31.57</v>
      </c>
      <c r="K161" s="21">
        <f t="shared" si="41"/>
        <v>57.34</v>
      </c>
      <c r="L161" s="21">
        <f t="shared" si="41"/>
        <v>0.56999999999999995</v>
      </c>
      <c r="M161" s="21">
        <f t="shared" si="41"/>
        <v>1.4999999999999999E-2</v>
      </c>
      <c r="N161" s="21">
        <f t="shared" si="41"/>
        <v>13.16</v>
      </c>
      <c r="O161" s="21">
        <f t="shared" si="41"/>
        <v>0.73</v>
      </c>
    </row>
    <row r="162" spans="1:15" x14ac:dyDescent="0.35">
      <c r="A162" s="1">
        <f>COUNTIF($A$24:$A$98, "*albfernandez-GDS-PMD-Security*Auto")</f>
        <v>2</v>
      </c>
      <c r="B162" s="1" t="s">
        <v>91</v>
      </c>
      <c r="C162" s="21">
        <f t="shared" ref="C162:O162" si="42">AVERAGEIF($A$24:$A$98, "*albfernandez-GDS-PMD-Security*_Auto", B$24:B$98)</f>
        <v>4.58</v>
      </c>
      <c r="D162" s="21">
        <f t="shared" si="42"/>
        <v>72.27</v>
      </c>
      <c r="E162" s="21">
        <f t="shared" si="42"/>
        <v>16.259999999999998</v>
      </c>
      <c r="F162" s="21">
        <f t="shared" si="42"/>
        <v>6.73</v>
      </c>
      <c r="G162" s="21">
        <f t="shared" si="42"/>
        <v>15.11</v>
      </c>
      <c r="H162" s="21">
        <f t="shared" si="42"/>
        <v>4.625</v>
      </c>
      <c r="I162" s="21">
        <f t="shared" si="42"/>
        <v>11.36</v>
      </c>
      <c r="J162" s="21">
        <f t="shared" si="42"/>
        <v>31.365000000000002</v>
      </c>
      <c r="K162" s="21">
        <f t="shared" si="42"/>
        <v>56.94</v>
      </c>
      <c r="L162" s="21">
        <f t="shared" si="42"/>
        <v>0.53</v>
      </c>
      <c r="M162" s="21">
        <f t="shared" si="42"/>
        <v>1.03E-2</v>
      </c>
      <c r="N162" s="21">
        <f t="shared" si="42"/>
        <v>12.344999999999999</v>
      </c>
      <c r="O162" s="21">
        <f t="shared" si="42"/>
        <v>0.68500000000000005</v>
      </c>
    </row>
    <row r="164" spans="1:15" ht="28.8" x14ac:dyDescent="0.35">
      <c r="B164" s="13" t="s">
        <v>199</v>
      </c>
      <c r="C164" s="13" t="s">
        <v>45</v>
      </c>
      <c r="D164" s="13" t="s">
        <v>31</v>
      </c>
      <c r="E164" s="13" t="s">
        <v>32</v>
      </c>
      <c r="F164" s="13" t="s">
        <v>21</v>
      </c>
      <c r="G164" s="13" t="s">
        <v>33</v>
      </c>
      <c r="H164" s="13" t="s">
        <v>22</v>
      </c>
      <c r="I164" s="13" t="s">
        <v>34</v>
      </c>
      <c r="J164" s="13" t="s">
        <v>35</v>
      </c>
      <c r="K164" s="13" t="s">
        <v>36</v>
      </c>
      <c r="L164" s="13" t="s">
        <v>37</v>
      </c>
      <c r="M164" s="13" t="s">
        <v>38</v>
      </c>
      <c r="N164" s="13" t="s">
        <v>39</v>
      </c>
      <c r="O164" s="13" t="s">
        <v>40</v>
      </c>
    </row>
    <row r="165" spans="1:15" x14ac:dyDescent="0.35">
      <c r="A165" s="1">
        <f>COUNTIF($A$24:$A$98, "*dungba88-libra*Buggy")</f>
        <v>1</v>
      </c>
      <c r="B165" s="1" t="s">
        <v>50</v>
      </c>
      <c r="C165" s="21">
        <f t="shared" ref="C165:O165" si="43">AVERAGEIF($A$24:$A$98, "*dungba88-libra*_Buggy", B$24:B$98)</f>
        <v>2.33</v>
      </c>
      <c r="D165" s="21">
        <f t="shared" si="43"/>
        <v>84.67</v>
      </c>
      <c r="E165" s="21">
        <f t="shared" si="43"/>
        <v>5.33</v>
      </c>
      <c r="F165" s="21">
        <f t="shared" si="43"/>
        <v>4.33</v>
      </c>
      <c r="G165" s="21">
        <f t="shared" si="43"/>
        <v>4.33</v>
      </c>
      <c r="H165" s="21">
        <f t="shared" si="43"/>
        <v>2.33</v>
      </c>
      <c r="I165" s="21">
        <f t="shared" si="43"/>
        <v>6.67</v>
      </c>
      <c r="J165" s="21">
        <f t="shared" si="43"/>
        <v>9.67</v>
      </c>
      <c r="K165" s="21">
        <f t="shared" si="43"/>
        <v>22.35</v>
      </c>
      <c r="L165" s="21">
        <f t="shared" si="43"/>
        <v>0</v>
      </c>
      <c r="M165" s="21">
        <f t="shared" si="43"/>
        <v>0</v>
      </c>
      <c r="N165" s="21">
        <f t="shared" si="43"/>
        <v>0</v>
      </c>
      <c r="O165" s="21">
        <f t="shared" si="43"/>
        <v>0</v>
      </c>
    </row>
    <row r="166" spans="1:15" x14ac:dyDescent="0.35">
      <c r="A166" s="1">
        <f>COUNTIF($A$24:$A$98, "*dungba88-libra*Manual")</f>
        <v>1</v>
      </c>
      <c r="B166" s="1" t="s">
        <v>72</v>
      </c>
      <c r="C166" s="21">
        <f t="shared" ref="C166:O166" si="44">AVERAGEIF($A$24:$A$98, "*dungba88-libra*_Manual", B$24:B$98)</f>
        <v>3</v>
      </c>
      <c r="D166" s="21">
        <f t="shared" si="44"/>
        <v>83.33</v>
      </c>
      <c r="E166" s="21">
        <f t="shared" si="44"/>
        <v>6.67</v>
      </c>
      <c r="F166" s="21">
        <f t="shared" si="44"/>
        <v>4.67</v>
      </c>
      <c r="G166" s="21">
        <f t="shared" si="44"/>
        <v>6</v>
      </c>
      <c r="H166" s="21">
        <f t="shared" si="44"/>
        <v>2.33</v>
      </c>
      <c r="I166" s="21">
        <f t="shared" si="44"/>
        <v>7</v>
      </c>
      <c r="J166" s="21">
        <f t="shared" si="44"/>
        <v>12.67</v>
      </c>
      <c r="K166" s="21">
        <f t="shared" si="44"/>
        <v>26.04</v>
      </c>
      <c r="L166" s="21">
        <f t="shared" si="44"/>
        <v>0</v>
      </c>
      <c r="M166" s="21">
        <f t="shared" si="44"/>
        <v>0</v>
      </c>
      <c r="N166" s="21">
        <f t="shared" si="44"/>
        <v>0</v>
      </c>
      <c r="O166" s="21">
        <f t="shared" si="44"/>
        <v>0</v>
      </c>
    </row>
    <row r="167" spans="1:15" x14ac:dyDescent="0.35">
      <c r="A167" s="1">
        <f>COUNTIF($A$24:$A$98, "*dungba88-libra*Auto")</f>
        <v>1</v>
      </c>
      <c r="B167" s="1" t="s">
        <v>92</v>
      </c>
      <c r="C167" s="21">
        <f t="shared" ref="C167:O167" si="45">AVERAGEIF($A$24:$A$98, "*dungba88-libra*_Auto", B$24:B$98)</f>
        <v>2.33</v>
      </c>
      <c r="D167" s="21">
        <f t="shared" si="45"/>
        <v>84.67</v>
      </c>
      <c r="E167" s="21">
        <f t="shared" si="45"/>
        <v>5.33</v>
      </c>
      <c r="F167" s="21">
        <f t="shared" si="45"/>
        <v>4.33</v>
      </c>
      <c r="G167" s="21">
        <f t="shared" si="45"/>
        <v>4.33</v>
      </c>
      <c r="H167" s="21">
        <f t="shared" si="45"/>
        <v>2.33</v>
      </c>
      <c r="I167" s="21">
        <f t="shared" si="45"/>
        <v>6.67</v>
      </c>
      <c r="J167" s="21">
        <f t="shared" si="45"/>
        <v>9.67</v>
      </c>
      <c r="K167" s="21">
        <f t="shared" si="45"/>
        <v>22.35</v>
      </c>
      <c r="L167" s="21">
        <f t="shared" si="45"/>
        <v>0</v>
      </c>
      <c r="M167" s="21">
        <f t="shared" si="45"/>
        <v>0</v>
      </c>
      <c r="N167" s="21">
        <f t="shared" si="45"/>
        <v>0</v>
      </c>
      <c r="O167" s="21">
        <f t="shared" si="45"/>
        <v>0</v>
      </c>
    </row>
    <row r="169" spans="1:15" ht="28.8" x14ac:dyDescent="0.35">
      <c r="B169" s="13" t="s">
        <v>199</v>
      </c>
      <c r="C169" s="13" t="s">
        <v>45</v>
      </c>
      <c r="D169" s="13" t="s">
        <v>31</v>
      </c>
      <c r="E169" s="13" t="s">
        <v>32</v>
      </c>
      <c r="F169" s="13" t="s">
        <v>21</v>
      </c>
      <c r="G169" s="13" t="s">
        <v>33</v>
      </c>
      <c r="H169" s="13" t="s">
        <v>22</v>
      </c>
      <c r="I169" s="13" t="s">
        <v>34</v>
      </c>
      <c r="J169" s="13" t="s">
        <v>35</v>
      </c>
      <c r="K169" s="13" t="s">
        <v>36</v>
      </c>
      <c r="L169" s="13" t="s">
        <v>37</v>
      </c>
      <c r="M169" s="13" t="s">
        <v>38</v>
      </c>
      <c r="N169" s="13" t="s">
        <v>39</v>
      </c>
      <c r="O169" s="13" t="s">
        <v>40</v>
      </c>
    </row>
    <row r="170" spans="1:15" x14ac:dyDescent="0.35">
      <c r="A170" s="1">
        <f>COUNTIF($A$24:$A$98, "*julianps-modelmapper-module*Buggy")</f>
        <v>0</v>
      </c>
      <c r="B170" s="1" t="s">
        <v>51</v>
      </c>
      <c r="C170" s="21" t="e">
        <f t="shared" ref="C170:O170" si="46">AVERAGEIF($A$24:$A$98, "*julianps-modelmapper-module*_Buggy", B$24:B$98)</f>
        <v>#DIV/0!</v>
      </c>
      <c r="D170" s="21" t="e">
        <f t="shared" si="46"/>
        <v>#DIV/0!</v>
      </c>
      <c r="E170" s="21" t="e">
        <f t="shared" si="46"/>
        <v>#DIV/0!</v>
      </c>
      <c r="F170" s="21" t="e">
        <f t="shared" si="46"/>
        <v>#DIV/0!</v>
      </c>
      <c r="G170" s="21" t="e">
        <f t="shared" si="46"/>
        <v>#DIV/0!</v>
      </c>
      <c r="H170" s="21" t="e">
        <f t="shared" si="46"/>
        <v>#DIV/0!</v>
      </c>
      <c r="I170" s="21" t="e">
        <f t="shared" si="46"/>
        <v>#DIV/0!</v>
      </c>
      <c r="J170" s="21" t="e">
        <f t="shared" si="46"/>
        <v>#DIV/0!</v>
      </c>
      <c r="K170" s="21" t="e">
        <f t="shared" si="46"/>
        <v>#DIV/0!</v>
      </c>
      <c r="L170" s="21" t="e">
        <f t="shared" si="46"/>
        <v>#DIV/0!</v>
      </c>
      <c r="M170" s="21" t="e">
        <f t="shared" si="46"/>
        <v>#DIV/0!</v>
      </c>
      <c r="N170" s="21" t="e">
        <f t="shared" si="46"/>
        <v>#DIV/0!</v>
      </c>
      <c r="O170" s="21" t="e">
        <f t="shared" si="46"/>
        <v>#DIV/0!</v>
      </c>
    </row>
    <row r="171" spans="1:15" x14ac:dyDescent="0.35">
      <c r="A171" s="1">
        <f>COUNTIF($A$24:$A$98, "*julianps-modelmapper-module*Manual")</f>
        <v>0</v>
      </c>
      <c r="B171" s="1" t="s">
        <v>73</v>
      </c>
      <c r="C171" s="21" t="e">
        <f t="shared" ref="C171:O171" si="47">AVERAGEIF($A$24:$A$98, "*julianps-modelmapper-module*_Manual", B$24:B$98)</f>
        <v>#DIV/0!</v>
      </c>
      <c r="D171" s="21" t="e">
        <f t="shared" si="47"/>
        <v>#DIV/0!</v>
      </c>
      <c r="E171" s="21" t="e">
        <f t="shared" si="47"/>
        <v>#DIV/0!</v>
      </c>
      <c r="F171" s="21" t="e">
        <f t="shared" si="47"/>
        <v>#DIV/0!</v>
      </c>
      <c r="G171" s="21" t="e">
        <f t="shared" si="47"/>
        <v>#DIV/0!</v>
      </c>
      <c r="H171" s="21" t="e">
        <f t="shared" si="47"/>
        <v>#DIV/0!</v>
      </c>
      <c r="I171" s="21" t="e">
        <f t="shared" si="47"/>
        <v>#DIV/0!</v>
      </c>
      <c r="J171" s="21" t="e">
        <f t="shared" si="47"/>
        <v>#DIV/0!</v>
      </c>
      <c r="K171" s="21" t="e">
        <f t="shared" si="47"/>
        <v>#DIV/0!</v>
      </c>
      <c r="L171" s="21" t="e">
        <f t="shared" si="47"/>
        <v>#DIV/0!</v>
      </c>
      <c r="M171" s="21" t="e">
        <f t="shared" si="47"/>
        <v>#DIV/0!</v>
      </c>
      <c r="N171" s="21" t="e">
        <f t="shared" si="47"/>
        <v>#DIV/0!</v>
      </c>
      <c r="O171" s="21" t="e">
        <f t="shared" si="47"/>
        <v>#DIV/0!</v>
      </c>
    </row>
    <row r="172" spans="1:15" x14ac:dyDescent="0.35">
      <c r="A172" s="1">
        <f>COUNTIF($A$24:$A$98, "*julianps-modelmapper-module*Auto")</f>
        <v>0</v>
      </c>
      <c r="B172" s="1" t="s">
        <v>93</v>
      </c>
      <c r="C172" s="21" t="e">
        <f t="shared" ref="C172:O172" si="48">AVERAGEIF($A$24:$A$98, "*julianps-modelmapper-module*_Auto", B$24:B$98)</f>
        <v>#DIV/0!</v>
      </c>
      <c r="D172" s="21" t="e">
        <f t="shared" si="48"/>
        <v>#DIV/0!</v>
      </c>
      <c r="E172" s="21" t="e">
        <f t="shared" si="48"/>
        <v>#DIV/0!</v>
      </c>
      <c r="F172" s="21" t="e">
        <f t="shared" si="48"/>
        <v>#DIV/0!</v>
      </c>
      <c r="G172" s="21" t="e">
        <f t="shared" si="48"/>
        <v>#DIV/0!</v>
      </c>
      <c r="H172" s="21" t="e">
        <f t="shared" si="48"/>
        <v>#DIV/0!</v>
      </c>
      <c r="I172" s="21" t="e">
        <f t="shared" si="48"/>
        <v>#DIV/0!</v>
      </c>
      <c r="J172" s="21" t="e">
        <f t="shared" si="48"/>
        <v>#DIV/0!</v>
      </c>
      <c r="K172" s="21" t="e">
        <f t="shared" si="48"/>
        <v>#DIV/0!</v>
      </c>
      <c r="L172" s="21" t="e">
        <f t="shared" si="48"/>
        <v>#DIV/0!</v>
      </c>
      <c r="M172" s="21" t="e">
        <f t="shared" si="48"/>
        <v>#DIV/0!</v>
      </c>
      <c r="N172" s="21" t="e">
        <f t="shared" si="48"/>
        <v>#DIV/0!</v>
      </c>
      <c r="O172" s="21" t="e">
        <f t="shared" si="48"/>
        <v>#DIV/0!</v>
      </c>
    </row>
    <row r="174" spans="1:15" ht="28.8" x14ac:dyDescent="0.35">
      <c r="B174" s="13" t="s">
        <v>199</v>
      </c>
      <c r="C174" s="13" t="s">
        <v>45</v>
      </c>
      <c r="D174" s="13" t="s">
        <v>31</v>
      </c>
      <c r="E174" s="13" t="s">
        <v>32</v>
      </c>
      <c r="F174" s="13" t="s">
        <v>21</v>
      </c>
      <c r="G174" s="13" t="s">
        <v>33</v>
      </c>
      <c r="H174" s="13" t="s">
        <v>22</v>
      </c>
      <c r="I174" s="13" t="s">
        <v>34</v>
      </c>
      <c r="J174" s="13" t="s">
        <v>35</v>
      </c>
      <c r="K174" s="13" t="s">
        <v>36</v>
      </c>
      <c r="L174" s="13" t="s">
        <v>37</v>
      </c>
      <c r="M174" s="13" t="s">
        <v>38</v>
      </c>
      <c r="N174" s="13" t="s">
        <v>39</v>
      </c>
      <c r="O174" s="13" t="s">
        <v>40</v>
      </c>
    </row>
    <row r="175" spans="1:15" x14ac:dyDescent="0.35">
      <c r="A175" s="1">
        <f>COUNTIF($A$24:$A$98, "*opentracing-contrib-java-p6sp*Buggy")</f>
        <v>4</v>
      </c>
      <c r="B175" s="1" t="s">
        <v>52</v>
      </c>
      <c r="C175" s="21">
        <f t="shared" ref="C175:O175" si="49">AVERAGEIF($A$24:$A$98, "*opentracing-contrib-java-p6sp*_Buggy", B$24:B$98)</f>
        <v>2.62</v>
      </c>
      <c r="D175" s="21">
        <f t="shared" si="49"/>
        <v>79.849999999999994</v>
      </c>
      <c r="E175" s="21">
        <f t="shared" si="49"/>
        <v>10.31</v>
      </c>
      <c r="F175" s="21">
        <f t="shared" si="49"/>
        <v>5.54</v>
      </c>
      <c r="G175" s="21">
        <f t="shared" si="49"/>
        <v>8.69</v>
      </c>
      <c r="H175" s="21">
        <f t="shared" si="49"/>
        <v>3.31</v>
      </c>
      <c r="I175" s="21">
        <f t="shared" si="49"/>
        <v>8.85</v>
      </c>
      <c r="J175" s="21">
        <f t="shared" si="49"/>
        <v>19</v>
      </c>
      <c r="K175" s="21">
        <f t="shared" si="49"/>
        <v>37.72</v>
      </c>
      <c r="L175" s="21">
        <f t="shared" si="49"/>
        <v>0</v>
      </c>
      <c r="M175" s="21">
        <f t="shared" si="49"/>
        <v>0</v>
      </c>
      <c r="N175" s="21">
        <f t="shared" si="49"/>
        <v>0</v>
      </c>
      <c r="O175" s="21">
        <f t="shared" si="49"/>
        <v>0</v>
      </c>
    </row>
    <row r="176" spans="1:15" x14ac:dyDescent="0.35">
      <c r="A176" s="1">
        <f>COUNTIF($A$24:$A$98, "*opentracing-contrib-java-p6sp*Manual")</f>
        <v>4</v>
      </c>
      <c r="B176" s="1" t="s">
        <v>74</v>
      </c>
      <c r="C176" s="21">
        <f t="shared" ref="C176:O176" si="50">AVERAGEIF($A$24:$A$98, "*opentracing-contrib-java-p6sp*_Manual", B$24:B$98)</f>
        <v>2.57</v>
      </c>
      <c r="D176" s="21">
        <f t="shared" si="50"/>
        <v>80.36</v>
      </c>
      <c r="E176" s="21">
        <f t="shared" si="50"/>
        <v>9.7899999999999991</v>
      </c>
      <c r="F176" s="21">
        <f t="shared" si="50"/>
        <v>5.43</v>
      </c>
      <c r="G176" s="21">
        <f t="shared" si="50"/>
        <v>8.43</v>
      </c>
      <c r="H176" s="21">
        <f t="shared" si="50"/>
        <v>3.36</v>
      </c>
      <c r="I176" s="21">
        <f t="shared" si="50"/>
        <v>8.7899999999999991</v>
      </c>
      <c r="J176" s="21">
        <f t="shared" si="50"/>
        <v>18.21</v>
      </c>
      <c r="K176" s="21">
        <f t="shared" si="50"/>
        <v>36.97</v>
      </c>
      <c r="L176" s="21">
        <f t="shared" si="50"/>
        <v>0</v>
      </c>
      <c r="M176" s="21">
        <f t="shared" si="50"/>
        <v>0</v>
      </c>
      <c r="N176" s="21">
        <f t="shared" si="50"/>
        <v>0</v>
      </c>
      <c r="O176" s="21">
        <f t="shared" si="50"/>
        <v>0</v>
      </c>
    </row>
    <row r="177" spans="1:15" x14ac:dyDescent="0.35">
      <c r="A177" s="1">
        <f>COUNTIF($A$24:$A$98, "*opentracing-contrib-java-p6sp*Auto")</f>
        <v>4</v>
      </c>
      <c r="B177" s="1" t="s">
        <v>94</v>
      </c>
      <c r="C177" s="21">
        <f t="shared" ref="C177:O177" si="51">AVERAGEIF($A$24:$A$98, "*opentracing-contrib-java-p6sp*_Auto", B$24:B$98)</f>
        <v>2.52</v>
      </c>
      <c r="D177" s="21">
        <f t="shared" si="51"/>
        <v>80.17</v>
      </c>
      <c r="E177" s="21">
        <f t="shared" si="51"/>
        <v>10.0175</v>
      </c>
      <c r="F177" s="21">
        <f t="shared" si="51"/>
        <v>5.52</v>
      </c>
      <c r="G177" s="21">
        <f t="shared" si="51"/>
        <v>8.27</v>
      </c>
      <c r="H177" s="21">
        <f t="shared" si="51"/>
        <v>3.1150000000000002</v>
      </c>
      <c r="I177" s="21">
        <f t="shared" si="51"/>
        <v>8.6374999999999993</v>
      </c>
      <c r="J177" s="21">
        <f t="shared" si="51"/>
        <v>18.287500000000001</v>
      </c>
      <c r="K177" s="21">
        <f t="shared" si="51"/>
        <v>36.277499999999996</v>
      </c>
      <c r="L177" s="21">
        <f t="shared" si="51"/>
        <v>0</v>
      </c>
      <c r="M177" s="21">
        <f t="shared" si="51"/>
        <v>0</v>
      </c>
      <c r="N177" s="21">
        <f t="shared" si="51"/>
        <v>0</v>
      </c>
      <c r="O177" s="21">
        <f t="shared" si="51"/>
        <v>0</v>
      </c>
    </row>
    <row r="179" spans="1:15" ht="28.8" x14ac:dyDescent="0.35">
      <c r="B179" s="13" t="s">
        <v>199</v>
      </c>
      <c r="C179" s="13" t="s">
        <v>45</v>
      </c>
      <c r="D179" s="13" t="s">
        <v>31</v>
      </c>
      <c r="E179" s="13" t="s">
        <v>32</v>
      </c>
      <c r="F179" s="13" t="s">
        <v>21</v>
      </c>
      <c r="G179" s="13" t="s">
        <v>33</v>
      </c>
      <c r="H179" s="13" t="s">
        <v>22</v>
      </c>
      <c r="I179" s="13" t="s">
        <v>34</v>
      </c>
      <c r="J179" s="13" t="s">
        <v>35</v>
      </c>
      <c r="K179" s="13" t="s">
        <v>36</v>
      </c>
      <c r="L179" s="13" t="s">
        <v>37</v>
      </c>
      <c r="M179" s="13" t="s">
        <v>38</v>
      </c>
      <c r="N179" s="13" t="s">
        <v>39</v>
      </c>
      <c r="O179" s="13" t="s">
        <v>40</v>
      </c>
    </row>
    <row r="180" spans="1:15" x14ac:dyDescent="0.35">
      <c r="A180" s="1">
        <f>COUNTIF($A$24:$A$98, "*SzFMV2018-Tavasz-AutomatedCar*Buggy")</f>
        <v>16</v>
      </c>
      <c r="B180" s="1" t="s">
        <v>53</v>
      </c>
      <c r="C180" s="21">
        <f t="shared" ref="C180:O180" si="52">AVERAGEIF($A$24:$A$98, "*SzFMV2018-Tavasz-AutomatedCar*_Buggy", B$24:B$98)</f>
        <v>1</v>
      </c>
      <c r="D180" s="21">
        <f t="shared" si="52"/>
        <v>74.569999999999965</v>
      </c>
      <c r="E180" s="21">
        <f t="shared" si="52"/>
        <v>11</v>
      </c>
      <c r="F180" s="21">
        <f t="shared" si="52"/>
        <v>9.860000000000003</v>
      </c>
      <c r="G180" s="21">
        <f t="shared" si="52"/>
        <v>6.86</v>
      </c>
      <c r="H180" s="21">
        <f t="shared" si="52"/>
        <v>2</v>
      </c>
      <c r="I180" s="21">
        <f t="shared" si="52"/>
        <v>11.860000000000003</v>
      </c>
      <c r="J180" s="21">
        <f t="shared" si="52"/>
        <v>17.860000000000007</v>
      </c>
      <c r="K180" s="21">
        <f t="shared" si="52"/>
        <v>52.87</v>
      </c>
      <c r="L180" s="21">
        <f t="shared" si="52"/>
        <v>2</v>
      </c>
      <c r="M180" s="21">
        <f t="shared" si="52"/>
        <v>5.000000000000001E-2</v>
      </c>
      <c r="N180" s="21">
        <f t="shared" si="52"/>
        <v>30.410000000000011</v>
      </c>
      <c r="O180" s="21">
        <f t="shared" si="52"/>
        <v>1.6900000000000004</v>
      </c>
    </row>
    <row r="181" spans="1:15" x14ac:dyDescent="0.35">
      <c r="A181" s="1">
        <f>COUNTIF($A$24:$A$98, "*SzFMV2018-Tavasz-AutomatedCar*Manual")</f>
        <v>16</v>
      </c>
      <c r="B181" s="1" t="s">
        <v>75</v>
      </c>
      <c r="C181" s="22">
        <f t="shared" ref="C181:O181" si="53">AVERAGEIF($A$24:$A$98, "*SzFMV2018-Tavasz-AutomatedCar*_Manual", B$24:B$98)</f>
        <v>1</v>
      </c>
      <c r="D181" s="22">
        <f t="shared" si="53"/>
        <v>74.569999999999965</v>
      </c>
      <c r="E181" s="22">
        <f t="shared" si="53"/>
        <v>11</v>
      </c>
      <c r="F181" s="22">
        <f t="shared" si="53"/>
        <v>9.860000000000003</v>
      </c>
      <c r="G181" s="22">
        <f t="shared" si="53"/>
        <v>6.7099999999999973</v>
      </c>
      <c r="H181" s="22">
        <f t="shared" si="53"/>
        <v>2</v>
      </c>
      <c r="I181" s="22">
        <f t="shared" si="53"/>
        <v>11.860000000000003</v>
      </c>
      <c r="J181" s="22">
        <f t="shared" si="53"/>
        <v>17.710000000000004</v>
      </c>
      <c r="K181" s="22">
        <f t="shared" si="53"/>
        <v>52.799999999999983</v>
      </c>
      <c r="L181" s="22">
        <f t="shared" si="53"/>
        <v>2</v>
      </c>
      <c r="M181" s="22">
        <f t="shared" si="53"/>
        <v>5.000000000000001E-2</v>
      </c>
      <c r="N181" s="22">
        <f t="shared" si="53"/>
        <v>30.410000000000011</v>
      </c>
      <c r="O181" s="22">
        <f t="shared" si="53"/>
        <v>1.6900000000000004</v>
      </c>
    </row>
    <row r="182" spans="1:15" x14ac:dyDescent="0.35">
      <c r="A182" s="1">
        <f>COUNTIF($A$24:$A$98, "*SzFMV2018-Tavasz-AutomatedCar*Auto")</f>
        <v>16</v>
      </c>
      <c r="B182" s="1" t="s">
        <v>95</v>
      </c>
      <c r="C182" s="22">
        <f t="shared" ref="C182:O182" si="54">AVERAGEIF($A$24:$A$98, "*SzFMV2018-Tavasz-AutomatedCar*_Auto", B$24:B$98)</f>
        <v>1.00875</v>
      </c>
      <c r="D182" s="22">
        <f t="shared" si="54"/>
        <v>74.106875000000016</v>
      </c>
      <c r="E182" s="22">
        <f t="shared" si="54"/>
        <v>11.105625</v>
      </c>
      <c r="F182" s="22">
        <f t="shared" si="54"/>
        <v>10.115624999999998</v>
      </c>
      <c r="G182" s="22">
        <f t="shared" si="54"/>
        <v>6.9206249999999994</v>
      </c>
      <c r="H182" s="22">
        <f t="shared" si="54"/>
        <v>2.1243750000000001</v>
      </c>
      <c r="I182" s="22">
        <f t="shared" si="54"/>
        <v>12.241250000000001</v>
      </c>
      <c r="J182" s="22">
        <f t="shared" si="54"/>
        <v>18.026250000000001</v>
      </c>
      <c r="K182" s="22">
        <f t="shared" si="54"/>
        <v>54.658124999999998</v>
      </c>
      <c r="L182" s="22">
        <f t="shared" si="54"/>
        <v>1.9562499999999998</v>
      </c>
      <c r="M182" s="22">
        <f t="shared" si="54"/>
        <v>6.7875000000000019E-2</v>
      </c>
      <c r="N182" s="22">
        <f t="shared" si="54"/>
        <v>33.860000000000007</v>
      </c>
      <c r="O182" s="22">
        <f t="shared" si="54"/>
        <v>1.8818750000000004</v>
      </c>
    </row>
    <row r="184" spans="1:15" ht="28.8" x14ac:dyDescent="0.35">
      <c r="B184" s="13" t="s">
        <v>199</v>
      </c>
      <c r="C184" s="13" t="s">
        <v>45</v>
      </c>
      <c r="D184" s="13" t="s">
        <v>31</v>
      </c>
      <c r="E184" s="13" t="s">
        <v>32</v>
      </c>
      <c r="F184" s="13" t="s">
        <v>21</v>
      </c>
      <c r="G184" s="13" t="s">
        <v>33</v>
      </c>
      <c r="H184" s="13" t="s">
        <v>22</v>
      </c>
      <c r="I184" s="13" t="s">
        <v>34</v>
      </c>
      <c r="J184" s="13" t="s">
        <v>35</v>
      </c>
      <c r="K184" s="13" t="s">
        <v>36</v>
      </c>
      <c r="L184" s="13" t="s">
        <v>37</v>
      </c>
      <c r="M184" s="13" t="s">
        <v>38</v>
      </c>
      <c r="N184" s="13" t="s">
        <v>39</v>
      </c>
      <c r="O184" s="13" t="s">
        <v>40</v>
      </c>
    </row>
    <row r="185" spans="1:15" x14ac:dyDescent="0.35">
      <c r="A185" s="1">
        <f>COUNTIF($A$24:$A$98, "*traccar-traccar*Buggy")</f>
        <v>2</v>
      </c>
      <c r="B185" s="1" t="s">
        <v>54</v>
      </c>
      <c r="C185" s="21">
        <f t="shared" ref="C185:O185" si="55">AVERAGEIF($A$24:$A$98, "*traccar-traccar*_Buggy", B$24:B$98)</f>
        <v>5.75</v>
      </c>
      <c r="D185" s="21">
        <f t="shared" si="55"/>
        <v>68.5</v>
      </c>
      <c r="E185" s="21">
        <f t="shared" si="55"/>
        <v>22.25</v>
      </c>
      <c r="F185" s="21">
        <f t="shared" si="55"/>
        <v>7.62</v>
      </c>
      <c r="G185" s="21">
        <f t="shared" si="55"/>
        <v>21.62</v>
      </c>
      <c r="H185" s="21">
        <f t="shared" si="55"/>
        <v>4.38</v>
      </c>
      <c r="I185" s="21">
        <f t="shared" si="55"/>
        <v>12</v>
      </c>
      <c r="J185" s="21">
        <f t="shared" si="55"/>
        <v>43.88</v>
      </c>
      <c r="K185" s="21">
        <f t="shared" si="55"/>
        <v>66.92</v>
      </c>
      <c r="L185" s="21">
        <f t="shared" si="55"/>
        <v>0</v>
      </c>
      <c r="M185" s="21">
        <f t="shared" si="55"/>
        <v>0</v>
      </c>
      <c r="N185" s="21">
        <f t="shared" si="55"/>
        <v>0</v>
      </c>
      <c r="O185" s="21">
        <f t="shared" si="55"/>
        <v>0</v>
      </c>
    </row>
    <row r="186" spans="1:15" x14ac:dyDescent="0.35">
      <c r="A186" s="1">
        <f>COUNTIF($A$24:$A$98, "*traccar-traccar*Manual")</f>
        <v>2</v>
      </c>
      <c r="B186" s="1" t="s">
        <v>76</v>
      </c>
      <c r="C186" s="22">
        <f t="shared" ref="C186:O186" si="56">AVERAGEIF($A$24:$A$98, "*traccar-traccar*_Manual", B$24:B$98)</f>
        <v>5.88</v>
      </c>
      <c r="D186" s="22">
        <f t="shared" si="56"/>
        <v>68.5</v>
      </c>
      <c r="E186" s="22">
        <f t="shared" si="56"/>
        <v>22.5</v>
      </c>
      <c r="F186" s="22">
        <f t="shared" si="56"/>
        <v>7.62</v>
      </c>
      <c r="G186" s="22">
        <f t="shared" si="56"/>
        <v>22</v>
      </c>
      <c r="H186" s="22">
        <f t="shared" si="56"/>
        <v>4.38</v>
      </c>
      <c r="I186" s="22">
        <f t="shared" si="56"/>
        <v>12</v>
      </c>
      <c r="J186" s="22">
        <f t="shared" si="56"/>
        <v>44.5</v>
      </c>
      <c r="K186" s="22">
        <f t="shared" si="56"/>
        <v>67.08</v>
      </c>
      <c r="L186" s="22">
        <f t="shared" si="56"/>
        <v>0</v>
      </c>
      <c r="M186" s="22">
        <f t="shared" si="56"/>
        <v>0</v>
      </c>
      <c r="N186" s="22">
        <f t="shared" si="56"/>
        <v>0</v>
      </c>
      <c r="O186" s="22">
        <f t="shared" si="56"/>
        <v>0</v>
      </c>
    </row>
    <row r="187" spans="1:15" x14ac:dyDescent="0.35">
      <c r="A187" s="1">
        <f>COUNTIF($A$24:$A$98, "*traccar-traccar*Auto")</f>
        <v>2</v>
      </c>
      <c r="B187" s="1" t="s">
        <v>96</v>
      </c>
      <c r="C187" s="22">
        <f t="shared" ref="C187:O187" si="57">AVERAGEIF($A$24:$A$98, "*traccar-traccar*_Auto", B$24:B$98)</f>
        <v>5.4350000000000005</v>
      </c>
      <c r="D187" s="22">
        <f t="shared" si="57"/>
        <v>68.75</v>
      </c>
      <c r="E187" s="22">
        <f t="shared" si="57"/>
        <v>21.25</v>
      </c>
      <c r="F187" s="22">
        <f t="shared" si="57"/>
        <v>7.5600000000000005</v>
      </c>
      <c r="G187" s="22">
        <f t="shared" si="57"/>
        <v>20.185000000000002</v>
      </c>
      <c r="H187" s="22">
        <f t="shared" si="57"/>
        <v>4.38</v>
      </c>
      <c r="I187" s="22">
        <f t="shared" si="57"/>
        <v>11.940000000000001</v>
      </c>
      <c r="J187" s="22">
        <f t="shared" si="57"/>
        <v>41.435000000000002</v>
      </c>
      <c r="K187" s="22">
        <f t="shared" si="57"/>
        <v>65.814999999999998</v>
      </c>
      <c r="L187" s="22">
        <f t="shared" si="57"/>
        <v>0</v>
      </c>
      <c r="M187" s="22">
        <f t="shared" si="57"/>
        <v>0</v>
      </c>
      <c r="N187" s="22">
        <f t="shared" si="57"/>
        <v>0</v>
      </c>
      <c r="O187" s="22">
        <f t="shared" si="57"/>
        <v>0</v>
      </c>
    </row>
    <row r="190" spans="1:15" x14ac:dyDescent="0.35">
      <c r="A190" s="19" t="s">
        <v>47</v>
      </c>
      <c r="B190" s="20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 ht="15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ht="28.8" x14ac:dyDescent="0.35">
      <c r="A192" s="13" t="s">
        <v>48</v>
      </c>
      <c r="B192" s="13" t="s">
        <v>199</v>
      </c>
      <c r="C192" s="13" t="s">
        <v>45</v>
      </c>
      <c r="D192" s="13" t="s">
        <v>31</v>
      </c>
      <c r="E192" s="13" t="s">
        <v>32</v>
      </c>
      <c r="F192" s="13" t="s">
        <v>21</v>
      </c>
      <c r="G192" s="13" t="s">
        <v>33</v>
      </c>
      <c r="H192" s="13" t="s">
        <v>22</v>
      </c>
      <c r="I192" s="13" t="s">
        <v>34</v>
      </c>
      <c r="J192" s="13" t="s">
        <v>35</v>
      </c>
      <c r="K192" s="13" t="s">
        <v>36</v>
      </c>
      <c r="L192" s="13" t="s">
        <v>37</v>
      </c>
      <c r="M192" s="13" t="s">
        <v>38</v>
      </c>
      <c r="N192" s="13" t="s">
        <v>39</v>
      </c>
      <c r="O192" s="13" t="s">
        <v>40</v>
      </c>
    </row>
    <row r="193" spans="1:15" x14ac:dyDescent="0.35">
      <c r="A193" s="1">
        <f>COUNTIF($A$24:$A$98, "Arja*Manual")</f>
        <v>11</v>
      </c>
      <c r="B193" s="1" t="s">
        <v>77</v>
      </c>
      <c r="C193" s="21">
        <f t="shared" ref="C193:O193" si="58">AVERAGEIF($A$24:$A$98, "Arja*Manual", B$24:B$98)</f>
        <v>2.3418181818181818</v>
      </c>
      <c r="D193" s="21">
        <f t="shared" si="58"/>
        <v>75.89</v>
      </c>
      <c r="E193" s="21">
        <f t="shared" si="58"/>
        <v>12.098181818181816</v>
      </c>
      <c r="F193" s="21">
        <f t="shared" si="58"/>
        <v>7.7663636363636357</v>
      </c>
      <c r="G193" s="21">
        <f t="shared" si="58"/>
        <v>9.4927272727272722</v>
      </c>
      <c r="H193" s="21">
        <f t="shared" si="58"/>
        <v>2.9490909090909088</v>
      </c>
      <c r="I193" s="21">
        <f t="shared" si="58"/>
        <v>10.716363636363637</v>
      </c>
      <c r="J193" s="21">
        <f t="shared" si="58"/>
        <v>21.587272727272733</v>
      </c>
      <c r="K193" s="21">
        <f t="shared" si="58"/>
        <v>48.754545454545458</v>
      </c>
      <c r="L193" s="21">
        <f t="shared" si="58"/>
        <v>0.96090909090909093</v>
      </c>
      <c r="M193" s="21">
        <f t="shared" si="58"/>
        <v>2.4090909090909093E-2</v>
      </c>
      <c r="N193" s="21">
        <f t="shared" si="58"/>
        <v>15.019090909090909</v>
      </c>
      <c r="O193" s="21">
        <f t="shared" si="58"/>
        <v>0.83454545454545437</v>
      </c>
    </row>
    <row r="194" spans="1:15" ht="15" thickBot="1" x14ac:dyDescent="0.4">
      <c r="A194" s="24">
        <f>COUNTIF($A$24:$A$98, "Arja*Auto")</f>
        <v>11</v>
      </c>
      <c r="B194" s="24" t="s">
        <v>97</v>
      </c>
      <c r="C194" s="25">
        <f t="shared" ref="C194:O194" si="59">AVERAGEIF($A$24:$A$98, "Arja*Auto", B$24:B$98)</f>
        <v>2.2645454545454546</v>
      </c>
      <c r="D194" s="25">
        <f t="shared" si="59"/>
        <v>75.788181818181812</v>
      </c>
      <c r="E194" s="25">
        <f t="shared" si="59"/>
        <v>11.982727272727272</v>
      </c>
      <c r="F194" s="25">
        <f t="shared" si="59"/>
        <v>7.8209090909090913</v>
      </c>
      <c r="G194" s="25">
        <f t="shared" si="59"/>
        <v>9.3072727272727285</v>
      </c>
      <c r="H194" s="25">
        <f t="shared" si="59"/>
        <v>2.9</v>
      </c>
      <c r="I194" s="25">
        <f t="shared" si="59"/>
        <v>10.722727272727271</v>
      </c>
      <c r="J194" s="25">
        <f t="shared" si="59"/>
        <v>21.29</v>
      </c>
      <c r="K194" s="25">
        <f t="shared" si="59"/>
        <v>48.667272727272731</v>
      </c>
      <c r="L194" s="25">
        <f t="shared" si="59"/>
        <v>0.98272727272727256</v>
      </c>
      <c r="M194" s="25">
        <f t="shared" si="59"/>
        <v>2.7E-2</v>
      </c>
      <c r="N194" s="25">
        <f t="shared" si="59"/>
        <v>17.775454545454547</v>
      </c>
      <c r="O194" s="25">
        <f t="shared" si="59"/>
        <v>0.98818181818181816</v>
      </c>
    </row>
    <row r="195" spans="1:15" x14ac:dyDescent="0.35">
      <c r="A195" s="1">
        <f>COUNTIF($A$24:$A$98, "GenProg*Manual")</f>
        <v>5</v>
      </c>
      <c r="B195" s="1" t="s">
        <v>78</v>
      </c>
      <c r="C195" s="21">
        <f t="shared" ref="C195:O195" si="60">AVERAGEIF($A$24:$A$98, "GenProg*Manual", B$24:B$98)</f>
        <v>1</v>
      </c>
      <c r="D195" s="21">
        <f t="shared" si="60"/>
        <v>74.569999999999993</v>
      </c>
      <c r="E195" s="21">
        <f t="shared" si="60"/>
        <v>11</v>
      </c>
      <c r="F195" s="21">
        <f t="shared" si="60"/>
        <v>9.86</v>
      </c>
      <c r="G195" s="21">
        <f t="shared" si="60"/>
        <v>6.7099999999999991</v>
      </c>
      <c r="H195" s="21">
        <f t="shared" si="60"/>
        <v>2</v>
      </c>
      <c r="I195" s="21">
        <f t="shared" si="60"/>
        <v>11.86</v>
      </c>
      <c r="J195" s="21">
        <f t="shared" si="60"/>
        <v>17.71</v>
      </c>
      <c r="K195" s="21">
        <f t="shared" si="60"/>
        <v>52.8</v>
      </c>
      <c r="L195" s="21">
        <f t="shared" si="60"/>
        <v>2</v>
      </c>
      <c r="M195" s="21">
        <f t="shared" si="60"/>
        <v>0.05</v>
      </c>
      <c r="N195" s="21">
        <f t="shared" si="60"/>
        <v>30.410000000000004</v>
      </c>
      <c r="O195" s="21">
        <f t="shared" si="60"/>
        <v>1.69</v>
      </c>
    </row>
    <row r="196" spans="1:15" ht="15" thickBot="1" x14ac:dyDescent="0.4">
      <c r="A196" s="24">
        <f>COUNTIF($A$24:$A$98, "GenProg*Auto")</f>
        <v>5</v>
      </c>
      <c r="B196" s="24" t="s">
        <v>98</v>
      </c>
      <c r="C196" s="25">
        <f t="shared" ref="C196:O196" si="61">AVERAGEIF($A$24:$A$98, "GenProg*Auto", B$24:B$98)</f>
        <v>1</v>
      </c>
      <c r="D196" s="25">
        <f t="shared" si="61"/>
        <v>73.486000000000004</v>
      </c>
      <c r="E196" s="25">
        <f t="shared" si="61"/>
        <v>11.2</v>
      </c>
      <c r="F196" s="25">
        <f t="shared" si="61"/>
        <v>10.370000000000001</v>
      </c>
      <c r="G196" s="25">
        <f t="shared" si="61"/>
        <v>7.202</v>
      </c>
      <c r="H196" s="25">
        <f t="shared" si="61"/>
        <v>2.2280000000000002</v>
      </c>
      <c r="I196" s="25">
        <f t="shared" si="61"/>
        <v>12.6</v>
      </c>
      <c r="J196" s="25">
        <f t="shared" si="61"/>
        <v>18.398000000000003</v>
      </c>
      <c r="K196" s="25">
        <f t="shared" si="61"/>
        <v>56.54</v>
      </c>
      <c r="L196" s="25">
        <f t="shared" si="61"/>
        <v>1.9440000000000002</v>
      </c>
      <c r="M196" s="25">
        <f t="shared" si="61"/>
        <v>9.8000000000000004E-2</v>
      </c>
      <c r="N196" s="25">
        <f t="shared" si="61"/>
        <v>36.606000000000002</v>
      </c>
      <c r="O196" s="25">
        <f t="shared" si="61"/>
        <v>2.0339999999999998</v>
      </c>
    </row>
    <row r="197" spans="1:15" x14ac:dyDescent="0.35">
      <c r="A197" s="1">
        <f>COUNTIF($A$24:$A$98, "Kali*Manual")</f>
        <v>4</v>
      </c>
      <c r="B197" s="1" t="s">
        <v>79</v>
      </c>
      <c r="C197" s="21">
        <f t="shared" ref="C197:O197" si="62">AVERAGEIF($A$24:$A$98, "Kali*Manual", B$24:B$98)</f>
        <v>3.62</v>
      </c>
      <c r="D197" s="21">
        <f t="shared" si="62"/>
        <v>74.599999999999994</v>
      </c>
      <c r="E197" s="21">
        <f t="shared" si="62"/>
        <v>14.147500000000001</v>
      </c>
      <c r="F197" s="21">
        <f t="shared" si="62"/>
        <v>7.2350000000000003</v>
      </c>
      <c r="G197" s="21">
        <f t="shared" si="62"/>
        <v>12.465</v>
      </c>
      <c r="H197" s="21">
        <f t="shared" si="62"/>
        <v>3.3324999999999996</v>
      </c>
      <c r="I197" s="21">
        <f t="shared" si="62"/>
        <v>10.57</v>
      </c>
      <c r="J197" s="21">
        <f t="shared" si="62"/>
        <v>26.612500000000001</v>
      </c>
      <c r="K197" s="21">
        <f t="shared" si="62"/>
        <v>50.814999999999998</v>
      </c>
      <c r="L197" s="21">
        <f t="shared" si="62"/>
        <v>0.64249999999999996</v>
      </c>
      <c r="M197" s="21">
        <f t="shared" si="62"/>
        <v>1.6250000000000001E-2</v>
      </c>
      <c r="N197" s="21">
        <f t="shared" si="62"/>
        <v>10.8925</v>
      </c>
      <c r="O197" s="21">
        <f t="shared" si="62"/>
        <v>0.60499999999999998</v>
      </c>
    </row>
    <row r="198" spans="1:15" ht="15" thickBot="1" x14ac:dyDescent="0.4">
      <c r="A198" s="24">
        <f>COUNTIF($A$24:$A$98, "Kali*Auto")</f>
        <v>4</v>
      </c>
      <c r="B198" s="24" t="s">
        <v>99</v>
      </c>
      <c r="C198" s="25">
        <f t="shared" ref="C198:O198" si="63">AVERAGEIF($A$24:$A$98, "Kali*Auto", B$24:B$98)</f>
        <v>3.4175000000000004</v>
      </c>
      <c r="D198" s="25">
        <f t="shared" si="63"/>
        <v>74.825000000000003</v>
      </c>
      <c r="E198" s="25">
        <f t="shared" si="63"/>
        <v>13.65</v>
      </c>
      <c r="F198" s="25">
        <f t="shared" si="63"/>
        <v>7.1700000000000008</v>
      </c>
      <c r="G198" s="25">
        <f t="shared" si="63"/>
        <v>11.8</v>
      </c>
      <c r="H198" s="25">
        <f t="shared" si="63"/>
        <v>3.3674999999999997</v>
      </c>
      <c r="I198" s="25">
        <f t="shared" si="63"/>
        <v>10.54</v>
      </c>
      <c r="J198" s="25">
        <f t="shared" si="63"/>
        <v>25.45</v>
      </c>
      <c r="K198" s="25">
        <f t="shared" si="63"/>
        <v>49.992500000000007</v>
      </c>
      <c r="L198" s="25">
        <f t="shared" si="63"/>
        <v>0.63500000000000001</v>
      </c>
      <c r="M198" s="25">
        <f t="shared" si="63"/>
        <v>1.3900000000000001E-2</v>
      </c>
      <c r="N198" s="25">
        <f t="shared" si="63"/>
        <v>10.807500000000001</v>
      </c>
      <c r="O198" s="25">
        <f t="shared" si="63"/>
        <v>0.6</v>
      </c>
    </row>
    <row r="199" spans="1:15" x14ac:dyDescent="0.35">
      <c r="A199" s="1">
        <f>COUNTIF($A$24:$A$98, "Nopol*Manual")</f>
        <v>0</v>
      </c>
      <c r="B199" s="1" t="s">
        <v>80</v>
      </c>
      <c r="C199" s="21" t="e">
        <f t="shared" ref="C199:O199" si="64">AVERAGEIF($A$24:$A$98, "Nopol*Manual", B$24:B$98)</f>
        <v>#DIV/0!</v>
      </c>
      <c r="D199" s="21" t="e">
        <f t="shared" si="64"/>
        <v>#DIV/0!</v>
      </c>
      <c r="E199" s="21" t="e">
        <f t="shared" si="64"/>
        <v>#DIV/0!</v>
      </c>
      <c r="F199" s="21" t="e">
        <f t="shared" si="64"/>
        <v>#DIV/0!</v>
      </c>
      <c r="G199" s="21" t="e">
        <f t="shared" si="64"/>
        <v>#DIV/0!</v>
      </c>
      <c r="H199" s="21" t="e">
        <f t="shared" si="64"/>
        <v>#DIV/0!</v>
      </c>
      <c r="I199" s="21" t="e">
        <f t="shared" si="64"/>
        <v>#DIV/0!</v>
      </c>
      <c r="J199" s="21" t="e">
        <f t="shared" si="64"/>
        <v>#DIV/0!</v>
      </c>
      <c r="K199" s="21" t="e">
        <f t="shared" si="64"/>
        <v>#DIV/0!</v>
      </c>
      <c r="L199" s="21" t="e">
        <f t="shared" si="64"/>
        <v>#DIV/0!</v>
      </c>
      <c r="M199" s="21" t="e">
        <f t="shared" si="64"/>
        <v>#DIV/0!</v>
      </c>
      <c r="N199" s="21" t="e">
        <f t="shared" si="64"/>
        <v>#DIV/0!</v>
      </c>
      <c r="O199" s="21" t="e">
        <f t="shared" si="64"/>
        <v>#DIV/0!</v>
      </c>
    </row>
    <row r="200" spans="1:15" ht="15" thickBot="1" x14ac:dyDescent="0.4">
      <c r="A200" s="24">
        <f>COUNTIF($A$24:$A$98, "Nopol*Auto")</f>
        <v>0</v>
      </c>
      <c r="B200" s="24" t="s">
        <v>100</v>
      </c>
      <c r="C200" s="25" t="e">
        <f t="shared" ref="C200:O200" si="65">AVERAGEIF($A$24:$A$98, "Nopol*Auto", B$24:B$98)</f>
        <v>#DIV/0!</v>
      </c>
      <c r="D200" s="25" t="e">
        <f t="shared" si="65"/>
        <v>#DIV/0!</v>
      </c>
      <c r="E200" s="25" t="e">
        <f t="shared" si="65"/>
        <v>#DIV/0!</v>
      </c>
      <c r="F200" s="25" t="e">
        <f t="shared" si="65"/>
        <v>#DIV/0!</v>
      </c>
      <c r="G200" s="25" t="e">
        <f t="shared" si="65"/>
        <v>#DIV/0!</v>
      </c>
      <c r="H200" s="25" t="e">
        <f t="shared" si="65"/>
        <v>#DIV/0!</v>
      </c>
      <c r="I200" s="25" t="e">
        <f t="shared" si="65"/>
        <v>#DIV/0!</v>
      </c>
      <c r="J200" s="25" t="e">
        <f t="shared" si="65"/>
        <v>#DIV/0!</v>
      </c>
      <c r="K200" s="25" t="e">
        <f t="shared" si="65"/>
        <v>#DIV/0!</v>
      </c>
      <c r="L200" s="25" t="e">
        <f t="shared" si="65"/>
        <v>#DIV/0!</v>
      </c>
      <c r="M200" s="25" t="e">
        <f t="shared" si="65"/>
        <v>#DIV/0!</v>
      </c>
      <c r="N200" s="25" t="e">
        <f t="shared" si="65"/>
        <v>#DIV/0!</v>
      </c>
      <c r="O200" s="25" t="e">
        <f t="shared" si="65"/>
        <v>#DIV/0!</v>
      </c>
    </row>
    <row r="201" spans="1:15" x14ac:dyDescent="0.35">
      <c r="A201" s="1">
        <f>COUNTIF($A$24:$A$98, "RSRepair*Manual")</f>
        <v>5</v>
      </c>
      <c r="B201" s="1" t="s">
        <v>81</v>
      </c>
      <c r="C201" s="21">
        <f t="shared" ref="C201:O201" si="66">AVERAGEIF($A$24:$A$98, "RSRepair*Manual", B$24:B$98)</f>
        <v>1</v>
      </c>
      <c r="D201" s="21">
        <f t="shared" si="66"/>
        <v>74.569999999999993</v>
      </c>
      <c r="E201" s="21">
        <f t="shared" si="66"/>
        <v>11</v>
      </c>
      <c r="F201" s="21">
        <f t="shared" si="66"/>
        <v>9.86</v>
      </c>
      <c r="G201" s="21">
        <f t="shared" si="66"/>
        <v>6.7099999999999991</v>
      </c>
      <c r="H201" s="21">
        <f t="shared" si="66"/>
        <v>2</v>
      </c>
      <c r="I201" s="21">
        <f t="shared" si="66"/>
        <v>11.86</v>
      </c>
      <c r="J201" s="21">
        <f t="shared" si="66"/>
        <v>17.71</v>
      </c>
      <c r="K201" s="21">
        <f t="shared" si="66"/>
        <v>52.8</v>
      </c>
      <c r="L201" s="21">
        <f t="shared" si="66"/>
        <v>2</v>
      </c>
      <c r="M201" s="21">
        <f t="shared" si="66"/>
        <v>0.05</v>
      </c>
      <c r="N201" s="21">
        <f t="shared" si="66"/>
        <v>30.410000000000004</v>
      </c>
      <c r="O201" s="21">
        <f t="shared" si="66"/>
        <v>1.69</v>
      </c>
    </row>
    <row r="202" spans="1:15" ht="15" thickBot="1" x14ac:dyDescent="0.4">
      <c r="A202" s="24">
        <f>COUNTIF($A$24:$A$98, "RSRepair*Auto")</f>
        <v>5</v>
      </c>
      <c r="B202" s="24" t="s">
        <v>101</v>
      </c>
      <c r="C202" s="25">
        <f t="shared" ref="C202:O202" si="67">AVERAGEIF($A$24:$A$98, "RSRepair*Auto", B$24:B$98)</f>
        <v>1</v>
      </c>
      <c r="D202" s="25">
        <f t="shared" si="67"/>
        <v>74.539999999999992</v>
      </c>
      <c r="E202" s="25">
        <f t="shared" si="67"/>
        <v>11.14</v>
      </c>
      <c r="F202" s="25">
        <f t="shared" si="67"/>
        <v>10.056000000000001</v>
      </c>
      <c r="G202" s="25">
        <f t="shared" si="67"/>
        <v>6.6280000000000001</v>
      </c>
      <c r="H202" s="25">
        <f t="shared" si="67"/>
        <v>2.056</v>
      </c>
      <c r="I202" s="25">
        <f t="shared" si="67"/>
        <v>12.114000000000001</v>
      </c>
      <c r="J202" s="25">
        <f t="shared" si="67"/>
        <v>17.772000000000002</v>
      </c>
      <c r="K202" s="25">
        <f t="shared" si="67"/>
        <v>53.898000000000003</v>
      </c>
      <c r="L202" s="25">
        <f t="shared" si="67"/>
        <v>1.8579999999999999</v>
      </c>
      <c r="M202" s="25">
        <f t="shared" si="67"/>
        <v>5.28E-2</v>
      </c>
      <c r="N202" s="25">
        <f t="shared" si="67"/>
        <v>28.931999999999999</v>
      </c>
      <c r="O202" s="25">
        <f t="shared" si="67"/>
        <v>1.6079999999999999</v>
      </c>
    </row>
    <row r="203" spans="1:15" ht="15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ht="15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ht="15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ht="15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ht="15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ht="15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ht="15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ht="15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ht="15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ht="15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ht="15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ht="15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ht="15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ht="15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</sheetData>
  <sortState ref="A25:O150">
    <sortCondition ref="O25:O150"/>
    <sortCondition ref="A25:A150"/>
  </sortState>
  <mergeCells count="1">
    <mergeCell ref="R138:T138"/>
  </mergeCells>
  <conditionalFormatting sqref="P60:V69 P50:V54">
    <cfRule type="cellIs" dxfId="13" priority="88" operator="greaterThan">
      <formula>P55</formula>
    </cfRule>
  </conditionalFormatting>
  <conditionalFormatting sqref="C161:O161 C166:O166 C171:O171 C176:O176 C181:O181 C186:O186 C134:O134 C141:O141 C145:O145 C149:O149 C153:O153 T141:AF141 T145:AF145 T149:AF149 T153:AF153 C193:O193 C195:O195 C197:O197 C199:O199 C201:O201">
    <cfRule type="cellIs" dxfId="12" priority="1" operator="greaterThan">
      <formula>C135</formula>
    </cfRule>
    <cfRule type="cellIs" dxfId="11" priority="86" operator="equal">
      <formula>C135</formula>
    </cfRule>
  </conditionalFormatting>
  <conditionalFormatting sqref="C162:O162 C167:O167 C172:O172 C177:O177 C182:O182 C187:O187 C135:O135 C142:O142 C146:O146 C150:O150 C154:O154 T142:AF142 T146:AF146 T150:AF150 T154:AF154 C194:O194 C196:O196 C198:O198 C200:O200 C202:O202">
    <cfRule type="cellIs" dxfId="10" priority="3" operator="greaterThan">
      <formula>C134</formula>
    </cfRule>
    <cfRule type="cellIs" dxfId="9" priority="87" operator="equal">
      <formula>C134</formula>
    </cfRule>
  </conditionalFormatting>
  <conditionalFormatting sqref="P49:V49">
    <cfRule type="cellIs" dxfId="8" priority="90" operator="greaterThan">
      <formula>P51</formula>
    </cfRule>
  </conditionalFormatting>
  <conditionalFormatting sqref="P74:V74">
    <cfRule type="cellIs" dxfId="7" priority="92" operator="greaterThan">
      <formula>P49</formula>
    </cfRule>
  </conditionalFormatting>
  <conditionalFormatting sqref="P70:V71">
    <cfRule type="cellIs" dxfId="6" priority="97" operator="greaterThan">
      <formula>#REF!</formula>
    </cfRule>
  </conditionalFormatting>
  <conditionalFormatting sqref="P85:V98">
    <cfRule type="cellIs" dxfId="5" priority="99" operator="greaterThan">
      <formula>P60</formula>
    </cfRule>
  </conditionalFormatting>
  <conditionalFormatting sqref="P75:V84">
    <cfRule type="cellIs" dxfId="4" priority="100" operator="greaterThan">
      <formula>P50</formula>
    </cfRule>
  </conditionalFormatting>
  <conditionalFormatting sqref="P72:V72">
    <cfRule type="cellIs" dxfId="3" priority="101" operator="greaterThan">
      <formula>#REF!</formula>
    </cfRule>
  </conditionalFormatting>
  <conditionalFormatting sqref="P73:V73">
    <cfRule type="cellIs" dxfId="2" priority="102" operator="greaterThan">
      <formula>P75</formula>
    </cfRule>
  </conditionalFormatting>
  <conditionalFormatting sqref="P59:V59">
    <cfRule type="cellIs" dxfId="1" priority="105" operator="greaterThan">
      <formula>P60</formula>
    </cfRule>
  </conditionalFormatting>
  <conditionalFormatting sqref="P55:V58">
    <cfRule type="cellIs" dxfId="0" priority="106" operator="greaterThan">
      <formula>#REF!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2023-11-21T14:37:36Z</dcterms:modified>
</cp:coreProperties>
</file>