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D180" i="2" l="1"/>
  <c r="E180" i="2"/>
  <c r="F180" i="2"/>
  <c r="G180" i="2"/>
  <c r="H180" i="2"/>
  <c r="I180" i="2"/>
  <c r="J180" i="2"/>
  <c r="K180" i="2"/>
  <c r="L180" i="2"/>
  <c r="M180" i="2"/>
  <c r="N180" i="2"/>
  <c r="O180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C184" i="2"/>
  <c r="C183" i="2"/>
  <c r="C180" i="2"/>
  <c r="C179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V108" i="2"/>
  <c r="U108" i="2"/>
  <c r="A184" i="2"/>
  <c r="A183" i="2"/>
  <c r="A180" i="2"/>
  <c r="A179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A176" i="2"/>
  <c r="A175" i="2"/>
  <c r="C176" i="2"/>
  <c r="C175" i="2"/>
  <c r="A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C172" i="2"/>
  <c r="C171" i="2"/>
  <c r="A171" i="2"/>
  <c r="A163" i="2"/>
  <c r="A164" i="2"/>
  <c r="A165" i="2"/>
  <c r="V172" i="2" l="1"/>
  <c r="U176" i="2"/>
  <c r="E188" i="2"/>
  <c r="X171" i="2"/>
  <c r="O187" i="2"/>
  <c r="W175" i="2"/>
  <c r="V176" i="2"/>
  <c r="AC175" i="2"/>
  <c r="AD175" i="2"/>
  <c r="T172" i="2"/>
  <c r="AA172" i="2"/>
  <c r="AA176" i="2"/>
  <c r="J188" i="2"/>
  <c r="Y171" i="2"/>
  <c r="X175" i="2"/>
  <c r="D187" i="2"/>
  <c r="T176" i="2"/>
  <c r="Z172" i="2"/>
  <c r="Z176" i="2"/>
  <c r="I188" i="2"/>
  <c r="Z171" i="2"/>
  <c r="Y175" i="2"/>
  <c r="E187" i="2"/>
  <c r="R171" i="2"/>
  <c r="AD171" i="2"/>
  <c r="A188" i="2"/>
  <c r="Y172" i="2"/>
  <c r="Y176" i="2"/>
  <c r="H188" i="2"/>
  <c r="AA171" i="2"/>
  <c r="Z175" i="2"/>
  <c r="F187" i="2"/>
  <c r="X172" i="2"/>
  <c r="X176" i="2"/>
  <c r="G188" i="2"/>
  <c r="AB171" i="2"/>
  <c r="AA175" i="2"/>
  <c r="G187" i="2"/>
  <c r="C188" i="2"/>
  <c r="W172" i="2"/>
  <c r="W176" i="2"/>
  <c r="F188" i="2"/>
  <c r="AC171" i="2"/>
  <c r="AB175" i="2"/>
  <c r="H187" i="2"/>
  <c r="I187" i="2"/>
  <c r="U172" i="2"/>
  <c r="AE171" i="2"/>
  <c r="J187" i="2"/>
  <c r="AF172" i="2"/>
  <c r="U171" i="2"/>
  <c r="AF175" i="2"/>
  <c r="L187" i="2"/>
  <c r="A187" i="2"/>
  <c r="AD172" i="2"/>
  <c r="AD176" i="2"/>
  <c r="M188" i="2"/>
  <c r="V171" i="2"/>
  <c r="U175" i="2"/>
  <c r="M187" i="2"/>
  <c r="AE172" i="2"/>
  <c r="T175" i="2"/>
  <c r="R172" i="2"/>
  <c r="AC172" i="2"/>
  <c r="AC176" i="2"/>
  <c r="L188" i="2"/>
  <c r="W171" i="2"/>
  <c r="V175" i="2"/>
  <c r="N187" i="2"/>
  <c r="R175" i="2"/>
  <c r="D188" i="2"/>
  <c r="AF176" i="2"/>
  <c r="O188" i="2"/>
  <c r="T171" i="2"/>
  <c r="AF171" i="2"/>
  <c r="AE175" i="2"/>
  <c r="K187" i="2"/>
  <c r="AE176" i="2"/>
  <c r="N188" i="2"/>
  <c r="R176" i="2"/>
  <c r="AB172" i="2"/>
  <c r="AB176" i="2"/>
  <c r="K188" i="2"/>
  <c r="C187" i="2"/>
  <c r="X108" i="2"/>
  <c r="X109" i="2" l="1"/>
  <c r="X110" i="2"/>
  <c r="X111" i="2"/>
  <c r="X112" i="2"/>
  <c r="X113" i="2"/>
  <c r="X114" i="2"/>
  <c r="X115" i="2"/>
  <c r="X116" i="2"/>
  <c r="X117" i="2"/>
  <c r="AD184" i="2" s="1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08" i="2"/>
  <c r="Z184" i="2" l="1"/>
  <c r="U183" i="2"/>
  <c r="W183" i="2"/>
  <c r="AE183" i="2"/>
  <c r="Y184" i="2"/>
  <c r="AE184" i="2"/>
  <c r="X183" i="2"/>
  <c r="AD183" i="2"/>
  <c r="T184" i="2"/>
  <c r="AC184" i="2"/>
  <c r="X184" i="2"/>
  <c r="T183" i="2"/>
  <c r="Y183" i="2"/>
  <c r="AF183" i="2"/>
  <c r="V184" i="2"/>
  <c r="AB183" i="2"/>
  <c r="AA184" i="2"/>
  <c r="V179" i="2"/>
  <c r="AB180" i="2"/>
  <c r="AE179" i="2"/>
  <c r="AB179" i="2"/>
  <c r="U179" i="2"/>
  <c r="AC180" i="2"/>
  <c r="AD179" i="2"/>
  <c r="AF180" i="2"/>
  <c r="AC179" i="2"/>
  <c r="U180" i="2"/>
  <c r="AF179" i="2"/>
  <c r="T179" i="2"/>
  <c r="AD180" i="2"/>
  <c r="AE180" i="2"/>
  <c r="R179" i="2"/>
  <c r="V180" i="2"/>
  <c r="AA179" i="2"/>
  <c r="W180" i="2"/>
  <c r="Z179" i="2"/>
  <c r="X180" i="2"/>
  <c r="Y179" i="2"/>
  <c r="Y180" i="2"/>
  <c r="T180" i="2"/>
  <c r="X179" i="2"/>
  <c r="Z180" i="2"/>
  <c r="W179" i="2"/>
  <c r="AA180" i="2"/>
  <c r="R180" i="2"/>
  <c r="V183" i="2"/>
  <c r="U184" i="2"/>
  <c r="R183" i="2"/>
  <c r="W184" i="2"/>
  <c r="Z183" i="2"/>
  <c r="AA183" i="2"/>
  <c r="AF184" i="2"/>
  <c r="AB184" i="2"/>
  <c r="R184" i="2"/>
  <c r="AC183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156" i="2"/>
  <c r="B155" i="2"/>
  <c r="B154" i="2"/>
  <c r="B153" i="2"/>
  <c r="B152" i="2"/>
  <c r="B151" i="2"/>
  <c r="A221" i="2" l="1"/>
  <c r="A219" i="2"/>
  <c r="A216" i="2"/>
  <c r="A214" i="2"/>
  <c r="A211" i="2"/>
  <c r="A209" i="2"/>
  <c r="A206" i="2"/>
  <c r="A204" i="2"/>
  <c r="A201" i="2"/>
  <c r="A199" i="2"/>
  <c r="A196" i="2"/>
  <c r="A194" i="2"/>
  <c r="A220" i="2" l="1"/>
  <c r="A215" i="2"/>
  <c r="A210" i="2"/>
  <c r="A205" i="2"/>
  <c r="A200" i="2"/>
  <c r="A195" i="2"/>
  <c r="O227" i="2" l="1"/>
  <c r="D236" i="2"/>
  <c r="E236" i="2"/>
  <c r="F236" i="2"/>
  <c r="G236" i="2"/>
  <c r="H236" i="2"/>
  <c r="I236" i="2"/>
  <c r="J236" i="2"/>
  <c r="K236" i="2"/>
  <c r="L236" i="2"/>
  <c r="M236" i="2"/>
  <c r="N236" i="2"/>
  <c r="O236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D227" i="2"/>
  <c r="E227" i="2"/>
  <c r="F227" i="2"/>
  <c r="G227" i="2"/>
  <c r="H227" i="2"/>
  <c r="I227" i="2"/>
  <c r="J227" i="2"/>
  <c r="K227" i="2"/>
  <c r="L227" i="2"/>
  <c r="M227" i="2"/>
  <c r="N22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D165" i="2" l="1"/>
  <c r="E165" i="2"/>
  <c r="F165" i="2"/>
  <c r="G165" i="2"/>
  <c r="H165" i="2"/>
  <c r="I165" i="2"/>
  <c r="J165" i="2"/>
  <c r="K165" i="2"/>
  <c r="L165" i="2"/>
  <c r="M165" i="2"/>
  <c r="N165" i="2"/>
  <c r="O165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C164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3" i="2"/>
  <c r="O92" i="2" l="1"/>
  <c r="O63" i="2"/>
  <c r="O60" i="2"/>
  <c r="O81" i="2"/>
  <c r="O50" i="2"/>
  <c r="O144" i="2"/>
  <c r="O111" i="2"/>
  <c r="O82" i="2"/>
  <c r="O52" i="2"/>
  <c r="O109" i="2"/>
  <c r="O25" i="2"/>
  <c r="O87" i="2"/>
  <c r="O97" i="2"/>
  <c r="O95" i="2"/>
  <c r="O116" i="2"/>
  <c r="O88" i="2"/>
  <c r="O75" i="2"/>
  <c r="O56" i="2"/>
  <c r="O28" i="2"/>
  <c r="O58" i="2"/>
  <c r="O141" i="2"/>
  <c r="O66" i="2"/>
  <c r="O121" i="2"/>
  <c r="O120" i="2"/>
  <c r="O47" i="2"/>
  <c r="O76" i="2"/>
  <c r="O110" i="2"/>
  <c r="O27" i="2"/>
  <c r="O37" i="2"/>
  <c r="O86" i="2"/>
  <c r="O94" i="2"/>
  <c r="O71" i="2"/>
  <c r="O35" i="2"/>
  <c r="O49" i="2"/>
  <c r="O79" i="2"/>
  <c r="O54" i="2"/>
  <c r="O64" i="2"/>
  <c r="O62" i="2"/>
  <c r="O130" i="2"/>
  <c r="O124" i="2"/>
  <c r="O31" i="2"/>
  <c r="O84" i="2"/>
  <c r="O134" i="2"/>
  <c r="O70" i="2"/>
  <c r="O34" i="2"/>
  <c r="O107" i="2"/>
  <c r="O142" i="2"/>
  <c r="O104" i="2"/>
  <c r="O78" i="2"/>
  <c r="O32" i="2"/>
  <c r="O132" i="2"/>
  <c r="O46" i="2"/>
  <c r="O129" i="2"/>
  <c r="O114" i="2"/>
  <c r="O65" i="2"/>
  <c r="O30" i="2"/>
  <c r="O68" i="2"/>
  <c r="O145" i="2"/>
  <c r="O131" i="2"/>
  <c r="O102" i="2"/>
  <c r="O36" i="2"/>
  <c r="O59" i="2"/>
  <c r="O137" i="2"/>
  <c r="O148" i="2"/>
  <c r="O115" i="2"/>
  <c r="O119" i="2"/>
  <c r="O138" i="2"/>
  <c r="O51" i="2"/>
  <c r="O106" i="2"/>
  <c r="O73" i="2"/>
  <c r="O85" i="2"/>
  <c r="O143" i="2"/>
  <c r="O26" i="2"/>
  <c r="O40" i="2"/>
  <c r="O139" i="2"/>
  <c r="O48" i="2"/>
  <c r="O45" i="2"/>
  <c r="O93" i="2"/>
  <c r="O146" i="2"/>
  <c r="O44" i="2"/>
  <c r="O133" i="2"/>
  <c r="O29" i="2"/>
  <c r="O128" i="2"/>
  <c r="O127" i="2"/>
  <c r="O55" i="2"/>
  <c r="O69" i="2"/>
  <c r="O140" i="2"/>
  <c r="O72" i="2"/>
  <c r="O61" i="2"/>
  <c r="O98" i="2"/>
  <c r="O103" i="2"/>
  <c r="O89" i="2"/>
  <c r="O74" i="2"/>
  <c r="O135" i="2"/>
  <c r="O90" i="2"/>
  <c r="O108" i="2"/>
  <c r="O77" i="2"/>
  <c r="O96" i="2"/>
  <c r="O38" i="2"/>
  <c r="O118" i="2"/>
  <c r="O57" i="2"/>
  <c r="O125" i="2"/>
  <c r="O101" i="2"/>
  <c r="O147" i="2"/>
  <c r="O91" i="2"/>
  <c r="O105" i="2"/>
  <c r="O123" i="2"/>
  <c r="O99" i="2"/>
  <c r="O117" i="2"/>
  <c r="O136" i="2"/>
  <c r="O149" i="2"/>
  <c r="O80" i="2"/>
  <c r="O41" i="2"/>
  <c r="O67" i="2"/>
  <c r="O122" i="2"/>
  <c r="O53" i="2"/>
  <c r="O43" i="2"/>
  <c r="O83" i="2"/>
  <c r="O113" i="2"/>
  <c r="O112" i="2"/>
  <c r="O100" i="2"/>
  <c r="O24" i="2"/>
  <c r="O33" i="2"/>
  <c r="O42" i="2"/>
  <c r="O39" i="2"/>
  <c r="O126" i="2"/>
</calcChain>
</file>

<file path=xl/sharedStrings.xml><?xml version="1.0" encoding="utf-8"?>
<sst xmlns="http://schemas.openxmlformats.org/spreadsheetml/2006/main" count="494" uniqueCount="233">
  <si>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</si>
  <si>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</si>
  <si>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</si>
  <si>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</si>
  <si>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</si>
  <si>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</si>
  <si>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</si>
  <si>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</si>
  <si>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</si>
  <si>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</si>
  <si>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</si>
  <si>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</si>
  <si>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</si>
  <si>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</si>
  <si>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</si>
  <si>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</si>
  <si>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</si>
  <si>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</si>
  <si>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</si>
  <si>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</si>
  <si>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</si>
  <si>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</si>
  <si>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</si>
  <si>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Arja-Bears-SzFMV2018-Tavasz-AutomatedCar -351742666-351759763_2_Repaired</t>
  </si>
  <si>
    <t>GenProg-Bears-SzFMV2018-Tavasz-Automated Car-351742666-351759763_0_Fixed</t>
  </si>
  <si>
    <t>RSRepair-Bears-SzFMV2018-Tavasz-Automate dCar-351742666-351759763_2_Buggy</t>
  </si>
  <si>
    <t>Nopol-Bears-vkostyukov-la4j-414793864-43 6911083_0_Buggy</t>
  </si>
  <si>
    <t>Arja-Bears-opentracing-contrib-java-p6sp y-390188323-431527545_4_Fixed</t>
  </si>
  <si>
    <t>GenProg-Bears-SzFMV2018-Tavasz-Automated Car-351742666-351759763_0_Buggy</t>
  </si>
  <si>
    <t>Nopol-Bears-vkostyukov-la4j-414793864-43 6911083_0_Repaired</t>
  </si>
  <si>
    <t>Arja-Bears-albfernandez-GDS-PMD-Security -Rules-451155169-455669767_4_Repaired</t>
  </si>
  <si>
    <t>Arja-Bears-SzFMV2018-Tavasz-AutomatedCar -351742666-351759763_0_Fixed</t>
  </si>
  <si>
    <t>GenProg-Bears-SzFMV2018-Tavasz-Automated Car-351742666-351759763_2_Buggy</t>
  </si>
  <si>
    <t>Arja-Bears-albfernandez-GDS-PMD-Security -Rules-451155169-455669767_1_Repaired</t>
  </si>
  <si>
    <t>Arja-Bears-albfernandez-GDS-PMD-Security -Rules-451155169-455669767_1_Buggy</t>
  </si>
  <si>
    <t>Arja-Bears-traccar-traccar-255051210-255 052458_0_Fixed</t>
  </si>
  <si>
    <t>Kali-Bears-albfernandez-GDS-PMD-Security -Rules-451155169-455669767_0_Fixed</t>
  </si>
  <si>
    <t>GenProg-Bears-SzFMV2018-Tavasz-Automated Car-351742666-351759763_3_Fixed</t>
  </si>
  <si>
    <t>Arja-Bears-julianps-modelmapper-module-v avr-441307573-461240331_2_Repaired</t>
  </si>
  <si>
    <t>Arja-Bears-traccar-traccar-255051210-255 052458_1_Fixed</t>
  </si>
  <si>
    <t>Arja-Bears-julianps-modelmapper-module-v avr-441307573-461240331_3_Fixed</t>
  </si>
  <si>
    <t>Kali-Bears-dungba88-libra-436514153-4365 24727_0_Buggy</t>
  </si>
  <si>
    <t>Arja-Bears-dungba88-libra-436514153-4365 24727_0_Buggy</t>
  </si>
  <si>
    <t>Kali-Bears-SzFMV2018-Tavasz-AutomatedCar -351742666-351759763_0_Buggy</t>
  </si>
  <si>
    <t>Kali-Bears-julianps-modelmapper-module-v avr-441307573-461240331_0_Repaired</t>
  </si>
  <si>
    <t>Arja-Bears-albfernandez-GDS-PMD-Security -Rules-451155169-455669767_0_Fixed</t>
  </si>
  <si>
    <t>Arja-Bears-opentracing-contrib-java-p6sp y-390188323-431527545_2_Repaired</t>
  </si>
  <si>
    <t>Arja-Bears-opentracing-contrib-java-p6sp y-390188323-431527545_1_Repaired</t>
  </si>
  <si>
    <t>Arja-Bears-traccar-traccar-255051210-255 052458_2_Buggy</t>
  </si>
  <si>
    <t>Arja-Bears-julianps-modelmapper-module-v avr-441307573-461240331_4_Fixed</t>
  </si>
  <si>
    <t>Arja-Bears-albfernandez-GDS-PMD-Security -Rules-451155169-455669767_2_Repaired</t>
  </si>
  <si>
    <t>Arja-Bears-albfernandez-GDS-PMD-Security -Rules-451155169-455669767_4_Buggy</t>
  </si>
  <si>
    <t>Arja-Bears-opentracing-contrib-java-p6sp y-390188323-431527545_2_Buggy</t>
  </si>
  <si>
    <t>Arja-Bears-SzFMV2018-Tavasz-AutomatedCar -351742666-351759763_4_Fixed</t>
  </si>
  <si>
    <t>GenProg-Bears-SzFMV2018-Tavasz-Automated Car-351742666-351759763_2_Fixed</t>
  </si>
  <si>
    <t>Arja-Bears-dungba88-libra-436514153-4365 24727_1_Fixed</t>
  </si>
  <si>
    <t>Arja-Bears-opentracing-contrib-java-p6sp y-390188323-431527545_0_Buggy</t>
  </si>
  <si>
    <t>Arja-Bears-traccar-traccar-255051210-255 052458_4_Buggy</t>
  </si>
  <si>
    <t>Arja-Bears-opentracing-contrib-java-p6sp y-390188323-431527545_2_Fixed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</si>
  <si>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</si>
  <si>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</si>
  <si>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</si>
  <si>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Arja-Bears-traccar-traccar-255051210-255 052458_1_Repaired</t>
  </si>
  <si>
    <t>Arja-Bears-SzFMV2018-Tavasz-AutomatedCar -351742666-351759763_0_Repaired</t>
  </si>
  <si>
    <t>Arja-Bears-julianps-modelmapper-module-v avr-441307573-461240331_1_Buggy</t>
  </si>
  <si>
    <t>Arja-Bears-SzFMV2018-Tavasz-AutomatedCar -351742666-351759763_2_Fixed</t>
  </si>
  <si>
    <t>GenProg-Bears-SzFMV2018-Tavasz-Automated Car-351742666-351759763_0_Repaired</t>
  </si>
  <si>
    <t>Arja-Bears-dungba88-libra-436514153-4365 24727_0_Fixed</t>
  </si>
  <si>
    <t>Arja-Bears-julianps-modelmapper-module-v avr-441307573-461240331_4_Buggy</t>
  </si>
  <si>
    <t>RSRepair-Bears-SzFMV2018-Tavasz-Automate dCar-351742666-351759763_4_Fixed</t>
  </si>
  <si>
    <t>Kali-Bears-SzFMV2018-Tavasz-AutomatedCar -351742666-351759763_0_Repaired</t>
  </si>
  <si>
    <t>RSRepair-Bears-SzFMV2018-Tavasz-Automate dCar-351742666-351759763_1_Fixed</t>
  </si>
  <si>
    <t>Arja-Bears-opentracing-contrib-java-p6sp y-390188323-431527545_1_Fixed</t>
  </si>
  <si>
    <t>Arja-Bears-julianps-modelmapper-module-v avr-441307573-461240331_2_Buggy</t>
  </si>
  <si>
    <t>Arja-Bears-traccar-traccar-255051210-255 052458_3_Repaired</t>
  </si>
  <si>
    <t>Arja-Bears-traccar-traccar-255051210-255 052458_1_Buggy</t>
  </si>
  <si>
    <t>Arja-Bears-traccar-traccar-255051210-255 052458_0_Repaired</t>
  </si>
  <si>
    <t>Arja-Bears-julianps-modelmapper-module-v avr-441307573-461240331_0_Repaired</t>
  </si>
  <si>
    <t>RSRepair-Bears-SzFMV2018-Tavasz-Automate dCar-351742666-351759763_4_Buggy</t>
  </si>
  <si>
    <t>Arja-Bears-julianps-modelmapper-module-v avr-441307573-461240331_0_Buggy</t>
  </si>
  <si>
    <t>Arja-Bears-albfernandez-GDS-PMD-Security -Rules-451155169-455669767_2_Fixed</t>
  </si>
  <si>
    <t>RSRepair-Bears-SzFMV2018-Tavasz-Automate dCar-351742666-351759763_0_Repaired</t>
  </si>
  <si>
    <t>Arja-Bears-traccar-traccar-255051210-255 052458_2_Repaired</t>
  </si>
  <si>
    <t>Nopol-Bears-vkostyukov-la4j-414793864-43 6911083_0_Fixed</t>
  </si>
  <si>
    <t>Arja-Bears-opentracing-contrib-java-p6sp y-390188323-431527545_1_Buggy</t>
  </si>
  <si>
    <t>Kali-Bears-traccar-traccar-255051210-255 052458_0_Buggy</t>
  </si>
  <si>
    <t>GenProg-Bears-SzFMV2018-Tavasz-Automated Car-351742666-351759763_3_Repaired</t>
  </si>
  <si>
    <t>RSRepair-Bears-SzFMV2018-Tavasz-Automate dCar-351742666-351759763_3_Repaired</t>
  </si>
  <si>
    <t>Arja-Bears-julianps-modelmapper-module-v avr-441307573-461240331_1_Repaired</t>
  </si>
  <si>
    <t>Arja-Bears-opentracing-contrib-java-p6sp y-390188323-431527545_0_Repaired</t>
  </si>
  <si>
    <t>GenProg-Bears-SzFMV2018-Tavasz-Automated Car-351742666-351759763_4_Repaired</t>
  </si>
  <si>
    <t>GenProg-Bears-SzFMV2018-Tavasz-Automated Car-351742666-351759763_1_Buggy</t>
  </si>
  <si>
    <t>RSRepair-Bears-SzFMV2018-Tavasz-Automate dCar-351742666-351759763_3_Fixed</t>
  </si>
  <si>
    <t>Arja-Bears-julianps-modelmapper-module-v avr-441307573-461240331_1_Fixed</t>
  </si>
  <si>
    <t>Arja-Bears-SzFMV2018-Tavasz-AutomatedCar -351742666-351759763_3_Fixed</t>
  </si>
  <si>
    <t>Kali-Bears-traccar-traccar-255051210-255 052458_0_Repaired</t>
  </si>
  <si>
    <t>Arja-Bears-albfernandez-GDS-PMD-Security -Rules-451155169-455669767_2_Buggy</t>
  </si>
  <si>
    <t>Arja-Bears-SzFMV2018-Tavasz-AutomatedCar -351742666-351759763_0_Buggy</t>
  </si>
  <si>
    <t>Kali-Bears-albfernandez-GDS-PMD-Security -Rules-451155169-455669767_0_Repaired</t>
  </si>
  <si>
    <t>Arja-Bears-traccar-traccar-255051210-255 052458_3_Buggy</t>
  </si>
  <si>
    <t>Arja-Bears-traccar-traccar-255051210-255 052458_0_Buggy</t>
  </si>
  <si>
    <t>GenProg-Bears-SzFMV2018-Tavasz-Automated Car-351742666-351759763_1_Fixed</t>
  </si>
  <si>
    <t>RSRepair-Bears-SzFMV2018-Tavasz-Automate dCar-351742666-351759763_1_Repaired</t>
  </si>
  <si>
    <t>Arja-Bears-SzFMV2018-Tavasz-AutomatedCar -351742666-351759763_4_Buggy</t>
  </si>
  <si>
    <t>Arja-Bears-traccar-traccar-255051210-255 052458_4_Repaired</t>
  </si>
  <si>
    <t>Arja-Bears-dungba88-libra-436514153-4365 24727_1_Buggy</t>
  </si>
  <si>
    <t>Arja-Bears-SzFMV2018-Tavasz-AutomatedCar -351742666-351759763_4_Repaired</t>
  </si>
  <si>
    <t>Arja-Bears-SzFMV2018-Tavasz-AutomatedCar -351742666-351759763_3_Repaired</t>
  </si>
  <si>
    <t>Kali-Bears-albfernandez-GDS-PMD-Security -Rules-451155169-455669767_0_Buggy</t>
  </si>
  <si>
    <t>Arja-Bears-albfernandez-GDS-PMD-Security -Rules-451155169-455669767_4_Fixed</t>
  </si>
  <si>
    <t>Kali-Bears-dungba88-libra-436514153-4365 24727_0_Repaired</t>
  </si>
  <si>
    <t>Arja-Bears-julianps-modelmapper-module-v avr-441307573-461240331_0_Fixed</t>
  </si>
  <si>
    <t>RSRepair-Bears-SzFMV2018-Tavasz-Automate dCar-351742666-351759763_0_Buggy</t>
  </si>
  <si>
    <t>Kali-Bears-dungba88-libra-436514153-4365 24727_0_Fixed</t>
  </si>
  <si>
    <t>RSRepair-Bears-SzFMV2018-Tavasz-Automate dCar-351742666-351759763_0_Fixed</t>
  </si>
  <si>
    <t>Arja-Bears-traccar-traccar-255051210-255 052458_2_Fixed</t>
  </si>
  <si>
    <t>Arja-Bears-julianps-modelmapper-module-v avr-441307573-461240331_2_Fixed</t>
  </si>
  <si>
    <t>GenProg-Bears-SzFMV2018-Tavasz-Automated Car-351742666-351759763_1_Repaired</t>
  </si>
  <si>
    <t>Arja-Bears-traccar-traccar-255051210-255 052458_3_Fixed</t>
  </si>
  <si>
    <t>Arja-Bears-albfernandez-GDS-PMD-Security -Rules-451155169-455669767_0_Repaired</t>
  </si>
  <si>
    <t>Arja-Bears-opentracing-contrib-java-p6sp y-390188323-431527545_0_Fixed</t>
  </si>
  <si>
    <t>GenProg-Bears-SzFMV2018-Tavasz-Automated Car-351742666-351759763_4_Fixed</t>
  </si>
  <si>
    <t>Arja-Bears-opentracing-contrib-java-p6sp y-390188323-431527545_3_Buggy</t>
  </si>
  <si>
    <t>Arja-Bears-julianps-modelmapper-module-v avr-441307573-461240331_4_Repaired</t>
  </si>
  <si>
    <t>Kali-Bears-julianps-modelmapper-module-v avr-441307573-461240331_0_Buggy</t>
  </si>
  <si>
    <t>Arja-Bears-SzFMV2018-Tavasz-AutomatedCar -351742666-351759763_1_Repaired</t>
  </si>
  <si>
    <t>Kali-Bears-traccar-traccar-255051210-255 052458_0_Fixed</t>
  </si>
  <si>
    <t>RSRepair-Bears-SzFMV2018-Tavasz-Automate dCar-351742666-351759763_2_Repaired</t>
  </si>
  <si>
    <t>Arja-Bears-traccar-traccar-255051210-255 052458_4_Fixed</t>
  </si>
  <si>
    <t>RSRepair-Bears-SzFMV2018-Tavasz-Automate dCar-351742666-351759763_2_Fixed</t>
  </si>
  <si>
    <t>Arja-Bears-opentracing-contrib-java-p6sp y-390188323-431527545_4_Repaired</t>
  </si>
  <si>
    <t>Kali-Bears-julianps-modelmapper-module-v avr-441307573-461240331_0_Fixed</t>
  </si>
  <si>
    <t>Arja-Bears-julianps-modelmapper-module-v avr-441307573-461240331_3_Repaired</t>
  </si>
  <si>
    <t>GenProg-Bears-SzFMV2018-Tavasz-Automated Car-351742666-351759763_2_Repaired</t>
  </si>
  <si>
    <t>RSRepair-Bears-SzFMV2018-Tavasz-Automate dCar-351742666-351759763_4_Repaired</t>
  </si>
  <si>
    <t>Arja-Bears-opentracing-contrib-java-p6sp y-390188323-431527545_3_Fixed</t>
  </si>
  <si>
    <t>Arja-Bears-SzFMV2018-Tavasz-AutomatedCar -351742666-351759763_1_Buggy</t>
  </si>
  <si>
    <t>Arja-Bears-albfernandez-GDS-PMD-Security -Rules-451155169-455669767_1_Fixed</t>
  </si>
  <si>
    <t>Arja-Bears-opentracing-contrib-java-p6sp y-390188323-431527545_3_Repaired</t>
  </si>
  <si>
    <t>GenProg-Bears-SzFMV2018-Tavasz-Automated Car-351742666-351759763_3_Buggy</t>
  </si>
  <si>
    <t>Arja-Bears-SzFMV2018-Tavasz-AutomatedCar -351742666-351759763_3_Buggy</t>
  </si>
  <si>
    <t>Arja-Bears-SzFMV2018-Tavasz-AutomatedCar -351742666-351759763_1_Fixed</t>
  </si>
  <si>
    <t>Arja-Bears-dungba88-libra-436514153-4365 24727_1_Repaired</t>
  </si>
  <si>
    <t>Arja-Bears-dungba88-libra-436514153-4365 24727_0_Repaired</t>
  </si>
  <si>
    <t>Kali-Bears-SzFMV2018-Tavasz-AutomatedCar -351742666-351759763_0_Fixed</t>
  </si>
  <si>
    <t>Arja-Bears-albfernandez-GDS-PMD-Security -Rules-451155169-455669767_0_Buggy</t>
  </si>
  <si>
    <t>Arja-Bears-julianps-modelmapper-module-v avr-441307573-461240331_3_Buggy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</si>
  <si>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</si>
  <si>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</si>
  <si>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</si>
  <si>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</si>
  <si>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</si>
  <si>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</si>
  <si>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</si>
  <si>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</si>
  <si>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</si>
  <si>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Avg-Buggy</t>
  </si>
  <si>
    <t>Avg-Fixed</t>
  </si>
  <si>
    <t>Avg-Repaired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</si>
  <si>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</si>
  <si>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</si>
  <si>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</si>
  <si>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</si>
  <si>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</si>
  <si>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</si>
  <si>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</si>
  <si>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</si>
  <si>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</si>
  <si>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</si>
  <si>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</si>
  <si>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</si>
  <si>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</si>
  <si>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126 total</t>
  </si>
  <si>
    <t>42 projects</t>
  </si>
  <si>
    <t>Source Version</t>
  </si>
  <si>
    <t>Cyclomatic Complexity</t>
  </si>
  <si>
    <t>Project Type</t>
  </si>
  <si>
    <t>Tool Type</t>
  </si>
  <si>
    <t>Count</t>
  </si>
  <si>
    <t>Avg-Arja-Fixed</t>
  </si>
  <si>
    <t>Avg-Arja-Repaired</t>
  </si>
  <si>
    <t>Avg-GenProg-Fixed</t>
  </si>
  <si>
    <t>Avg-GenProg-Repaired</t>
  </si>
  <si>
    <t>Avg-Kali-Fixed</t>
  </si>
  <si>
    <t>Avg-Kali-Repaired</t>
  </si>
  <si>
    <t>Avg-Nopol-Fixed</t>
  </si>
  <si>
    <t>Avg-Nopol-Repaired</t>
  </si>
  <si>
    <t>Avg-RSRepair-Fixed</t>
  </si>
  <si>
    <t>Avg-RSRepair-Repaired</t>
  </si>
  <si>
    <t>Avg-albfernandez-GDS-PMD-Security-Buggy</t>
  </si>
  <si>
    <t>Avg-albfernandez-GDS-PMD-Security-Fixed</t>
  </si>
  <si>
    <t>Avg-albfernandez-GDS-PMD-Security-Repaired</t>
  </si>
  <si>
    <t>Avg-dungba88-libra-Buggy</t>
  </si>
  <si>
    <t>Avg-dungba88-libra-Fixed</t>
  </si>
  <si>
    <t>Avg-dungba88-libra-Repaired</t>
  </si>
  <si>
    <t>Avg-julianps-modelmapper-module-Buggy</t>
  </si>
  <si>
    <t>Avg-julianps-modelmapper-module-Fixed</t>
  </si>
  <si>
    <t>Avg-julianps-modelmapper-module-Repaired</t>
  </si>
  <si>
    <t>Avg-opentracing-contrib-java-p6sp-Buggy</t>
  </si>
  <si>
    <t>Avg-opentracing-contrib-java-p6sp-Fixed</t>
  </si>
  <si>
    <t>Avg-opentracing-contrib-java-p6sp-Repaired</t>
  </si>
  <si>
    <t>Avg-SzFMV2018-Tavasz-AutomatedCar-Buggy</t>
  </si>
  <si>
    <t>Avg-SzFMV2018-Tavasz-AutomatedCar-Fixed</t>
  </si>
  <si>
    <t>Avg-SzFMV2018-Tavasz-AutomatedCar-Repaired</t>
  </si>
  <si>
    <t>Avg-traccar-traccar-Buggy</t>
  </si>
  <si>
    <t>Avg-traccar-traccar-Fixed</t>
  </si>
  <si>
    <t>Avg-traccar-traccar-Repaired</t>
  </si>
  <si>
    <t>Lines</t>
  </si>
  <si>
    <t>Single-Chunk-Avg-Fixed</t>
  </si>
  <si>
    <t>Single-Chunk-Avg-Repaired</t>
  </si>
  <si>
    <t>Multi-Chunk-Avg-Fixed</t>
  </si>
  <si>
    <t>Multi-Chunk-Avg-Repaired</t>
  </si>
  <si>
    <t>Single-Chunk-Single-Edit-Avg-Fixed</t>
  </si>
  <si>
    <t>Single-Chunk-Single-Edit-Avg-Repaired</t>
  </si>
  <si>
    <t>Single-Chunk-Multi-Edits-Avg-Fixed</t>
  </si>
  <si>
    <t>Single-Chunk-Multi-Edits-Avg-Repaired</t>
  </si>
  <si>
    <t>Multi-Chunk-Single-Edit-Avg-Fixed</t>
  </si>
  <si>
    <t>Multi-Chunk-Single-Edit-Avg-Repaired</t>
  </si>
  <si>
    <t>Multi-Chunk-Multi-Edits-Avg-Fixed</t>
  </si>
  <si>
    <t>Multi-Chunk-Multi-Edits-Avg-Repaired</t>
  </si>
  <si>
    <t>MC-SL Comm</t>
  </si>
  <si>
    <t>MC-ML Comm</t>
  </si>
  <si>
    <t>SC-SL Comm</t>
  </si>
  <si>
    <t>SC-ML Comm</t>
  </si>
  <si>
    <t>ML - HE Comm</t>
  </si>
  <si>
    <t>Single-Line-Avg-Fixed</t>
  </si>
  <si>
    <t>Single-Line-Avg-Repaired</t>
  </si>
  <si>
    <t>Multi-Line-Avg-Fixed</t>
  </si>
  <si>
    <t>Multi-Line-Avg-Repaired</t>
  </si>
  <si>
    <t>Two-Factor Common</t>
  </si>
  <si>
    <t>Multi-Chunk-High-Edits-Avg-Fixed</t>
  </si>
  <si>
    <t>Multi-Chunk-High-Edits-Avg-Repaired</t>
  </si>
  <si>
    <t>Chunks &amp; Lines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</si>
</sst>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18" fillId="0" borderId="14" xfId="0" applyFont="1" applyBorder="1"/>
    <xf numFmtId="0" fontId="0" fillId="0" borderId="0" xfId="0" applyBorder="1"/>
    <xf numFmtId="0" fontId="26" fillId="0" borderId="0" xfId="0" applyFont="1"/>
    <xf numFmtId="0" fontId="18" fillId="4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0"/>
  <sheetViews>
    <sheetView showGridLines="0" tabSelected="1" topLeftCell="A148" zoomScale="55" zoomScaleNormal="55" workbookViewId="0">
      <selection activeCell="A159" sqref="A159"/>
    </sheetView>
  </sheetViews>
  <sheetFormatPr defaultColWidth="9.109375" defaultRowHeight="14.4" x14ac:dyDescent="0.35"/>
  <cols>
    <col min="1" max="1" width="79.44140625" style="1" bestFit="1" customWidth="1"/>
    <col min="2" max="2" width="26.44140625" style="1" bestFit="1" customWidth="1"/>
    <col min="3" max="3" width="20" style="1" bestFit="1" customWidth="1"/>
    <col min="4" max="4" width="18.21875" style="1" bestFit="1" customWidth="1"/>
    <col min="5" max="5" width="14.5546875" style="1" customWidth="1"/>
    <col min="6" max="6" width="16.44140625" style="1" customWidth="1"/>
    <col min="7" max="7" width="16.6640625" style="1" customWidth="1"/>
    <col min="8" max="8" width="14.6640625" style="1" bestFit="1" customWidth="1"/>
    <col min="9" max="9" width="14.88671875" style="1" bestFit="1" customWidth="1"/>
    <col min="10" max="10" width="15.33203125" style="1" bestFit="1" customWidth="1"/>
    <col min="11" max="11" width="14.5546875" style="1" bestFit="1" customWidth="1"/>
    <col min="12" max="12" width="13.33203125" style="1" bestFit="1" customWidth="1"/>
    <col min="13" max="13" width="18" style="1" bestFit="1" customWidth="1"/>
    <col min="14" max="14" width="17.44140625" style="1" bestFit="1" customWidth="1"/>
    <col min="15" max="15" width="15.21875" style="1" customWidth="1"/>
    <col min="16" max="16" width="9.109375" style="1"/>
    <col min="17" max="17" width="12.33203125" style="1" bestFit="1" customWidth="1"/>
    <col min="18" max="18" width="11.33203125" style="1" bestFit="1" customWidth="1"/>
    <col min="19" max="19" width="12.77734375" style="1" bestFit="1" customWidth="1"/>
    <col min="20" max="20" width="10.77734375" style="1" customWidth="1"/>
    <col min="21" max="21" width="11.6640625" style="1" bestFit="1" customWidth="1"/>
    <col min="22" max="22" width="11.21875" style="1" customWidth="1"/>
    <col min="23" max="23" width="12.21875" style="1" bestFit="1" customWidth="1"/>
    <col min="24" max="24" width="10.88671875" style="1" customWidth="1"/>
    <col min="25" max="25" width="11.88671875" style="1" customWidth="1"/>
    <col min="26" max="26" width="10.21875" style="1" customWidth="1"/>
    <col min="27" max="27" width="11.21875" style="1" customWidth="1"/>
    <col min="28" max="30" width="11.1093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9" x14ac:dyDescent="0.35">
      <c r="A17" s="4" t="s">
        <v>15</v>
      </c>
    </row>
    <row r="18" spans="1:19" x14ac:dyDescent="0.35">
      <c r="A18" s="4" t="s">
        <v>16</v>
      </c>
    </row>
    <row r="19" spans="1:19" x14ac:dyDescent="0.35">
      <c r="A19" s="4" t="s">
        <v>17</v>
      </c>
    </row>
    <row r="20" spans="1:19" x14ac:dyDescent="0.35">
      <c r="A20" s="4" t="s">
        <v>18</v>
      </c>
    </row>
    <row r="21" spans="1:19" x14ac:dyDescent="0.35">
      <c r="A21" s="4" t="s">
        <v>19</v>
      </c>
    </row>
    <row r="23" spans="1:19" ht="28.8" x14ac:dyDescent="0.35">
      <c r="A23" s="13" t="s">
        <v>172</v>
      </c>
      <c r="B23" s="13" t="s">
        <v>20</v>
      </c>
      <c r="C23" s="13" t="s">
        <v>159</v>
      </c>
      <c r="D23" s="13" t="s">
        <v>160</v>
      </c>
      <c r="E23" s="13" t="s">
        <v>21</v>
      </c>
      <c r="F23" s="13" t="s">
        <v>161</v>
      </c>
      <c r="G23" s="13" t="s">
        <v>22</v>
      </c>
      <c r="H23" s="13" t="s">
        <v>162</v>
      </c>
      <c r="I23" s="13" t="s">
        <v>163</v>
      </c>
      <c r="J23" s="13" t="s">
        <v>164</v>
      </c>
      <c r="K23" s="13" t="s">
        <v>165</v>
      </c>
      <c r="L23" s="13" t="s">
        <v>166</v>
      </c>
      <c r="M23" s="13" t="s">
        <v>167</v>
      </c>
      <c r="N23" s="13" t="s">
        <v>168</v>
      </c>
      <c r="O23" s="13" t="s">
        <v>155</v>
      </c>
      <c r="P23" s="13" t="s">
        <v>169</v>
      </c>
      <c r="Q23" s="13" t="s">
        <v>170</v>
      </c>
      <c r="R23" s="13" t="s">
        <v>171</v>
      </c>
      <c r="S23" s="13" t="s">
        <v>207</v>
      </c>
    </row>
    <row r="24" spans="1:19" x14ac:dyDescent="0.35">
      <c r="A24" s="5" t="s">
        <v>145</v>
      </c>
      <c r="B24" s="6">
        <v>2.31</v>
      </c>
      <c r="C24" s="6">
        <v>78.69</v>
      </c>
      <c r="D24" s="6">
        <v>8.15</v>
      </c>
      <c r="E24" s="6">
        <v>6.85</v>
      </c>
      <c r="F24" s="6">
        <v>6.38</v>
      </c>
      <c r="G24" s="6">
        <v>3.08</v>
      </c>
      <c r="H24" s="6">
        <v>9.92</v>
      </c>
      <c r="I24" s="6">
        <v>14.54</v>
      </c>
      <c r="J24" s="6">
        <v>40.119999999999997</v>
      </c>
      <c r="K24" s="6">
        <v>0.85</v>
      </c>
      <c r="L24" s="6">
        <v>0.24</v>
      </c>
      <c r="M24" s="6">
        <v>27.47</v>
      </c>
      <c r="N24" s="6">
        <v>1.53</v>
      </c>
      <c r="O24" s="12" t="str">
        <f t="shared" ref="O24:O55" si="0">IF(NOT(ISERR(SEARCH("*_Buggy",$A24))), "Buggy", IF(NOT(ISERR(SEARCH("*_Fixed",$A24))), "Fixed", IF(NOT(ISERR(SEARCH("*_Repaired",$A24))), "Repaired", "")))</f>
        <v>Buggy</v>
      </c>
      <c r="P24" s="12"/>
      <c r="Q24" s="12"/>
      <c r="R24" s="12"/>
      <c r="S24" s="12"/>
    </row>
    <row r="25" spans="1:19" x14ac:dyDescent="0.35">
      <c r="A25" s="7" t="s">
        <v>34</v>
      </c>
      <c r="B25" s="8">
        <v>2.31</v>
      </c>
      <c r="C25" s="8">
        <v>78.69</v>
      </c>
      <c r="D25" s="8">
        <v>8.15</v>
      </c>
      <c r="E25" s="8">
        <v>6.85</v>
      </c>
      <c r="F25" s="8">
        <v>6.38</v>
      </c>
      <c r="G25" s="8">
        <v>3.08</v>
      </c>
      <c r="H25" s="8">
        <v>9.92</v>
      </c>
      <c r="I25" s="8">
        <v>14.54</v>
      </c>
      <c r="J25" s="8">
        <v>40.119999999999997</v>
      </c>
      <c r="K25" s="8">
        <v>0.85</v>
      </c>
      <c r="L25" s="8">
        <v>0.24</v>
      </c>
      <c r="M25" s="8">
        <v>27.47</v>
      </c>
      <c r="N25" s="8">
        <v>1.53</v>
      </c>
      <c r="O25" s="12" t="str">
        <f t="shared" si="0"/>
        <v>Buggy</v>
      </c>
      <c r="P25" s="12"/>
      <c r="Q25" s="12"/>
      <c r="R25" s="12"/>
      <c r="S25" s="12"/>
    </row>
    <row r="26" spans="1:19" x14ac:dyDescent="0.35">
      <c r="A26" s="7" t="s">
        <v>96</v>
      </c>
      <c r="B26" s="8">
        <v>4.58</v>
      </c>
      <c r="C26" s="8">
        <v>72.25</v>
      </c>
      <c r="D26" s="8">
        <v>16.25</v>
      </c>
      <c r="E26" s="8">
        <v>6.73</v>
      </c>
      <c r="F26" s="8">
        <v>15.13</v>
      </c>
      <c r="G26" s="8">
        <v>4.63</v>
      </c>
      <c r="H26" s="8">
        <v>11.37</v>
      </c>
      <c r="I26" s="8">
        <v>31.38</v>
      </c>
      <c r="J26" s="8">
        <v>56.97</v>
      </c>
      <c r="K26" s="8">
        <v>0.57999999999999996</v>
      </c>
      <c r="L26" s="8">
        <v>1.4999999999999999E-2</v>
      </c>
      <c r="M26" s="8">
        <v>13.41</v>
      </c>
      <c r="N26" s="8">
        <v>0.75</v>
      </c>
      <c r="O26" s="12" t="str">
        <f t="shared" si="0"/>
        <v>Buggy</v>
      </c>
      <c r="P26" s="12"/>
      <c r="Q26" s="12"/>
      <c r="R26" s="12"/>
      <c r="S26" s="12"/>
    </row>
    <row r="27" spans="1:19" x14ac:dyDescent="0.35">
      <c r="A27" s="5" t="s">
        <v>51</v>
      </c>
      <c r="B27" s="6">
        <v>2.31</v>
      </c>
      <c r="C27" s="6">
        <v>78.69</v>
      </c>
      <c r="D27" s="6">
        <v>8.15</v>
      </c>
      <c r="E27" s="6">
        <v>6.85</v>
      </c>
      <c r="F27" s="6">
        <v>6.38</v>
      </c>
      <c r="G27" s="6">
        <v>3.08</v>
      </c>
      <c r="H27" s="6">
        <v>9.92</v>
      </c>
      <c r="I27" s="6">
        <v>14.54</v>
      </c>
      <c r="J27" s="6">
        <v>40.119999999999997</v>
      </c>
      <c r="K27" s="6">
        <v>0.85</v>
      </c>
      <c r="L27" s="6">
        <v>0.24</v>
      </c>
      <c r="M27" s="6">
        <v>27.47</v>
      </c>
      <c r="N27" s="6">
        <v>1.53</v>
      </c>
      <c r="O27" s="12" t="str">
        <f t="shared" si="0"/>
        <v>Buggy</v>
      </c>
      <c r="P27" s="12"/>
      <c r="Q27" s="12"/>
      <c r="R27" s="12"/>
      <c r="S27" s="12"/>
    </row>
    <row r="28" spans="1:19" x14ac:dyDescent="0.35">
      <c r="A28" s="7" t="s">
        <v>42</v>
      </c>
      <c r="B28" s="8">
        <v>1.5</v>
      </c>
      <c r="C28" s="8">
        <v>91.33</v>
      </c>
      <c r="D28" s="8">
        <v>3.5</v>
      </c>
      <c r="E28" s="8">
        <v>2.17</v>
      </c>
      <c r="F28" s="8">
        <v>2</v>
      </c>
      <c r="G28" s="8">
        <v>1</v>
      </c>
      <c r="H28" s="8">
        <v>3.17</v>
      </c>
      <c r="I28" s="8">
        <v>5.5</v>
      </c>
      <c r="J28" s="8">
        <v>8.91</v>
      </c>
      <c r="K28" s="8">
        <v>0.17</v>
      </c>
      <c r="L28" s="8">
        <v>0.17</v>
      </c>
      <c r="M28" s="8">
        <v>1</v>
      </c>
      <c r="N28" s="8">
        <v>5.6000000000000001E-2</v>
      </c>
      <c r="O28" s="12" t="str">
        <f t="shared" si="0"/>
        <v>Buggy</v>
      </c>
      <c r="P28" s="12"/>
      <c r="Q28" s="12"/>
      <c r="R28" s="12"/>
      <c r="S28" s="12"/>
    </row>
    <row r="29" spans="1:19" x14ac:dyDescent="0.35">
      <c r="A29" s="5" t="s">
        <v>105</v>
      </c>
      <c r="B29" s="6">
        <v>1.5</v>
      </c>
      <c r="C29" s="6">
        <v>91.33</v>
      </c>
      <c r="D29" s="6">
        <v>3.5</v>
      </c>
      <c r="E29" s="6">
        <v>2.17</v>
      </c>
      <c r="F29" s="6">
        <v>2</v>
      </c>
      <c r="G29" s="6">
        <v>1</v>
      </c>
      <c r="H29" s="6">
        <v>3.17</v>
      </c>
      <c r="I29" s="6">
        <v>5.5</v>
      </c>
      <c r="J29" s="6">
        <v>8.91</v>
      </c>
      <c r="K29" s="6">
        <v>0.17</v>
      </c>
      <c r="L29" s="6">
        <v>0.17</v>
      </c>
      <c r="M29" s="6">
        <v>1</v>
      </c>
      <c r="N29" s="6">
        <v>5.6000000000000001E-2</v>
      </c>
      <c r="O29" s="12" t="str">
        <f t="shared" si="0"/>
        <v>Buggy</v>
      </c>
      <c r="P29" s="12"/>
      <c r="Q29" s="12"/>
      <c r="R29" s="12"/>
      <c r="S29" s="12"/>
    </row>
    <row r="30" spans="1:19" x14ac:dyDescent="0.35">
      <c r="A30" s="5" t="s">
        <v>79</v>
      </c>
      <c r="B30" s="6">
        <v>1</v>
      </c>
      <c r="C30" s="6">
        <v>92</v>
      </c>
      <c r="D30" s="6">
        <v>5</v>
      </c>
      <c r="E30" s="6">
        <v>4</v>
      </c>
      <c r="F30" s="6">
        <v>3</v>
      </c>
      <c r="G30" s="6">
        <v>1</v>
      </c>
      <c r="H30" s="6">
        <v>5</v>
      </c>
      <c r="I30" s="6">
        <v>8</v>
      </c>
      <c r="J30" s="6">
        <v>15</v>
      </c>
      <c r="K30" s="6">
        <v>0</v>
      </c>
      <c r="L30" s="6">
        <v>0</v>
      </c>
      <c r="M30" s="6">
        <v>0</v>
      </c>
      <c r="N30" s="6">
        <v>0</v>
      </c>
      <c r="O30" s="12" t="str">
        <f t="shared" si="0"/>
        <v>Buggy</v>
      </c>
      <c r="P30" s="12"/>
      <c r="Q30" s="12"/>
      <c r="R30" s="12"/>
      <c r="S30" s="12"/>
    </row>
    <row r="31" spans="1:19" x14ac:dyDescent="0.35">
      <c r="A31" s="7" t="s">
        <v>64</v>
      </c>
      <c r="B31" s="8">
        <v>1</v>
      </c>
      <c r="C31" s="8">
        <v>92</v>
      </c>
      <c r="D31" s="8">
        <v>5</v>
      </c>
      <c r="E31" s="8">
        <v>4</v>
      </c>
      <c r="F31" s="8">
        <v>3</v>
      </c>
      <c r="G31" s="8">
        <v>1</v>
      </c>
      <c r="H31" s="8">
        <v>5</v>
      </c>
      <c r="I31" s="8">
        <v>8</v>
      </c>
      <c r="J31" s="8">
        <v>15</v>
      </c>
      <c r="K31" s="8">
        <v>0</v>
      </c>
      <c r="L31" s="8">
        <v>0</v>
      </c>
      <c r="M31" s="8">
        <v>0</v>
      </c>
      <c r="N31" s="8">
        <v>0</v>
      </c>
      <c r="O31" s="12" t="str">
        <f t="shared" si="0"/>
        <v>Buggy</v>
      </c>
      <c r="P31" s="12"/>
      <c r="Q31" s="12"/>
      <c r="R31" s="12"/>
      <c r="S31" s="12"/>
    </row>
    <row r="32" spans="1:19" x14ac:dyDescent="0.35">
      <c r="A32" s="5" t="s">
        <v>73</v>
      </c>
      <c r="B32" s="6">
        <v>1</v>
      </c>
      <c r="C32" s="6">
        <v>92</v>
      </c>
      <c r="D32" s="6">
        <v>5</v>
      </c>
      <c r="E32" s="6">
        <v>4</v>
      </c>
      <c r="F32" s="6">
        <v>3</v>
      </c>
      <c r="G32" s="6">
        <v>1</v>
      </c>
      <c r="H32" s="6">
        <v>5</v>
      </c>
      <c r="I32" s="6">
        <v>8</v>
      </c>
      <c r="J32" s="6">
        <v>15</v>
      </c>
      <c r="K32" s="6">
        <v>0</v>
      </c>
      <c r="L32" s="6">
        <v>0</v>
      </c>
      <c r="M32" s="6">
        <v>0</v>
      </c>
      <c r="N32" s="6">
        <v>0</v>
      </c>
      <c r="O32" s="12" t="str">
        <f t="shared" si="0"/>
        <v>Buggy</v>
      </c>
      <c r="P32" s="12"/>
      <c r="Q32" s="12"/>
      <c r="R32" s="12"/>
      <c r="S32" s="12"/>
    </row>
    <row r="33" spans="1:19" x14ac:dyDescent="0.35">
      <c r="A33" s="7" t="s">
        <v>146</v>
      </c>
      <c r="B33" s="8">
        <v>1</v>
      </c>
      <c r="C33" s="8">
        <v>92</v>
      </c>
      <c r="D33" s="8">
        <v>5</v>
      </c>
      <c r="E33" s="8">
        <v>4</v>
      </c>
      <c r="F33" s="8">
        <v>3</v>
      </c>
      <c r="G33" s="8">
        <v>1</v>
      </c>
      <c r="H33" s="8">
        <v>5</v>
      </c>
      <c r="I33" s="8">
        <v>8</v>
      </c>
      <c r="J33" s="8">
        <v>15</v>
      </c>
      <c r="K33" s="8">
        <v>0</v>
      </c>
      <c r="L33" s="8">
        <v>0</v>
      </c>
      <c r="M33" s="8">
        <v>0</v>
      </c>
      <c r="N33" s="8">
        <v>0</v>
      </c>
      <c r="O33" s="12" t="str">
        <f t="shared" si="0"/>
        <v>Buggy</v>
      </c>
      <c r="P33" s="12"/>
      <c r="Q33" s="12"/>
      <c r="R33" s="12"/>
      <c r="S33" s="12"/>
    </row>
    <row r="34" spans="1:19" x14ac:dyDescent="0.35">
      <c r="A34" s="7" t="s">
        <v>68</v>
      </c>
      <c r="B34" s="8">
        <v>1</v>
      </c>
      <c r="C34" s="8">
        <v>92</v>
      </c>
      <c r="D34" s="8">
        <v>5</v>
      </c>
      <c r="E34" s="8">
        <v>4</v>
      </c>
      <c r="F34" s="8">
        <v>3</v>
      </c>
      <c r="G34" s="8">
        <v>1</v>
      </c>
      <c r="H34" s="8">
        <v>5</v>
      </c>
      <c r="I34" s="8">
        <v>8</v>
      </c>
      <c r="J34" s="8">
        <v>15</v>
      </c>
      <c r="K34" s="8">
        <v>0</v>
      </c>
      <c r="L34" s="8">
        <v>0</v>
      </c>
      <c r="M34" s="8">
        <v>0</v>
      </c>
      <c r="N34" s="8">
        <v>0</v>
      </c>
      <c r="O34" s="12" t="str">
        <f t="shared" si="0"/>
        <v>Buggy</v>
      </c>
      <c r="P34" s="12"/>
      <c r="Q34" s="12"/>
      <c r="R34" s="12"/>
      <c r="S34" s="12"/>
    </row>
    <row r="35" spans="1:19" x14ac:dyDescent="0.35">
      <c r="A35" s="7" t="s">
        <v>56</v>
      </c>
      <c r="B35" s="8">
        <v>2.62</v>
      </c>
      <c r="C35" s="8">
        <v>79.849999999999994</v>
      </c>
      <c r="D35" s="8">
        <v>10.31</v>
      </c>
      <c r="E35" s="8">
        <v>5.54</v>
      </c>
      <c r="F35" s="8">
        <v>8.69</v>
      </c>
      <c r="G35" s="8">
        <v>3.31</v>
      </c>
      <c r="H35" s="8">
        <v>8.85</v>
      </c>
      <c r="I35" s="8">
        <v>19</v>
      </c>
      <c r="J35" s="8">
        <v>37.72</v>
      </c>
      <c r="K35" s="8">
        <v>0</v>
      </c>
      <c r="L35" s="8">
        <v>0</v>
      </c>
      <c r="M35" s="8">
        <v>0</v>
      </c>
      <c r="N35" s="8">
        <v>0</v>
      </c>
      <c r="O35" s="12" t="str">
        <f t="shared" si="0"/>
        <v>Buggy</v>
      </c>
      <c r="P35" s="12"/>
      <c r="Q35" s="12"/>
      <c r="R35" s="12"/>
      <c r="S35" s="12"/>
    </row>
    <row r="36" spans="1:19" x14ac:dyDescent="0.35">
      <c r="A36" s="7" t="s">
        <v>84</v>
      </c>
      <c r="B36" s="8">
        <v>2.62</v>
      </c>
      <c r="C36" s="8">
        <v>79.849999999999994</v>
      </c>
      <c r="D36" s="8">
        <v>10.31</v>
      </c>
      <c r="E36" s="8">
        <v>5.54</v>
      </c>
      <c r="F36" s="8">
        <v>8.69</v>
      </c>
      <c r="G36" s="8">
        <v>3.31</v>
      </c>
      <c r="H36" s="8">
        <v>8.85</v>
      </c>
      <c r="I36" s="8">
        <v>19</v>
      </c>
      <c r="J36" s="8">
        <v>37.72</v>
      </c>
      <c r="K36" s="8">
        <v>0</v>
      </c>
      <c r="L36" s="8">
        <v>0</v>
      </c>
      <c r="M36" s="8">
        <v>0</v>
      </c>
      <c r="N36" s="8">
        <v>0</v>
      </c>
      <c r="O36" s="12" t="str">
        <f t="shared" si="0"/>
        <v>Buggy</v>
      </c>
      <c r="P36" s="12"/>
      <c r="Q36" s="12"/>
      <c r="R36" s="12"/>
      <c r="S36" s="12"/>
    </row>
    <row r="37" spans="1:19" x14ac:dyDescent="0.35">
      <c r="A37" s="7" t="s">
        <v>52</v>
      </c>
      <c r="B37" s="8">
        <v>2.62</v>
      </c>
      <c r="C37" s="8">
        <v>79.849999999999994</v>
      </c>
      <c r="D37" s="8">
        <v>10.31</v>
      </c>
      <c r="E37" s="8">
        <v>5.54</v>
      </c>
      <c r="F37" s="8">
        <v>8.69</v>
      </c>
      <c r="G37" s="8">
        <v>3.31</v>
      </c>
      <c r="H37" s="8">
        <v>8.85</v>
      </c>
      <c r="I37" s="8">
        <v>19</v>
      </c>
      <c r="J37" s="8">
        <v>37.72</v>
      </c>
      <c r="K37" s="8">
        <v>0</v>
      </c>
      <c r="L37" s="8">
        <v>0</v>
      </c>
      <c r="M37" s="8">
        <v>0</v>
      </c>
      <c r="N37" s="8">
        <v>0</v>
      </c>
      <c r="O37" s="12" t="str">
        <f t="shared" si="0"/>
        <v>Buggy</v>
      </c>
      <c r="P37" s="12"/>
      <c r="Q37" s="12"/>
      <c r="R37" s="12"/>
      <c r="S37" s="12"/>
    </row>
    <row r="38" spans="1:19" x14ac:dyDescent="0.35">
      <c r="A38" s="7" t="s">
        <v>122</v>
      </c>
      <c r="B38" s="8">
        <v>2.62</v>
      </c>
      <c r="C38" s="8">
        <v>79.849999999999994</v>
      </c>
      <c r="D38" s="8">
        <v>10.31</v>
      </c>
      <c r="E38" s="8">
        <v>5.54</v>
      </c>
      <c r="F38" s="8">
        <v>8.69</v>
      </c>
      <c r="G38" s="8">
        <v>3.31</v>
      </c>
      <c r="H38" s="8">
        <v>8.85</v>
      </c>
      <c r="I38" s="8">
        <v>19</v>
      </c>
      <c r="J38" s="8">
        <v>37.72</v>
      </c>
      <c r="K38" s="8">
        <v>0</v>
      </c>
      <c r="L38" s="8">
        <v>0</v>
      </c>
      <c r="M38" s="8">
        <v>0</v>
      </c>
      <c r="N38" s="8">
        <v>0</v>
      </c>
      <c r="O38" s="12" t="str">
        <f t="shared" si="0"/>
        <v>Buggy</v>
      </c>
      <c r="P38" s="12"/>
      <c r="Q38" s="12"/>
      <c r="R38" s="12"/>
      <c r="S38" s="12"/>
    </row>
    <row r="39" spans="1:19" x14ac:dyDescent="0.35">
      <c r="A39" s="7" t="s">
        <v>148</v>
      </c>
      <c r="B39" s="8">
        <v>2.62</v>
      </c>
      <c r="C39" s="8">
        <v>79.849999999999994</v>
      </c>
      <c r="D39" s="8">
        <v>10.31</v>
      </c>
      <c r="E39" s="8">
        <v>5.54</v>
      </c>
      <c r="F39" s="8">
        <v>8.69</v>
      </c>
      <c r="G39" s="8">
        <v>3.31</v>
      </c>
      <c r="H39" s="8">
        <v>8.85</v>
      </c>
      <c r="I39" s="8">
        <v>19</v>
      </c>
      <c r="J39" s="8">
        <v>37.72</v>
      </c>
      <c r="K39" s="8">
        <v>0</v>
      </c>
      <c r="L39" s="8">
        <v>0</v>
      </c>
      <c r="M39" s="8">
        <v>0</v>
      </c>
      <c r="N39" s="8">
        <v>0</v>
      </c>
      <c r="O39" s="12" t="str">
        <f t="shared" si="0"/>
        <v>Buggy</v>
      </c>
      <c r="P39" s="12"/>
      <c r="Q39" s="12"/>
      <c r="R39" s="12"/>
      <c r="S39" s="12"/>
    </row>
    <row r="40" spans="1:19" x14ac:dyDescent="0.35">
      <c r="A40" s="5" t="s">
        <v>97</v>
      </c>
      <c r="B40" s="6">
        <v>1</v>
      </c>
      <c r="C40" s="6">
        <v>74.569999999999993</v>
      </c>
      <c r="D40" s="6">
        <v>11</v>
      </c>
      <c r="E40" s="6">
        <v>9.86</v>
      </c>
      <c r="F40" s="6">
        <v>6.86</v>
      </c>
      <c r="G40" s="6">
        <v>2</v>
      </c>
      <c r="H40" s="6">
        <v>11.86</v>
      </c>
      <c r="I40" s="6">
        <v>17.86</v>
      </c>
      <c r="J40" s="6">
        <v>52.87</v>
      </c>
      <c r="K40" s="6">
        <v>2</v>
      </c>
      <c r="L40" s="6">
        <v>0.05</v>
      </c>
      <c r="M40" s="6">
        <v>30.41</v>
      </c>
      <c r="N40" s="6">
        <v>1.69</v>
      </c>
      <c r="O40" s="12" t="str">
        <f t="shared" si="0"/>
        <v>Buggy</v>
      </c>
      <c r="P40" s="12"/>
      <c r="Q40" s="12"/>
      <c r="R40" s="12"/>
      <c r="S40" s="12"/>
    </row>
    <row r="41" spans="1:19" x14ac:dyDescent="0.35">
      <c r="A41" s="7" t="s">
        <v>136</v>
      </c>
      <c r="B41" s="8">
        <v>1</v>
      </c>
      <c r="C41" s="8">
        <v>74.569999999999993</v>
      </c>
      <c r="D41" s="8">
        <v>11</v>
      </c>
      <c r="E41" s="8">
        <v>9.86</v>
      </c>
      <c r="F41" s="8">
        <v>6.86</v>
      </c>
      <c r="G41" s="8">
        <v>2</v>
      </c>
      <c r="H41" s="8">
        <v>11.86</v>
      </c>
      <c r="I41" s="8">
        <v>17.86</v>
      </c>
      <c r="J41" s="8">
        <v>52.87</v>
      </c>
      <c r="K41" s="8">
        <v>2</v>
      </c>
      <c r="L41" s="8">
        <v>0.05</v>
      </c>
      <c r="M41" s="8">
        <v>30.41</v>
      </c>
      <c r="N41" s="8">
        <v>1.69</v>
      </c>
      <c r="O41" s="12" t="str">
        <f t="shared" si="0"/>
        <v>Buggy</v>
      </c>
      <c r="P41" s="12"/>
      <c r="Q41" s="12"/>
      <c r="R41" s="12"/>
      <c r="S41" s="12"/>
    </row>
    <row r="42" spans="1:19" x14ac:dyDescent="0.35">
      <c r="A42" s="5" t="s">
        <v>147</v>
      </c>
      <c r="B42" s="6">
        <v>1</v>
      </c>
      <c r="C42" s="6">
        <v>74.569999999999993</v>
      </c>
      <c r="D42" s="6">
        <v>11</v>
      </c>
      <c r="E42" s="6">
        <v>9.86</v>
      </c>
      <c r="F42" s="6">
        <v>6.86</v>
      </c>
      <c r="G42" s="6">
        <v>2</v>
      </c>
      <c r="H42" s="6">
        <v>11.86</v>
      </c>
      <c r="I42" s="6">
        <v>17.86</v>
      </c>
      <c r="J42" s="6">
        <v>52.87</v>
      </c>
      <c r="K42" s="6">
        <v>2</v>
      </c>
      <c r="L42" s="6">
        <v>0.05</v>
      </c>
      <c r="M42" s="6">
        <v>30.41</v>
      </c>
      <c r="N42" s="6">
        <v>1.69</v>
      </c>
      <c r="O42" s="12" t="str">
        <f t="shared" si="0"/>
        <v>Buggy</v>
      </c>
      <c r="P42" s="12"/>
      <c r="Q42" s="12"/>
      <c r="R42" s="12"/>
      <c r="S42" s="12"/>
    </row>
    <row r="43" spans="1:19" x14ac:dyDescent="0.35">
      <c r="A43" s="7" t="s">
        <v>140</v>
      </c>
      <c r="B43" s="8">
        <v>1</v>
      </c>
      <c r="C43" s="8">
        <v>74.569999999999993</v>
      </c>
      <c r="D43" s="8">
        <v>11</v>
      </c>
      <c r="E43" s="8">
        <v>9.86</v>
      </c>
      <c r="F43" s="8">
        <v>6.86</v>
      </c>
      <c r="G43" s="8">
        <v>2</v>
      </c>
      <c r="H43" s="8">
        <v>11.86</v>
      </c>
      <c r="I43" s="8">
        <v>17.86</v>
      </c>
      <c r="J43" s="8">
        <v>52.87</v>
      </c>
      <c r="K43" s="8">
        <v>2</v>
      </c>
      <c r="L43" s="8">
        <v>0.05</v>
      </c>
      <c r="M43" s="8">
        <v>30.41</v>
      </c>
      <c r="N43" s="8">
        <v>1.69</v>
      </c>
      <c r="O43" s="12" t="str">
        <f t="shared" si="0"/>
        <v>Buggy</v>
      </c>
      <c r="P43" s="12"/>
      <c r="Q43" s="12"/>
      <c r="R43" s="12"/>
      <c r="S43" s="12"/>
    </row>
    <row r="44" spans="1:19" x14ac:dyDescent="0.35">
      <c r="A44" s="5" t="s">
        <v>103</v>
      </c>
      <c r="B44" s="6">
        <v>1</v>
      </c>
      <c r="C44" s="6">
        <v>74.569999999999993</v>
      </c>
      <c r="D44" s="6">
        <v>11</v>
      </c>
      <c r="E44" s="6">
        <v>9.86</v>
      </c>
      <c r="F44" s="6">
        <v>6.86</v>
      </c>
      <c r="G44" s="6">
        <v>2</v>
      </c>
      <c r="H44" s="6">
        <v>11.86</v>
      </c>
      <c r="I44" s="6">
        <v>17.86</v>
      </c>
      <c r="J44" s="6">
        <v>52.87</v>
      </c>
      <c r="K44" s="6">
        <v>2</v>
      </c>
      <c r="L44" s="6">
        <v>0.05</v>
      </c>
      <c r="M44" s="6">
        <v>30.41</v>
      </c>
      <c r="N44" s="6">
        <v>1.69</v>
      </c>
      <c r="O44" s="12" t="str">
        <f t="shared" si="0"/>
        <v>Buggy</v>
      </c>
      <c r="P44" s="12"/>
      <c r="Q44" s="12"/>
      <c r="R44" s="12"/>
      <c r="S44" s="12"/>
    </row>
    <row r="45" spans="1:19" x14ac:dyDescent="0.35">
      <c r="A45" s="7" t="s">
        <v>100</v>
      </c>
      <c r="B45" s="8">
        <v>5.75</v>
      </c>
      <c r="C45" s="8">
        <v>68.5</v>
      </c>
      <c r="D45" s="8">
        <v>22.25</v>
      </c>
      <c r="E45" s="8">
        <v>7.62</v>
      </c>
      <c r="F45" s="8">
        <v>21.62</v>
      </c>
      <c r="G45" s="8">
        <v>4.38</v>
      </c>
      <c r="H45" s="8">
        <v>12</v>
      </c>
      <c r="I45" s="8">
        <v>43.88</v>
      </c>
      <c r="J45" s="8">
        <v>66.92</v>
      </c>
      <c r="K45" s="8">
        <v>0</v>
      </c>
      <c r="L45" s="8">
        <v>0</v>
      </c>
      <c r="M45" s="8">
        <v>0</v>
      </c>
      <c r="N45" s="8">
        <v>0</v>
      </c>
      <c r="O45" s="12" t="str">
        <f t="shared" si="0"/>
        <v>Buggy</v>
      </c>
      <c r="P45" s="12"/>
      <c r="Q45" s="12"/>
      <c r="R45" s="12"/>
      <c r="S45" s="12"/>
    </row>
    <row r="46" spans="1:19" x14ac:dyDescent="0.35">
      <c r="A46" s="5" t="s">
        <v>75</v>
      </c>
      <c r="B46" s="6">
        <v>5.75</v>
      </c>
      <c r="C46" s="6">
        <v>68.5</v>
      </c>
      <c r="D46" s="6">
        <v>22.25</v>
      </c>
      <c r="E46" s="6">
        <v>7.62</v>
      </c>
      <c r="F46" s="6">
        <v>21.62</v>
      </c>
      <c r="G46" s="6">
        <v>4.38</v>
      </c>
      <c r="H46" s="6">
        <v>12</v>
      </c>
      <c r="I46" s="6">
        <v>43.88</v>
      </c>
      <c r="J46" s="6">
        <v>66.92</v>
      </c>
      <c r="K46" s="6">
        <v>0</v>
      </c>
      <c r="L46" s="6">
        <v>0</v>
      </c>
      <c r="M46" s="6">
        <v>0</v>
      </c>
      <c r="N46" s="6">
        <v>0</v>
      </c>
      <c r="O46" s="12" t="str">
        <f t="shared" si="0"/>
        <v>Buggy</v>
      </c>
      <c r="P46" s="12"/>
      <c r="Q46" s="12"/>
      <c r="R46" s="12"/>
      <c r="S46" s="12"/>
    </row>
    <row r="47" spans="1:19" x14ac:dyDescent="0.35">
      <c r="A47" s="7" t="s">
        <v>48</v>
      </c>
      <c r="B47" s="8">
        <v>5.75</v>
      </c>
      <c r="C47" s="8">
        <v>68.5</v>
      </c>
      <c r="D47" s="8">
        <v>22.25</v>
      </c>
      <c r="E47" s="8">
        <v>7.62</v>
      </c>
      <c r="F47" s="8">
        <v>21.62</v>
      </c>
      <c r="G47" s="8">
        <v>4.38</v>
      </c>
      <c r="H47" s="8">
        <v>12</v>
      </c>
      <c r="I47" s="8">
        <v>43.88</v>
      </c>
      <c r="J47" s="8">
        <v>66.92</v>
      </c>
      <c r="K47" s="8">
        <v>0</v>
      </c>
      <c r="L47" s="8">
        <v>0</v>
      </c>
      <c r="M47" s="8">
        <v>0</v>
      </c>
      <c r="N47" s="8">
        <v>0</v>
      </c>
      <c r="O47" s="12" t="str">
        <f t="shared" si="0"/>
        <v>Buggy</v>
      </c>
      <c r="P47" s="12"/>
      <c r="Q47" s="12"/>
      <c r="R47" s="12"/>
      <c r="S47" s="12"/>
    </row>
    <row r="48" spans="1:19" x14ac:dyDescent="0.35">
      <c r="A48" s="5" t="s">
        <v>99</v>
      </c>
      <c r="B48" s="6">
        <v>5.75</v>
      </c>
      <c r="C48" s="6">
        <v>68.5</v>
      </c>
      <c r="D48" s="6">
        <v>22.25</v>
      </c>
      <c r="E48" s="6">
        <v>7.62</v>
      </c>
      <c r="F48" s="6">
        <v>21.62</v>
      </c>
      <c r="G48" s="6">
        <v>4.38</v>
      </c>
      <c r="H48" s="6">
        <v>12</v>
      </c>
      <c r="I48" s="6">
        <v>43.88</v>
      </c>
      <c r="J48" s="6">
        <v>66.92</v>
      </c>
      <c r="K48" s="6">
        <v>0</v>
      </c>
      <c r="L48" s="6">
        <v>0</v>
      </c>
      <c r="M48" s="6">
        <v>0</v>
      </c>
      <c r="N48" s="6">
        <v>0</v>
      </c>
      <c r="O48" s="12" t="str">
        <f t="shared" si="0"/>
        <v>Buggy</v>
      </c>
      <c r="P48" s="12"/>
      <c r="Q48" s="12"/>
      <c r="R48" s="12"/>
      <c r="S48" s="12"/>
    </row>
    <row r="49" spans="1:19" x14ac:dyDescent="0.35">
      <c r="A49" s="5" t="s">
        <v>57</v>
      </c>
      <c r="B49" s="6">
        <v>5.75</v>
      </c>
      <c r="C49" s="6">
        <v>68.5</v>
      </c>
      <c r="D49" s="6">
        <v>22.25</v>
      </c>
      <c r="E49" s="6">
        <v>7.62</v>
      </c>
      <c r="F49" s="6">
        <v>21.62</v>
      </c>
      <c r="G49" s="6">
        <v>4.38</v>
      </c>
      <c r="H49" s="6">
        <v>12</v>
      </c>
      <c r="I49" s="6">
        <v>43.88</v>
      </c>
      <c r="J49" s="6">
        <v>66.92</v>
      </c>
      <c r="K49" s="6">
        <v>0</v>
      </c>
      <c r="L49" s="6">
        <v>0</v>
      </c>
      <c r="M49" s="6">
        <v>0</v>
      </c>
      <c r="N49" s="6">
        <v>0</v>
      </c>
      <c r="O49" s="12" t="str">
        <f t="shared" si="0"/>
        <v>Buggy</v>
      </c>
      <c r="P49" s="12"/>
      <c r="Q49" s="12"/>
      <c r="R49" s="12"/>
      <c r="S49" s="12"/>
    </row>
    <row r="50" spans="1:19" x14ac:dyDescent="0.35">
      <c r="A50" s="7" t="s">
        <v>28</v>
      </c>
      <c r="B50" s="8">
        <v>1</v>
      </c>
      <c r="C50" s="8">
        <v>74.569999999999993</v>
      </c>
      <c r="D50" s="8">
        <v>11</v>
      </c>
      <c r="E50" s="8">
        <v>9.86</v>
      </c>
      <c r="F50" s="8">
        <v>6.86</v>
      </c>
      <c r="G50" s="8">
        <v>2</v>
      </c>
      <c r="H50" s="8">
        <v>11.86</v>
      </c>
      <c r="I50" s="8">
        <v>17.86</v>
      </c>
      <c r="J50" s="8">
        <v>52.87</v>
      </c>
      <c r="K50" s="8">
        <v>2</v>
      </c>
      <c r="L50" s="8">
        <v>0.05</v>
      </c>
      <c r="M50" s="8">
        <v>30.41</v>
      </c>
      <c r="N50" s="8">
        <v>1.69</v>
      </c>
      <c r="O50" s="12" t="str">
        <f t="shared" si="0"/>
        <v>Buggy</v>
      </c>
      <c r="P50" s="12"/>
      <c r="Q50" s="12"/>
      <c r="R50" s="12"/>
      <c r="S50" s="12"/>
    </row>
    <row r="51" spans="1:19" x14ac:dyDescent="0.35">
      <c r="A51" s="5" t="s">
        <v>91</v>
      </c>
      <c r="B51" s="6">
        <v>1</v>
      </c>
      <c r="C51" s="6">
        <v>74.569999999999993</v>
      </c>
      <c r="D51" s="6">
        <v>11</v>
      </c>
      <c r="E51" s="6">
        <v>9.86</v>
      </c>
      <c r="F51" s="6">
        <v>6.86</v>
      </c>
      <c r="G51" s="6">
        <v>2</v>
      </c>
      <c r="H51" s="6">
        <v>11.86</v>
      </c>
      <c r="I51" s="6">
        <v>17.86</v>
      </c>
      <c r="J51" s="6">
        <v>52.87</v>
      </c>
      <c r="K51" s="6">
        <v>2</v>
      </c>
      <c r="L51" s="6">
        <v>0.05</v>
      </c>
      <c r="M51" s="6">
        <v>30.41</v>
      </c>
      <c r="N51" s="6">
        <v>1.69</v>
      </c>
      <c r="O51" s="12" t="str">
        <f t="shared" si="0"/>
        <v>Buggy</v>
      </c>
      <c r="P51" s="12"/>
      <c r="Q51" s="12"/>
      <c r="R51" s="12"/>
      <c r="S51" s="12"/>
    </row>
    <row r="52" spans="1:19" x14ac:dyDescent="0.35">
      <c r="A52" s="7" t="s">
        <v>32</v>
      </c>
      <c r="B52" s="8">
        <v>1</v>
      </c>
      <c r="C52" s="8">
        <v>74.569999999999993</v>
      </c>
      <c r="D52" s="8">
        <v>11</v>
      </c>
      <c r="E52" s="8">
        <v>9.86</v>
      </c>
      <c r="F52" s="8">
        <v>6.86</v>
      </c>
      <c r="G52" s="8">
        <v>2</v>
      </c>
      <c r="H52" s="8">
        <v>11.86</v>
      </c>
      <c r="I52" s="8">
        <v>17.86</v>
      </c>
      <c r="J52" s="8">
        <v>52.87</v>
      </c>
      <c r="K52" s="8">
        <v>2</v>
      </c>
      <c r="L52" s="8">
        <v>0.05</v>
      </c>
      <c r="M52" s="8">
        <v>30.41</v>
      </c>
      <c r="N52" s="8">
        <v>1.69</v>
      </c>
      <c r="O52" s="12" t="str">
        <f t="shared" si="0"/>
        <v>Buggy</v>
      </c>
      <c r="P52" s="12"/>
      <c r="Q52" s="12"/>
      <c r="R52" s="12"/>
      <c r="S52" s="12"/>
    </row>
    <row r="53" spans="1:19" x14ac:dyDescent="0.35">
      <c r="A53" s="5" t="s">
        <v>139</v>
      </c>
      <c r="B53" s="6">
        <v>1</v>
      </c>
      <c r="C53" s="6">
        <v>74.569999999999993</v>
      </c>
      <c r="D53" s="6">
        <v>11</v>
      </c>
      <c r="E53" s="6">
        <v>9.86</v>
      </c>
      <c r="F53" s="6">
        <v>6.86</v>
      </c>
      <c r="G53" s="6">
        <v>2</v>
      </c>
      <c r="H53" s="6">
        <v>11.86</v>
      </c>
      <c r="I53" s="6">
        <v>17.86</v>
      </c>
      <c r="J53" s="6">
        <v>52.87</v>
      </c>
      <c r="K53" s="6">
        <v>2</v>
      </c>
      <c r="L53" s="6">
        <v>0.05</v>
      </c>
      <c r="M53" s="6">
        <v>30.41</v>
      </c>
      <c r="N53" s="6">
        <v>1.69</v>
      </c>
      <c r="O53" s="12" t="str">
        <f t="shared" si="0"/>
        <v>Buggy</v>
      </c>
      <c r="P53" s="12"/>
      <c r="Q53" s="12"/>
      <c r="R53" s="12"/>
      <c r="S53" s="12"/>
    </row>
    <row r="54" spans="1:19" x14ac:dyDescent="0.35">
      <c r="A54" s="5" t="s">
        <v>59</v>
      </c>
      <c r="B54" s="6">
        <v>1</v>
      </c>
      <c r="C54" s="6">
        <v>74.569999999999993</v>
      </c>
      <c r="D54" s="6">
        <v>11</v>
      </c>
      <c r="E54" s="6">
        <v>9.86</v>
      </c>
      <c r="F54" s="6">
        <v>6.86</v>
      </c>
      <c r="G54" s="6">
        <v>2</v>
      </c>
      <c r="H54" s="6">
        <v>11.86</v>
      </c>
      <c r="I54" s="6">
        <v>17.86</v>
      </c>
      <c r="J54" s="6">
        <v>52.87</v>
      </c>
      <c r="K54" s="6">
        <v>2</v>
      </c>
      <c r="L54" s="6">
        <v>0.05</v>
      </c>
      <c r="M54" s="6">
        <v>30.41</v>
      </c>
      <c r="N54" s="6">
        <v>1.69</v>
      </c>
      <c r="O54" s="12" t="str">
        <f t="shared" si="0"/>
        <v>Buggy</v>
      </c>
      <c r="P54" s="12"/>
      <c r="Q54" s="12"/>
      <c r="R54" s="12"/>
      <c r="S54" s="12"/>
    </row>
    <row r="55" spans="1:19" x14ac:dyDescent="0.35">
      <c r="A55" s="7" t="s">
        <v>108</v>
      </c>
      <c r="B55" s="8">
        <v>4.58</v>
      </c>
      <c r="C55" s="8">
        <v>72.25</v>
      </c>
      <c r="D55" s="8">
        <v>16.25</v>
      </c>
      <c r="E55" s="8">
        <v>6.73</v>
      </c>
      <c r="F55" s="8">
        <v>15.13</v>
      </c>
      <c r="G55" s="8">
        <v>4.63</v>
      </c>
      <c r="H55" s="8">
        <v>11.37</v>
      </c>
      <c r="I55" s="8">
        <v>31.38</v>
      </c>
      <c r="J55" s="8">
        <v>56.97</v>
      </c>
      <c r="K55" s="8">
        <v>0.57999999999999996</v>
      </c>
      <c r="L55" s="8">
        <v>1.4999999999999999E-2</v>
      </c>
      <c r="M55" s="8">
        <v>13.41</v>
      </c>
      <c r="N55" s="8">
        <v>0.75</v>
      </c>
      <c r="O55" s="12" t="str">
        <f t="shared" si="0"/>
        <v>Buggy</v>
      </c>
      <c r="P55" s="12"/>
      <c r="Q55" s="12"/>
      <c r="R55" s="12"/>
      <c r="S55" s="12"/>
    </row>
    <row r="56" spans="1:19" x14ac:dyDescent="0.35">
      <c r="A56" s="5" t="s">
        <v>41</v>
      </c>
      <c r="B56" s="6">
        <v>2.33</v>
      </c>
      <c r="C56" s="6">
        <v>84.67</v>
      </c>
      <c r="D56" s="6">
        <v>5.33</v>
      </c>
      <c r="E56" s="6">
        <v>4.33</v>
      </c>
      <c r="F56" s="6">
        <v>4.33</v>
      </c>
      <c r="G56" s="6">
        <v>2.33</v>
      </c>
      <c r="H56" s="6">
        <v>6.67</v>
      </c>
      <c r="I56" s="6">
        <v>9.67</v>
      </c>
      <c r="J56" s="6">
        <v>22.35</v>
      </c>
      <c r="K56" s="6">
        <v>0</v>
      </c>
      <c r="L56" s="6">
        <v>0</v>
      </c>
      <c r="M56" s="6">
        <v>0</v>
      </c>
      <c r="N56" s="6">
        <v>0</v>
      </c>
      <c r="O56" s="12" t="str">
        <f t="shared" ref="O56:O87" si="1">IF(NOT(ISERR(SEARCH("*_Buggy",$A56))), "Buggy", IF(NOT(ISERR(SEARCH("*_Fixed",$A56))), "Fixed", IF(NOT(ISERR(SEARCH("*_Repaired",$A56))), "Repaired", "")))</f>
        <v>Buggy</v>
      </c>
      <c r="P56" s="12"/>
      <c r="Q56" s="12"/>
      <c r="R56" s="12"/>
      <c r="S56" s="12"/>
    </row>
    <row r="57" spans="1:19" x14ac:dyDescent="0.35">
      <c r="A57" s="7" t="s">
        <v>124</v>
      </c>
      <c r="B57" s="8">
        <v>1</v>
      </c>
      <c r="C57" s="8">
        <v>92</v>
      </c>
      <c r="D57" s="8">
        <v>5</v>
      </c>
      <c r="E57" s="8">
        <v>4</v>
      </c>
      <c r="F57" s="8">
        <v>3</v>
      </c>
      <c r="G57" s="8">
        <v>1</v>
      </c>
      <c r="H57" s="8">
        <v>5</v>
      </c>
      <c r="I57" s="8">
        <v>8</v>
      </c>
      <c r="J57" s="8">
        <v>15</v>
      </c>
      <c r="K57" s="8">
        <v>0</v>
      </c>
      <c r="L57" s="8">
        <v>0</v>
      </c>
      <c r="M57" s="8">
        <v>0</v>
      </c>
      <c r="N57" s="8">
        <v>0</v>
      </c>
      <c r="O57" s="12" t="str">
        <f t="shared" si="1"/>
        <v>Buggy</v>
      </c>
      <c r="P57" s="12"/>
      <c r="Q57" s="12"/>
      <c r="R57" s="12"/>
      <c r="S57" s="12"/>
    </row>
    <row r="58" spans="1:19" x14ac:dyDescent="0.35">
      <c r="A58" s="5" t="s">
        <v>43</v>
      </c>
      <c r="B58" s="6">
        <v>1</v>
      </c>
      <c r="C58" s="6">
        <v>74.569999999999993</v>
      </c>
      <c r="D58" s="6">
        <v>11</v>
      </c>
      <c r="E58" s="6">
        <v>9.86</v>
      </c>
      <c r="F58" s="6">
        <v>6.86</v>
      </c>
      <c r="G58" s="6">
        <v>2</v>
      </c>
      <c r="H58" s="6">
        <v>11.86</v>
      </c>
      <c r="I58" s="6">
        <v>17.86</v>
      </c>
      <c r="J58" s="6">
        <v>52.87</v>
      </c>
      <c r="K58" s="6">
        <v>2</v>
      </c>
      <c r="L58" s="6">
        <v>0.05</v>
      </c>
      <c r="M58" s="6">
        <v>30.41</v>
      </c>
      <c r="N58" s="6">
        <v>1.69</v>
      </c>
      <c r="O58" s="12" t="str">
        <f t="shared" si="1"/>
        <v>Buggy</v>
      </c>
      <c r="P58" s="12"/>
      <c r="Q58" s="12"/>
      <c r="R58" s="12"/>
      <c r="S58" s="12"/>
    </row>
    <row r="59" spans="1:19" x14ac:dyDescent="0.35">
      <c r="A59" s="5" t="s">
        <v>85</v>
      </c>
      <c r="B59" s="6">
        <v>5.75</v>
      </c>
      <c r="C59" s="6">
        <v>68.5</v>
      </c>
      <c r="D59" s="6">
        <v>22.25</v>
      </c>
      <c r="E59" s="6">
        <v>7.62</v>
      </c>
      <c r="F59" s="6">
        <v>21.62</v>
      </c>
      <c r="G59" s="6">
        <v>4.38</v>
      </c>
      <c r="H59" s="6">
        <v>12</v>
      </c>
      <c r="I59" s="6">
        <v>43.88</v>
      </c>
      <c r="J59" s="6">
        <v>66.92</v>
      </c>
      <c r="K59" s="6">
        <v>0</v>
      </c>
      <c r="L59" s="6">
        <v>0</v>
      </c>
      <c r="M59" s="6">
        <v>0</v>
      </c>
      <c r="N59" s="6">
        <v>0</v>
      </c>
      <c r="O59" s="12" t="str">
        <f t="shared" si="1"/>
        <v>Buggy</v>
      </c>
      <c r="P59" s="12"/>
      <c r="Q59" s="12"/>
      <c r="R59" s="12"/>
      <c r="S59" s="12"/>
    </row>
    <row r="60" spans="1:19" x14ac:dyDescent="0.35">
      <c r="A60" s="7" t="s">
        <v>26</v>
      </c>
      <c r="B60" s="8">
        <v>1.49</v>
      </c>
      <c r="C60" s="8">
        <v>89.41</v>
      </c>
      <c r="D60" s="8">
        <v>5.92</v>
      </c>
      <c r="E60" s="8">
        <v>3.31</v>
      </c>
      <c r="F60" s="8">
        <v>3.69</v>
      </c>
      <c r="G60" s="8">
        <v>1.92</v>
      </c>
      <c r="H60" s="8">
        <v>5.23</v>
      </c>
      <c r="I60" s="8">
        <v>9.6199999999999992</v>
      </c>
      <c r="J60" s="8">
        <v>19.39</v>
      </c>
      <c r="K60" s="8">
        <v>0.22</v>
      </c>
      <c r="L60" s="8">
        <v>0.11</v>
      </c>
      <c r="M60" s="8">
        <v>2.4700000000000002</v>
      </c>
      <c r="N60" s="8">
        <v>0.14000000000000001</v>
      </c>
      <c r="O60" s="12" t="str">
        <f t="shared" si="1"/>
        <v>Buggy</v>
      </c>
      <c r="P60" s="12"/>
      <c r="Q60" s="12"/>
      <c r="R60" s="12"/>
      <c r="S60" s="12"/>
    </row>
    <row r="61" spans="1:19" x14ac:dyDescent="0.35">
      <c r="A61" s="7" t="s">
        <v>112</v>
      </c>
      <c r="B61" s="8">
        <v>1</v>
      </c>
      <c r="C61" s="8">
        <v>74.569999999999993</v>
      </c>
      <c r="D61" s="8">
        <v>11</v>
      </c>
      <c r="E61" s="8">
        <v>9.86</v>
      </c>
      <c r="F61" s="8">
        <v>6.86</v>
      </c>
      <c r="G61" s="8">
        <v>2</v>
      </c>
      <c r="H61" s="8">
        <v>11.86</v>
      </c>
      <c r="I61" s="8">
        <v>17.86</v>
      </c>
      <c r="J61" s="8">
        <v>52.87</v>
      </c>
      <c r="K61" s="8">
        <v>2</v>
      </c>
      <c r="L61" s="8">
        <v>0.05</v>
      </c>
      <c r="M61" s="8">
        <v>30.41</v>
      </c>
      <c r="N61" s="8">
        <v>1.69</v>
      </c>
      <c r="O61" s="12" t="str">
        <f t="shared" si="1"/>
        <v>Buggy</v>
      </c>
      <c r="P61" s="12"/>
      <c r="Q61" s="12"/>
      <c r="R61" s="12"/>
      <c r="S61" s="12"/>
    </row>
    <row r="62" spans="1:19" x14ac:dyDescent="0.35">
      <c r="A62" s="5" t="s">
        <v>61</v>
      </c>
      <c r="B62" s="6">
        <v>1</v>
      </c>
      <c r="C62" s="6">
        <v>74.569999999999993</v>
      </c>
      <c r="D62" s="6">
        <v>11</v>
      </c>
      <c r="E62" s="6">
        <v>9.86</v>
      </c>
      <c r="F62" s="6">
        <v>6.86</v>
      </c>
      <c r="G62" s="6">
        <v>2</v>
      </c>
      <c r="H62" s="6">
        <v>11.86</v>
      </c>
      <c r="I62" s="6">
        <v>17.86</v>
      </c>
      <c r="J62" s="6">
        <v>52.87</v>
      </c>
      <c r="K62" s="6">
        <v>2</v>
      </c>
      <c r="L62" s="6">
        <v>0.05</v>
      </c>
      <c r="M62" s="6">
        <v>30.41</v>
      </c>
      <c r="N62" s="6">
        <v>1.69</v>
      </c>
      <c r="O62" s="12" t="str">
        <f t="shared" si="1"/>
        <v>Buggy</v>
      </c>
      <c r="P62" s="12"/>
      <c r="Q62" s="12"/>
      <c r="R62" s="12"/>
      <c r="S62" s="12"/>
    </row>
    <row r="63" spans="1:19" x14ac:dyDescent="0.35">
      <c r="A63" s="5" t="s">
        <v>25</v>
      </c>
      <c r="B63" s="6">
        <v>1</v>
      </c>
      <c r="C63" s="6">
        <v>74.569999999999993</v>
      </c>
      <c r="D63" s="6">
        <v>11</v>
      </c>
      <c r="E63" s="6">
        <v>9.86</v>
      </c>
      <c r="F63" s="6">
        <v>6.86</v>
      </c>
      <c r="G63" s="6">
        <v>2</v>
      </c>
      <c r="H63" s="6">
        <v>11.86</v>
      </c>
      <c r="I63" s="6">
        <v>17.86</v>
      </c>
      <c r="J63" s="6">
        <v>52.87</v>
      </c>
      <c r="K63" s="6">
        <v>2</v>
      </c>
      <c r="L63" s="6">
        <v>0.05</v>
      </c>
      <c r="M63" s="6">
        <v>30.41</v>
      </c>
      <c r="N63" s="6">
        <v>1.69</v>
      </c>
      <c r="O63" s="12" t="str">
        <f t="shared" si="1"/>
        <v>Buggy</v>
      </c>
      <c r="P63" s="12"/>
      <c r="Q63" s="12"/>
      <c r="R63" s="12"/>
      <c r="S63" s="12"/>
    </row>
    <row r="64" spans="1:19" x14ac:dyDescent="0.35">
      <c r="A64" s="7" t="s">
        <v>60</v>
      </c>
      <c r="B64" s="8">
        <v>1</v>
      </c>
      <c r="C64" s="8">
        <v>74.569999999999993</v>
      </c>
      <c r="D64" s="8">
        <v>11</v>
      </c>
      <c r="E64" s="8">
        <v>9.86</v>
      </c>
      <c r="F64" s="8">
        <v>6.86</v>
      </c>
      <c r="G64" s="8">
        <v>2</v>
      </c>
      <c r="H64" s="8">
        <v>11.86</v>
      </c>
      <c r="I64" s="8">
        <v>17.86</v>
      </c>
      <c r="J64" s="8">
        <v>52.87</v>
      </c>
      <c r="K64" s="8">
        <v>2</v>
      </c>
      <c r="L64" s="8">
        <v>0.05</v>
      </c>
      <c r="M64" s="8">
        <v>30.41</v>
      </c>
      <c r="N64" s="8">
        <v>1.69</v>
      </c>
      <c r="O64" s="12" t="str">
        <f t="shared" si="1"/>
        <v>Buggy</v>
      </c>
      <c r="P64" s="12"/>
      <c r="Q64" s="12"/>
      <c r="R64" s="12"/>
      <c r="S64" s="12"/>
    </row>
    <row r="65" spans="1:19" ht="15" thickBot="1" x14ac:dyDescent="0.4">
      <c r="A65" s="21" t="s">
        <v>78</v>
      </c>
      <c r="B65" s="22">
        <v>1</v>
      </c>
      <c r="C65" s="22">
        <v>74.569999999999993</v>
      </c>
      <c r="D65" s="22">
        <v>11</v>
      </c>
      <c r="E65" s="22">
        <v>9.86</v>
      </c>
      <c r="F65" s="22">
        <v>6.86</v>
      </c>
      <c r="G65" s="22">
        <v>2</v>
      </c>
      <c r="H65" s="22">
        <v>11.86</v>
      </c>
      <c r="I65" s="22">
        <v>17.86</v>
      </c>
      <c r="J65" s="22">
        <v>52.87</v>
      </c>
      <c r="K65" s="22">
        <v>2</v>
      </c>
      <c r="L65" s="22">
        <v>0.05</v>
      </c>
      <c r="M65" s="22">
        <v>30.41</v>
      </c>
      <c r="N65" s="22">
        <v>1.69</v>
      </c>
      <c r="O65" s="20" t="str">
        <f t="shared" si="1"/>
        <v>Buggy</v>
      </c>
      <c r="P65" s="20"/>
      <c r="Q65" s="20"/>
      <c r="R65" s="20"/>
      <c r="S65" s="20"/>
    </row>
    <row r="66" spans="1:19" x14ac:dyDescent="0.35">
      <c r="A66" s="15" t="s">
        <v>45</v>
      </c>
      <c r="B66" s="16">
        <v>2.31</v>
      </c>
      <c r="C66" s="16">
        <v>78.69</v>
      </c>
      <c r="D66" s="16">
        <v>8.15</v>
      </c>
      <c r="E66" s="16">
        <v>6.85</v>
      </c>
      <c r="F66" s="16">
        <v>6.38</v>
      </c>
      <c r="G66" s="16">
        <v>3.08</v>
      </c>
      <c r="H66" s="16">
        <v>9.92</v>
      </c>
      <c r="I66" s="16">
        <v>14.54</v>
      </c>
      <c r="J66" s="16">
        <v>40.119999999999997</v>
      </c>
      <c r="K66" s="16">
        <v>0.85</v>
      </c>
      <c r="L66" s="16">
        <v>0.24</v>
      </c>
      <c r="M66" s="16">
        <v>27.47</v>
      </c>
      <c r="N66" s="16">
        <v>1.53</v>
      </c>
      <c r="O66" s="17" t="str">
        <f t="shared" si="1"/>
        <v>Fixed</v>
      </c>
      <c r="P66" s="12">
        <v>0</v>
      </c>
      <c r="Q66" s="12">
        <v>0</v>
      </c>
      <c r="R66" s="12">
        <v>0</v>
      </c>
      <c r="S66" s="6">
        <v>0</v>
      </c>
    </row>
    <row r="67" spans="1:19" x14ac:dyDescent="0.35">
      <c r="A67" s="5" t="s">
        <v>137</v>
      </c>
      <c r="B67" s="6">
        <v>2.31</v>
      </c>
      <c r="C67" s="6">
        <v>78.69</v>
      </c>
      <c r="D67" s="6">
        <v>8.15</v>
      </c>
      <c r="E67" s="6">
        <v>6.85</v>
      </c>
      <c r="F67" s="6">
        <v>6.38</v>
      </c>
      <c r="G67" s="6">
        <v>3.08</v>
      </c>
      <c r="H67" s="6">
        <v>9.92</v>
      </c>
      <c r="I67" s="6">
        <v>14.54</v>
      </c>
      <c r="J67" s="6">
        <v>40.119999999999997</v>
      </c>
      <c r="K67" s="6">
        <v>0.85</v>
      </c>
      <c r="L67" s="6">
        <v>0.24</v>
      </c>
      <c r="M67" s="6">
        <v>27.47</v>
      </c>
      <c r="N67" s="6">
        <v>1.53</v>
      </c>
      <c r="O67" s="12" t="str">
        <f t="shared" si="1"/>
        <v>Fixed</v>
      </c>
      <c r="P67" s="12">
        <v>0</v>
      </c>
      <c r="Q67" s="12">
        <v>0</v>
      </c>
      <c r="R67" s="12">
        <v>0</v>
      </c>
      <c r="S67" s="6">
        <v>0</v>
      </c>
    </row>
    <row r="68" spans="1:19" x14ac:dyDescent="0.35">
      <c r="A68" s="7" t="s">
        <v>80</v>
      </c>
      <c r="B68" s="8">
        <v>4.5999999999999996</v>
      </c>
      <c r="C68" s="8">
        <v>72</v>
      </c>
      <c r="D68" s="8">
        <v>16.420000000000002</v>
      </c>
      <c r="E68" s="8">
        <v>6.79</v>
      </c>
      <c r="F68" s="8">
        <v>15.15</v>
      </c>
      <c r="G68" s="8">
        <v>4.62</v>
      </c>
      <c r="H68" s="8">
        <v>11.42</v>
      </c>
      <c r="I68" s="8">
        <v>31.57</v>
      </c>
      <c r="J68" s="8">
        <v>57.34</v>
      </c>
      <c r="K68" s="8">
        <v>0.56999999999999995</v>
      </c>
      <c r="L68" s="8">
        <v>1.4999999999999999E-2</v>
      </c>
      <c r="M68" s="8">
        <v>13.16</v>
      </c>
      <c r="N68" s="8">
        <v>0.73</v>
      </c>
      <c r="O68" s="12" t="str">
        <f t="shared" si="1"/>
        <v>Fixed</v>
      </c>
      <c r="P68" s="12">
        <v>2</v>
      </c>
      <c r="Q68" s="12">
        <v>24</v>
      </c>
      <c r="R68" s="12">
        <v>0</v>
      </c>
      <c r="S68" s="6">
        <v>24</v>
      </c>
    </row>
    <row r="69" spans="1:19" x14ac:dyDescent="0.35">
      <c r="A69" s="5" t="s">
        <v>109</v>
      </c>
      <c r="B69" s="6">
        <v>2.31</v>
      </c>
      <c r="C69" s="6">
        <v>78.69</v>
      </c>
      <c r="D69" s="6">
        <v>8.15</v>
      </c>
      <c r="E69" s="6">
        <v>6.85</v>
      </c>
      <c r="F69" s="6">
        <v>6.38</v>
      </c>
      <c r="G69" s="6">
        <v>3.08</v>
      </c>
      <c r="H69" s="6">
        <v>9.92</v>
      </c>
      <c r="I69" s="6">
        <v>14.54</v>
      </c>
      <c r="J69" s="6">
        <v>40.119999999999997</v>
      </c>
      <c r="K69" s="6">
        <v>0.85</v>
      </c>
      <c r="L69" s="6">
        <v>0.24</v>
      </c>
      <c r="M69" s="6">
        <v>27.47</v>
      </c>
      <c r="N69" s="6">
        <v>1.53</v>
      </c>
      <c r="O69" s="12" t="str">
        <f t="shared" si="1"/>
        <v>Fixed</v>
      </c>
      <c r="P69" s="12">
        <v>0</v>
      </c>
      <c r="Q69" s="12">
        <v>0</v>
      </c>
      <c r="R69" s="12">
        <v>0</v>
      </c>
      <c r="S69" s="6">
        <v>0</v>
      </c>
    </row>
    <row r="70" spans="1:19" x14ac:dyDescent="0.35">
      <c r="A70" s="5" t="s">
        <v>67</v>
      </c>
      <c r="B70" s="6">
        <v>1.5</v>
      </c>
      <c r="C70" s="6">
        <v>91.33</v>
      </c>
      <c r="D70" s="6">
        <v>3.5</v>
      </c>
      <c r="E70" s="6">
        <v>2.17</v>
      </c>
      <c r="F70" s="6">
        <v>2</v>
      </c>
      <c r="G70" s="6">
        <v>1</v>
      </c>
      <c r="H70" s="6">
        <v>3.17</v>
      </c>
      <c r="I70" s="6">
        <v>5.5</v>
      </c>
      <c r="J70" s="6">
        <v>8.91</v>
      </c>
      <c r="K70" s="6">
        <v>0.17</v>
      </c>
      <c r="L70" s="6">
        <v>0.17</v>
      </c>
      <c r="M70" s="6">
        <v>1</v>
      </c>
      <c r="N70" s="6">
        <v>5.6000000000000001E-2</v>
      </c>
      <c r="O70" s="12" t="str">
        <f t="shared" si="1"/>
        <v>Fixed</v>
      </c>
      <c r="P70" s="12">
        <v>1</v>
      </c>
      <c r="Q70" s="12">
        <v>52</v>
      </c>
      <c r="R70" s="12">
        <v>52</v>
      </c>
      <c r="S70" s="6">
        <v>52</v>
      </c>
    </row>
    <row r="71" spans="1:19" x14ac:dyDescent="0.35">
      <c r="A71" s="5" t="s">
        <v>55</v>
      </c>
      <c r="B71" s="6">
        <v>1.5</v>
      </c>
      <c r="C71" s="6">
        <v>91.33</v>
      </c>
      <c r="D71" s="6">
        <v>3.5</v>
      </c>
      <c r="E71" s="6">
        <v>2.17</v>
      </c>
      <c r="F71" s="6">
        <v>2</v>
      </c>
      <c r="G71" s="6">
        <v>1</v>
      </c>
      <c r="H71" s="6">
        <v>3.17</v>
      </c>
      <c r="I71" s="6">
        <v>5.5</v>
      </c>
      <c r="J71" s="6">
        <v>8.91</v>
      </c>
      <c r="K71" s="6">
        <v>0.17</v>
      </c>
      <c r="L71" s="6">
        <v>0.17</v>
      </c>
      <c r="M71" s="6">
        <v>1</v>
      </c>
      <c r="N71" s="6">
        <v>5.6000000000000001E-2</v>
      </c>
      <c r="O71" s="12" t="str">
        <f t="shared" si="1"/>
        <v>Fixed</v>
      </c>
      <c r="P71" s="12">
        <v>1</v>
      </c>
      <c r="Q71" s="12">
        <v>52</v>
      </c>
      <c r="R71" s="12">
        <v>52</v>
      </c>
      <c r="S71" s="6">
        <v>52</v>
      </c>
    </row>
    <row r="72" spans="1:19" x14ac:dyDescent="0.35">
      <c r="A72" s="5" t="s">
        <v>111</v>
      </c>
      <c r="B72" s="6">
        <v>1</v>
      </c>
      <c r="C72" s="6">
        <v>92</v>
      </c>
      <c r="D72" s="6">
        <v>5</v>
      </c>
      <c r="E72" s="6">
        <v>4</v>
      </c>
      <c r="F72" s="6">
        <v>3</v>
      </c>
      <c r="G72" s="6">
        <v>1</v>
      </c>
      <c r="H72" s="6">
        <v>5</v>
      </c>
      <c r="I72" s="6">
        <v>8</v>
      </c>
      <c r="J72" s="6">
        <v>15</v>
      </c>
      <c r="K72" s="6">
        <v>0</v>
      </c>
      <c r="L72" s="6">
        <v>0</v>
      </c>
      <c r="M72" s="6">
        <v>0</v>
      </c>
      <c r="N72" s="6">
        <v>0</v>
      </c>
      <c r="O72" s="12" t="str">
        <f t="shared" si="1"/>
        <v>Fixed</v>
      </c>
      <c r="P72" s="12">
        <v>0</v>
      </c>
      <c r="Q72" s="12">
        <v>0</v>
      </c>
      <c r="R72" s="12">
        <v>0</v>
      </c>
      <c r="S72" s="6">
        <v>0</v>
      </c>
    </row>
    <row r="73" spans="1:19" x14ac:dyDescent="0.35">
      <c r="A73" s="5" t="s">
        <v>93</v>
      </c>
      <c r="B73" s="6">
        <v>1</v>
      </c>
      <c r="C73" s="6">
        <v>92</v>
      </c>
      <c r="D73" s="6">
        <v>5</v>
      </c>
      <c r="E73" s="6">
        <v>4</v>
      </c>
      <c r="F73" s="6">
        <v>3</v>
      </c>
      <c r="G73" s="6">
        <v>1</v>
      </c>
      <c r="H73" s="6">
        <v>5</v>
      </c>
      <c r="I73" s="6">
        <v>8</v>
      </c>
      <c r="J73" s="6">
        <v>15</v>
      </c>
      <c r="K73" s="6">
        <v>0</v>
      </c>
      <c r="L73" s="6">
        <v>0</v>
      </c>
      <c r="M73" s="6">
        <v>0</v>
      </c>
      <c r="N73" s="6">
        <v>0</v>
      </c>
      <c r="O73" s="12" t="str">
        <f t="shared" si="1"/>
        <v>Fixed</v>
      </c>
      <c r="P73" s="12">
        <v>0</v>
      </c>
      <c r="Q73" s="12">
        <v>0</v>
      </c>
      <c r="R73" s="12">
        <v>0</v>
      </c>
      <c r="S73" s="6">
        <v>0</v>
      </c>
    </row>
    <row r="74" spans="1:19" x14ac:dyDescent="0.35">
      <c r="A74" s="7" t="s">
        <v>116</v>
      </c>
      <c r="B74" s="8">
        <v>1</v>
      </c>
      <c r="C74" s="8">
        <v>92</v>
      </c>
      <c r="D74" s="8">
        <v>5</v>
      </c>
      <c r="E74" s="8">
        <v>4</v>
      </c>
      <c r="F74" s="8">
        <v>3</v>
      </c>
      <c r="G74" s="8">
        <v>1</v>
      </c>
      <c r="H74" s="8">
        <v>5</v>
      </c>
      <c r="I74" s="8">
        <v>8</v>
      </c>
      <c r="J74" s="8">
        <v>15</v>
      </c>
      <c r="K74" s="8">
        <v>0</v>
      </c>
      <c r="L74" s="8">
        <v>0</v>
      </c>
      <c r="M74" s="8">
        <v>0</v>
      </c>
      <c r="N74" s="8">
        <v>0</v>
      </c>
      <c r="O74" s="12" t="str">
        <f t="shared" si="1"/>
        <v>Fixed</v>
      </c>
      <c r="P74" s="12">
        <v>0</v>
      </c>
      <c r="Q74" s="12">
        <v>0</v>
      </c>
      <c r="R74" s="12">
        <v>0</v>
      </c>
      <c r="S74" s="6">
        <v>0</v>
      </c>
    </row>
    <row r="75" spans="1:19" x14ac:dyDescent="0.35">
      <c r="A75" s="7" t="s">
        <v>40</v>
      </c>
      <c r="B75" s="8">
        <v>1</v>
      </c>
      <c r="C75" s="8">
        <v>92</v>
      </c>
      <c r="D75" s="8">
        <v>5</v>
      </c>
      <c r="E75" s="8">
        <v>4</v>
      </c>
      <c r="F75" s="8">
        <v>3</v>
      </c>
      <c r="G75" s="8">
        <v>1</v>
      </c>
      <c r="H75" s="8">
        <v>5</v>
      </c>
      <c r="I75" s="8">
        <v>8</v>
      </c>
      <c r="J75" s="8">
        <v>15</v>
      </c>
      <c r="K75" s="8">
        <v>0</v>
      </c>
      <c r="L75" s="8">
        <v>0</v>
      </c>
      <c r="M75" s="8">
        <v>0</v>
      </c>
      <c r="N75" s="8">
        <v>0</v>
      </c>
      <c r="O75" s="12" t="str">
        <f t="shared" si="1"/>
        <v>Fixed</v>
      </c>
      <c r="P75" s="12">
        <v>0</v>
      </c>
      <c r="Q75" s="12">
        <v>0</v>
      </c>
      <c r="R75" s="12">
        <v>0</v>
      </c>
      <c r="S75" s="6">
        <v>0</v>
      </c>
    </row>
    <row r="76" spans="1:19" x14ac:dyDescent="0.35">
      <c r="A76" s="5" t="s">
        <v>49</v>
      </c>
      <c r="B76" s="6">
        <v>1</v>
      </c>
      <c r="C76" s="6">
        <v>92</v>
      </c>
      <c r="D76" s="6">
        <v>5</v>
      </c>
      <c r="E76" s="6">
        <v>4</v>
      </c>
      <c r="F76" s="6">
        <v>3</v>
      </c>
      <c r="G76" s="6">
        <v>1</v>
      </c>
      <c r="H76" s="6">
        <v>5</v>
      </c>
      <c r="I76" s="6">
        <v>8</v>
      </c>
      <c r="J76" s="6">
        <v>15</v>
      </c>
      <c r="K76" s="6">
        <v>0</v>
      </c>
      <c r="L76" s="6">
        <v>0</v>
      </c>
      <c r="M76" s="6">
        <v>0</v>
      </c>
      <c r="N76" s="6">
        <v>0</v>
      </c>
      <c r="O76" s="12" t="str">
        <f t="shared" si="1"/>
        <v>Fixed</v>
      </c>
      <c r="P76" s="12">
        <v>0</v>
      </c>
      <c r="Q76" s="12">
        <v>0</v>
      </c>
      <c r="R76" s="12">
        <v>0</v>
      </c>
      <c r="S76" s="6">
        <v>0</v>
      </c>
    </row>
    <row r="77" spans="1:19" x14ac:dyDescent="0.35">
      <c r="A77" s="7" t="s">
        <v>120</v>
      </c>
      <c r="B77" s="8">
        <v>2.57</v>
      </c>
      <c r="C77" s="8">
        <v>80.36</v>
      </c>
      <c r="D77" s="8">
        <v>9.7899999999999991</v>
      </c>
      <c r="E77" s="8">
        <v>5.43</v>
      </c>
      <c r="F77" s="8">
        <v>8.43</v>
      </c>
      <c r="G77" s="8">
        <v>3.36</v>
      </c>
      <c r="H77" s="8">
        <v>8.7899999999999991</v>
      </c>
      <c r="I77" s="8">
        <v>18.21</v>
      </c>
      <c r="J77" s="8">
        <v>36.97</v>
      </c>
      <c r="K77" s="8">
        <v>0</v>
      </c>
      <c r="L77" s="8">
        <v>0</v>
      </c>
      <c r="M77" s="8">
        <v>0</v>
      </c>
      <c r="N77" s="8">
        <v>0</v>
      </c>
      <c r="O77" s="12" t="str">
        <f t="shared" si="1"/>
        <v>Fixed</v>
      </c>
      <c r="P77" s="12">
        <v>4</v>
      </c>
      <c r="Q77" s="12">
        <v>18</v>
      </c>
      <c r="R77" s="12">
        <v>8</v>
      </c>
      <c r="S77" s="6">
        <v>18</v>
      </c>
    </row>
    <row r="78" spans="1:19" x14ac:dyDescent="0.35">
      <c r="A78" s="7" t="s">
        <v>72</v>
      </c>
      <c r="B78" s="8">
        <v>2.57</v>
      </c>
      <c r="C78" s="8">
        <v>80.36</v>
      </c>
      <c r="D78" s="8">
        <v>9.7899999999999991</v>
      </c>
      <c r="E78" s="8">
        <v>5.43</v>
      </c>
      <c r="F78" s="8">
        <v>8.43</v>
      </c>
      <c r="G78" s="8">
        <v>3.36</v>
      </c>
      <c r="H78" s="8">
        <v>8.7899999999999991</v>
      </c>
      <c r="I78" s="8">
        <v>18.21</v>
      </c>
      <c r="J78" s="8">
        <v>36.97</v>
      </c>
      <c r="K78" s="8">
        <v>0</v>
      </c>
      <c r="L78" s="8">
        <v>0</v>
      </c>
      <c r="M78" s="8">
        <v>0</v>
      </c>
      <c r="N78" s="8">
        <v>0</v>
      </c>
      <c r="O78" s="12" t="str">
        <f t="shared" si="1"/>
        <v>Fixed</v>
      </c>
      <c r="P78" s="12">
        <v>4</v>
      </c>
      <c r="Q78" s="12">
        <v>18</v>
      </c>
      <c r="R78" s="12">
        <v>8</v>
      </c>
      <c r="S78" s="6">
        <v>18</v>
      </c>
    </row>
    <row r="79" spans="1:19" x14ac:dyDescent="0.35">
      <c r="A79" s="7" t="s">
        <v>58</v>
      </c>
      <c r="B79" s="8">
        <v>2.57</v>
      </c>
      <c r="C79" s="8">
        <v>80.36</v>
      </c>
      <c r="D79" s="8">
        <v>9.7899999999999991</v>
      </c>
      <c r="E79" s="8">
        <v>5.43</v>
      </c>
      <c r="F79" s="8">
        <v>8.43</v>
      </c>
      <c r="G79" s="8">
        <v>3.36</v>
      </c>
      <c r="H79" s="8">
        <v>8.7899999999999991</v>
      </c>
      <c r="I79" s="8">
        <v>18.21</v>
      </c>
      <c r="J79" s="8">
        <v>36.97</v>
      </c>
      <c r="K79" s="8">
        <v>0</v>
      </c>
      <c r="L79" s="8">
        <v>0</v>
      </c>
      <c r="M79" s="8">
        <v>0</v>
      </c>
      <c r="N79" s="8">
        <v>0</v>
      </c>
      <c r="O79" s="12" t="str">
        <f t="shared" si="1"/>
        <v>Fixed</v>
      </c>
      <c r="P79" s="12">
        <v>4</v>
      </c>
      <c r="Q79" s="12">
        <v>18</v>
      </c>
      <c r="R79" s="12">
        <v>8</v>
      </c>
      <c r="S79" s="6">
        <v>18</v>
      </c>
    </row>
    <row r="80" spans="1:19" x14ac:dyDescent="0.35">
      <c r="A80" s="5" t="s">
        <v>135</v>
      </c>
      <c r="B80" s="6">
        <v>2.57</v>
      </c>
      <c r="C80" s="6">
        <v>80.36</v>
      </c>
      <c r="D80" s="6">
        <v>9.7899999999999991</v>
      </c>
      <c r="E80" s="6">
        <v>5.43</v>
      </c>
      <c r="F80" s="6">
        <v>8.43</v>
      </c>
      <c r="G80" s="6">
        <v>3.36</v>
      </c>
      <c r="H80" s="6">
        <v>8.7899999999999991</v>
      </c>
      <c r="I80" s="6">
        <v>18.21</v>
      </c>
      <c r="J80" s="6">
        <v>36.97</v>
      </c>
      <c r="K80" s="6">
        <v>0</v>
      </c>
      <c r="L80" s="6">
        <v>0</v>
      </c>
      <c r="M80" s="6">
        <v>0</v>
      </c>
      <c r="N80" s="6">
        <v>0</v>
      </c>
      <c r="O80" s="12" t="str">
        <f t="shared" si="1"/>
        <v>Fixed</v>
      </c>
      <c r="P80" s="12">
        <v>4</v>
      </c>
      <c r="Q80" s="12">
        <v>18</v>
      </c>
      <c r="R80" s="12">
        <v>8</v>
      </c>
      <c r="S80" s="6">
        <v>18</v>
      </c>
    </row>
    <row r="81" spans="1:19" x14ac:dyDescent="0.35">
      <c r="A81" s="5" t="s">
        <v>27</v>
      </c>
      <c r="B81" s="6">
        <v>2.57</v>
      </c>
      <c r="C81" s="6">
        <v>80.36</v>
      </c>
      <c r="D81" s="6">
        <v>9.7899999999999991</v>
      </c>
      <c r="E81" s="6">
        <v>5.43</v>
      </c>
      <c r="F81" s="6">
        <v>8.43</v>
      </c>
      <c r="G81" s="6">
        <v>3.36</v>
      </c>
      <c r="H81" s="6">
        <v>8.7899999999999991</v>
      </c>
      <c r="I81" s="6">
        <v>18.21</v>
      </c>
      <c r="J81" s="6">
        <v>36.97</v>
      </c>
      <c r="K81" s="6">
        <v>0</v>
      </c>
      <c r="L81" s="6">
        <v>0</v>
      </c>
      <c r="M81" s="6">
        <v>0</v>
      </c>
      <c r="N81" s="6">
        <v>0</v>
      </c>
      <c r="O81" s="12" t="str">
        <f t="shared" si="1"/>
        <v>Fixed</v>
      </c>
      <c r="P81" s="12">
        <v>4</v>
      </c>
      <c r="Q81" s="12">
        <v>18</v>
      </c>
      <c r="R81" s="12">
        <v>8</v>
      </c>
      <c r="S81" s="6">
        <v>18</v>
      </c>
    </row>
    <row r="82" spans="1:19" x14ac:dyDescent="0.35">
      <c r="A82" s="5" t="s">
        <v>31</v>
      </c>
      <c r="B82" s="6">
        <v>1</v>
      </c>
      <c r="C82" s="6">
        <v>74.569999999999993</v>
      </c>
      <c r="D82" s="6">
        <v>11</v>
      </c>
      <c r="E82" s="6">
        <v>9.86</v>
      </c>
      <c r="F82" s="6">
        <v>6.71</v>
      </c>
      <c r="G82" s="6">
        <v>2</v>
      </c>
      <c r="H82" s="6">
        <v>11.86</v>
      </c>
      <c r="I82" s="6">
        <v>17.71</v>
      </c>
      <c r="J82" s="6">
        <v>52.8</v>
      </c>
      <c r="K82" s="6">
        <v>2</v>
      </c>
      <c r="L82" s="6">
        <v>0.05</v>
      </c>
      <c r="M82" s="6">
        <v>30.41</v>
      </c>
      <c r="N82" s="6">
        <v>1.69</v>
      </c>
      <c r="O82" s="12" t="str">
        <f t="shared" si="1"/>
        <v>Fixed</v>
      </c>
      <c r="P82" s="12">
        <v>1</v>
      </c>
      <c r="Q82" s="12">
        <v>1</v>
      </c>
      <c r="R82" s="12">
        <v>1</v>
      </c>
      <c r="S82" s="6">
        <v>1</v>
      </c>
    </row>
    <row r="83" spans="1:19" x14ac:dyDescent="0.35">
      <c r="A83" s="5" t="s">
        <v>141</v>
      </c>
      <c r="B83" s="6">
        <v>1</v>
      </c>
      <c r="C83" s="6">
        <v>74.569999999999993</v>
      </c>
      <c r="D83" s="6">
        <v>11</v>
      </c>
      <c r="E83" s="6">
        <v>9.86</v>
      </c>
      <c r="F83" s="6">
        <v>6.71</v>
      </c>
      <c r="G83" s="6">
        <v>2</v>
      </c>
      <c r="H83" s="6">
        <v>11.86</v>
      </c>
      <c r="I83" s="6">
        <v>17.71</v>
      </c>
      <c r="J83" s="6">
        <v>52.8</v>
      </c>
      <c r="K83" s="6">
        <v>2</v>
      </c>
      <c r="L83" s="6">
        <v>0.05</v>
      </c>
      <c r="M83" s="6">
        <v>30.41</v>
      </c>
      <c r="N83" s="6">
        <v>1.69</v>
      </c>
      <c r="O83" s="12" t="str">
        <f t="shared" si="1"/>
        <v>Fixed</v>
      </c>
      <c r="P83" s="12">
        <v>1</v>
      </c>
      <c r="Q83" s="12">
        <v>1</v>
      </c>
      <c r="R83" s="12">
        <v>1</v>
      </c>
      <c r="S83" s="6">
        <v>1</v>
      </c>
    </row>
    <row r="84" spans="1:19" x14ac:dyDescent="0.35">
      <c r="A84" s="5" t="s">
        <v>65</v>
      </c>
      <c r="B84" s="6">
        <v>1</v>
      </c>
      <c r="C84" s="6">
        <v>74.569999999999993</v>
      </c>
      <c r="D84" s="6">
        <v>11</v>
      </c>
      <c r="E84" s="6">
        <v>9.86</v>
      </c>
      <c r="F84" s="6">
        <v>6.71</v>
      </c>
      <c r="G84" s="6">
        <v>2</v>
      </c>
      <c r="H84" s="6">
        <v>11.86</v>
      </c>
      <c r="I84" s="6">
        <v>17.71</v>
      </c>
      <c r="J84" s="6">
        <v>52.8</v>
      </c>
      <c r="K84" s="6">
        <v>2</v>
      </c>
      <c r="L84" s="6">
        <v>0.05</v>
      </c>
      <c r="M84" s="6">
        <v>30.41</v>
      </c>
      <c r="N84" s="6">
        <v>1.69</v>
      </c>
      <c r="O84" s="12" t="str">
        <f t="shared" si="1"/>
        <v>Fixed</v>
      </c>
      <c r="P84" s="12">
        <v>1</v>
      </c>
      <c r="Q84" s="12">
        <v>1</v>
      </c>
      <c r="R84" s="12">
        <v>1</v>
      </c>
      <c r="S84" s="6">
        <v>1</v>
      </c>
    </row>
    <row r="85" spans="1:19" x14ac:dyDescent="0.35">
      <c r="A85" s="7" t="s">
        <v>94</v>
      </c>
      <c r="B85" s="8">
        <v>1</v>
      </c>
      <c r="C85" s="8">
        <v>74.569999999999993</v>
      </c>
      <c r="D85" s="8">
        <v>11</v>
      </c>
      <c r="E85" s="8">
        <v>9.86</v>
      </c>
      <c r="F85" s="8">
        <v>6.71</v>
      </c>
      <c r="G85" s="8">
        <v>2</v>
      </c>
      <c r="H85" s="8">
        <v>11.86</v>
      </c>
      <c r="I85" s="8">
        <v>17.71</v>
      </c>
      <c r="J85" s="8">
        <v>52.8</v>
      </c>
      <c r="K85" s="8">
        <v>2</v>
      </c>
      <c r="L85" s="8">
        <v>0.05</v>
      </c>
      <c r="M85" s="8">
        <v>30.41</v>
      </c>
      <c r="N85" s="8">
        <v>1.69</v>
      </c>
      <c r="O85" s="12" t="str">
        <f t="shared" si="1"/>
        <v>Fixed</v>
      </c>
      <c r="P85" s="12">
        <v>1</v>
      </c>
      <c r="Q85" s="12">
        <v>1</v>
      </c>
      <c r="R85" s="12">
        <v>1</v>
      </c>
      <c r="S85" s="6">
        <v>1</v>
      </c>
    </row>
    <row r="86" spans="1:19" x14ac:dyDescent="0.35">
      <c r="A86" s="5" t="s">
        <v>53</v>
      </c>
      <c r="B86" s="6">
        <v>1</v>
      </c>
      <c r="C86" s="6">
        <v>74.569999999999993</v>
      </c>
      <c r="D86" s="6">
        <v>11</v>
      </c>
      <c r="E86" s="6">
        <v>9.86</v>
      </c>
      <c r="F86" s="6">
        <v>6.71</v>
      </c>
      <c r="G86" s="6">
        <v>2</v>
      </c>
      <c r="H86" s="6">
        <v>11.86</v>
      </c>
      <c r="I86" s="6">
        <v>17.71</v>
      </c>
      <c r="J86" s="6">
        <v>52.8</v>
      </c>
      <c r="K86" s="6">
        <v>2</v>
      </c>
      <c r="L86" s="6">
        <v>0.05</v>
      </c>
      <c r="M86" s="6">
        <v>30.41</v>
      </c>
      <c r="N86" s="6">
        <v>1.69</v>
      </c>
      <c r="O86" s="12" t="str">
        <f t="shared" si="1"/>
        <v>Fixed</v>
      </c>
      <c r="P86" s="12">
        <v>1</v>
      </c>
      <c r="Q86" s="12">
        <v>1</v>
      </c>
      <c r="R86" s="12">
        <v>1</v>
      </c>
      <c r="S86" s="6">
        <v>1</v>
      </c>
    </row>
    <row r="87" spans="1:19" x14ac:dyDescent="0.35">
      <c r="A87" s="5" t="s">
        <v>35</v>
      </c>
      <c r="B87" s="6">
        <v>5.88</v>
      </c>
      <c r="C87" s="6">
        <v>68.5</v>
      </c>
      <c r="D87" s="6">
        <v>22.5</v>
      </c>
      <c r="E87" s="6">
        <v>7.62</v>
      </c>
      <c r="F87" s="6">
        <v>22</v>
      </c>
      <c r="G87" s="6">
        <v>4.38</v>
      </c>
      <c r="H87" s="6">
        <v>12</v>
      </c>
      <c r="I87" s="6">
        <v>44.5</v>
      </c>
      <c r="J87" s="6">
        <v>67.08</v>
      </c>
      <c r="K87" s="6">
        <v>0</v>
      </c>
      <c r="L87" s="6">
        <v>0</v>
      </c>
      <c r="M87" s="6">
        <v>0</v>
      </c>
      <c r="N87" s="6">
        <v>0</v>
      </c>
      <c r="O87" s="12" t="str">
        <f t="shared" si="1"/>
        <v>Fixed</v>
      </c>
      <c r="P87" s="12">
        <v>1</v>
      </c>
      <c r="Q87" s="12">
        <v>1</v>
      </c>
      <c r="R87" s="12">
        <v>1</v>
      </c>
      <c r="S87" s="6">
        <v>1</v>
      </c>
    </row>
    <row r="88" spans="1:19" x14ac:dyDescent="0.35">
      <c r="A88" s="5" t="s">
        <v>39</v>
      </c>
      <c r="B88" s="6">
        <v>5.88</v>
      </c>
      <c r="C88" s="6">
        <v>68.5</v>
      </c>
      <c r="D88" s="6">
        <v>22.5</v>
      </c>
      <c r="E88" s="6">
        <v>7.62</v>
      </c>
      <c r="F88" s="6">
        <v>22</v>
      </c>
      <c r="G88" s="6">
        <v>4.38</v>
      </c>
      <c r="H88" s="6">
        <v>12</v>
      </c>
      <c r="I88" s="6">
        <v>44.5</v>
      </c>
      <c r="J88" s="6">
        <v>67.08</v>
      </c>
      <c r="K88" s="6">
        <v>0</v>
      </c>
      <c r="L88" s="6">
        <v>0</v>
      </c>
      <c r="M88" s="6">
        <v>0</v>
      </c>
      <c r="N88" s="6">
        <v>0</v>
      </c>
      <c r="O88" s="12" t="str">
        <f t="shared" ref="O88:O119" si="2">IF(NOT(ISERR(SEARCH("*_Buggy",$A88))), "Buggy", IF(NOT(ISERR(SEARCH("*_Fixed",$A88))), "Fixed", IF(NOT(ISERR(SEARCH("*_Repaired",$A88))), "Repaired", "")))</f>
        <v>Fixed</v>
      </c>
      <c r="P88" s="12">
        <v>1</v>
      </c>
      <c r="Q88" s="12">
        <v>1</v>
      </c>
      <c r="R88" s="12">
        <v>1</v>
      </c>
      <c r="S88" s="6">
        <v>1</v>
      </c>
    </row>
    <row r="89" spans="1:19" x14ac:dyDescent="0.35">
      <c r="A89" s="5" t="s">
        <v>115</v>
      </c>
      <c r="B89" s="6">
        <v>5.88</v>
      </c>
      <c r="C89" s="6">
        <v>68.5</v>
      </c>
      <c r="D89" s="6">
        <v>22.5</v>
      </c>
      <c r="E89" s="6">
        <v>7.62</v>
      </c>
      <c r="F89" s="6">
        <v>22</v>
      </c>
      <c r="G89" s="6">
        <v>4.38</v>
      </c>
      <c r="H89" s="6">
        <v>12</v>
      </c>
      <c r="I89" s="6">
        <v>44.5</v>
      </c>
      <c r="J89" s="6">
        <v>67.08</v>
      </c>
      <c r="K89" s="6">
        <v>0</v>
      </c>
      <c r="L89" s="6">
        <v>0</v>
      </c>
      <c r="M89" s="6">
        <v>0</v>
      </c>
      <c r="N89" s="6">
        <v>0</v>
      </c>
      <c r="O89" s="12" t="str">
        <f t="shared" si="2"/>
        <v>Fixed</v>
      </c>
      <c r="P89" s="12">
        <v>1</v>
      </c>
      <c r="Q89" s="12">
        <v>1</v>
      </c>
      <c r="R89" s="12">
        <v>1</v>
      </c>
      <c r="S89" s="6">
        <v>1</v>
      </c>
    </row>
    <row r="90" spans="1:19" x14ac:dyDescent="0.35">
      <c r="A90" s="7" t="s">
        <v>118</v>
      </c>
      <c r="B90" s="8">
        <v>5.88</v>
      </c>
      <c r="C90" s="8">
        <v>68.5</v>
      </c>
      <c r="D90" s="8">
        <v>22.5</v>
      </c>
      <c r="E90" s="8">
        <v>7.62</v>
      </c>
      <c r="F90" s="8">
        <v>22</v>
      </c>
      <c r="G90" s="8">
        <v>4.38</v>
      </c>
      <c r="H90" s="8">
        <v>12</v>
      </c>
      <c r="I90" s="8">
        <v>44.5</v>
      </c>
      <c r="J90" s="8">
        <v>67.08</v>
      </c>
      <c r="K90" s="8">
        <v>0</v>
      </c>
      <c r="L90" s="8">
        <v>0</v>
      </c>
      <c r="M90" s="8">
        <v>0</v>
      </c>
      <c r="N90" s="8">
        <v>0</v>
      </c>
      <c r="O90" s="12" t="str">
        <f t="shared" si="2"/>
        <v>Fixed</v>
      </c>
      <c r="P90" s="12">
        <v>1</v>
      </c>
      <c r="Q90" s="12">
        <v>1</v>
      </c>
      <c r="R90" s="12">
        <v>1</v>
      </c>
      <c r="S90" s="6">
        <v>1</v>
      </c>
    </row>
    <row r="91" spans="1:19" x14ac:dyDescent="0.35">
      <c r="A91" s="7" t="s">
        <v>128</v>
      </c>
      <c r="B91" s="8">
        <v>5.88</v>
      </c>
      <c r="C91" s="8">
        <v>68.5</v>
      </c>
      <c r="D91" s="8">
        <v>22.5</v>
      </c>
      <c r="E91" s="8">
        <v>7.62</v>
      </c>
      <c r="F91" s="8">
        <v>22</v>
      </c>
      <c r="G91" s="8">
        <v>4.38</v>
      </c>
      <c r="H91" s="8">
        <v>12</v>
      </c>
      <c r="I91" s="8">
        <v>44.5</v>
      </c>
      <c r="J91" s="8">
        <v>67.08</v>
      </c>
      <c r="K91" s="8">
        <v>0</v>
      </c>
      <c r="L91" s="8">
        <v>0</v>
      </c>
      <c r="M91" s="8">
        <v>0</v>
      </c>
      <c r="N91" s="8">
        <v>0</v>
      </c>
      <c r="O91" s="12" t="str">
        <f t="shared" si="2"/>
        <v>Fixed</v>
      </c>
      <c r="P91" s="12">
        <v>1</v>
      </c>
      <c r="Q91" s="12">
        <v>1</v>
      </c>
      <c r="R91" s="12">
        <v>1</v>
      </c>
      <c r="S91" s="6">
        <v>1</v>
      </c>
    </row>
    <row r="92" spans="1:19" x14ac:dyDescent="0.35">
      <c r="A92" s="7" t="s">
        <v>24</v>
      </c>
      <c r="B92" s="8">
        <v>1</v>
      </c>
      <c r="C92" s="8">
        <v>74.569999999999993</v>
      </c>
      <c r="D92" s="8">
        <v>11</v>
      </c>
      <c r="E92" s="8">
        <v>9.86</v>
      </c>
      <c r="F92" s="8">
        <v>6.71</v>
      </c>
      <c r="G92" s="8">
        <v>2</v>
      </c>
      <c r="H92" s="8">
        <v>11.86</v>
      </c>
      <c r="I92" s="8">
        <v>17.71</v>
      </c>
      <c r="J92" s="8">
        <v>52.8</v>
      </c>
      <c r="K92" s="8">
        <v>2</v>
      </c>
      <c r="L92" s="8">
        <v>0.05</v>
      </c>
      <c r="M92" s="8">
        <v>30.41</v>
      </c>
      <c r="N92" s="8">
        <v>1.69</v>
      </c>
      <c r="O92" s="12" t="str">
        <f t="shared" si="2"/>
        <v>Fixed</v>
      </c>
      <c r="P92" s="12">
        <v>1</v>
      </c>
      <c r="Q92" s="12">
        <v>1</v>
      </c>
      <c r="R92" s="12">
        <v>1</v>
      </c>
      <c r="S92" s="6">
        <v>1</v>
      </c>
    </row>
    <row r="93" spans="1:19" x14ac:dyDescent="0.35">
      <c r="A93" s="5" t="s">
        <v>101</v>
      </c>
      <c r="B93" s="6">
        <v>1</v>
      </c>
      <c r="C93" s="6">
        <v>74.569999999999993</v>
      </c>
      <c r="D93" s="6">
        <v>11</v>
      </c>
      <c r="E93" s="6">
        <v>9.86</v>
      </c>
      <c r="F93" s="6">
        <v>6.71</v>
      </c>
      <c r="G93" s="6">
        <v>2</v>
      </c>
      <c r="H93" s="6">
        <v>11.86</v>
      </c>
      <c r="I93" s="6">
        <v>17.71</v>
      </c>
      <c r="J93" s="6">
        <v>52.8</v>
      </c>
      <c r="K93" s="6">
        <v>2</v>
      </c>
      <c r="L93" s="6">
        <v>0.05</v>
      </c>
      <c r="M93" s="6">
        <v>30.41</v>
      </c>
      <c r="N93" s="6">
        <v>1.69</v>
      </c>
      <c r="O93" s="12" t="str">
        <f t="shared" si="2"/>
        <v>Fixed</v>
      </c>
      <c r="P93" s="12">
        <v>1</v>
      </c>
      <c r="Q93" s="12">
        <v>1</v>
      </c>
      <c r="R93" s="12">
        <v>1</v>
      </c>
      <c r="S93" s="6">
        <v>1</v>
      </c>
    </row>
    <row r="94" spans="1:19" x14ac:dyDescent="0.35">
      <c r="A94" s="7" t="s">
        <v>54</v>
      </c>
      <c r="B94" s="8">
        <v>1</v>
      </c>
      <c r="C94" s="8">
        <v>74.569999999999993</v>
      </c>
      <c r="D94" s="8">
        <v>11</v>
      </c>
      <c r="E94" s="8">
        <v>9.86</v>
      </c>
      <c r="F94" s="8">
        <v>6.71</v>
      </c>
      <c r="G94" s="8">
        <v>2</v>
      </c>
      <c r="H94" s="8">
        <v>11.86</v>
      </c>
      <c r="I94" s="8">
        <v>17.71</v>
      </c>
      <c r="J94" s="8">
        <v>52.8</v>
      </c>
      <c r="K94" s="8">
        <v>2</v>
      </c>
      <c r="L94" s="8">
        <v>0.05</v>
      </c>
      <c r="M94" s="8">
        <v>30.41</v>
      </c>
      <c r="N94" s="8">
        <v>1.69</v>
      </c>
      <c r="O94" s="12" t="str">
        <f t="shared" si="2"/>
        <v>Fixed</v>
      </c>
      <c r="P94" s="12">
        <v>1</v>
      </c>
      <c r="Q94" s="12">
        <v>1</v>
      </c>
      <c r="R94" s="12">
        <v>1</v>
      </c>
      <c r="S94" s="6">
        <v>1</v>
      </c>
    </row>
    <row r="95" spans="1:19" x14ac:dyDescent="0.35">
      <c r="A95" s="5" t="s">
        <v>37</v>
      </c>
      <c r="B95" s="6">
        <v>1</v>
      </c>
      <c r="C95" s="6">
        <v>74.569999999999993</v>
      </c>
      <c r="D95" s="6">
        <v>11</v>
      </c>
      <c r="E95" s="6">
        <v>9.86</v>
      </c>
      <c r="F95" s="6">
        <v>6.71</v>
      </c>
      <c r="G95" s="6">
        <v>2</v>
      </c>
      <c r="H95" s="6">
        <v>11.86</v>
      </c>
      <c r="I95" s="6">
        <v>17.71</v>
      </c>
      <c r="J95" s="6">
        <v>52.8</v>
      </c>
      <c r="K95" s="6">
        <v>2</v>
      </c>
      <c r="L95" s="6">
        <v>0.05</v>
      </c>
      <c r="M95" s="6">
        <v>30.41</v>
      </c>
      <c r="N95" s="6">
        <v>1.69</v>
      </c>
      <c r="O95" s="12" t="str">
        <f t="shared" si="2"/>
        <v>Fixed</v>
      </c>
      <c r="P95" s="12">
        <v>1</v>
      </c>
      <c r="Q95" s="12">
        <v>1</v>
      </c>
      <c r="R95" s="12">
        <v>1</v>
      </c>
      <c r="S95" s="6">
        <v>1</v>
      </c>
    </row>
    <row r="96" spans="1:19" x14ac:dyDescent="0.35">
      <c r="A96" s="5" t="s">
        <v>121</v>
      </c>
      <c r="B96" s="6">
        <v>1</v>
      </c>
      <c r="C96" s="6">
        <v>74.569999999999993</v>
      </c>
      <c r="D96" s="6">
        <v>11</v>
      </c>
      <c r="E96" s="6">
        <v>9.86</v>
      </c>
      <c r="F96" s="6">
        <v>6.71</v>
      </c>
      <c r="G96" s="6">
        <v>2</v>
      </c>
      <c r="H96" s="6">
        <v>11.86</v>
      </c>
      <c r="I96" s="6">
        <v>17.71</v>
      </c>
      <c r="J96" s="6">
        <v>52.8</v>
      </c>
      <c r="K96" s="6">
        <v>2</v>
      </c>
      <c r="L96" s="6">
        <v>0.05</v>
      </c>
      <c r="M96" s="6">
        <v>30.41</v>
      </c>
      <c r="N96" s="6">
        <v>1.69</v>
      </c>
      <c r="O96" s="12" t="str">
        <f t="shared" si="2"/>
        <v>Fixed</v>
      </c>
      <c r="P96" s="12">
        <v>1</v>
      </c>
      <c r="Q96" s="12">
        <v>1</v>
      </c>
      <c r="R96" s="12">
        <v>1</v>
      </c>
      <c r="S96" s="6">
        <v>1</v>
      </c>
    </row>
    <row r="97" spans="1:26" x14ac:dyDescent="0.35">
      <c r="A97" s="7" t="s">
        <v>36</v>
      </c>
      <c r="B97" s="8">
        <v>4.5999999999999996</v>
      </c>
      <c r="C97" s="8">
        <v>72</v>
      </c>
      <c r="D97" s="8">
        <v>16.420000000000002</v>
      </c>
      <c r="E97" s="8">
        <v>6.79</v>
      </c>
      <c r="F97" s="8">
        <v>15.15</v>
      </c>
      <c r="G97" s="8">
        <v>4.62</v>
      </c>
      <c r="H97" s="8">
        <v>11.42</v>
      </c>
      <c r="I97" s="8">
        <v>31.57</v>
      </c>
      <c r="J97" s="8">
        <v>57.34</v>
      </c>
      <c r="K97" s="8">
        <v>0.56999999999999995</v>
      </c>
      <c r="L97" s="8">
        <v>1.4999999999999999E-2</v>
      </c>
      <c r="M97" s="8">
        <v>13.16</v>
      </c>
      <c r="N97" s="8">
        <v>0.73</v>
      </c>
      <c r="O97" s="12" t="str">
        <f t="shared" si="2"/>
        <v>Fixed</v>
      </c>
      <c r="P97" s="12">
        <v>2</v>
      </c>
      <c r="Q97" s="12">
        <v>24</v>
      </c>
      <c r="R97" s="12">
        <v>0</v>
      </c>
      <c r="S97" s="6">
        <v>24</v>
      </c>
    </row>
    <row r="98" spans="1:26" x14ac:dyDescent="0.35">
      <c r="A98" s="5" t="s">
        <v>113</v>
      </c>
      <c r="B98" s="6">
        <v>3</v>
      </c>
      <c r="C98" s="6">
        <v>83.33</v>
      </c>
      <c r="D98" s="6">
        <v>6.67</v>
      </c>
      <c r="E98" s="6">
        <v>4.67</v>
      </c>
      <c r="F98" s="6">
        <v>6</v>
      </c>
      <c r="G98" s="6">
        <v>2.33</v>
      </c>
      <c r="H98" s="6">
        <v>7</v>
      </c>
      <c r="I98" s="6">
        <v>12.67</v>
      </c>
      <c r="J98" s="6">
        <v>26.04</v>
      </c>
      <c r="K98" s="6">
        <v>0</v>
      </c>
      <c r="L98" s="6">
        <v>0</v>
      </c>
      <c r="M98" s="6">
        <v>0</v>
      </c>
      <c r="N98" s="6">
        <v>0</v>
      </c>
      <c r="O98" s="12" t="str">
        <f t="shared" si="2"/>
        <v>Fixed</v>
      </c>
      <c r="P98" s="12">
        <v>1</v>
      </c>
      <c r="Q98" s="12">
        <v>48</v>
      </c>
      <c r="R98" s="12">
        <v>42</v>
      </c>
      <c r="S98" s="6">
        <v>48</v>
      </c>
    </row>
    <row r="99" spans="1:26" x14ac:dyDescent="0.35">
      <c r="A99" s="5" t="s">
        <v>131</v>
      </c>
      <c r="B99" s="6">
        <v>1</v>
      </c>
      <c r="C99" s="6">
        <v>92</v>
      </c>
      <c r="D99" s="6">
        <v>5</v>
      </c>
      <c r="E99" s="6">
        <v>4</v>
      </c>
      <c r="F99" s="6">
        <v>3</v>
      </c>
      <c r="G99" s="6">
        <v>1</v>
      </c>
      <c r="H99" s="6">
        <v>5</v>
      </c>
      <c r="I99" s="6">
        <v>8</v>
      </c>
      <c r="J99" s="6">
        <v>15</v>
      </c>
      <c r="K99" s="6">
        <v>0</v>
      </c>
      <c r="L99" s="6">
        <v>0</v>
      </c>
      <c r="M99" s="6">
        <v>0</v>
      </c>
      <c r="N99" s="6">
        <v>0</v>
      </c>
      <c r="O99" s="12" t="str">
        <f t="shared" si="2"/>
        <v>Fixed</v>
      </c>
      <c r="P99" s="12">
        <v>0</v>
      </c>
      <c r="Q99" s="12">
        <v>0</v>
      </c>
      <c r="R99" s="12">
        <v>0</v>
      </c>
      <c r="S99" s="6">
        <v>0</v>
      </c>
    </row>
    <row r="100" spans="1:26" x14ac:dyDescent="0.35">
      <c r="A100" s="7" t="s">
        <v>144</v>
      </c>
      <c r="B100" s="8">
        <v>1</v>
      </c>
      <c r="C100" s="8">
        <v>74.569999999999993</v>
      </c>
      <c r="D100" s="8">
        <v>11</v>
      </c>
      <c r="E100" s="8">
        <v>9.86</v>
      </c>
      <c r="F100" s="8">
        <v>6.71</v>
      </c>
      <c r="G100" s="8">
        <v>2</v>
      </c>
      <c r="H100" s="8">
        <v>11.86</v>
      </c>
      <c r="I100" s="8">
        <v>17.71</v>
      </c>
      <c r="J100" s="8">
        <v>52.8</v>
      </c>
      <c r="K100" s="8">
        <v>2</v>
      </c>
      <c r="L100" s="8">
        <v>0.05</v>
      </c>
      <c r="M100" s="8">
        <v>30.41</v>
      </c>
      <c r="N100" s="8">
        <v>1.69</v>
      </c>
      <c r="O100" s="12" t="str">
        <f t="shared" si="2"/>
        <v>Fixed</v>
      </c>
      <c r="P100" s="12">
        <v>1</v>
      </c>
      <c r="Q100" s="12">
        <v>1</v>
      </c>
      <c r="R100" s="12">
        <v>1</v>
      </c>
      <c r="S100" s="6">
        <v>1</v>
      </c>
    </row>
    <row r="101" spans="1:26" x14ac:dyDescent="0.35">
      <c r="A101" s="7" t="s">
        <v>126</v>
      </c>
      <c r="B101" s="8">
        <v>5.88</v>
      </c>
      <c r="C101" s="8">
        <v>68.5</v>
      </c>
      <c r="D101" s="8">
        <v>22.5</v>
      </c>
      <c r="E101" s="8">
        <v>7.62</v>
      </c>
      <c r="F101" s="8">
        <v>22</v>
      </c>
      <c r="G101" s="8">
        <v>4.38</v>
      </c>
      <c r="H101" s="8">
        <v>12</v>
      </c>
      <c r="I101" s="8">
        <v>44.5</v>
      </c>
      <c r="J101" s="8">
        <v>67.08</v>
      </c>
      <c r="K101" s="8">
        <v>0</v>
      </c>
      <c r="L101" s="8">
        <v>0</v>
      </c>
      <c r="M101" s="8">
        <v>0</v>
      </c>
      <c r="N101" s="8">
        <v>0</v>
      </c>
      <c r="O101" s="12" t="str">
        <f t="shared" si="2"/>
        <v>Fixed</v>
      </c>
      <c r="P101" s="12">
        <v>1</v>
      </c>
      <c r="Q101" s="12">
        <v>1</v>
      </c>
      <c r="R101" s="12">
        <v>1</v>
      </c>
      <c r="S101" s="6">
        <v>1</v>
      </c>
    </row>
    <row r="102" spans="1:26" x14ac:dyDescent="0.35">
      <c r="A102" s="5" t="s">
        <v>83</v>
      </c>
      <c r="B102" s="6">
        <v>1.49</v>
      </c>
      <c r="C102" s="6">
        <v>89.41</v>
      </c>
      <c r="D102" s="6">
        <v>5.92</v>
      </c>
      <c r="E102" s="6">
        <v>3.31</v>
      </c>
      <c r="F102" s="6">
        <v>3.69</v>
      </c>
      <c r="G102" s="6">
        <v>1.92</v>
      </c>
      <c r="H102" s="6">
        <v>5.23</v>
      </c>
      <c r="I102" s="6">
        <v>9.6199999999999992</v>
      </c>
      <c r="J102" s="6">
        <v>19.39</v>
      </c>
      <c r="K102" s="6">
        <v>0.22</v>
      </c>
      <c r="L102" s="6">
        <v>0.11</v>
      </c>
      <c r="M102" s="6">
        <v>2.4700000000000002</v>
      </c>
      <c r="N102" s="6">
        <v>0.14000000000000001</v>
      </c>
      <c r="O102" s="12" t="str">
        <f t="shared" si="2"/>
        <v>Fixed</v>
      </c>
      <c r="P102" s="12">
        <v>0</v>
      </c>
      <c r="Q102" s="12">
        <v>0</v>
      </c>
      <c r="R102" s="12">
        <v>0</v>
      </c>
      <c r="S102" s="6">
        <v>0</v>
      </c>
    </row>
    <row r="103" spans="1:26" x14ac:dyDescent="0.35">
      <c r="A103" s="7" t="s">
        <v>114</v>
      </c>
      <c r="B103" s="8">
        <v>1</v>
      </c>
      <c r="C103" s="8">
        <v>74.569999999999993</v>
      </c>
      <c r="D103" s="8">
        <v>11</v>
      </c>
      <c r="E103" s="8">
        <v>9.86</v>
      </c>
      <c r="F103" s="8">
        <v>6.71</v>
      </c>
      <c r="G103" s="8">
        <v>2</v>
      </c>
      <c r="H103" s="8">
        <v>11.86</v>
      </c>
      <c r="I103" s="8">
        <v>17.71</v>
      </c>
      <c r="J103" s="8">
        <v>52.8</v>
      </c>
      <c r="K103" s="8">
        <v>2</v>
      </c>
      <c r="L103" s="8">
        <v>0.05</v>
      </c>
      <c r="M103" s="8">
        <v>30.41</v>
      </c>
      <c r="N103" s="8">
        <v>1.69</v>
      </c>
      <c r="O103" s="12" t="str">
        <f t="shared" si="2"/>
        <v>Fixed</v>
      </c>
      <c r="P103" s="12">
        <v>1</v>
      </c>
      <c r="Q103" s="12">
        <v>1</v>
      </c>
      <c r="R103" s="12">
        <v>1</v>
      </c>
      <c r="S103" s="6">
        <v>1</v>
      </c>
    </row>
    <row r="104" spans="1:26" x14ac:dyDescent="0.35">
      <c r="A104" s="5" t="s">
        <v>71</v>
      </c>
      <c r="B104" s="6">
        <v>1</v>
      </c>
      <c r="C104" s="6">
        <v>74.569999999999993</v>
      </c>
      <c r="D104" s="6">
        <v>11</v>
      </c>
      <c r="E104" s="6">
        <v>9.86</v>
      </c>
      <c r="F104" s="6">
        <v>6.71</v>
      </c>
      <c r="G104" s="6">
        <v>2</v>
      </c>
      <c r="H104" s="6">
        <v>11.86</v>
      </c>
      <c r="I104" s="6">
        <v>17.71</v>
      </c>
      <c r="J104" s="6">
        <v>52.8</v>
      </c>
      <c r="K104" s="6">
        <v>2</v>
      </c>
      <c r="L104" s="6">
        <v>0.05</v>
      </c>
      <c r="M104" s="6">
        <v>30.41</v>
      </c>
      <c r="N104" s="6">
        <v>1.69</v>
      </c>
      <c r="O104" s="12" t="str">
        <f t="shared" si="2"/>
        <v>Fixed</v>
      </c>
      <c r="P104" s="12">
        <v>1</v>
      </c>
      <c r="Q104" s="12">
        <v>1</v>
      </c>
      <c r="R104" s="12">
        <v>1</v>
      </c>
      <c r="S104" s="6">
        <v>1</v>
      </c>
    </row>
    <row r="105" spans="1:26" x14ac:dyDescent="0.35">
      <c r="A105" s="5" t="s">
        <v>129</v>
      </c>
      <c r="B105" s="6">
        <v>1</v>
      </c>
      <c r="C105" s="6">
        <v>74.569999999999993</v>
      </c>
      <c r="D105" s="6">
        <v>11</v>
      </c>
      <c r="E105" s="6">
        <v>9.86</v>
      </c>
      <c r="F105" s="6">
        <v>6.71</v>
      </c>
      <c r="G105" s="6">
        <v>2</v>
      </c>
      <c r="H105" s="6">
        <v>11.86</v>
      </c>
      <c r="I105" s="6">
        <v>17.71</v>
      </c>
      <c r="J105" s="6">
        <v>52.8</v>
      </c>
      <c r="K105" s="6">
        <v>2</v>
      </c>
      <c r="L105" s="6">
        <v>0.05</v>
      </c>
      <c r="M105" s="6">
        <v>30.41</v>
      </c>
      <c r="N105" s="6">
        <v>1.69</v>
      </c>
      <c r="O105" s="12" t="str">
        <f t="shared" si="2"/>
        <v>Fixed</v>
      </c>
      <c r="P105" s="12">
        <v>1</v>
      </c>
      <c r="Q105" s="12">
        <v>1</v>
      </c>
      <c r="R105" s="12">
        <v>1</v>
      </c>
      <c r="S105" s="6">
        <v>1</v>
      </c>
    </row>
    <row r="106" spans="1:26" x14ac:dyDescent="0.35">
      <c r="A106" s="7" t="s">
        <v>92</v>
      </c>
      <c r="B106" s="8">
        <v>1</v>
      </c>
      <c r="C106" s="8">
        <v>74.569999999999993</v>
      </c>
      <c r="D106" s="8">
        <v>11</v>
      </c>
      <c r="E106" s="8">
        <v>9.86</v>
      </c>
      <c r="F106" s="8">
        <v>6.71</v>
      </c>
      <c r="G106" s="8">
        <v>2</v>
      </c>
      <c r="H106" s="8">
        <v>11.86</v>
      </c>
      <c r="I106" s="8">
        <v>17.71</v>
      </c>
      <c r="J106" s="8">
        <v>52.8</v>
      </c>
      <c r="K106" s="8">
        <v>2</v>
      </c>
      <c r="L106" s="8">
        <v>0.05</v>
      </c>
      <c r="M106" s="8">
        <v>30.41</v>
      </c>
      <c r="N106" s="8">
        <v>1.69</v>
      </c>
      <c r="O106" s="12" t="str">
        <f t="shared" si="2"/>
        <v>Fixed</v>
      </c>
      <c r="P106" s="12">
        <v>1</v>
      </c>
      <c r="Q106" s="12">
        <v>1</v>
      </c>
      <c r="R106" s="12">
        <v>1</v>
      </c>
      <c r="S106" s="6">
        <v>1</v>
      </c>
    </row>
    <row r="107" spans="1:26" ht="29.4" thickBot="1" x14ac:dyDescent="0.4">
      <c r="A107" s="18" t="s">
        <v>69</v>
      </c>
      <c r="B107" s="19">
        <v>1</v>
      </c>
      <c r="C107" s="19">
        <v>74.569999999999993</v>
      </c>
      <c r="D107" s="19">
        <v>11</v>
      </c>
      <c r="E107" s="19">
        <v>9.86</v>
      </c>
      <c r="F107" s="19">
        <v>6.71</v>
      </c>
      <c r="G107" s="19">
        <v>2</v>
      </c>
      <c r="H107" s="19">
        <v>11.86</v>
      </c>
      <c r="I107" s="19">
        <v>17.71</v>
      </c>
      <c r="J107" s="19">
        <v>52.8</v>
      </c>
      <c r="K107" s="19">
        <v>2</v>
      </c>
      <c r="L107" s="19">
        <v>0.05</v>
      </c>
      <c r="M107" s="19">
        <v>30.41</v>
      </c>
      <c r="N107" s="19">
        <v>1.69</v>
      </c>
      <c r="O107" s="20" t="str">
        <f t="shared" si="2"/>
        <v>Fixed</v>
      </c>
      <c r="P107" s="20">
        <v>1</v>
      </c>
      <c r="Q107" s="20">
        <v>1</v>
      </c>
      <c r="R107" s="20">
        <v>1</v>
      </c>
      <c r="S107" s="19">
        <v>1</v>
      </c>
      <c r="T107" s="33"/>
      <c r="U107" s="32" t="s">
        <v>222</v>
      </c>
      <c r="V107" s="32" t="s">
        <v>223</v>
      </c>
      <c r="W107" s="32" t="s">
        <v>220</v>
      </c>
      <c r="X107" s="32" t="s">
        <v>221</v>
      </c>
      <c r="Y107" s="32" t="s">
        <v>224</v>
      </c>
      <c r="Z107"/>
    </row>
    <row r="108" spans="1:26" ht="15" x14ac:dyDescent="0.35">
      <c r="A108" s="15" t="s">
        <v>119</v>
      </c>
      <c r="B108" s="16">
        <v>2.31</v>
      </c>
      <c r="C108" s="16">
        <v>78.92</v>
      </c>
      <c r="D108" s="16">
        <v>8.15</v>
      </c>
      <c r="E108" s="16">
        <v>6.85</v>
      </c>
      <c r="F108" s="16">
        <v>6.23</v>
      </c>
      <c r="G108" s="16">
        <v>3.08</v>
      </c>
      <c r="H108" s="16">
        <v>9.92</v>
      </c>
      <c r="I108" s="16">
        <v>14.38</v>
      </c>
      <c r="J108" s="16">
        <v>39.97</v>
      </c>
      <c r="K108" s="16">
        <v>0.69</v>
      </c>
      <c r="L108" s="16">
        <v>0.24</v>
      </c>
      <c r="M108" s="16">
        <v>23.51</v>
      </c>
      <c r="N108" s="16">
        <v>1.31</v>
      </c>
      <c r="O108" s="17" t="str">
        <f t="shared" si="2"/>
        <v>Repaired</v>
      </c>
      <c r="P108" s="17">
        <v>1</v>
      </c>
      <c r="Q108" s="17">
        <v>0</v>
      </c>
      <c r="R108" s="17">
        <v>1</v>
      </c>
      <c r="S108" s="16">
        <v>1</v>
      </c>
      <c r="U108" t="str">
        <f>IF(AND($P66=1,$P108=1,$S66=1,$S108=1), "YES", "NO")</f>
        <v>NO</v>
      </c>
      <c r="V108" t="str">
        <f>IF(AND($P66=1,$P108=1,$S66&gt;1,$S108&gt;1), "YES", "NO")</f>
        <v>NO</v>
      </c>
      <c r="W108" t="str">
        <f t="shared" ref="W108:W149" si="3">IF(AND(P66&gt;1,P108&gt;1,P66=S66,P108=S108), "YES", "NO")</f>
        <v>NO</v>
      </c>
      <c r="X108" t="str">
        <f t="shared" ref="X108:X149" si="4">IF(AND(P66&gt;1,P108&gt;1,P66&lt;S66,P108&lt;S108), "YES", "NO")</f>
        <v>NO</v>
      </c>
      <c r="Y108" t="str">
        <f>IF(AND($S66&gt;5,$S108&gt;5), "YES", "NO")</f>
        <v>NO</v>
      </c>
      <c r="Z108"/>
    </row>
    <row r="109" spans="1:26" ht="15" x14ac:dyDescent="0.35">
      <c r="A109" s="5" t="s">
        <v>33</v>
      </c>
      <c r="B109" s="6">
        <v>2.31</v>
      </c>
      <c r="C109" s="6">
        <v>79.150000000000006</v>
      </c>
      <c r="D109" s="6">
        <v>8.15</v>
      </c>
      <c r="E109" s="6">
        <v>6.77</v>
      </c>
      <c r="F109" s="6">
        <v>6.15</v>
      </c>
      <c r="G109" s="6">
        <v>3.08</v>
      </c>
      <c r="H109" s="6">
        <v>9.85</v>
      </c>
      <c r="I109" s="6">
        <v>14.31</v>
      </c>
      <c r="J109" s="6">
        <v>39.67</v>
      </c>
      <c r="K109" s="6">
        <v>0.46</v>
      </c>
      <c r="L109" s="6">
        <v>0.26</v>
      </c>
      <c r="M109" s="6">
        <v>18.440000000000001</v>
      </c>
      <c r="N109" s="6">
        <v>1.02</v>
      </c>
      <c r="O109" s="12" t="str">
        <f t="shared" si="2"/>
        <v>Repaired</v>
      </c>
      <c r="P109" s="12">
        <v>2</v>
      </c>
      <c r="Q109" s="12">
        <v>0</v>
      </c>
      <c r="R109" s="12">
        <v>2</v>
      </c>
      <c r="S109" s="6">
        <v>2</v>
      </c>
      <c r="U109" t="str">
        <f t="shared" ref="U109:U149" si="5">IF(AND($P67=1,$P109=1,$S67=1,$S109=1), "YES", "NO")</f>
        <v>NO</v>
      </c>
      <c r="V109" t="str">
        <f t="shared" ref="V109:V149" si="6">IF(AND($P67=1,$P109=1,$S67&gt;1,$S109&gt;1), "YES", "NO")</f>
        <v>NO</v>
      </c>
      <c r="W109" t="str">
        <f t="shared" si="3"/>
        <v>NO</v>
      </c>
      <c r="X109" t="str">
        <f t="shared" si="4"/>
        <v>NO</v>
      </c>
      <c r="Y109" t="str">
        <f t="shared" ref="Y109:Y149" si="7">IF(AND($S67&gt;5,$S109&gt;5), "YES", "NO")</f>
        <v>NO</v>
      </c>
      <c r="Z109"/>
    </row>
    <row r="110" spans="1:26" ht="15" x14ac:dyDescent="0.35">
      <c r="A110" s="7" t="s">
        <v>50</v>
      </c>
      <c r="B110" s="8">
        <v>4.58</v>
      </c>
      <c r="C110" s="8">
        <v>72.27</v>
      </c>
      <c r="D110" s="8">
        <v>16.25</v>
      </c>
      <c r="E110" s="8">
        <v>6.73</v>
      </c>
      <c r="F110" s="8">
        <v>15.1</v>
      </c>
      <c r="G110" s="8">
        <v>4.63</v>
      </c>
      <c r="H110" s="8">
        <v>11.37</v>
      </c>
      <c r="I110" s="8">
        <v>31.35</v>
      </c>
      <c r="J110" s="8">
        <v>56.96</v>
      </c>
      <c r="K110" s="8">
        <v>0.52</v>
      </c>
      <c r="L110" s="8">
        <v>1.4999999999999999E-2</v>
      </c>
      <c r="M110" s="8">
        <v>11.87</v>
      </c>
      <c r="N110" s="8">
        <v>0.66</v>
      </c>
      <c r="O110" s="12" t="str">
        <f t="shared" si="2"/>
        <v>Repaired</v>
      </c>
      <c r="P110" s="12">
        <v>1</v>
      </c>
      <c r="Q110" s="12">
        <v>0</v>
      </c>
      <c r="R110" s="12">
        <v>1</v>
      </c>
      <c r="S110" s="6">
        <v>1</v>
      </c>
      <c r="U110" t="str">
        <f t="shared" si="5"/>
        <v>NO</v>
      </c>
      <c r="V110" t="str">
        <f t="shared" si="6"/>
        <v>NO</v>
      </c>
      <c r="W110" t="str">
        <f t="shared" si="3"/>
        <v>NO</v>
      </c>
      <c r="X110" t="str">
        <f t="shared" si="4"/>
        <v>NO</v>
      </c>
      <c r="Y110" t="str">
        <f t="shared" si="7"/>
        <v>NO</v>
      </c>
      <c r="Z110"/>
    </row>
    <row r="111" spans="1:26" ht="15" x14ac:dyDescent="0.35">
      <c r="A111" s="7" t="s">
        <v>30</v>
      </c>
      <c r="B111" s="8">
        <v>2.15</v>
      </c>
      <c r="C111" s="8">
        <v>79.38</v>
      </c>
      <c r="D111" s="8">
        <v>8</v>
      </c>
      <c r="E111" s="8">
        <v>6.85</v>
      </c>
      <c r="F111" s="8">
        <v>5.92</v>
      </c>
      <c r="G111" s="8">
        <v>2.85</v>
      </c>
      <c r="H111" s="8">
        <v>9.69</v>
      </c>
      <c r="I111" s="8">
        <v>13.92</v>
      </c>
      <c r="J111" s="8">
        <v>38.79</v>
      </c>
      <c r="K111" s="8">
        <v>0.85</v>
      </c>
      <c r="L111" s="8">
        <v>0.24</v>
      </c>
      <c r="M111" s="8">
        <v>27.47</v>
      </c>
      <c r="N111" s="8">
        <v>1.53</v>
      </c>
      <c r="O111" s="12" t="str">
        <f t="shared" si="2"/>
        <v>Repaired</v>
      </c>
      <c r="P111" s="12">
        <v>1</v>
      </c>
      <c r="Q111" s="12">
        <v>0</v>
      </c>
      <c r="R111" s="12">
        <v>6</v>
      </c>
      <c r="S111" s="6">
        <v>6</v>
      </c>
      <c r="U111" t="str">
        <f t="shared" si="5"/>
        <v>NO</v>
      </c>
      <c r="V111" t="str">
        <f t="shared" si="6"/>
        <v>NO</v>
      </c>
      <c r="W111" t="str">
        <f t="shared" si="3"/>
        <v>NO</v>
      </c>
      <c r="X111" t="str">
        <f t="shared" si="4"/>
        <v>NO</v>
      </c>
      <c r="Y111" t="str">
        <f t="shared" si="7"/>
        <v>NO</v>
      </c>
      <c r="Z111"/>
    </row>
    <row r="112" spans="1:26" ht="15" x14ac:dyDescent="0.35">
      <c r="A112" s="5" t="s">
        <v>143</v>
      </c>
      <c r="B112" s="6">
        <v>1.33</v>
      </c>
      <c r="C112" s="6">
        <v>92.17</v>
      </c>
      <c r="D112" s="6">
        <v>2.67</v>
      </c>
      <c r="E112" s="6">
        <v>2.17</v>
      </c>
      <c r="F112" s="6">
        <v>1.17</v>
      </c>
      <c r="G112" s="6">
        <v>0.83</v>
      </c>
      <c r="H112" s="6">
        <v>3</v>
      </c>
      <c r="I112" s="6">
        <v>3.83</v>
      </c>
      <c r="J112" s="6">
        <v>6.93</v>
      </c>
      <c r="K112" s="6">
        <v>0.17</v>
      </c>
      <c r="L112" s="6">
        <v>0.17</v>
      </c>
      <c r="M112" s="6">
        <v>1</v>
      </c>
      <c r="N112" s="6">
        <v>5.6000000000000001E-2</v>
      </c>
      <c r="O112" s="12" t="str">
        <f t="shared" si="2"/>
        <v>Repaired</v>
      </c>
      <c r="P112" s="12">
        <v>1</v>
      </c>
      <c r="Q112" s="12">
        <v>0</v>
      </c>
      <c r="R112" s="12">
        <v>4</v>
      </c>
      <c r="S112" s="6">
        <v>4</v>
      </c>
      <c r="U112" t="str">
        <f t="shared" si="5"/>
        <v>NO</v>
      </c>
      <c r="V112" t="str">
        <f t="shared" si="6"/>
        <v>YES</v>
      </c>
      <c r="W112" t="str">
        <f t="shared" si="3"/>
        <v>NO</v>
      </c>
      <c r="X112" t="str">
        <f t="shared" si="4"/>
        <v>NO</v>
      </c>
      <c r="Y112" t="str">
        <f t="shared" si="7"/>
        <v>NO</v>
      </c>
      <c r="Z112"/>
    </row>
    <row r="113" spans="1:26" ht="15" x14ac:dyDescent="0.35">
      <c r="A113" s="7" t="s">
        <v>142</v>
      </c>
      <c r="B113" s="8">
        <v>1.33</v>
      </c>
      <c r="C113" s="8">
        <v>92.17</v>
      </c>
      <c r="D113" s="8">
        <v>2.67</v>
      </c>
      <c r="E113" s="8">
        <v>2.17</v>
      </c>
      <c r="F113" s="8">
        <v>1.17</v>
      </c>
      <c r="G113" s="8">
        <v>0.83</v>
      </c>
      <c r="H113" s="8">
        <v>3</v>
      </c>
      <c r="I113" s="8">
        <v>3.83</v>
      </c>
      <c r="J113" s="8">
        <v>6.93</v>
      </c>
      <c r="K113" s="8">
        <v>0.17</v>
      </c>
      <c r="L113" s="8">
        <v>0.17</v>
      </c>
      <c r="M113" s="8">
        <v>1</v>
      </c>
      <c r="N113" s="8">
        <v>5.6000000000000001E-2</v>
      </c>
      <c r="O113" s="12" t="str">
        <f t="shared" si="2"/>
        <v>Repaired</v>
      </c>
      <c r="P113" s="12">
        <v>1</v>
      </c>
      <c r="Q113" s="12">
        <v>0</v>
      </c>
      <c r="R113" s="12">
        <v>4</v>
      </c>
      <c r="S113" s="6">
        <v>4</v>
      </c>
      <c r="U113" t="str">
        <f t="shared" si="5"/>
        <v>NO</v>
      </c>
      <c r="V113" t="str">
        <f t="shared" si="6"/>
        <v>YES</v>
      </c>
      <c r="W113" t="str">
        <f t="shared" si="3"/>
        <v>NO</v>
      </c>
      <c r="X113" t="str">
        <f t="shared" si="4"/>
        <v>NO</v>
      </c>
      <c r="Y113" t="str">
        <f t="shared" si="7"/>
        <v>NO</v>
      </c>
      <c r="Z113"/>
    </row>
    <row r="114" spans="1:26" ht="15" x14ac:dyDescent="0.35">
      <c r="A114" s="5" t="s">
        <v>77</v>
      </c>
      <c r="B114" s="6">
        <v>1</v>
      </c>
      <c r="C114" s="6">
        <v>100</v>
      </c>
      <c r="D114" s="6">
        <v>3</v>
      </c>
      <c r="E114" s="6">
        <v>4</v>
      </c>
      <c r="F114" s="6">
        <v>0</v>
      </c>
      <c r="G114" s="6">
        <v>0</v>
      </c>
      <c r="H114" s="6">
        <v>4</v>
      </c>
      <c r="I114" s="6">
        <v>3</v>
      </c>
      <c r="J114" s="6">
        <v>6.34</v>
      </c>
      <c r="K114" s="6">
        <v>0</v>
      </c>
      <c r="L114" s="6">
        <v>0</v>
      </c>
      <c r="M114" s="6">
        <v>0</v>
      </c>
      <c r="N114" s="6">
        <v>0</v>
      </c>
      <c r="O114" s="12" t="str">
        <f t="shared" si="2"/>
        <v>Repaired</v>
      </c>
      <c r="P114" s="12">
        <v>1</v>
      </c>
      <c r="Q114" s="12">
        <v>0</v>
      </c>
      <c r="R114" s="12">
        <v>1</v>
      </c>
      <c r="S114" s="6">
        <v>1</v>
      </c>
      <c r="U114" t="str">
        <f t="shared" si="5"/>
        <v>NO</v>
      </c>
      <c r="V114" t="str">
        <f t="shared" si="6"/>
        <v>NO</v>
      </c>
      <c r="W114" t="str">
        <f t="shared" si="3"/>
        <v>NO</v>
      </c>
      <c r="X114" t="str">
        <f t="shared" si="4"/>
        <v>NO</v>
      </c>
      <c r="Y114" t="str">
        <f t="shared" si="7"/>
        <v>NO</v>
      </c>
      <c r="Z114"/>
    </row>
    <row r="115" spans="1:26" ht="15" x14ac:dyDescent="0.35">
      <c r="A115" s="7" t="s">
        <v>88</v>
      </c>
      <c r="B115" s="8">
        <v>1</v>
      </c>
      <c r="C115" s="8">
        <v>100</v>
      </c>
      <c r="D115" s="8">
        <v>3</v>
      </c>
      <c r="E115" s="8">
        <v>4</v>
      </c>
      <c r="F115" s="8">
        <v>0</v>
      </c>
      <c r="G115" s="8">
        <v>0</v>
      </c>
      <c r="H115" s="8">
        <v>4</v>
      </c>
      <c r="I115" s="8">
        <v>3</v>
      </c>
      <c r="J115" s="8">
        <v>6.34</v>
      </c>
      <c r="K115" s="8">
        <v>0</v>
      </c>
      <c r="L115" s="8">
        <v>0</v>
      </c>
      <c r="M115" s="8">
        <v>0</v>
      </c>
      <c r="N115" s="8">
        <v>0</v>
      </c>
      <c r="O115" s="12" t="str">
        <f t="shared" si="2"/>
        <v>Repaired</v>
      </c>
      <c r="P115" s="12">
        <v>1</v>
      </c>
      <c r="Q115" s="12">
        <v>0</v>
      </c>
      <c r="R115" s="12">
        <v>1</v>
      </c>
      <c r="S115" s="6">
        <v>1</v>
      </c>
      <c r="U115" t="str">
        <f t="shared" si="5"/>
        <v>NO</v>
      </c>
      <c r="V115" t="str">
        <f t="shared" si="6"/>
        <v>NO</v>
      </c>
      <c r="W115" t="str">
        <f t="shared" si="3"/>
        <v>NO</v>
      </c>
      <c r="X115" t="str">
        <f t="shared" si="4"/>
        <v>NO</v>
      </c>
      <c r="Y115" t="str">
        <f t="shared" si="7"/>
        <v>NO</v>
      </c>
      <c r="Z115"/>
    </row>
    <row r="116" spans="1:26" ht="15" x14ac:dyDescent="0.35">
      <c r="A116" s="7" t="s">
        <v>38</v>
      </c>
      <c r="B116" s="8">
        <v>1</v>
      </c>
      <c r="C116" s="8">
        <v>100</v>
      </c>
      <c r="D116" s="8">
        <v>3</v>
      </c>
      <c r="E116" s="8">
        <v>4</v>
      </c>
      <c r="F116" s="8">
        <v>0</v>
      </c>
      <c r="G116" s="8">
        <v>0</v>
      </c>
      <c r="H116" s="8">
        <v>4</v>
      </c>
      <c r="I116" s="8">
        <v>3</v>
      </c>
      <c r="J116" s="8">
        <v>6.34</v>
      </c>
      <c r="K116" s="8">
        <v>0</v>
      </c>
      <c r="L116" s="8">
        <v>0</v>
      </c>
      <c r="M116" s="8">
        <v>0</v>
      </c>
      <c r="N116" s="8">
        <v>0</v>
      </c>
      <c r="O116" s="12" t="str">
        <f t="shared" si="2"/>
        <v>Repaired</v>
      </c>
      <c r="P116" s="12">
        <v>1</v>
      </c>
      <c r="Q116" s="12">
        <v>0</v>
      </c>
      <c r="R116" s="12">
        <v>1</v>
      </c>
      <c r="S116" s="6">
        <v>1</v>
      </c>
      <c r="U116" t="str">
        <f t="shared" si="5"/>
        <v>NO</v>
      </c>
      <c r="V116" t="str">
        <f t="shared" si="6"/>
        <v>NO</v>
      </c>
      <c r="W116" t="str">
        <f t="shared" si="3"/>
        <v>NO</v>
      </c>
      <c r="X116" t="str">
        <f t="shared" si="4"/>
        <v>NO</v>
      </c>
      <c r="Y116" t="str">
        <f t="shared" si="7"/>
        <v>NO</v>
      </c>
      <c r="Z116"/>
    </row>
    <row r="117" spans="1:26" ht="15" x14ac:dyDescent="0.35">
      <c r="A117" s="7" t="s">
        <v>132</v>
      </c>
      <c r="B117" s="8">
        <v>1</v>
      </c>
      <c r="C117" s="8">
        <v>100</v>
      </c>
      <c r="D117" s="8">
        <v>3</v>
      </c>
      <c r="E117" s="8">
        <v>4</v>
      </c>
      <c r="F117" s="8">
        <v>0</v>
      </c>
      <c r="G117" s="8">
        <v>0</v>
      </c>
      <c r="H117" s="8">
        <v>4</v>
      </c>
      <c r="I117" s="8">
        <v>3</v>
      </c>
      <c r="J117" s="8">
        <v>6.34</v>
      </c>
      <c r="K117" s="8">
        <v>0</v>
      </c>
      <c r="L117" s="8">
        <v>0</v>
      </c>
      <c r="M117" s="8">
        <v>0</v>
      </c>
      <c r="N117" s="8">
        <v>0</v>
      </c>
      <c r="O117" s="12" t="str">
        <f t="shared" si="2"/>
        <v>Repaired</v>
      </c>
      <c r="P117" s="12">
        <v>1</v>
      </c>
      <c r="Q117" s="12">
        <v>0</v>
      </c>
      <c r="R117" s="12">
        <v>1</v>
      </c>
      <c r="S117" s="6">
        <v>1</v>
      </c>
      <c r="U117" t="str">
        <f t="shared" si="5"/>
        <v>NO</v>
      </c>
      <c r="V117" t="str">
        <f t="shared" si="6"/>
        <v>NO</v>
      </c>
      <c r="W117" t="str">
        <f t="shared" si="3"/>
        <v>NO</v>
      </c>
      <c r="X117" t="str">
        <f t="shared" si="4"/>
        <v>NO</v>
      </c>
      <c r="Y117" t="str">
        <f t="shared" si="7"/>
        <v>NO</v>
      </c>
      <c r="Z117"/>
    </row>
    <row r="118" spans="1:26" ht="15" x14ac:dyDescent="0.35">
      <c r="A118" s="5" t="s">
        <v>123</v>
      </c>
      <c r="B118" s="6">
        <v>1</v>
      </c>
      <c r="C118" s="6">
        <v>100</v>
      </c>
      <c r="D118" s="6">
        <v>3</v>
      </c>
      <c r="E118" s="6">
        <v>4</v>
      </c>
      <c r="F118" s="6">
        <v>0</v>
      </c>
      <c r="G118" s="6">
        <v>0</v>
      </c>
      <c r="H118" s="6">
        <v>4</v>
      </c>
      <c r="I118" s="6">
        <v>3</v>
      </c>
      <c r="J118" s="6">
        <v>6.34</v>
      </c>
      <c r="K118" s="6">
        <v>0</v>
      </c>
      <c r="L118" s="6">
        <v>0</v>
      </c>
      <c r="M118" s="6">
        <v>0</v>
      </c>
      <c r="N118" s="6">
        <v>0</v>
      </c>
      <c r="O118" s="12" t="str">
        <f t="shared" si="2"/>
        <v>Repaired</v>
      </c>
      <c r="P118" s="12">
        <v>1</v>
      </c>
      <c r="Q118" s="12">
        <v>0</v>
      </c>
      <c r="R118" s="12">
        <v>1</v>
      </c>
      <c r="S118" s="6">
        <v>1</v>
      </c>
      <c r="U118" t="str">
        <f t="shared" si="5"/>
        <v>NO</v>
      </c>
      <c r="V118" t="str">
        <f t="shared" si="6"/>
        <v>NO</v>
      </c>
      <c r="W118" t="str">
        <f t="shared" si="3"/>
        <v>NO</v>
      </c>
      <c r="X118" t="str">
        <f t="shared" si="4"/>
        <v>NO</v>
      </c>
      <c r="Y118" t="str">
        <f t="shared" si="7"/>
        <v>NO</v>
      </c>
      <c r="Z118"/>
    </row>
    <row r="119" spans="1:26" ht="15" x14ac:dyDescent="0.35">
      <c r="A119" s="5" t="s">
        <v>89</v>
      </c>
      <c r="B119" s="6">
        <v>2.62</v>
      </c>
      <c r="C119" s="6">
        <v>79.92</v>
      </c>
      <c r="D119" s="6">
        <v>10.15</v>
      </c>
      <c r="E119" s="6">
        <v>5.54</v>
      </c>
      <c r="F119" s="6">
        <v>8.5399999999999991</v>
      </c>
      <c r="G119" s="6">
        <v>3.31</v>
      </c>
      <c r="H119" s="6">
        <v>8.85</v>
      </c>
      <c r="I119" s="6">
        <v>18.690000000000001</v>
      </c>
      <c r="J119" s="6">
        <v>37.54</v>
      </c>
      <c r="K119" s="6">
        <v>0</v>
      </c>
      <c r="L119" s="6">
        <v>0</v>
      </c>
      <c r="M119" s="6">
        <v>0</v>
      </c>
      <c r="N119" s="6">
        <v>0</v>
      </c>
      <c r="O119" s="12" t="str">
        <f t="shared" si="2"/>
        <v>Repaired</v>
      </c>
      <c r="P119" s="12">
        <v>1</v>
      </c>
      <c r="Q119" s="12">
        <v>0</v>
      </c>
      <c r="R119" s="12">
        <v>1</v>
      </c>
      <c r="S119" s="6">
        <v>1</v>
      </c>
      <c r="U119" t="str">
        <f t="shared" si="5"/>
        <v>NO</v>
      </c>
      <c r="V119" t="str">
        <f t="shared" si="6"/>
        <v>NO</v>
      </c>
      <c r="W119" t="str">
        <f t="shared" si="3"/>
        <v>NO</v>
      </c>
      <c r="X119" t="str">
        <f t="shared" si="4"/>
        <v>NO</v>
      </c>
      <c r="Y119" t="str">
        <f t="shared" si="7"/>
        <v>NO</v>
      </c>
      <c r="Z119"/>
    </row>
    <row r="120" spans="1:26" ht="15" x14ac:dyDescent="0.35">
      <c r="A120" s="5" t="s">
        <v>47</v>
      </c>
      <c r="B120" s="6">
        <v>2.62</v>
      </c>
      <c r="C120" s="6">
        <v>79.92</v>
      </c>
      <c r="D120" s="6">
        <v>10.15</v>
      </c>
      <c r="E120" s="6">
        <v>5.54</v>
      </c>
      <c r="F120" s="6">
        <v>8.5399999999999991</v>
      </c>
      <c r="G120" s="6">
        <v>3.31</v>
      </c>
      <c r="H120" s="6">
        <v>8.85</v>
      </c>
      <c r="I120" s="6">
        <v>18.690000000000001</v>
      </c>
      <c r="J120" s="6">
        <v>37.54</v>
      </c>
      <c r="K120" s="6">
        <v>0</v>
      </c>
      <c r="L120" s="6">
        <v>0</v>
      </c>
      <c r="M120" s="6">
        <v>0</v>
      </c>
      <c r="N120" s="6">
        <v>0</v>
      </c>
      <c r="O120" s="12" t="str">
        <f t="shared" ref="O120:O149" si="8">IF(NOT(ISERR(SEARCH("*_Buggy",$A120))), "Buggy", IF(NOT(ISERR(SEARCH("*_Fixed",$A120))), "Fixed", IF(NOT(ISERR(SEARCH("*_Repaired",$A120))), "Repaired", "")))</f>
        <v>Repaired</v>
      </c>
      <c r="P120" s="12">
        <v>2</v>
      </c>
      <c r="Q120" s="12">
        <v>2</v>
      </c>
      <c r="R120" s="12">
        <v>2</v>
      </c>
      <c r="S120" s="6">
        <v>3</v>
      </c>
      <c r="U120" t="str">
        <f t="shared" si="5"/>
        <v>NO</v>
      </c>
      <c r="V120" t="str">
        <f t="shared" si="6"/>
        <v>NO</v>
      </c>
      <c r="W120" t="str">
        <f t="shared" si="3"/>
        <v>NO</v>
      </c>
      <c r="X120" t="str">
        <f t="shared" si="4"/>
        <v>YES</v>
      </c>
      <c r="Y120" t="str">
        <f t="shared" si="7"/>
        <v>NO</v>
      </c>
      <c r="Z120"/>
    </row>
    <row r="121" spans="1:26" ht="15" x14ac:dyDescent="0.35">
      <c r="A121" s="7" t="s">
        <v>46</v>
      </c>
      <c r="B121" s="8">
        <v>2.46</v>
      </c>
      <c r="C121" s="8">
        <v>80.23</v>
      </c>
      <c r="D121" s="8">
        <v>9.92</v>
      </c>
      <c r="E121" s="8">
        <v>5.54</v>
      </c>
      <c r="F121" s="8">
        <v>8.08</v>
      </c>
      <c r="G121" s="8">
        <v>3</v>
      </c>
      <c r="H121" s="8">
        <v>8.5399999999999991</v>
      </c>
      <c r="I121" s="8">
        <v>18</v>
      </c>
      <c r="J121" s="8">
        <v>35.54</v>
      </c>
      <c r="K121" s="8">
        <v>0</v>
      </c>
      <c r="L121" s="8">
        <v>0</v>
      </c>
      <c r="M121" s="8">
        <v>0</v>
      </c>
      <c r="N121" s="8">
        <v>0</v>
      </c>
      <c r="O121" s="12" t="str">
        <f t="shared" si="8"/>
        <v>Repaired</v>
      </c>
      <c r="P121" s="12">
        <v>3</v>
      </c>
      <c r="Q121" s="12">
        <v>0</v>
      </c>
      <c r="R121" s="12">
        <v>6</v>
      </c>
      <c r="S121" s="6">
        <v>6</v>
      </c>
      <c r="U121" t="str">
        <f t="shared" si="5"/>
        <v>NO</v>
      </c>
      <c r="V121" t="str">
        <f t="shared" si="6"/>
        <v>NO</v>
      </c>
      <c r="W121" t="str">
        <f t="shared" si="3"/>
        <v>NO</v>
      </c>
      <c r="X121" t="str">
        <f t="shared" si="4"/>
        <v>YES</v>
      </c>
      <c r="Y121" t="str">
        <f t="shared" si="7"/>
        <v>YES</v>
      </c>
      <c r="Z121"/>
    </row>
    <row r="122" spans="1:26" ht="15" x14ac:dyDescent="0.35">
      <c r="A122" s="7" t="s">
        <v>138</v>
      </c>
      <c r="B122" s="8">
        <v>2.54</v>
      </c>
      <c r="C122" s="8">
        <v>80.38</v>
      </c>
      <c r="D122" s="8">
        <v>10.08</v>
      </c>
      <c r="E122" s="8">
        <v>5.46</v>
      </c>
      <c r="F122" s="8">
        <v>8.3800000000000008</v>
      </c>
      <c r="G122" s="8">
        <v>3.15</v>
      </c>
      <c r="H122" s="8">
        <v>8.6199999999999992</v>
      </c>
      <c r="I122" s="8">
        <v>18.46</v>
      </c>
      <c r="J122" s="8">
        <v>36.49</v>
      </c>
      <c r="K122" s="8">
        <v>0</v>
      </c>
      <c r="L122" s="8">
        <v>0</v>
      </c>
      <c r="M122" s="8">
        <v>0</v>
      </c>
      <c r="N122" s="8">
        <v>0</v>
      </c>
      <c r="O122" s="12" t="str">
        <f t="shared" si="8"/>
        <v>Repaired</v>
      </c>
      <c r="P122" s="12">
        <v>2</v>
      </c>
      <c r="Q122" s="12">
        <v>0</v>
      </c>
      <c r="R122" s="12">
        <v>2</v>
      </c>
      <c r="S122" s="6">
        <v>2</v>
      </c>
      <c r="U122" t="str">
        <f t="shared" si="5"/>
        <v>NO</v>
      </c>
      <c r="V122" t="str">
        <f t="shared" si="6"/>
        <v>NO</v>
      </c>
      <c r="W122" t="str">
        <f t="shared" si="3"/>
        <v>NO</v>
      </c>
      <c r="X122" t="str">
        <f t="shared" si="4"/>
        <v>NO</v>
      </c>
      <c r="Y122" t="str">
        <f t="shared" si="7"/>
        <v>NO</v>
      </c>
      <c r="Z122"/>
    </row>
    <row r="123" spans="1:26" ht="15" x14ac:dyDescent="0.35">
      <c r="A123" s="7" t="s">
        <v>130</v>
      </c>
      <c r="B123" s="8">
        <v>2.46</v>
      </c>
      <c r="C123" s="8">
        <v>80.150000000000006</v>
      </c>
      <c r="D123" s="8">
        <v>9.92</v>
      </c>
      <c r="E123" s="8">
        <v>5.54</v>
      </c>
      <c r="F123" s="8">
        <v>8.08</v>
      </c>
      <c r="G123" s="8">
        <v>3</v>
      </c>
      <c r="H123" s="8">
        <v>8.5399999999999991</v>
      </c>
      <c r="I123" s="8">
        <v>18</v>
      </c>
      <c r="J123" s="8">
        <v>35.54</v>
      </c>
      <c r="K123" s="8">
        <v>0</v>
      </c>
      <c r="L123" s="8">
        <v>0</v>
      </c>
      <c r="M123" s="8">
        <v>0</v>
      </c>
      <c r="N123" s="8">
        <v>0</v>
      </c>
      <c r="O123" s="12" t="str">
        <f t="shared" si="8"/>
        <v>Repaired</v>
      </c>
      <c r="P123" s="12">
        <v>2</v>
      </c>
      <c r="Q123" s="12">
        <v>0</v>
      </c>
      <c r="R123" s="12">
        <v>5</v>
      </c>
      <c r="S123" s="6">
        <v>5</v>
      </c>
      <c r="U123" t="str">
        <f t="shared" si="5"/>
        <v>NO</v>
      </c>
      <c r="V123" t="str">
        <f t="shared" si="6"/>
        <v>NO</v>
      </c>
      <c r="W123" t="str">
        <f t="shared" si="3"/>
        <v>NO</v>
      </c>
      <c r="X123" t="str">
        <f t="shared" si="4"/>
        <v>YES</v>
      </c>
      <c r="Y123" t="str">
        <f t="shared" si="7"/>
        <v>NO</v>
      </c>
      <c r="Z123"/>
    </row>
    <row r="124" spans="1:26" ht="15" x14ac:dyDescent="0.35">
      <c r="A124" s="5" t="s">
        <v>63</v>
      </c>
      <c r="B124" s="6">
        <v>1</v>
      </c>
      <c r="C124" s="6">
        <v>74.290000000000006</v>
      </c>
      <c r="D124" s="6">
        <v>11</v>
      </c>
      <c r="E124" s="6">
        <v>9.86</v>
      </c>
      <c r="F124" s="6">
        <v>6.86</v>
      </c>
      <c r="G124" s="6">
        <v>2.14</v>
      </c>
      <c r="H124" s="6">
        <v>12</v>
      </c>
      <c r="I124" s="6">
        <v>17.86</v>
      </c>
      <c r="J124" s="6">
        <v>53.59</v>
      </c>
      <c r="K124" s="6">
        <v>2</v>
      </c>
      <c r="L124" s="6">
        <v>0.05</v>
      </c>
      <c r="M124" s="6">
        <v>30.41</v>
      </c>
      <c r="N124" s="6">
        <v>1.69</v>
      </c>
      <c r="O124" s="12" t="str">
        <f t="shared" si="8"/>
        <v>Repaired</v>
      </c>
      <c r="P124" s="12">
        <v>2</v>
      </c>
      <c r="Q124" s="12">
        <v>3</v>
      </c>
      <c r="R124" s="12">
        <v>2</v>
      </c>
      <c r="S124" s="6">
        <v>3</v>
      </c>
      <c r="U124" t="str">
        <f t="shared" si="5"/>
        <v>NO</v>
      </c>
      <c r="V124" t="str">
        <f t="shared" si="6"/>
        <v>NO</v>
      </c>
      <c r="W124" t="str">
        <f t="shared" si="3"/>
        <v>NO</v>
      </c>
      <c r="X124" t="str">
        <f t="shared" si="4"/>
        <v>NO</v>
      </c>
      <c r="Y124" t="str">
        <f t="shared" si="7"/>
        <v>NO</v>
      </c>
      <c r="Z124"/>
    </row>
    <row r="125" spans="1:26" ht="15" x14ac:dyDescent="0.35">
      <c r="A125" s="5" t="s">
        <v>125</v>
      </c>
      <c r="B125" s="6">
        <v>1</v>
      </c>
      <c r="C125" s="6">
        <v>74.709999999999994</v>
      </c>
      <c r="D125" s="6">
        <v>10.71</v>
      </c>
      <c r="E125" s="6">
        <v>10</v>
      </c>
      <c r="F125" s="6">
        <v>6.86</v>
      </c>
      <c r="G125" s="6">
        <v>2</v>
      </c>
      <c r="H125" s="6">
        <v>12</v>
      </c>
      <c r="I125" s="6">
        <v>17.57</v>
      </c>
      <c r="J125" s="6">
        <v>53.31</v>
      </c>
      <c r="K125" s="6">
        <v>2.29</v>
      </c>
      <c r="L125" s="6">
        <v>4.8000000000000001E-2</v>
      </c>
      <c r="M125" s="6">
        <v>43.14</v>
      </c>
      <c r="N125" s="6">
        <v>2.4</v>
      </c>
      <c r="O125" s="12" t="str">
        <f t="shared" si="8"/>
        <v>Repaired</v>
      </c>
      <c r="P125" s="12">
        <v>3</v>
      </c>
      <c r="Q125" s="12">
        <v>3</v>
      </c>
      <c r="R125" s="12">
        <v>3</v>
      </c>
      <c r="S125" s="6">
        <v>4</v>
      </c>
      <c r="U125" t="str">
        <f t="shared" si="5"/>
        <v>NO</v>
      </c>
      <c r="V125" t="str">
        <f t="shared" si="6"/>
        <v>NO</v>
      </c>
      <c r="W125" t="str">
        <f t="shared" si="3"/>
        <v>NO</v>
      </c>
      <c r="X125" t="str">
        <f t="shared" si="4"/>
        <v>NO</v>
      </c>
      <c r="Y125" t="str">
        <f t="shared" si="7"/>
        <v>NO</v>
      </c>
      <c r="Z125"/>
    </row>
    <row r="126" spans="1:26" ht="15" x14ac:dyDescent="0.35">
      <c r="A126" s="5" t="s">
        <v>23</v>
      </c>
      <c r="B126" s="6">
        <v>1</v>
      </c>
      <c r="C126" s="6">
        <v>74.14</v>
      </c>
      <c r="D126" s="6">
        <v>11.14</v>
      </c>
      <c r="E126" s="6">
        <v>9.86</v>
      </c>
      <c r="F126" s="6">
        <v>6.86</v>
      </c>
      <c r="G126" s="6">
        <v>2</v>
      </c>
      <c r="H126" s="6">
        <v>11.86</v>
      </c>
      <c r="I126" s="6">
        <v>18</v>
      </c>
      <c r="J126" s="6">
        <v>53.01</v>
      </c>
      <c r="K126" s="6">
        <v>1.71</v>
      </c>
      <c r="L126" s="6">
        <v>8.5999999999999993E-2</v>
      </c>
      <c r="M126" s="6">
        <v>28.84</v>
      </c>
      <c r="N126" s="6">
        <v>1.6</v>
      </c>
      <c r="O126" s="12" t="str">
        <f t="shared" si="8"/>
        <v>Repaired</v>
      </c>
      <c r="P126" s="12">
        <v>2</v>
      </c>
      <c r="Q126" s="12">
        <v>3</v>
      </c>
      <c r="R126" s="12">
        <v>2</v>
      </c>
      <c r="S126" s="6">
        <v>3</v>
      </c>
      <c r="U126" t="str">
        <f t="shared" si="5"/>
        <v>NO</v>
      </c>
      <c r="V126" t="str">
        <f t="shared" si="6"/>
        <v>NO</v>
      </c>
      <c r="W126" t="str">
        <f t="shared" si="3"/>
        <v>NO</v>
      </c>
      <c r="X126" t="str">
        <f t="shared" si="4"/>
        <v>NO</v>
      </c>
      <c r="Y126" t="str">
        <f t="shared" si="7"/>
        <v>NO</v>
      </c>
      <c r="Z126"/>
    </row>
    <row r="127" spans="1:26" ht="15" x14ac:dyDescent="0.35">
      <c r="A127" s="5" t="s">
        <v>107</v>
      </c>
      <c r="B127" s="6">
        <v>1</v>
      </c>
      <c r="C127" s="6">
        <v>74.290000000000006</v>
      </c>
      <c r="D127" s="6">
        <v>11.14</v>
      </c>
      <c r="E127" s="6">
        <v>10</v>
      </c>
      <c r="F127" s="6">
        <v>7</v>
      </c>
      <c r="G127" s="6">
        <v>2</v>
      </c>
      <c r="H127" s="6">
        <v>12</v>
      </c>
      <c r="I127" s="6">
        <v>18.14</v>
      </c>
      <c r="J127" s="6">
        <v>53.58</v>
      </c>
      <c r="K127" s="6">
        <v>2</v>
      </c>
      <c r="L127" s="6">
        <v>0.05</v>
      </c>
      <c r="M127" s="6">
        <v>30.41</v>
      </c>
      <c r="N127" s="6">
        <v>1.69</v>
      </c>
      <c r="O127" s="12" t="str">
        <f t="shared" si="8"/>
        <v>Repaired</v>
      </c>
      <c r="P127" s="12">
        <v>2</v>
      </c>
      <c r="Q127" s="12">
        <v>3</v>
      </c>
      <c r="R127" s="12">
        <v>2</v>
      </c>
      <c r="S127" s="6">
        <v>3</v>
      </c>
      <c r="U127" t="str">
        <f t="shared" si="5"/>
        <v>NO</v>
      </c>
      <c r="V127" t="str">
        <f t="shared" si="6"/>
        <v>NO</v>
      </c>
      <c r="W127" t="str">
        <f t="shared" si="3"/>
        <v>NO</v>
      </c>
      <c r="X127" t="str">
        <f t="shared" si="4"/>
        <v>NO</v>
      </c>
      <c r="Y127" t="str">
        <f t="shared" si="7"/>
        <v>NO</v>
      </c>
      <c r="Z127"/>
    </row>
    <row r="128" spans="1:26" ht="15" x14ac:dyDescent="0.35">
      <c r="A128" s="7" t="s">
        <v>106</v>
      </c>
      <c r="B128" s="8">
        <v>1</v>
      </c>
      <c r="C128" s="8">
        <v>74.290000000000006</v>
      </c>
      <c r="D128" s="8">
        <v>11</v>
      </c>
      <c r="E128" s="8">
        <v>10</v>
      </c>
      <c r="F128" s="8">
        <v>7</v>
      </c>
      <c r="G128" s="8">
        <v>2.29</v>
      </c>
      <c r="H128" s="8">
        <v>12.29</v>
      </c>
      <c r="I128" s="8">
        <v>18</v>
      </c>
      <c r="J128" s="8">
        <v>54.77</v>
      </c>
      <c r="K128" s="8">
        <v>2.29</v>
      </c>
      <c r="L128" s="8">
        <v>4.8000000000000001E-2</v>
      </c>
      <c r="M128" s="8">
        <v>50.86</v>
      </c>
      <c r="N128" s="8">
        <v>2.83</v>
      </c>
      <c r="O128" s="12" t="str">
        <f t="shared" si="8"/>
        <v>Repaired</v>
      </c>
      <c r="P128" s="12">
        <v>4</v>
      </c>
      <c r="Q128" s="12">
        <v>5</v>
      </c>
      <c r="R128" s="12">
        <v>4</v>
      </c>
      <c r="S128" s="6">
        <v>6</v>
      </c>
      <c r="U128" t="str">
        <f t="shared" si="5"/>
        <v>NO</v>
      </c>
      <c r="V128" t="str">
        <f t="shared" si="6"/>
        <v>NO</v>
      </c>
      <c r="W128" t="str">
        <f t="shared" si="3"/>
        <v>NO</v>
      </c>
      <c r="X128" t="str">
        <f t="shared" si="4"/>
        <v>NO</v>
      </c>
      <c r="Y128" t="str">
        <f t="shared" si="7"/>
        <v>NO</v>
      </c>
      <c r="Z128"/>
    </row>
    <row r="129" spans="1:26" ht="15" x14ac:dyDescent="0.35">
      <c r="A129" s="7" t="s">
        <v>76</v>
      </c>
      <c r="B129" s="8">
        <v>5.25</v>
      </c>
      <c r="C129" s="8">
        <v>69</v>
      </c>
      <c r="D129" s="8">
        <v>20.5</v>
      </c>
      <c r="E129" s="8">
        <v>7.5</v>
      </c>
      <c r="F129" s="8">
        <v>19.62</v>
      </c>
      <c r="G129" s="8">
        <v>4.38</v>
      </c>
      <c r="H129" s="8">
        <v>11.88</v>
      </c>
      <c r="I129" s="8">
        <v>40.119999999999997</v>
      </c>
      <c r="J129" s="8">
        <v>65.010000000000005</v>
      </c>
      <c r="K129" s="8">
        <v>0</v>
      </c>
      <c r="L129" s="8">
        <v>0</v>
      </c>
      <c r="M129" s="8">
        <v>0</v>
      </c>
      <c r="N129" s="8">
        <v>0</v>
      </c>
      <c r="O129" s="12" t="str">
        <f t="shared" si="8"/>
        <v>Repaired</v>
      </c>
      <c r="P129" s="12">
        <v>1</v>
      </c>
      <c r="Q129" s="12">
        <v>0</v>
      </c>
      <c r="R129" s="12">
        <v>12</v>
      </c>
      <c r="S129" s="6">
        <v>12</v>
      </c>
      <c r="U129" t="str">
        <f t="shared" si="5"/>
        <v>NO</v>
      </c>
      <c r="V129" t="str">
        <f t="shared" si="6"/>
        <v>NO</v>
      </c>
      <c r="W129" t="str">
        <f t="shared" si="3"/>
        <v>NO</v>
      </c>
      <c r="X129" t="str">
        <f t="shared" si="4"/>
        <v>NO</v>
      </c>
      <c r="Y129" t="str">
        <f t="shared" si="7"/>
        <v>NO</v>
      </c>
      <c r="Z129"/>
    </row>
    <row r="130" spans="1:26" ht="15" x14ac:dyDescent="0.35">
      <c r="A130" s="7" t="s">
        <v>62</v>
      </c>
      <c r="B130" s="8">
        <v>5.25</v>
      </c>
      <c r="C130" s="8">
        <v>69</v>
      </c>
      <c r="D130" s="8">
        <v>20.5</v>
      </c>
      <c r="E130" s="8">
        <v>7.5</v>
      </c>
      <c r="F130" s="8">
        <v>19.62</v>
      </c>
      <c r="G130" s="8">
        <v>4.38</v>
      </c>
      <c r="H130" s="8">
        <v>11.88</v>
      </c>
      <c r="I130" s="8">
        <v>40.119999999999997</v>
      </c>
      <c r="J130" s="8">
        <v>65.010000000000005</v>
      </c>
      <c r="K130" s="8">
        <v>0</v>
      </c>
      <c r="L130" s="8">
        <v>0</v>
      </c>
      <c r="M130" s="8">
        <v>0</v>
      </c>
      <c r="N130" s="8">
        <v>0</v>
      </c>
      <c r="O130" s="12" t="str">
        <f t="shared" si="8"/>
        <v>Repaired</v>
      </c>
      <c r="P130" s="12">
        <v>1</v>
      </c>
      <c r="Q130" s="12">
        <v>0</v>
      </c>
      <c r="R130" s="12">
        <v>12</v>
      </c>
      <c r="S130" s="6">
        <v>12</v>
      </c>
      <c r="U130" t="str">
        <f t="shared" si="5"/>
        <v>NO</v>
      </c>
      <c r="V130" t="str">
        <f t="shared" si="6"/>
        <v>NO</v>
      </c>
      <c r="W130" t="str">
        <f t="shared" si="3"/>
        <v>NO</v>
      </c>
      <c r="X130" t="str">
        <f t="shared" si="4"/>
        <v>NO</v>
      </c>
      <c r="Y130" t="str">
        <f t="shared" si="7"/>
        <v>NO</v>
      </c>
      <c r="Z130"/>
    </row>
    <row r="131" spans="1:26" ht="15" x14ac:dyDescent="0.35">
      <c r="A131" s="7" t="s">
        <v>82</v>
      </c>
      <c r="B131" s="8">
        <v>5.25</v>
      </c>
      <c r="C131" s="8">
        <v>69</v>
      </c>
      <c r="D131" s="8">
        <v>20.5</v>
      </c>
      <c r="E131" s="8">
        <v>7.5</v>
      </c>
      <c r="F131" s="8">
        <v>19.62</v>
      </c>
      <c r="G131" s="8">
        <v>4.38</v>
      </c>
      <c r="H131" s="8">
        <v>11.88</v>
      </c>
      <c r="I131" s="8">
        <v>40.119999999999997</v>
      </c>
      <c r="J131" s="8">
        <v>65.010000000000005</v>
      </c>
      <c r="K131" s="8">
        <v>0</v>
      </c>
      <c r="L131" s="8">
        <v>0</v>
      </c>
      <c r="M131" s="8">
        <v>0</v>
      </c>
      <c r="N131" s="8">
        <v>0</v>
      </c>
      <c r="O131" s="12" t="str">
        <f t="shared" si="8"/>
        <v>Repaired</v>
      </c>
      <c r="P131" s="12">
        <v>1</v>
      </c>
      <c r="Q131" s="12">
        <v>0</v>
      </c>
      <c r="R131" s="12">
        <v>12</v>
      </c>
      <c r="S131" s="6">
        <v>12</v>
      </c>
      <c r="U131" t="str">
        <f t="shared" si="5"/>
        <v>NO</v>
      </c>
      <c r="V131" t="str">
        <f t="shared" si="6"/>
        <v>NO</v>
      </c>
      <c r="W131" t="str">
        <f t="shared" si="3"/>
        <v>NO</v>
      </c>
      <c r="X131" t="str">
        <f t="shared" si="4"/>
        <v>NO</v>
      </c>
      <c r="Y131" t="str">
        <f t="shared" si="7"/>
        <v>NO</v>
      </c>
      <c r="Z131"/>
    </row>
    <row r="132" spans="1:26" ht="15" x14ac:dyDescent="0.35">
      <c r="A132" s="7" t="s">
        <v>74</v>
      </c>
      <c r="B132" s="8">
        <v>5.25</v>
      </c>
      <c r="C132" s="8">
        <v>69</v>
      </c>
      <c r="D132" s="8">
        <v>20.5</v>
      </c>
      <c r="E132" s="8">
        <v>7.5</v>
      </c>
      <c r="F132" s="8">
        <v>19.62</v>
      </c>
      <c r="G132" s="8">
        <v>4.38</v>
      </c>
      <c r="H132" s="8">
        <v>11.88</v>
      </c>
      <c r="I132" s="8">
        <v>40.119999999999997</v>
      </c>
      <c r="J132" s="8">
        <v>65.010000000000005</v>
      </c>
      <c r="K132" s="8">
        <v>0</v>
      </c>
      <c r="L132" s="8">
        <v>0</v>
      </c>
      <c r="M132" s="8">
        <v>0</v>
      </c>
      <c r="N132" s="8">
        <v>0</v>
      </c>
      <c r="O132" s="12" t="str">
        <f t="shared" si="8"/>
        <v>Repaired</v>
      </c>
      <c r="P132" s="12">
        <v>1</v>
      </c>
      <c r="Q132" s="12">
        <v>0</v>
      </c>
      <c r="R132" s="12">
        <v>12</v>
      </c>
      <c r="S132" s="6">
        <v>12</v>
      </c>
      <c r="U132" t="str">
        <f t="shared" si="5"/>
        <v>NO</v>
      </c>
      <c r="V132" t="str">
        <f t="shared" si="6"/>
        <v>NO</v>
      </c>
      <c r="W132" t="str">
        <f t="shared" si="3"/>
        <v>NO</v>
      </c>
      <c r="X132" t="str">
        <f t="shared" si="4"/>
        <v>NO</v>
      </c>
      <c r="Y132" t="str">
        <f t="shared" si="7"/>
        <v>NO</v>
      </c>
      <c r="Z132"/>
    </row>
    <row r="133" spans="1:26" ht="15" x14ac:dyDescent="0.35">
      <c r="A133" s="7" t="s">
        <v>104</v>
      </c>
      <c r="B133" s="8">
        <v>5.25</v>
      </c>
      <c r="C133" s="8">
        <v>69</v>
      </c>
      <c r="D133" s="8">
        <v>20.5</v>
      </c>
      <c r="E133" s="8">
        <v>7.5</v>
      </c>
      <c r="F133" s="8">
        <v>19.62</v>
      </c>
      <c r="G133" s="8">
        <v>4.38</v>
      </c>
      <c r="H133" s="8">
        <v>11.88</v>
      </c>
      <c r="I133" s="8">
        <v>40.119999999999997</v>
      </c>
      <c r="J133" s="8">
        <v>65.010000000000005</v>
      </c>
      <c r="K133" s="8">
        <v>0</v>
      </c>
      <c r="L133" s="8">
        <v>0</v>
      </c>
      <c r="M133" s="8">
        <v>0</v>
      </c>
      <c r="N133" s="8">
        <v>0</v>
      </c>
      <c r="O133" s="12" t="str">
        <f t="shared" si="8"/>
        <v>Repaired</v>
      </c>
      <c r="P133" s="12">
        <v>1</v>
      </c>
      <c r="Q133" s="12">
        <v>0</v>
      </c>
      <c r="R133" s="12">
        <v>12</v>
      </c>
      <c r="S133" s="6">
        <v>12</v>
      </c>
      <c r="U133" t="str">
        <f t="shared" si="5"/>
        <v>NO</v>
      </c>
      <c r="V133" t="str">
        <f t="shared" si="6"/>
        <v>NO</v>
      </c>
      <c r="W133" t="str">
        <f t="shared" si="3"/>
        <v>NO</v>
      </c>
      <c r="X133" t="str">
        <f t="shared" si="4"/>
        <v>NO</v>
      </c>
      <c r="Y133" t="str">
        <f t="shared" si="7"/>
        <v>NO</v>
      </c>
      <c r="Z133"/>
    </row>
    <row r="134" spans="1:26" ht="15" x14ac:dyDescent="0.35">
      <c r="A134" s="7" t="s">
        <v>66</v>
      </c>
      <c r="B134" s="8">
        <v>1</v>
      </c>
      <c r="C134" s="8">
        <v>73.290000000000006</v>
      </c>
      <c r="D134" s="8">
        <v>11.14</v>
      </c>
      <c r="E134" s="8">
        <v>10.57</v>
      </c>
      <c r="F134" s="8">
        <v>7</v>
      </c>
      <c r="G134" s="8">
        <v>2.14</v>
      </c>
      <c r="H134" s="8">
        <v>12.71</v>
      </c>
      <c r="I134" s="8">
        <v>18.14</v>
      </c>
      <c r="J134" s="8">
        <v>56.64</v>
      </c>
      <c r="K134" s="8">
        <v>2</v>
      </c>
      <c r="L134" s="8">
        <v>9.5000000000000001E-2</v>
      </c>
      <c r="M134" s="8">
        <v>44.15</v>
      </c>
      <c r="N134" s="8">
        <v>2.4500000000000002</v>
      </c>
      <c r="O134" s="12" t="str">
        <f t="shared" si="8"/>
        <v>Repaired</v>
      </c>
      <c r="P134" s="12">
        <v>8</v>
      </c>
      <c r="Q134" s="12">
        <v>15</v>
      </c>
      <c r="R134" s="12">
        <v>12</v>
      </c>
      <c r="S134" s="6">
        <v>16</v>
      </c>
      <c r="U134" t="str">
        <f t="shared" si="5"/>
        <v>NO</v>
      </c>
      <c r="V134" t="str">
        <f t="shared" si="6"/>
        <v>NO</v>
      </c>
      <c r="W134" t="str">
        <f t="shared" si="3"/>
        <v>NO</v>
      </c>
      <c r="X134" t="str">
        <f t="shared" si="4"/>
        <v>NO</v>
      </c>
      <c r="Y134" t="str">
        <f t="shared" si="7"/>
        <v>NO</v>
      </c>
      <c r="Z134"/>
    </row>
    <row r="135" spans="1:26" ht="15" x14ac:dyDescent="0.35">
      <c r="A135" s="5" t="s">
        <v>117</v>
      </c>
      <c r="B135" s="6">
        <v>1</v>
      </c>
      <c r="C135" s="6">
        <v>74</v>
      </c>
      <c r="D135" s="6">
        <v>11.43</v>
      </c>
      <c r="E135" s="6">
        <v>10.14</v>
      </c>
      <c r="F135" s="6">
        <v>8</v>
      </c>
      <c r="G135" s="6">
        <v>2.29</v>
      </c>
      <c r="H135" s="6">
        <v>12.43</v>
      </c>
      <c r="I135" s="6">
        <v>19.43</v>
      </c>
      <c r="J135" s="6">
        <v>57.32</v>
      </c>
      <c r="K135" s="6">
        <v>0.86</v>
      </c>
      <c r="L135" s="6">
        <v>0.17</v>
      </c>
      <c r="M135" s="6">
        <v>25.05</v>
      </c>
      <c r="N135" s="6">
        <v>1.39</v>
      </c>
      <c r="O135" s="12" t="str">
        <f t="shared" si="8"/>
        <v>Repaired</v>
      </c>
      <c r="P135" s="12">
        <v>11</v>
      </c>
      <c r="Q135" s="12">
        <v>29</v>
      </c>
      <c r="R135" s="12">
        <v>19</v>
      </c>
      <c r="S135" s="6">
        <v>39</v>
      </c>
      <c r="U135" t="str">
        <f t="shared" si="5"/>
        <v>NO</v>
      </c>
      <c r="V135" t="str">
        <f t="shared" si="6"/>
        <v>NO</v>
      </c>
      <c r="W135" t="str">
        <f t="shared" si="3"/>
        <v>NO</v>
      </c>
      <c r="X135" t="str">
        <f t="shared" si="4"/>
        <v>NO</v>
      </c>
      <c r="Y135" t="str">
        <f t="shared" si="7"/>
        <v>NO</v>
      </c>
      <c r="Z135"/>
    </row>
    <row r="136" spans="1:26" ht="15" x14ac:dyDescent="0.35">
      <c r="A136" s="5" t="s">
        <v>133</v>
      </c>
      <c r="B136" s="6">
        <v>1</v>
      </c>
      <c r="C136" s="6">
        <v>73.709999999999994</v>
      </c>
      <c r="D136" s="6">
        <v>10.86</v>
      </c>
      <c r="E136" s="6">
        <v>10.29</v>
      </c>
      <c r="F136" s="6">
        <v>6.86</v>
      </c>
      <c r="G136" s="6">
        <v>2.14</v>
      </c>
      <c r="H136" s="6">
        <v>12.43</v>
      </c>
      <c r="I136" s="6">
        <v>17.71</v>
      </c>
      <c r="J136" s="6">
        <v>55.03</v>
      </c>
      <c r="K136" s="6">
        <v>2.4300000000000002</v>
      </c>
      <c r="L136" s="6">
        <v>9.1999999999999998E-2</v>
      </c>
      <c r="M136" s="6">
        <v>38.79</v>
      </c>
      <c r="N136" s="6">
        <v>2.16</v>
      </c>
      <c r="O136" s="12" t="str">
        <f t="shared" si="8"/>
        <v>Repaired</v>
      </c>
      <c r="P136" s="12">
        <v>8</v>
      </c>
      <c r="Q136" s="12">
        <v>11</v>
      </c>
      <c r="R136" s="12">
        <v>9</v>
      </c>
      <c r="S136" s="6">
        <v>13</v>
      </c>
      <c r="U136" t="str">
        <f t="shared" si="5"/>
        <v>NO</v>
      </c>
      <c r="V136" t="str">
        <f t="shared" si="6"/>
        <v>NO</v>
      </c>
      <c r="W136" t="str">
        <f t="shared" si="3"/>
        <v>NO</v>
      </c>
      <c r="X136" t="str">
        <f t="shared" si="4"/>
        <v>NO</v>
      </c>
      <c r="Y136" t="str">
        <f t="shared" si="7"/>
        <v>NO</v>
      </c>
      <c r="Z136"/>
    </row>
    <row r="137" spans="1:26" ht="15" x14ac:dyDescent="0.35">
      <c r="A137" s="7" t="s">
        <v>86</v>
      </c>
      <c r="B137" s="8">
        <v>1</v>
      </c>
      <c r="C137" s="8">
        <v>74</v>
      </c>
      <c r="D137" s="8">
        <v>11.14</v>
      </c>
      <c r="E137" s="8">
        <v>10.14</v>
      </c>
      <c r="F137" s="8">
        <v>6.86</v>
      </c>
      <c r="G137" s="8">
        <v>2.4300000000000002</v>
      </c>
      <c r="H137" s="8">
        <v>12.57</v>
      </c>
      <c r="I137" s="8">
        <v>18</v>
      </c>
      <c r="J137" s="8">
        <v>56.19</v>
      </c>
      <c r="K137" s="8">
        <v>1.29</v>
      </c>
      <c r="L137" s="8">
        <v>6.4000000000000001E-2</v>
      </c>
      <c r="M137" s="8">
        <v>14.22</v>
      </c>
      <c r="N137" s="8">
        <v>0.79</v>
      </c>
      <c r="O137" s="12" t="str">
        <f t="shared" si="8"/>
        <v>Repaired</v>
      </c>
      <c r="P137" s="12">
        <v>6</v>
      </c>
      <c r="Q137" s="12">
        <v>7</v>
      </c>
      <c r="R137" s="12">
        <v>6</v>
      </c>
      <c r="S137" s="6">
        <v>9</v>
      </c>
      <c r="U137" t="str">
        <f t="shared" si="5"/>
        <v>NO</v>
      </c>
      <c r="V137" t="str">
        <f t="shared" si="6"/>
        <v>NO</v>
      </c>
      <c r="W137" t="str">
        <f t="shared" si="3"/>
        <v>NO</v>
      </c>
      <c r="X137" t="str">
        <f t="shared" si="4"/>
        <v>NO</v>
      </c>
      <c r="Y137" t="str">
        <f t="shared" si="7"/>
        <v>NO</v>
      </c>
      <c r="Z137"/>
    </row>
    <row r="138" spans="1:26" ht="15" x14ac:dyDescent="0.35">
      <c r="A138" s="7" t="s">
        <v>90</v>
      </c>
      <c r="B138" s="8">
        <v>1</v>
      </c>
      <c r="C138" s="8">
        <v>72.430000000000007</v>
      </c>
      <c r="D138" s="8">
        <v>11.43</v>
      </c>
      <c r="E138" s="8">
        <v>10.71</v>
      </c>
      <c r="F138" s="8">
        <v>7.29</v>
      </c>
      <c r="G138" s="8">
        <v>2.14</v>
      </c>
      <c r="H138" s="8">
        <v>12.86</v>
      </c>
      <c r="I138" s="8">
        <v>18.71</v>
      </c>
      <c r="J138" s="8">
        <v>57.52</v>
      </c>
      <c r="K138" s="8">
        <v>3.14</v>
      </c>
      <c r="L138" s="8">
        <v>6.9000000000000006E-2</v>
      </c>
      <c r="M138" s="8">
        <v>60.82</v>
      </c>
      <c r="N138" s="8">
        <v>3.38</v>
      </c>
      <c r="O138" s="12" t="str">
        <f t="shared" si="8"/>
        <v>Repaired</v>
      </c>
      <c r="P138" s="12">
        <v>7</v>
      </c>
      <c r="Q138" s="12">
        <v>17</v>
      </c>
      <c r="R138" s="12">
        <v>12</v>
      </c>
      <c r="S138" s="6">
        <v>20</v>
      </c>
      <c r="U138" t="str">
        <f t="shared" si="5"/>
        <v>NO</v>
      </c>
      <c r="V138" t="str">
        <f t="shared" si="6"/>
        <v>NO</v>
      </c>
      <c r="W138" t="str">
        <f t="shared" si="3"/>
        <v>NO</v>
      </c>
      <c r="X138" t="str">
        <f t="shared" si="4"/>
        <v>NO</v>
      </c>
      <c r="Y138" t="str">
        <f t="shared" si="7"/>
        <v>NO</v>
      </c>
      <c r="Z138"/>
    </row>
    <row r="139" spans="1:26" ht="15" x14ac:dyDescent="0.35">
      <c r="A139" s="7" t="s">
        <v>98</v>
      </c>
      <c r="B139" s="8">
        <v>4.58</v>
      </c>
      <c r="C139" s="8">
        <v>72.27</v>
      </c>
      <c r="D139" s="8">
        <v>16.27</v>
      </c>
      <c r="E139" s="8">
        <v>6.73</v>
      </c>
      <c r="F139" s="8">
        <v>15.12</v>
      </c>
      <c r="G139" s="8">
        <v>4.62</v>
      </c>
      <c r="H139" s="8">
        <v>11.35</v>
      </c>
      <c r="I139" s="8">
        <v>31.38</v>
      </c>
      <c r="J139" s="8">
        <v>56.92</v>
      </c>
      <c r="K139" s="8">
        <v>0.54</v>
      </c>
      <c r="L139" s="8">
        <v>5.5999999999999999E-3</v>
      </c>
      <c r="M139" s="8">
        <v>12.82</v>
      </c>
      <c r="N139" s="8">
        <v>0.71</v>
      </c>
      <c r="O139" s="12" t="str">
        <f t="shared" si="8"/>
        <v>Repaired</v>
      </c>
      <c r="P139" s="12">
        <v>1</v>
      </c>
      <c r="Q139" s="12">
        <v>1</v>
      </c>
      <c r="R139" s="12">
        <v>1</v>
      </c>
      <c r="S139" s="6">
        <v>1</v>
      </c>
      <c r="U139" t="str">
        <f t="shared" si="5"/>
        <v>NO</v>
      </c>
      <c r="V139" t="str">
        <f t="shared" si="6"/>
        <v>NO</v>
      </c>
      <c r="W139" t="str">
        <f t="shared" si="3"/>
        <v>NO</v>
      </c>
      <c r="X139" t="str">
        <f t="shared" si="4"/>
        <v>NO</v>
      </c>
      <c r="Y139" t="str">
        <f t="shared" si="7"/>
        <v>NO</v>
      </c>
      <c r="Z139"/>
    </row>
    <row r="140" spans="1:26" ht="15" x14ac:dyDescent="0.35">
      <c r="A140" s="7" t="s">
        <v>110</v>
      </c>
      <c r="B140" s="8">
        <v>2.33</v>
      </c>
      <c r="C140" s="8">
        <v>84.67</v>
      </c>
      <c r="D140" s="8">
        <v>5.33</v>
      </c>
      <c r="E140" s="8">
        <v>4.33</v>
      </c>
      <c r="F140" s="8">
        <v>4.33</v>
      </c>
      <c r="G140" s="8">
        <v>2.33</v>
      </c>
      <c r="H140" s="8">
        <v>6.67</v>
      </c>
      <c r="I140" s="8">
        <v>9.67</v>
      </c>
      <c r="J140" s="8">
        <v>22.35</v>
      </c>
      <c r="K140" s="8">
        <v>0</v>
      </c>
      <c r="L140" s="8">
        <v>0</v>
      </c>
      <c r="M140" s="8">
        <v>0</v>
      </c>
      <c r="N140" s="8">
        <v>0</v>
      </c>
      <c r="O140" s="12" t="str">
        <f t="shared" si="8"/>
        <v>Repaired</v>
      </c>
      <c r="P140" s="12">
        <v>1</v>
      </c>
      <c r="Q140" s="12">
        <v>1</v>
      </c>
      <c r="R140" s="12">
        <v>1</v>
      </c>
      <c r="S140" s="6">
        <v>1</v>
      </c>
      <c r="U140" t="str">
        <f t="shared" si="5"/>
        <v>NO</v>
      </c>
      <c r="V140" t="str">
        <f t="shared" si="6"/>
        <v>NO</v>
      </c>
      <c r="W140" t="str">
        <f t="shared" si="3"/>
        <v>NO</v>
      </c>
      <c r="X140" t="str">
        <f t="shared" si="4"/>
        <v>NO</v>
      </c>
      <c r="Y140" t="str">
        <f t="shared" si="7"/>
        <v>NO</v>
      </c>
      <c r="Z140"/>
    </row>
    <row r="141" spans="1:26" ht="15" x14ac:dyDescent="0.35">
      <c r="A141" s="7" t="s">
        <v>44</v>
      </c>
      <c r="B141" s="8">
        <v>2</v>
      </c>
      <c r="C141" s="8">
        <v>80</v>
      </c>
      <c r="D141" s="8">
        <v>5</v>
      </c>
      <c r="E141" s="8">
        <v>5</v>
      </c>
      <c r="F141" s="8">
        <v>4</v>
      </c>
      <c r="G141" s="8">
        <v>2</v>
      </c>
      <c r="H141" s="8">
        <v>7</v>
      </c>
      <c r="I141" s="8">
        <v>9</v>
      </c>
      <c r="J141" s="8">
        <v>22.19</v>
      </c>
      <c r="K141" s="8">
        <v>2</v>
      </c>
      <c r="L141" s="8">
        <v>0.5</v>
      </c>
      <c r="M141" s="8">
        <v>44.38</v>
      </c>
      <c r="N141" s="8">
        <v>2.4700000000000002</v>
      </c>
      <c r="O141" s="12" t="str">
        <f t="shared" si="8"/>
        <v>Repaired</v>
      </c>
      <c r="P141" s="12">
        <v>1</v>
      </c>
      <c r="Q141" s="12">
        <v>2</v>
      </c>
      <c r="R141" s="12">
        <v>0</v>
      </c>
      <c r="S141" s="6">
        <v>2</v>
      </c>
      <c r="U141" t="str">
        <f t="shared" si="5"/>
        <v>NO</v>
      </c>
      <c r="V141" t="str">
        <f t="shared" si="6"/>
        <v>NO</v>
      </c>
      <c r="W141" t="str">
        <f t="shared" si="3"/>
        <v>NO</v>
      </c>
      <c r="X141" t="str">
        <f t="shared" si="4"/>
        <v>NO</v>
      </c>
      <c r="Y141" t="str">
        <f t="shared" si="7"/>
        <v>NO</v>
      </c>
      <c r="Z141"/>
    </row>
    <row r="142" spans="1:26" ht="15" x14ac:dyDescent="0.35">
      <c r="A142" s="7" t="s">
        <v>70</v>
      </c>
      <c r="B142" s="8">
        <v>1.1399999999999999</v>
      </c>
      <c r="C142" s="8">
        <v>73.86</v>
      </c>
      <c r="D142" s="8">
        <v>11</v>
      </c>
      <c r="E142" s="8">
        <v>10</v>
      </c>
      <c r="F142" s="8">
        <v>7</v>
      </c>
      <c r="G142" s="8">
        <v>2.14</v>
      </c>
      <c r="H142" s="8">
        <v>12.14</v>
      </c>
      <c r="I142" s="8">
        <v>18</v>
      </c>
      <c r="J142" s="8">
        <v>54.08</v>
      </c>
      <c r="K142" s="8">
        <v>2</v>
      </c>
      <c r="L142" s="8">
        <v>0.05</v>
      </c>
      <c r="M142" s="8">
        <v>30.41</v>
      </c>
      <c r="N142" s="8">
        <v>1.69</v>
      </c>
      <c r="O142" s="12" t="str">
        <f t="shared" si="8"/>
        <v>Repaired</v>
      </c>
      <c r="P142" s="12">
        <v>1</v>
      </c>
      <c r="Q142" s="12">
        <v>3</v>
      </c>
      <c r="R142" s="12">
        <v>1</v>
      </c>
      <c r="S142" s="6">
        <v>3</v>
      </c>
      <c r="U142" t="str">
        <f t="shared" si="5"/>
        <v>NO</v>
      </c>
      <c r="V142" t="str">
        <f t="shared" si="6"/>
        <v>NO</v>
      </c>
      <c r="W142" t="str">
        <f t="shared" si="3"/>
        <v>NO</v>
      </c>
      <c r="X142" t="str">
        <f t="shared" si="4"/>
        <v>NO</v>
      </c>
      <c r="Y142" t="str">
        <f t="shared" si="7"/>
        <v>NO</v>
      </c>
      <c r="Z142"/>
    </row>
    <row r="143" spans="1:26" ht="15" x14ac:dyDescent="0.35">
      <c r="A143" s="5" t="s">
        <v>95</v>
      </c>
      <c r="B143" s="6">
        <v>5.62</v>
      </c>
      <c r="C143" s="6">
        <v>68.5</v>
      </c>
      <c r="D143" s="6">
        <v>22</v>
      </c>
      <c r="E143" s="6">
        <v>7.62</v>
      </c>
      <c r="F143" s="6">
        <v>20.75</v>
      </c>
      <c r="G143" s="6">
        <v>4.38</v>
      </c>
      <c r="H143" s="6">
        <v>12</v>
      </c>
      <c r="I143" s="6">
        <v>42.75</v>
      </c>
      <c r="J143" s="6">
        <v>66.62</v>
      </c>
      <c r="K143" s="6">
        <v>0</v>
      </c>
      <c r="L143" s="6">
        <v>0</v>
      </c>
      <c r="M143" s="6">
        <v>0</v>
      </c>
      <c r="N143" s="6">
        <v>0</v>
      </c>
      <c r="O143" s="12" t="str">
        <f t="shared" si="8"/>
        <v>Repaired</v>
      </c>
      <c r="P143" s="12">
        <v>1</v>
      </c>
      <c r="Q143" s="12">
        <v>1</v>
      </c>
      <c r="R143" s="12">
        <v>2</v>
      </c>
      <c r="S143" s="6">
        <v>2</v>
      </c>
      <c r="U143" t="str">
        <f t="shared" si="5"/>
        <v>NO</v>
      </c>
      <c r="V143" t="str">
        <f t="shared" si="6"/>
        <v>NO</v>
      </c>
      <c r="W143" t="str">
        <f t="shared" si="3"/>
        <v>NO</v>
      </c>
      <c r="X143" t="str">
        <f t="shared" si="4"/>
        <v>NO</v>
      </c>
      <c r="Y143" t="str">
        <f t="shared" si="7"/>
        <v>NO</v>
      </c>
      <c r="Z143"/>
    </row>
    <row r="144" spans="1:26" ht="15" x14ac:dyDescent="0.35">
      <c r="A144" s="5" t="s">
        <v>29</v>
      </c>
      <c r="B144" s="6">
        <v>1.53</v>
      </c>
      <c r="C144" s="6">
        <v>89.38</v>
      </c>
      <c r="D144" s="6">
        <v>5.95</v>
      </c>
      <c r="E144" s="6">
        <v>3.33</v>
      </c>
      <c r="F144" s="6">
        <v>3.82</v>
      </c>
      <c r="G144" s="6">
        <v>1.95</v>
      </c>
      <c r="H144" s="6">
        <v>5.28</v>
      </c>
      <c r="I144" s="6">
        <v>9.77</v>
      </c>
      <c r="J144" s="6">
        <v>19.79</v>
      </c>
      <c r="K144" s="6">
        <v>0.22</v>
      </c>
      <c r="L144" s="6">
        <v>0.11</v>
      </c>
      <c r="M144" s="6">
        <v>2.4700000000000002</v>
      </c>
      <c r="N144" s="6">
        <v>0.14000000000000001</v>
      </c>
      <c r="O144" s="12" t="str">
        <f t="shared" si="8"/>
        <v>Repaired</v>
      </c>
      <c r="P144" s="12">
        <v>1</v>
      </c>
      <c r="Q144" s="12">
        <v>4</v>
      </c>
      <c r="R144" s="12">
        <v>2</v>
      </c>
      <c r="S144" s="6">
        <v>4</v>
      </c>
      <c r="U144" t="str">
        <f t="shared" si="5"/>
        <v>NO</v>
      </c>
      <c r="V144" t="str">
        <f t="shared" si="6"/>
        <v>NO</v>
      </c>
      <c r="W144" t="str">
        <f t="shared" si="3"/>
        <v>NO</v>
      </c>
      <c r="X144" t="str">
        <f t="shared" si="4"/>
        <v>NO</v>
      </c>
      <c r="Y144" t="str">
        <f t="shared" si="7"/>
        <v>NO</v>
      </c>
      <c r="Z144"/>
    </row>
    <row r="145" spans="1:26" ht="15" x14ac:dyDescent="0.35">
      <c r="A145" s="5" t="s">
        <v>81</v>
      </c>
      <c r="B145" s="6">
        <v>1</v>
      </c>
      <c r="C145" s="6">
        <v>75.14</v>
      </c>
      <c r="D145" s="6">
        <v>10.71</v>
      </c>
      <c r="E145" s="6">
        <v>10.14</v>
      </c>
      <c r="F145" s="6">
        <v>6.29</v>
      </c>
      <c r="G145" s="6">
        <v>2</v>
      </c>
      <c r="H145" s="6">
        <v>12.14</v>
      </c>
      <c r="I145" s="6">
        <v>17</v>
      </c>
      <c r="J145" s="6">
        <v>53.54</v>
      </c>
      <c r="K145" s="6">
        <v>2</v>
      </c>
      <c r="L145" s="6">
        <v>0.05</v>
      </c>
      <c r="M145" s="6">
        <v>30.41</v>
      </c>
      <c r="N145" s="6">
        <v>1.69</v>
      </c>
      <c r="O145" s="12" t="str">
        <f t="shared" si="8"/>
        <v>Repaired</v>
      </c>
      <c r="P145" s="12">
        <v>3</v>
      </c>
      <c r="Q145" s="12">
        <v>1</v>
      </c>
      <c r="R145" s="12">
        <v>3</v>
      </c>
      <c r="S145" s="6">
        <v>3</v>
      </c>
      <c r="U145" t="str">
        <f t="shared" si="5"/>
        <v>NO</v>
      </c>
      <c r="V145" t="str">
        <f t="shared" si="6"/>
        <v>NO</v>
      </c>
      <c r="W145" t="str">
        <f t="shared" si="3"/>
        <v>NO</v>
      </c>
      <c r="X145" t="str">
        <f t="shared" si="4"/>
        <v>NO</v>
      </c>
      <c r="Y145" t="str">
        <f t="shared" si="7"/>
        <v>NO</v>
      </c>
      <c r="Z145"/>
    </row>
    <row r="146" spans="1:26" ht="15" x14ac:dyDescent="0.35">
      <c r="A146" s="7" t="s">
        <v>102</v>
      </c>
      <c r="B146" s="8">
        <v>1</v>
      </c>
      <c r="C146" s="8">
        <v>74.569999999999993</v>
      </c>
      <c r="D146" s="8">
        <v>11.14</v>
      </c>
      <c r="E146" s="8">
        <v>9.86</v>
      </c>
      <c r="F146" s="8">
        <v>6.86</v>
      </c>
      <c r="G146" s="8">
        <v>2</v>
      </c>
      <c r="H146" s="8">
        <v>11.86</v>
      </c>
      <c r="I146" s="8">
        <v>18</v>
      </c>
      <c r="J146" s="8">
        <v>52.93</v>
      </c>
      <c r="K146" s="8">
        <v>2</v>
      </c>
      <c r="L146" s="8">
        <v>0.05</v>
      </c>
      <c r="M146" s="8">
        <v>30.41</v>
      </c>
      <c r="N146" s="8">
        <v>1.69</v>
      </c>
      <c r="O146" s="12" t="str">
        <f t="shared" si="8"/>
        <v>Repaired</v>
      </c>
      <c r="P146" s="12">
        <v>3</v>
      </c>
      <c r="Q146" s="12">
        <v>2</v>
      </c>
      <c r="R146" s="12">
        <v>2</v>
      </c>
      <c r="S146" s="6">
        <v>3</v>
      </c>
      <c r="U146" t="str">
        <f t="shared" si="5"/>
        <v>NO</v>
      </c>
      <c r="V146" t="str">
        <f t="shared" si="6"/>
        <v>NO</v>
      </c>
      <c r="W146" t="str">
        <f t="shared" si="3"/>
        <v>NO</v>
      </c>
      <c r="X146" t="str">
        <f t="shared" si="4"/>
        <v>NO</v>
      </c>
      <c r="Y146" t="str">
        <f t="shared" si="7"/>
        <v>NO</v>
      </c>
      <c r="Z146"/>
    </row>
    <row r="147" spans="1:26" ht="15" x14ac:dyDescent="0.35">
      <c r="A147" s="5" t="s">
        <v>127</v>
      </c>
      <c r="B147" s="6">
        <v>1</v>
      </c>
      <c r="C147" s="6">
        <v>74.14</v>
      </c>
      <c r="D147" s="6">
        <v>11.14</v>
      </c>
      <c r="E147" s="6">
        <v>10.14</v>
      </c>
      <c r="F147" s="6">
        <v>6.71</v>
      </c>
      <c r="G147" s="6">
        <v>2.14</v>
      </c>
      <c r="H147" s="6">
        <v>12.29</v>
      </c>
      <c r="I147" s="6">
        <v>17.86</v>
      </c>
      <c r="J147" s="6">
        <v>54.67</v>
      </c>
      <c r="K147" s="6">
        <v>2</v>
      </c>
      <c r="L147" s="6">
        <v>0.05</v>
      </c>
      <c r="M147" s="6">
        <v>30.41</v>
      </c>
      <c r="N147" s="6">
        <v>1.69</v>
      </c>
      <c r="O147" s="12" t="str">
        <f t="shared" si="8"/>
        <v>Repaired</v>
      </c>
      <c r="P147" s="12">
        <v>2</v>
      </c>
      <c r="Q147" s="12">
        <v>3</v>
      </c>
      <c r="R147" s="12">
        <v>2</v>
      </c>
      <c r="S147" s="6">
        <v>3</v>
      </c>
      <c r="U147" t="str">
        <f t="shared" si="5"/>
        <v>NO</v>
      </c>
      <c r="V147" t="str">
        <f t="shared" si="6"/>
        <v>NO</v>
      </c>
      <c r="W147" t="str">
        <f t="shared" si="3"/>
        <v>NO</v>
      </c>
      <c r="X147" t="str">
        <f t="shared" si="4"/>
        <v>NO</v>
      </c>
      <c r="Y147" t="str">
        <f t="shared" si="7"/>
        <v>NO</v>
      </c>
      <c r="Z147"/>
    </row>
    <row r="148" spans="1:26" ht="15" x14ac:dyDescent="0.35">
      <c r="A148" s="5" t="s">
        <v>87</v>
      </c>
      <c r="B148" s="6">
        <v>1</v>
      </c>
      <c r="C148" s="6">
        <v>74.14</v>
      </c>
      <c r="D148" s="6">
        <v>11.57</v>
      </c>
      <c r="E148" s="6">
        <v>10.14</v>
      </c>
      <c r="F148" s="6">
        <v>6.71</v>
      </c>
      <c r="G148" s="6">
        <v>2</v>
      </c>
      <c r="H148" s="6">
        <v>12.14</v>
      </c>
      <c r="I148" s="6">
        <v>18.29</v>
      </c>
      <c r="J148" s="6">
        <v>54.47</v>
      </c>
      <c r="K148" s="6">
        <v>2</v>
      </c>
      <c r="L148" s="6">
        <v>0.05</v>
      </c>
      <c r="M148" s="6">
        <v>30.41</v>
      </c>
      <c r="N148" s="6">
        <v>1.69</v>
      </c>
      <c r="O148" s="12" t="str">
        <f t="shared" si="8"/>
        <v>Repaired</v>
      </c>
      <c r="P148" s="12">
        <v>3</v>
      </c>
      <c r="Q148" s="12">
        <v>4</v>
      </c>
      <c r="R148" s="12">
        <v>3</v>
      </c>
      <c r="S148" s="6">
        <v>5</v>
      </c>
      <c r="U148" t="str">
        <f t="shared" si="5"/>
        <v>NO</v>
      </c>
      <c r="V148" t="str">
        <f t="shared" si="6"/>
        <v>NO</v>
      </c>
      <c r="W148" t="str">
        <f t="shared" si="3"/>
        <v>NO</v>
      </c>
      <c r="X148" t="str">
        <f t="shared" si="4"/>
        <v>NO</v>
      </c>
      <c r="Y148" t="str">
        <f t="shared" si="7"/>
        <v>NO</v>
      </c>
      <c r="Z148"/>
    </row>
    <row r="149" spans="1:26" ht="15" x14ac:dyDescent="0.35">
      <c r="A149" s="7" t="s">
        <v>134</v>
      </c>
      <c r="B149" s="8">
        <v>1</v>
      </c>
      <c r="C149" s="8">
        <v>74.709999999999994</v>
      </c>
      <c r="D149" s="8">
        <v>11.14</v>
      </c>
      <c r="E149" s="8">
        <v>10</v>
      </c>
      <c r="F149" s="8">
        <v>6.57</v>
      </c>
      <c r="G149" s="8">
        <v>2.14</v>
      </c>
      <c r="H149" s="8">
        <v>12.14</v>
      </c>
      <c r="I149" s="8">
        <v>17.71</v>
      </c>
      <c r="J149" s="8">
        <v>53.88</v>
      </c>
      <c r="K149" s="8">
        <v>1.29</v>
      </c>
      <c r="L149" s="8">
        <v>6.4000000000000001E-2</v>
      </c>
      <c r="M149" s="8">
        <v>23.02</v>
      </c>
      <c r="N149" s="8">
        <v>1.28</v>
      </c>
      <c r="O149" s="12" t="str">
        <f t="shared" si="8"/>
        <v>Repaired</v>
      </c>
      <c r="P149" s="12">
        <v>2</v>
      </c>
      <c r="Q149" s="12">
        <v>1</v>
      </c>
      <c r="R149" s="12">
        <v>2</v>
      </c>
      <c r="S149" s="6">
        <v>2</v>
      </c>
      <c r="U149" t="str">
        <f t="shared" si="5"/>
        <v>NO</v>
      </c>
      <c r="V149" t="str">
        <f t="shared" si="6"/>
        <v>NO</v>
      </c>
      <c r="W149" s="34" t="str">
        <f t="shared" si="3"/>
        <v>NO</v>
      </c>
      <c r="X149" s="34" t="str">
        <f t="shared" si="4"/>
        <v>NO</v>
      </c>
      <c r="Y149" t="str">
        <f t="shared" si="7"/>
        <v>NO</v>
      </c>
      <c r="Z149"/>
    </row>
    <row r="150" spans="1:26" ht="28.8" x14ac:dyDescent="0.35">
      <c r="A150" s="13" t="s">
        <v>172</v>
      </c>
      <c r="B150" s="13" t="s">
        <v>20</v>
      </c>
      <c r="C150" s="13" t="s">
        <v>159</v>
      </c>
      <c r="D150" s="13" t="s">
        <v>160</v>
      </c>
      <c r="E150" s="13" t="s">
        <v>21</v>
      </c>
      <c r="F150" s="13" t="s">
        <v>161</v>
      </c>
      <c r="G150" s="13" t="s">
        <v>22</v>
      </c>
      <c r="H150" s="13" t="s">
        <v>162</v>
      </c>
      <c r="I150" s="13" t="s">
        <v>163</v>
      </c>
      <c r="J150" s="13" t="s">
        <v>164</v>
      </c>
      <c r="K150" s="13" t="s">
        <v>165</v>
      </c>
      <c r="L150" s="13" t="s">
        <v>166</v>
      </c>
      <c r="M150" s="13" t="s">
        <v>167</v>
      </c>
      <c r="N150" s="13" t="s">
        <v>168</v>
      </c>
      <c r="O150" s="13" t="s">
        <v>155</v>
      </c>
      <c r="P150" s="13" t="s">
        <v>169</v>
      </c>
      <c r="Q150" s="13" t="s">
        <v>170</v>
      </c>
      <c r="R150" s="13" t="s">
        <v>171</v>
      </c>
      <c r="S150" s="13" t="s">
        <v>207</v>
      </c>
      <c r="U150" s="32" t="s">
        <v>222</v>
      </c>
      <c r="V150" s="32" t="s">
        <v>223</v>
      </c>
      <c r="W150" s="32" t="s">
        <v>220</v>
      </c>
      <c r="X150" s="32" t="s">
        <v>221</v>
      </c>
      <c r="Y150" s="32" t="s">
        <v>224</v>
      </c>
      <c r="Z150"/>
    </row>
    <row r="151" spans="1:26" x14ac:dyDescent="0.35">
      <c r="A151" s="9" t="s">
        <v>149</v>
      </c>
      <c r="B151" s="30">
        <f>SUM(B24:B149)</f>
        <v>276.41999999999996</v>
      </c>
      <c r="C151" s="30">
        <f t="shared" ref="C151:N151" si="9">SUM(C24:C149)</f>
        <v>9906.2599999999929</v>
      </c>
      <c r="D151" s="30">
        <f t="shared" si="9"/>
        <v>1378.93</v>
      </c>
      <c r="E151" s="30">
        <f t="shared" si="9"/>
        <v>907.77000000000044</v>
      </c>
      <c r="F151" s="30">
        <f t="shared" si="9"/>
        <v>1059.2000000000003</v>
      </c>
      <c r="G151" s="30">
        <f t="shared" si="9"/>
        <v>313.62999999999994</v>
      </c>
      <c r="H151" s="30">
        <f t="shared" si="9"/>
        <v>1221.420000000001</v>
      </c>
      <c r="I151" s="30">
        <f t="shared" si="9"/>
        <v>2438.2200000000003</v>
      </c>
      <c r="J151" s="30">
        <f t="shared" si="9"/>
        <v>5431.3700000000026</v>
      </c>
      <c r="K151" s="30">
        <f t="shared" si="9"/>
        <v>109.44000000000003</v>
      </c>
      <c r="L151" s="30">
        <f t="shared" si="9"/>
        <v>6.7965999999999962</v>
      </c>
      <c r="M151" s="30">
        <f t="shared" si="9"/>
        <v>1884.7400000000007</v>
      </c>
      <c r="N151" s="30">
        <f t="shared" si="9"/>
        <v>104.78599999999993</v>
      </c>
      <c r="O151" s="10"/>
    </row>
    <row r="152" spans="1:26" x14ac:dyDescent="0.35">
      <c r="A152" s="11" t="s">
        <v>150</v>
      </c>
      <c r="B152" s="31">
        <f>AVERAGE(B24:B149)</f>
        <v>2.1938095238095237</v>
      </c>
      <c r="C152" s="31">
        <f t="shared" ref="C152:N152" si="10">AVERAGE(C24:C149)</f>
        <v>78.621111111111048</v>
      </c>
      <c r="D152" s="31">
        <f t="shared" si="10"/>
        <v>10.943888888888889</v>
      </c>
      <c r="E152" s="31">
        <f t="shared" si="10"/>
        <v>7.2045238095238133</v>
      </c>
      <c r="F152" s="31">
        <f t="shared" si="10"/>
        <v>8.4063492063492085</v>
      </c>
      <c r="G152" s="31">
        <f t="shared" si="10"/>
        <v>2.4891269841269836</v>
      </c>
      <c r="H152" s="31">
        <f t="shared" si="10"/>
        <v>9.6938095238095308</v>
      </c>
      <c r="I152" s="31">
        <f t="shared" si="10"/>
        <v>19.350952380952382</v>
      </c>
      <c r="J152" s="31">
        <f t="shared" si="10"/>
        <v>43.106111111111133</v>
      </c>
      <c r="K152" s="31">
        <f t="shared" si="10"/>
        <v>0.86857142857142877</v>
      </c>
      <c r="L152" s="31">
        <f t="shared" si="10"/>
        <v>5.3941269841269811E-2</v>
      </c>
      <c r="M152" s="31">
        <f t="shared" si="10"/>
        <v>14.958253968253974</v>
      </c>
      <c r="N152" s="31">
        <f t="shared" si="10"/>
        <v>0.83163492063492006</v>
      </c>
      <c r="O152" s="10"/>
    </row>
    <row r="153" spans="1:26" x14ac:dyDescent="0.35">
      <c r="A153" s="9" t="s">
        <v>151</v>
      </c>
      <c r="B153" s="30">
        <f>MIN(B24:B149)</f>
        <v>1</v>
      </c>
      <c r="C153" s="30">
        <f t="shared" ref="C153:N153" si="11">MIN(C24:C149)</f>
        <v>68.5</v>
      </c>
      <c r="D153" s="30">
        <f t="shared" si="11"/>
        <v>2.67</v>
      </c>
      <c r="E153" s="30">
        <f t="shared" si="11"/>
        <v>2.17</v>
      </c>
      <c r="F153" s="30">
        <f t="shared" si="11"/>
        <v>0</v>
      </c>
      <c r="G153" s="30">
        <f t="shared" si="11"/>
        <v>0</v>
      </c>
      <c r="H153" s="30">
        <f t="shared" si="11"/>
        <v>3</v>
      </c>
      <c r="I153" s="30">
        <f t="shared" si="11"/>
        <v>3</v>
      </c>
      <c r="J153" s="30">
        <f t="shared" si="11"/>
        <v>6.34</v>
      </c>
      <c r="K153" s="30">
        <f t="shared" si="11"/>
        <v>0</v>
      </c>
      <c r="L153" s="30">
        <f t="shared" si="11"/>
        <v>0</v>
      </c>
      <c r="M153" s="30">
        <f t="shared" si="11"/>
        <v>0</v>
      </c>
      <c r="N153" s="30">
        <f t="shared" si="11"/>
        <v>0</v>
      </c>
      <c r="O153" s="10"/>
    </row>
    <row r="154" spans="1:26" x14ac:dyDescent="0.35">
      <c r="A154" s="11" t="s">
        <v>152</v>
      </c>
      <c r="B154" s="31">
        <f>MAX(B24:B149)</f>
        <v>5.88</v>
      </c>
      <c r="C154" s="31">
        <f t="shared" ref="C154:N154" si="12">MAX(C24:C149)</f>
        <v>100</v>
      </c>
      <c r="D154" s="31">
        <f t="shared" si="12"/>
        <v>22.5</v>
      </c>
      <c r="E154" s="31">
        <f t="shared" si="12"/>
        <v>10.71</v>
      </c>
      <c r="F154" s="31">
        <f t="shared" si="12"/>
        <v>22</v>
      </c>
      <c r="G154" s="31">
        <f t="shared" si="12"/>
        <v>4.63</v>
      </c>
      <c r="H154" s="31">
        <f t="shared" si="12"/>
        <v>12.86</v>
      </c>
      <c r="I154" s="31">
        <f t="shared" si="12"/>
        <v>44.5</v>
      </c>
      <c r="J154" s="31">
        <f t="shared" si="12"/>
        <v>67.08</v>
      </c>
      <c r="K154" s="31">
        <f t="shared" si="12"/>
        <v>3.14</v>
      </c>
      <c r="L154" s="31">
        <f t="shared" si="12"/>
        <v>0.5</v>
      </c>
      <c r="M154" s="31">
        <f t="shared" si="12"/>
        <v>60.82</v>
      </c>
      <c r="N154" s="31">
        <f t="shared" si="12"/>
        <v>3.38</v>
      </c>
      <c r="O154" s="10"/>
    </row>
    <row r="155" spans="1:26" x14ac:dyDescent="0.35">
      <c r="A155" s="9" t="s">
        <v>153</v>
      </c>
      <c r="B155" s="30">
        <f>_xlfn.STDEV.S(B24:B149)</f>
        <v>1.6743924783122304</v>
      </c>
      <c r="C155" s="30">
        <f t="shared" ref="C155:N155" si="13">_xlfn.STDEV.S(C24:C149)</f>
        <v>8.403984599912345</v>
      </c>
      <c r="D155" s="30">
        <f t="shared" si="13"/>
        <v>5.4370625852159886</v>
      </c>
      <c r="E155" s="30">
        <f t="shared" si="13"/>
        <v>2.5467597003699698</v>
      </c>
      <c r="F155" s="30">
        <f t="shared" si="13"/>
        <v>5.9789503564655355</v>
      </c>
      <c r="G155" s="30">
        <f t="shared" si="13"/>
        <v>1.2243045502431305</v>
      </c>
      <c r="H155" s="30">
        <f t="shared" si="13"/>
        <v>3.042608317123396</v>
      </c>
      <c r="I155" s="30">
        <f t="shared" si="13"/>
        <v>11.341977988239703</v>
      </c>
      <c r="J155" s="30">
        <f t="shared" si="13"/>
        <v>18.678845573416833</v>
      </c>
      <c r="K155" s="30">
        <f t="shared" si="13"/>
        <v>0.93866519209840837</v>
      </c>
      <c r="L155" s="30">
        <f t="shared" si="13"/>
        <v>7.9573117339806404E-2</v>
      </c>
      <c r="M155" s="30">
        <f t="shared" si="13"/>
        <v>15.708798863279913</v>
      </c>
      <c r="N155" s="30">
        <f t="shared" si="13"/>
        <v>0.87321025741272273</v>
      </c>
      <c r="O155" s="10"/>
    </row>
    <row r="156" spans="1:26" x14ac:dyDescent="0.35">
      <c r="A156" s="11" t="s">
        <v>154</v>
      </c>
      <c r="B156" s="31">
        <f>_xlfn.VAR.S(B24:B149)</f>
        <v>2.8035901714285729</v>
      </c>
      <c r="C156" s="31">
        <f t="shared" ref="C156:N156" si="14">_xlfn.VAR.S(C24:C149)</f>
        <v>70.626957155563872</v>
      </c>
      <c r="D156" s="31">
        <f t="shared" si="14"/>
        <v>29.561649555555572</v>
      </c>
      <c r="E156" s="31">
        <f t="shared" si="14"/>
        <v>6.4859849714285378</v>
      </c>
      <c r="F156" s="31">
        <f t="shared" si="14"/>
        <v>35.747847365079359</v>
      </c>
      <c r="G156" s="31">
        <f t="shared" si="14"/>
        <v>1.4989216317460341</v>
      </c>
      <c r="H156" s="31">
        <f t="shared" si="14"/>
        <v>9.2574653714284647</v>
      </c>
      <c r="I156" s="31">
        <f t="shared" si="14"/>
        <v>128.64046468571394</v>
      </c>
      <c r="J156" s="31">
        <f t="shared" si="14"/>
        <v>348.89927195555367</v>
      </c>
      <c r="K156" s="31">
        <f t="shared" si="14"/>
        <v>0.881092342857142</v>
      </c>
      <c r="L156" s="31">
        <f t="shared" si="14"/>
        <v>6.3318810031745979E-3</v>
      </c>
      <c r="M156" s="31">
        <f t="shared" si="14"/>
        <v>246.76636172698431</v>
      </c>
      <c r="N156" s="31">
        <f t="shared" si="14"/>
        <v>0.7624961536507936</v>
      </c>
      <c r="O156" s="10"/>
    </row>
    <row r="160" spans="1:26" x14ac:dyDescent="0.35">
      <c r="A160" s="23" t="s">
        <v>174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2" spans="1:32" ht="28.8" x14ac:dyDescent="0.35">
      <c r="B162" s="13" t="s">
        <v>173</v>
      </c>
      <c r="C162" s="13" t="s">
        <v>20</v>
      </c>
      <c r="D162" s="13" t="s">
        <v>159</v>
      </c>
      <c r="E162" s="13" t="s">
        <v>160</v>
      </c>
      <c r="F162" s="13" t="s">
        <v>21</v>
      </c>
      <c r="G162" s="13" t="s">
        <v>161</v>
      </c>
      <c r="H162" s="13" t="s">
        <v>22</v>
      </c>
      <c r="I162" s="13" t="s">
        <v>162</v>
      </c>
      <c r="J162" s="13" t="s">
        <v>163</v>
      </c>
      <c r="K162" s="13" t="s">
        <v>164</v>
      </c>
      <c r="L162" s="13" t="s">
        <v>165</v>
      </c>
      <c r="M162" s="13" t="s">
        <v>166</v>
      </c>
      <c r="N162" s="13" t="s">
        <v>167</v>
      </c>
      <c r="O162" s="13" t="s">
        <v>168</v>
      </c>
    </row>
    <row r="163" spans="1:32" x14ac:dyDescent="0.35">
      <c r="A163" s="1">
        <f>COUNTIF($A$24:$A$149, "*Buggy")</f>
        <v>42</v>
      </c>
      <c r="B163" s="1" t="s">
        <v>156</v>
      </c>
      <c r="C163" s="14">
        <f t="shared" ref="C163:O163" si="15" xml:space="preserve"> AVERAGEIF($A$24:$A$149, "*Buggy",B$24:B$149)</f>
        <v>2.2026190476190473</v>
      </c>
      <c r="D163" s="14">
        <f t="shared" si="15"/>
        <v>78.397142857142882</v>
      </c>
      <c r="E163" s="14">
        <f t="shared" si="15"/>
        <v>11.101190476190476</v>
      </c>
      <c r="F163" s="14">
        <f t="shared" si="15"/>
        <v>7.1707142857142898</v>
      </c>
      <c r="G163" s="14">
        <f t="shared" si="15"/>
        <v>8.627380952380955</v>
      </c>
      <c r="H163" s="14">
        <f t="shared" si="15"/>
        <v>2.5138095238095235</v>
      </c>
      <c r="I163" s="14">
        <f t="shared" si="15"/>
        <v>9.6845238095238155</v>
      </c>
      <c r="J163" s="14">
        <f t="shared" si="15"/>
        <v>19.731190476190481</v>
      </c>
      <c r="K163" s="14">
        <f t="shared" si="15"/>
        <v>43.330952380952354</v>
      </c>
      <c r="L163" s="14">
        <f t="shared" si="15"/>
        <v>0.86357142857142843</v>
      </c>
      <c r="M163" s="14">
        <f t="shared" si="15"/>
        <v>4.761904761904763E-2</v>
      </c>
      <c r="N163" s="14">
        <f t="shared" si="15"/>
        <v>14.291904761904764</v>
      </c>
      <c r="O163" s="14">
        <f t="shared" si="15"/>
        <v>0.79480952380952397</v>
      </c>
    </row>
    <row r="164" spans="1:32" x14ac:dyDescent="0.35">
      <c r="A164" s="1">
        <f>COUNTIF($A$24:$A$149, "*Fixed")</f>
        <v>42</v>
      </c>
      <c r="B164" s="1" t="s">
        <v>157</v>
      </c>
      <c r="C164" s="14">
        <f t="shared" ref="C164:O164" si="16" xml:space="preserve"> AVERAGEIF($A$24:$A$149, "*Fixed",B$24:B$149)</f>
        <v>2.2321428571428572</v>
      </c>
      <c r="D164" s="14">
        <f t="shared" si="16"/>
        <v>78.414047619047636</v>
      </c>
      <c r="E164" s="14">
        <f t="shared" si="16"/>
        <v>11.115</v>
      </c>
      <c r="F164" s="14">
        <f t="shared" si="16"/>
        <v>7.1685714285714326</v>
      </c>
      <c r="G164" s="14">
        <f t="shared" si="16"/>
        <v>8.6342857142857099</v>
      </c>
      <c r="H164" s="14">
        <f t="shared" si="16"/>
        <v>2.5192857142857141</v>
      </c>
      <c r="I164" s="14">
        <f t="shared" si="16"/>
        <v>9.6876190476190533</v>
      </c>
      <c r="J164" s="14">
        <f t="shared" si="16"/>
        <v>19.749047619047627</v>
      </c>
      <c r="K164" s="14">
        <f t="shared" si="16"/>
        <v>43.343333333333327</v>
      </c>
      <c r="L164" s="14">
        <f t="shared" si="16"/>
        <v>0.86309523809523814</v>
      </c>
      <c r="M164" s="14">
        <f t="shared" si="16"/>
        <v>4.761904761904763E-2</v>
      </c>
      <c r="N164" s="14">
        <f t="shared" si="16"/>
        <v>14.280000000000003</v>
      </c>
      <c r="O164" s="14">
        <f t="shared" si="16"/>
        <v>0.79385714285714304</v>
      </c>
    </row>
    <row r="165" spans="1:32" x14ac:dyDescent="0.35">
      <c r="A165" s="1">
        <f>COUNTIF($A$24:$A$149, "*Repaired")</f>
        <v>42</v>
      </c>
      <c r="B165" s="1" t="s">
        <v>158</v>
      </c>
      <c r="C165" s="14">
        <f t="shared" ref="C165:O165" si="17" xml:space="preserve"> AVERAGEIF($A$24:$A$149, "*Repaired",B$24:B$149)</f>
        <v>2.1466666666666669</v>
      </c>
      <c r="D165" s="14">
        <f t="shared" si="17"/>
        <v>79.052142857142854</v>
      </c>
      <c r="E165" s="14">
        <f t="shared" si="17"/>
        <v>10.615476190476189</v>
      </c>
      <c r="F165" s="14">
        <f t="shared" si="17"/>
        <v>7.274285714285714</v>
      </c>
      <c r="G165" s="14">
        <f t="shared" si="17"/>
        <v>7.9573809523809516</v>
      </c>
      <c r="H165" s="14">
        <f t="shared" si="17"/>
        <v>2.4342857142857151</v>
      </c>
      <c r="I165" s="14">
        <f t="shared" si="17"/>
        <v>9.7092857142857127</v>
      </c>
      <c r="J165" s="14">
        <f t="shared" si="17"/>
        <v>18.572619047619046</v>
      </c>
      <c r="K165" s="14">
        <f t="shared" si="17"/>
        <v>42.644047619047626</v>
      </c>
      <c r="L165" s="14">
        <f t="shared" si="17"/>
        <v>0.87904761904761897</v>
      </c>
      <c r="M165" s="14">
        <f t="shared" si="17"/>
        <v>6.6585714285714276E-2</v>
      </c>
      <c r="N165" s="14">
        <f t="shared" si="17"/>
        <v>16.302857142857142</v>
      </c>
      <c r="O165" s="14">
        <f t="shared" si="17"/>
        <v>0.90623809523809518</v>
      </c>
    </row>
    <row r="168" spans="1:32" x14ac:dyDescent="0.35">
      <c r="A168" s="23" t="s">
        <v>232</v>
      </c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R168" s="36" t="s">
        <v>229</v>
      </c>
      <c r="S168" s="36"/>
      <c r="T168" s="36"/>
      <c r="U168" s="36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70" spans="1:32" ht="33.6" customHeight="1" x14ac:dyDescent="0.35">
      <c r="B170" s="13" t="s">
        <v>173</v>
      </c>
      <c r="C170" s="13" t="s">
        <v>175</v>
      </c>
      <c r="D170" s="13" t="s">
        <v>159</v>
      </c>
      <c r="E170" s="13" t="s">
        <v>160</v>
      </c>
      <c r="F170" s="13" t="s">
        <v>21</v>
      </c>
      <c r="G170" s="13" t="s">
        <v>161</v>
      </c>
      <c r="H170" s="13" t="s">
        <v>22</v>
      </c>
      <c r="I170" s="13" t="s">
        <v>162</v>
      </c>
      <c r="J170" s="13" t="s">
        <v>163</v>
      </c>
      <c r="K170" s="13" t="s">
        <v>164</v>
      </c>
      <c r="L170" s="13" t="s">
        <v>165</v>
      </c>
      <c r="M170" s="13" t="s">
        <v>166</v>
      </c>
      <c r="N170" s="13" t="s">
        <v>167</v>
      </c>
      <c r="O170" s="13" t="s">
        <v>168</v>
      </c>
      <c r="S170" s="13" t="s">
        <v>173</v>
      </c>
      <c r="T170" s="13" t="s">
        <v>175</v>
      </c>
      <c r="U170" s="13" t="s">
        <v>159</v>
      </c>
      <c r="V170" s="13" t="s">
        <v>160</v>
      </c>
      <c r="W170" s="13" t="s">
        <v>21</v>
      </c>
      <c r="X170" s="13" t="s">
        <v>161</v>
      </c>
      <c r="Y170" s="13" t="s">
        <v>22</v>
      </c>
      <c r="Z170" s="13" t="s">
        <v>162</v>
      </c>
      <c r="AA170" s="13" t="s">
        <v>163</v>
      </c>
      <c r="AB170" s="13" t="s">
        <v>164</v>
      </c>
      <c r="AC170" s="13" t="s">
        <v>165</v>
      </c>
      <c r="AD170" s="13" t="s">
        <v>166</v>
      </c>
      <c r="AE170" s="13" t="s">
        <v>167</v>
      </c>
      <c r="AF170" s="13" t="s">
        <v>168</v>
      </c>
    </row>
    <row r="171" spans="1:32" x14ac:dyDescent="0.35">
      <c r="A171" s="1">
        <f>COUNTIFS($P$66:$P$107, "=1", $P$108:$P$149, "=1")</f>
        <v>10</v>
      </c>
      <c r="B171" s="1" t="s">
        <v>208</v>
      </c>
      <c r="C171" s="25">
        <f>AVERAGEIFS(B$66:B$107, $P$66:$P$107, "=1", $P$108:$P$149, "=1")</f>
        <v>4.2279999999999998</v>
      </c>
      <c r="D171" s="25">
        <f t="shared" ref="D171:O171" si="18">AVERAGEIFS(C$66:C$107, $P$66:$P$107, "=1", $P$108:$P$149, "=1")</f>
        <v>75.155999999999992</v>
      </c>
      <c r="E171" s="25">
        <f t="shared" si="18"/>
        <v>15.967000000000002</v>
      </c>
      <c r="F171" s="25">
        <f t="shared" si="18"/>
        <v>6.4590000000000005</v>
      </c>
      <c r="G171" s="25">
        <f t="shared" si="18"/>
        <v>14.870999999999999</v>
      </c>
      <c r="H171" s="25">
        <f t="shared" si="18"/>
        <v>3.2610000000000001</v>
      </c>
      <c r="I171" s="25">
        <f t="shared" si="18"/>
        <v>9.7200000000000006</v>
      </c>
      <c r="J171" s="25">
        <f t="shared" si="18"/>
        <v>30.838000000000001</v>
      </c>
      <c r="K171" s="25">
        <f t="shared" si="18"/>
        <v>49.914000000000001</v>
      </c>
      <c r="L171" s="25">
        <f t="shared" si="18"/>
        <v>0.23399999999999999</v>
      </c>
      <c r="M171" s="25">
        <f t="shared" si="18"/>
        <v>3.9E-2</v>
      </c>
      <c r="N171" s="25">
        <f t="shared" si="18"/>
        <v>3.2409999999999997</v>
      </c>
      <c r="O171" s="25">
        <f t="shared" si="18"/>
        <v>0.1802</v>
      </c>
      <c r="R171" s="1">
        <f>COUNTIFS($U$108:$U$149, "YES")</f>
        <v>0</v>
      </c>
      <c r="S171" s="1" t="s">
        <v>212</v>
      </c>
      <c r="T171" s="25" t="e">
        <f t="shared" ref="T171:AF171" si="19">AVERAGEIFS(B$66:B$107, $U$108:$U$149, "YES")</f>
        <v>#DIV/0!</v>
      </c>
      <c r="U171" s="25" t="e">
        <f t="shared" si="19"/>
        <v>#DIV/0!</v>
      </c>
      <c r="V171" s="25" t="e">
        <f t="shared" si="19"/>
        <v>#DIV/0!</v>
      </c>
      <c r="W171" s="25" t="e">
        <f t="shared" si="19"/>
        <v>#DIV/0!</v>
      </c>
      <c r="X171" s="25" t="e">
        <f t="shared" si="19"/>
        <v>#DIV/0!</v>
      </c>
      <c r="Y171" s="25" t="e">
        <f t="shared" si="19"/>
        <v>#DIV/0!</v>
      </c>
      <c r="Z171" s="25" t="e">
        <f t="shared" si="19"/>
        <v>#DIV/0!</v>
      </c>
      <c r="AA171" s="25" t="e">
        <f t="shared" si="19"/>
        <v>#DIV/0!</v>
      </c>
      <c r="AB171" s="25" t="e">
        <f t="shared" si="19"/>
        <v>#DIV/0!</v>
      </c>
      <c r="AC171" s="25" t="e">
        <f t="shared" si="19"/>
        <v>#DIV/0!</v>
      </c>
      <c r="AD171" s="25" t="e">
        <f t="shared" si="19"/>
        <v>#DIV/0!</v>
      </c>
      <c r="AE171" s="25" t="e">
        <f t="shared" si="19"/>
        <v>#DIV/0!</v>
      </c>
      <c r="AF171" s="25" t="e">
        <f t="shared" si="19"/>
        <v>#DIV/0!</v>
      </c>
    </row>
    <row r="172" spans="1:32" x14ac:dyDescent="0.35">
      <c r="A172" s="1">
        <f>COUNTIFS($P$66:$P$107, "=1", $P$108:$P$149, "=1")</f>
        <v>10</v>
      </c>
      <c r="B172" s="1" t="s">
        <v>209</v>
      </c>
      <c r="C172" s="25">
        <f>AVERAGEIFS(B$108:B$149, $P$66:$P$107, "=1", $P$108:$P$149, "=1")</f>
        <v>3.8</v>
      </c>
      <c r="D172" s="25">
        <f t="shared" ref="D172:O172" si="20">AVERAGEIFS(C$108:C$149, $P$66:$P$107, "=1", $P$108:$P$149, "=1")</f>
        <v>75.637</v>
      </c>
      <c r="E172" s="25">
        <f t="shared" si="20"/>
        <v>14.617000000000001</v>
      </c>
      <c r="F172" s="25">
        <f t="shared" si="20"/>
        <v>6.3789999999999996</v>
      </c>
      <c r="G172" s="25">
        <f t="shared" si="20"/>
        <v>13.252000000000001</v>
      </c>
      <c r="H172" s="25">
        <f t="shared" si="20"/>
        <v>3.2410000000000005</v>
      </c>
      <c r="I172" s="25">
        <f t="shared" si="20"/>
        <v>9.6210000000000004</v>
      </c>
      <c r="J172" s="25">
        <f t="shared" si="20"/>
        <v>27.868000000000002</v>
      </c>
      <c r="K172" s="25">
        <f t="shared" si="20"/>
        <v>48.195999999999998</v>
      </c>
      <c r="L172" s="25">
        <f t="shared" si="20"/>
        <v>0.23399999999999999</v>
      </c>
      <c r="M172" s="25">
        <f t="shared" si="20"/>
        <v>3.9E-2</v>
      </c>
      <c r="N172" s="25">
        <f t="shared" si="20"/>
        <v>3.2409999999999997</v>
      </c>
      <c r="O172" s="25">
        <f t="shared" si="20"/>
        <v>0.1802</v>
      </c>
      <c r="R172" s="1">
        <f>COUNTIFS($U$108:$U$149, "YES")</f>
        <v>0</v>
      </c>
      <c r="S172" s="1" t="s">
        <v>213</v>
      </c>
      <c r="T172" s="25" t="e">
        <f>AVERAGEIFS(B$108:B$149, $U$108:$U$149, "YES")</f>
        <v>#DIV/0!</v>
      </c>
      <c r="U172" s="25" t="e">
        <f t="shared" ref="U172:AF172" si="21">AVERAGEIFS(C$108:C$149, $U$108:$U$149, "YES")</f>
        <v>#DIV/0!</v>
      </c>
      <c r="V172" s="25" t="e">
        <f t="shared" si="21"/>
        <v>#DIV/0!</v>
      </c>
      <c r="W172" s="25" t="e">
        <f t="shared" si="21"/>
        <v>#DIV/0!</v>
      </c>
      <c r="X172" s="25" t="e">
        <f t="shared" si="21"/>
        <v>#DIV/0!</v>
      </c>
      <c r="Y172" s="25" t="e">
        <f t="shared" si="21"/>
        <v>#DIV/0!</v>
      </c>
      <c r="Z172" s="25" t="e">
        <f t="shared" si="21"/>
        <v>#DIV/0!</v>
      </c>
      <c r="AA172" s="25" t="e">
        <f t="shared" si="21"/>
        <v>#DIV/0!</v>
      </c>
      <c r="AB172" s="25" t="e">
        <f t="shared" si="21"/>
        <v>#DIV/0!</v>
      </c>
      <c r="AC172" s="25" t="e">
        <f t="shared" si="21"/>
        <v>#DIV/0!</v>
      </c>
      <c r="AD172" s="25" t="e">
        <f t="shared" si="21"/>
        <v>#DIV/0!</v>
      </c>
      <c r="AE172" s="25" t="e">
        <f t="shared" si="21"/>
        <v>#DIV/0!</v>
      </c>
      <c r="AF172" s="25" t="e">
        <f t="shared" si="21"/>
        <v>#DIV/0!</v>
      </c>
    </row>
    <row r="173" spans="1:32" x14ac:dyDescent="0.35">
      <c r="R173" s="35"/>
    </row>
    <row r="174" spans="1:32" ht="36" customHeight="1" x14ac:dyDescent="0.35">
      <c r="B174" s="13" t="s">
        <v>173</v>
      </c>
      <c r="C174" s="13" t="s">
        <v>175</v>
      </c>
      <c r="D174" s="13" t="s">
        <v>159</v>
      </c>
      <c r="E174" s="13" t="s">
        <v>160</v>
      </c>
      <c r="F174" s="13" t="s">
        <v>21</v>
      </c>
      <c r="G174" s="13" t="s">
        <v>161</v>
      </c>
      <c r="H174" s="13" t="s">
        <v>22</v>
      </c>
      <c r="I174" s="13" t="s">
        <v>162</v>
      </c>
      <c r="J174" s="13" t="s">
        <v>163</v>
      </c>
      <c r="K174" s="13" t="s">
        <v>164</v>
      </c>
      <c r="L174" s="13" t="s">
        <v>165</v>
      </c>
      <c r="M174" s="13" t="s">
        <v>166</v>
      </c>
      <c r="N174" s="13" t="s">
        <v>167</v>
      </c>
      <c r="O174" s="13" t="s">
        <v>168</v>
      </c>
      <c r="S174" s="13" t="s">
        <v>173</v>
      </c>
      <c r="T174" s="13" t="s">
        <v>175</v>
      </c>
      <c r="U174" s="13" t="s">
        <v>159</v>
      </c>
      <c r="V174" s="13" t="s">
        <v>160</v>
      </c>
      <c r="W174" s="13" t="s">
        <v>21</v>
      </c>
      <c r="X174" s="13" t="s">
        <v>161</v>
      </c>
      <c r="Y174" s="13" t="s">
        <v>22</v>
      </c>
      <c r="Z174" s="13" t="s">
        <v>162</v>
      </c>
      <c r="AA174" s="13" t="s">
        <v>163</v>
      </c>
      <c r="AB174" s="13" t="s">
        <v>164</v>
      </c>
      <c r="AC174" s="13" t="s">
        <v>165</v>
      </c>
      <c r="AD174" s="13" t="s">
        <v>166</v>
      </c>
      <c r="AE174" s="13" t="s">
        <v>167</v>
      </c>
      <c r="AF174" s="13" t="s">
        <v>168</v>
      </c>
    </row>
    <row r="175" spans="1:32" x14ac:dyDescent="0.35">
      <c r="A175" s="1">
        <f>COUNTIFS($P$66:$P$107, "&gt;1", $P$108:$P$149, "&gt;1")</f>
        <v>4</v>
      </c>
      <c r="B175" s="1" t="s">
        <v>210</v>
      </c>
      <c r="C175" s="25">
        <f>AVERAGEIFS(B$66:B$107, $P$66:$P$107, "&gt;1", $P$108:$P$149, "&gt;1")</f>
        <v>2.57</v>
      </c>
      <c r="D175" s="25">
        <f t="shared" ref="D175:O175" si="22">AVERAGEIFS(C$66:C$107, $P$66:$P$107, "&gt;1", $P$108:$P$149, "&gt;1")</f>
        <v>80.36</v>
      </c>
      <c r="E175" s="25">
        <f t="shared" si="22"/>
        <v>9.7899999999999991</v>
      </c>
      <c r="F175" s="25">
        <f t="shared" si="22"/>
        <v>5.43</v>
      </c>
      <c r="G175" s="25">
        <f t="shared" si="22"/>
        <v>8.43</v>
      </c>
      <c r="H175" s="25">
        <f t="shared" si="22"/>
        <v>3.36</v>
      </c>
      <c r="I175" s="25">
        <f t="shared" si="22"/>
        <v>8.7899999999999991</v>
      </c>
      <c r="J175" s="25">
        <f t="shared" si="22"/>
        <v>18.21</v>
      </c>
      <c r="K175" s="25">
        <f t="shared" si="22"/>
        <v>36.97</v>
      </c>
      <c r="L175" s="25">
        <f t="shared" si="22"/>
        <v>0</v>
      </c>
      <c r="M175" s="25">
        <f t="shared" si="22"/>
        <v>0</v>
      </c>
      <c r="N175" s="25">
        <f t="shared" si="22"/>
        <v>0</v>
      </c>
      <c r="O175" s="25">
        <f t="shared" si="22"/>
        <v>0</v>
      </c>
      <c r="R175" s="1">
        <f>COUNTIFS($V$108:$V$149, "YES")</f>
        <v>2</v>
      </c>
      <c r="S175" s="1" t="s">
        <v>214</v>
      </c>
      <c r="T175" s="25">
        <f t="shared" ref="T175:AF175" si="23">AVERAGEIFS(B$66:B$107, $V$108:$V$149, "YES")</f>
        <v>1.5</v>
      </c>
      <c r="U175" s="25">
        <f t="shared" si="23"/>
        <v>91.33</v>
      </c>
      <c r="V175" s="25">
        <f t="shared" si="23"/>
        <v>3.5</v>
      </c>
      <c r="W175" s="25">
        <f t="shared" si="23"/>
        <v>2.17</v>
      </c>
      <c r="X175" s="25">
        <f t="shared" si="23"/>
        <v>2</v>
      </c>
      <c r="Y175" s="25">
        <f t="shared" si="23"/>
        <v>1</v>
      </c>
      <c r="Z175" s="25">
        <f t="shared" si="23"/>
        <v>3.17</v>
      </c>
      <c r="AA175" s="25">
        <f t="shared" si="23"/>
        <v>5.5</v>
      </c>
      <c r="AB175" s="25">
        <f t="shared" si="23"/>
        <v>8.91</v>
      </c>
      <c r="AC175" s="25">
        <f t="shared" si="23"/>
        <v>0.17</v>
      </c>
      <c r="AD175" s="25">
        <f t="shared" si="23"/>
        <v>0.17</v>
      </c>
      <c r="AE175" s="25">
        <f t="shared" si="23"/>
        <v>1</v>
      </c>
      <c r="AF175" s="25">
        <f t="shared" si="23"/>
        <v>5.6000000000000001E-2</v>
      </c>
    </row>
    <row r="176" spans="1:32" x14ac:dyDescent="0.35">
      <c r="A176" s="1">
        <f>COUNTIFS($P$66:$P$107, "&gt;1", $P$108:$P$149, "&gt;1")</f>
        <v>4</v>
      </c>
      <c r="B176" s="1" t="s">
        <v>211</v>
      </c>
      <c r="C176" s="25">
        <f>AVERAGEIFS(B$108:B$149, $P$66:$P$107, "&gt;1", $P$108:$P$149, "&gt;1")</f>
        <v>2.52</v>
      </c>
      <c r="D176" s="25">
        <f t="shared" ref="D176:O176" si="24">AVERAGEIFS(C$108:C$149, $P$66:$P$107, "&gt;1", $P$108:$P$149, "&gt;1")</f>
        <v>80.17</v>
      </c>
      <c r="E176" s="25">
        <f t="shared" si="24"/>
        <v>10.0175</v>
      </c>
      <c r="F176" s="25">
        <f t="shared" si="24"/>
        <v>5.52</v>
      </c>
      <c r="G176" s="25">
        <f t="shared" si="24"/>
        <v>8.27</v>
      </c>
      <c r="H176" s="25">
        <f t="shared" si="24"/>
        <v>3.1150000000000002</v>
      </c>
      <c r="I176" s="25">
        <f t="shared" si="24"/>
        <v>8.6374999999999993</v>
      </c>
      <c r="J176" s="25">
        <f t="shared" si="24"/>
        <v>18.287500000000001</v>
      </c>
      <c r="K176" s="25">
        <f t="shared" si="24"/>
        <v>36.277499999999996</v>
      </c>
      <c r="L176" s="25">
        <f t="shared" si="24"/>
        <v>0</v>
      </c>
      <c r="M176" s="25">
        <f t="shared" si="24"/>
        <v>0</v>
      </c>
      <c r="N176" s="25">
        <f t="shared" si="24"/>
        <v>0</v>
      </c>
      <c r="O176" s="25">
        <f t="shared" si="24"/>
        <v>0</v>
      </c>
      <c r="R176" s="1">
        <f>COUNTIFS($V$108:$V$149, "YES")</f>
        <v>2</v>
      </c>
      <c r="S176" s="1" t="s">
        <v>215</v>
      </c>
      <c r="T176" s="25">
        <f>AVERAGEIFS(B$108:B$149, $V$108:$V$149, "YES")</f>
        <v>1.33</v>
      </c>
      <c r="U176" s="25">
        <f t="shared" ref="U176:AF176" si="25">AVERAGEIFS(C$108:C$149, $V$108:$V$149, "YES")</f>
        <v>92.17</v>
      </c>
      <c r="V176" s="25">
        <f t="shared" si="25"/>
        <v>2.67</v>
      </c>
      <c r="W176" s="25">
        <f t="shared" si="25"/>
        <v>2.17</v>
      </c>
      <c r="X176" s="25">
        <f t="shared" si="25"/>
        <v>1.17</v>
      </c>
      <c r="Y176" s="25">
        <f t="shared" si="25"/>
        <v>0.83</v>
      </c>
      <c r="Z176" s="25">
        <f t="shared" si="25"/>
        <v>3</v>
      </c>
      <c r="AA176" s="25">
        <f t="shared" si="25"/>
        <v>3.83</v>
      </c>
      <c r="AB176" s="25">
        <f t="shared" si="25"/>
        <v>6.93</v>
      </c>
      <c r="AC176" s="25">
        <f t="shared" si="25"/>
        <v>0.17</v>
      </c>
      <c r="AD176" s="25">
        <f t="shared" si="25"/>
        <v>0.17</v>
      </c>
      <c r="AE176" s="25">
        <f t="shared" si="25"/>
        <v>1</v>
      </c>
      <c r="AF176" s="25">
        <f t="shared" si="25"/>
        <v>5.6000000000000001E-2</v>
      </c>
    </row>
    <row r="177" spans="1:32" x14ac:dyDescent="0.3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R177" s="3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1:32" ht="32.4" customHeight="1" x14ac:dyDescent="0.35">
      <c r="B178" s="13" t="s">
        <v>173</v>
      </c>
      <c r="C178" s="13" t="s">
        <v>175</v>
      </c>
      <c r="D178" s="13" t="s">
        <v>159</v>
      </c>
      <c r="E178" s="13" t="s">
        <v>160</v>
      </c>
      <c r="F178" s="13" t="s">
        <v>21</v>
      </c>
      <c r="G178" s="13" t="s">
        <v>161</v>
      </c>
      <c r="H178" s="13" t="s">
        <v>22</v>
      </c>
      <c r="I178" s="13" t="s">
        <v>162</v>
      </c>
      <c r="J178" s="13" t="s">
        <v>163</v>
      </c>
      <c r="K178" s="13" t="s">
        <v>164</v>
      </c>
      <c r="L178" s="13" t="s">
        <v>165</v>
      </c>
      <c r="M178" s="13" t="s">
        <v>166</v>
      </c>
      <c r="N178" s="13" t="s">
        <v>167</v>
      </c>
      <c r="O178" s="13" t="s">
        <v>168</v>
      </c>
      <c r="S178" s="13" t="s">
        <v>173</v>
      </c>
      <c r="T178" s="13" t="s">
        <v>175</v>
      </c>
      <c r="U178" s="13" t="s">
        <v>159</v>
      </c>
      <c r="V178" s="13" t="s">
        <v>160</v>
      </c>
      <c r="W178" s="13" t="s">
        <v>21</v>
      </c>
      <c r="X178" s="13" t="s">
        <v>161</v>
      </c>
      <c r="Y178" s="13" t="s">
        <v>22</v>
      </c>
      <c r="Z178" s="13" t="s">
        <v>162</v>
      </c>
      <c r="AA178" s="13" t="s">
        <v>163</v>
      </c>
      <c r="AB178" s="13" t="s">
        <v>164</v>
      </c>
      <c r="AC178" s="13" t="s">
        <v>165</v>
      </c>
      <c r="AD178" s="13" t="s">
        <v>166</v>
      </c>
      <c r="AE178" s="13" t="s">
        <v>167</v>
      </c>
      <c r="AF178" s="13" t="s">
        <v>168</v>
      </c>
    </row>
    <row r="179" spans="1:32" x14ac:dyDescent="0.35">
      <c r="A179" s="1">
        <f>COUNTIFS($S$66:$S$107, "=1", $S$108:$S$149, "=1")</f>
        <v>0</v>
      </c>
      <c r="B179" s="1" t="s">
        <v>225</v>
      </c>
      <c r="C179" s="25" t="e">
        <f>AVERAGEIFS(B$66:B$107, $S$66:$S$107, "=1", $S$108:$S$149, "=1")</f>
        <v>#DIV/0!</v>
      </c>
      <c r="D179" s="25" t="e">
        <f t="shared" ref="D179:O179" si="26">AVERAGEIFS(C$66:C$107, $S$66:$S$107, "=1", $S$108:$S$149, "=1")</f>
        <v>#DIV/0!</v>
      </c>
      <c r="E179" s="25" t="e">
        <f t="shared" si="26"/>
        <v>#DIV/0!</v>
      </c>
      <c r="F179" s="25" t="e">
        <f t="shared" si="26"/>
        <v>#DIV/0!</v>
      </c>
      <c r="G179" s="25" t="e">
        <f t="shared" si="26"/>
        <v>#DIV/0!</v>
      </c>
      <c r="H179" s="25" t="e">
        <f t="shared" si="26"/>
        <v>#DIV/0!</v>
      </c>
      <c r="I179" s="25" t="e">
        <f t="shared" si="26"/>
        <v>#DIV/0!</v>
      </c>
      <c r="J179" s="25" t="e">
        <f t="shared" si="26"/>
        <v>#DIV/0!</v>
      </c>
      <c r="K179" s="25" t="e">
        <f t="shared" si="26"/>
        <v>#DIV/0!</v>
      </c>
      <c r="L179" s="25" t="e">
        <f t="shared" si="26"/>
        <v>#DIV/0!</v>
      </c>
      <c r="M179" s="25" t="e">
        <f t="shared" si="26"/>
        <v>#DIV/0!</v>
      </c>
      <c r="N179" s="25" t="e">
        <f t="shared" si="26"/>
        <v>#DIV/0!</v>
      </c>
      <c r="O179" s="25" t="e">
        <f t="shared" si="26"/>
        <v>#DIV/0!</v>
      </c>
      <c r="R179" s="1">
        <f>COUNTIFS($W$108:$W$149, "YES")</f>
        <v>0</v>
      </c>
      <c r="S179" s="1" t="s">
        <v>216</v>
      </c>
      <c r="T179" s="25" t="e">
        <f t="shared" ref="T179:AF179" si="27">AVERAGEIFS(B$66:B$107, $W$108:$W$149, "YES")</f>
        <v>#DIV/0!</v>
      </c>
      <c r="U179" s="25" t="e">
        <f t="shared" si="27"/>
        <v>#DIV/0!</v>
      </c>
      <c r="V179" s="25" t="e">
        <f t="shared" si="27"/>
        <v>#DIV/0!</v>
      </c>
      <c r="W179" s="25" t="e">
        <f t="shared" si="27"/>
        <v>#DIV/0!</v>
      </c>
      <c r="X179" s="25" t="e">
        <f t="shared" si="27"/>
        <v>#DIV/0!</v>
      </c>
      <c r="Y179" s="25" t="e">
        <f t="shared" si="27"/>
        <v>#DIV/0!</v>
      </c>
      <c r="Z179" s="25" t="e">
        <f t="shared" si="27"/>
        <v>#DIV/0!</v>
      </c>
      <c r="AA179" s="25" t="e">
        <f t="shared" si="27"/>
        <v>#DIV/0!</v>
      </c>
      <c r="AB179" s="25" t="e">
        <f t="shared" si="27"/>
        <v>#DIV/0!</v>
      </c>
      <c r="AC179" s="25" t="e">
        <f t="shared" si="27"/>
        <v>#DIV/0!</v>
      </c>
      <c r="AD179" s="25" t="e">
        <f t="shared" si="27"/>
        <v>#DIV/0!</v>
      </c>
      <c r="AE179" s="25" t="e">
        <f t="shared" si="27"/>
        <v>#DIV/0!</v>
      </c>
      <c r="AF179" s="25" t="e">
        <f t="shared" si="27"/>
        <v>#DIV/0!</v>
      </c>
    </row>
    <row r="180" spans="1:32" x14ac:dyDescent="0.35">
      <c r="A180" s="1">
        <f>COUNTIFS($S$66:$S$107, "=1", $S$108:$S$149, "=1")</f>
        <v>0</v>
      </c>
      <c r="B180" s="1" t="s">
        <v>226</v>
      </c>
      <c r="C180" s="25" t="e">
        <f>AVERAGEIFS(B$108:B$149, $S$66:$S$107, "=1", $S$108:$S$149, "=1")</f>
        <v>#DIV/0!</v>
      </c>
      <c r="D180" s="25" t="e">
        <f t="shared" ref="D180:O180" si="28">AVERAGEIFS(C$108:C$149, $S$66:$S$107, "=1", $S$108:$S$149, "=1")</f>
        <v>#DIV/0!</v>
      </c>
      <c r="E180" s="25" t="e">
        <f t="shared" si="28"/>
        <v>#DIV/0!</v>
      </c>
      <c r="F180" s="25" t="e">
        <f t="shared" si="28"/>
        <v>#DIV/0!</v>
      </c>
      <c r="G180" s="25" t="e">
        <f t="shared" si="28"/>
        <v>#DIV/0!</v>
      </c>
      <c r="H180" s="25" t="e">
        <f t="shared" si="28"/>
        <v>#DIV/0!</v>
      </c>
      <c r="I180" s="25" t="e">
        <f t="shared" si="28"/>
        <v>#DIV/0!</v>
      </c>
      <c r="J180" s="25" t="e">
        <f t="shared" si="28"/>
        <v>#DIV/0!</v>
      </c>
      <c r="K180" s="25" t="e">
        <f t="shared" si="28"/>
        <v>#DIV/0!</v>
      </c>
      <c r="L180" s="25" t="e">
        <f t="shared" si="28"/>
        <v>#DIV/0!</v>
      </c>
      <c r="M180" s="25" t="e">
        <f t="shared" si="28"/>
        <v>#DIV/0!</v>
      </c>
      <c r="N180" s="25" t="e">
        <f t="shared" si="28"/>
        <v>#DIV/0!</v>
      </c>
      <c r="O180" s="25" t="e">
        <f t="shared" si="28"/>
        <v>#DIV/0!</v>
      </c>
      <c r="R180" s="1">
        <f>COUNTIFS($W$108:$W$149, "YES")</f>
        <v>0</v>
      </c>
      <c r="S180" s="1" t="s">
        <v>217</v>
      </c>
      <c r="T180" s="25" t="e">
        <f>AVERAGEIFS(B$108:B$149, $W$108:$W$149, "YES")</f>
        <v>#DIV/0!</v>
      </c>
      <c r="U180" s="25" t="e">
        <f t="shared" ref="U180:AF180" si="29">AVERAGEIFS(C$108:C$149, $W$108:$W$149, "YES")</f>
        <v>#DIV/0!</v>
      </c>
      <c r="V180" s="25" t="e">
        <f t="shared" si="29"/>
        <v>#DIV/0!</v>
      </c>
      <c r="W180" s="25" t="e">
        <f t="shared" si="29"/>
        <v>#DIV/0!</v>
      </c>
      <c r="X180" s="25" t="e">
        <f t="shared" si="29"/>
        <v>#DIV/0!</v>
      </c>
      <c r="Y180" s="25" t="e">
        <f t="shared" si="29"/>
        <v>#DIV/0!</v>
      </c>
      <c r="Z180" s="25" t="e">
        <f t="shared" si="29"/>
        <v>#DIV/0!</v>
      </c>
      <c r="AA180" s="25" t="e">
        <f t="shared" si="29"/>
        <v>#DIV/0!</v>
      </c>
      <c r="AB180" s="25" t="e">
        <f t="shared" si="29"/>
        <v>#DIV/0!</v>
      </c>
      <c r="AC180" s="25" t="e">
        <f t="shared" si="29"/>
        <v>#DIV/0!</v>
      </c>
      <c r="AD180" s="25" t="e">
        <f t="shared" si="29"/>
        <v>#DIV/0!</v>
      </c>
      <c r="AE180" s="25" t="e">
        <f t="shared" si="29"/>
        <v>#DIV/0!</v>
      </c>
      <c r="AF180" s="25" t="e">
        <f t="shared" si="29"/>
        <v>#DIV/0!</v>
      </c>
    </row>
    <row r="181" spans="1:32" x14ac:dyDescent="0.3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1:32" ht="34.200000000000003" customHeight="1" x14ac:dyDescent="0.35">
      <c r="B182" s="13" t="s">
        <v>173</v>
      </c>
      <c r="C182" s="13" t="s">
        <v>175</v>
      </c>
      <c r="D182" s="13" t="s">
        <v>159</v>
      </c>
      <c r="E182" s="13" t="s">
        <v>160</v>
      </c>
      <c r="F182" s="13" t="s">
        <v>21</v>
      </c>
      <c r="G182" s="13" t="s">
        <v>161</v>
      </c>
      <c r="H182" s="13" t="s">
        <v>22</v>
      </c>
      <c r="I182" s="13" t="s">
        <v>162</v>
      </c>
      <c r="J182" s="13" t="s">
        <v>163</v>
      </c>
      <c r="K182" s="13" t="s">
        <v>164</v>
      </c>
      <c r="L182" s="13" t="s">
        <v>165</v>
      </c>
      <c r="M182" s="13" t="s">
        <v>166</v>
      </c>
      <c r="N182" s="13" t="s">
        <v>167</v>
      </c>
      <c r="O182" s="13" t="s">
        <v>168</v>
      </c>
      <c r="R182" s="35"/>
      <c r="S182" s="13" t="s">
        <v>173</v>
      </c>
      <c r="T182" s="13" t="s">
        <v>175</v>
      </c>
      <c r="U182" s="13" t="s">
        <v>159</v>
      </c>
      <c r="V182" s="13" t="s">
        <v>160</v>
      </c>
      <c r="W182" s="13" t="s">
        <v>21</v>
      </c>
      <c r="X182" s="13" t="s">
        <v>161</v>
      </c>
      <c r="Y182" s="13" t="s">
        <v>22</v>
      </c>
      <c r="Z182" s="13" t="s">
        <v>162</v>
      </c>
      <c r="AA182" s="13" t="s">
        <v>163</v>
      </c>
      <c r="AB182" s="13" t="s">
        <v>164</v>
      </c>
      <c r="AC182" s="13" t="s">
        <v>165</v>
      </c>
      <c r="AD182" s="13" t="s">
        <v>166</v>
      </c>
      <c r="AE182" s="13" t="s">
        <v>167</v>
      </c>
      <c r="AF182" s="13" t="s">
        <v>168</v>
      </c>
    </row>
    <row r="183" spans="1:32" x14ac:dyDescent="0.35">
      <c r="A183" s="1">
        <f>COUNTIFS($S$66:$S$107, "&gt;1", $S$108:$S$149, "&gt;1")</f>
        <v>6</v>
      </c>
      <c r="B183" s="1" t="s">
        <v>227</v>
      </c>
      <c r="C183" s="25">
        <f>AVERAGEIFS(B$66:B$107, $S$66:$S$107, "&gt;1", $S$108:$S$149, "&gt;1")</f>
        <v>2.2133333333333334</v>
      </c>
      <c r="D183" s="25">
        <f t="shared" ref="D183:O183" si="30">AVERAGEIFS(C$66:C$107, $S$66:$S$107, "&gt;1", $S$108:$S$149, "&gt;1")</f>
        <v>84.016666666666666</v>
      </c>
      <c r="E183" s="25">
        <f t="shared" si="30"/>
        <v>7.6933333333333325</v>
      </c>
      <c r="F183" s="25">
        <f t="shared" si="30"/>
        <v>4.3433333333333328</v>
      </c>
      <c r="G183" s="25">
        <f t="shared" si="30"/>
        <v>6.2866666666666662</v>
      </c>
      <c r="H183" s="25">
        <f t="shared" si="30"/>
        <v>2.5733333333333328</v>
      </c>
      <c r="I183" s="25">
        <f t="shared" si="30"/>
        <v>6.9166666666666652</v>
      </c>
      <c r="J183" s="25">
        <f t="shared" si="30"/>
        <v>13.973333333333334</v>
      </c>
      <c r="K183" s="25">
        <f t="shared" si="30"/>
        <v>27.616666666666664</v>
      </c>
      <c r="L183" s="25">
        <f t="shared" si="30"/>
        <v>5.6666666666666671E-2</v>
      </c>
      <c r="M183" s="25">
        <f t="shared" si="30"/>
        <v>5.6666666666666671E-2</v>
      </c>
      <c r="N183" s="25">
        <f t="shared" si="30"/>
        <v>0.33333333333333331</v>
      </c>
      <c r="O183" s="25">
        <f t="shared" si="30"/>
        <v>1.8666666666666668E-2</v>
      </c>
      <c r="R183" s="1">
        <f>COUNTIFS($X$108:$X$149, "YES")</f>
        <v>3</v>
      </c>
      <c r="S183" s="1" t="s">
        <v>218</v>
      </c>
      <c r="T183" s="25">
        <f t="shared" ref="T183:AF183" si="31">AVERAGEIFS(B$66:B$107, $X$108:$X$149, "YES")</f>
        <v>2.57</v>
      </c>
      <c r="U183" s="25">
        <f t="shared" si="31"/>
        <v>80.36</v>
      </c>
      <c r="V183" s="25">
        <f t="shared" si="31"/>
        <v>9.7899999999999991</v>
      </c>
      <c r="W183" s="25">
        <f t="shared" si="31"/>
        <v>5.43</v>
      </c>
      <c r="X183" s="25">
        <f t="shared" si="31"/>
        <v>8.43</v>
      </c>
      <c r="Y183" s="25">
        <f t="shared" si="31"/>
        <v>3.36</v>
      </c>
      <c r="Z183" s="25">
        <f t="shared" si="31"/>
        <v>8.7899999999999991</v>
      </c>
      <c r="AA183" s="25">
        <f t="shared" si="31"/>
        <v>18.21</v>
      </c>
      <c r="AB183" s="25">
        <f t="shared" si="31"/>
        <v>36.97</v>
      </c>
      <c r="AC183" s="25">
        <f t="shared" si="31"/>
        <v>0</v>
      </c>
      <c r="AD183" s="25">
        <f t="shared" si="31"/>
        <v>0</v>
      </c>
      <c r="AE183" s="25">
        <f t="shared" si="31"/>
        <v>0</v>
      </c>
      <c r="AF183" s="25">
        <f t="shared" si="31"/>
        <v>0</v>
      </c>
    </row>
    <row r="184" spans="1:32" x14ac:dyDescent="0.35">
      <c r="A184" s="1">
        <f>COUNTIFS($S$66:$S$107, "&gt;1", $S$108:$S$149, "&gt;1")</f>
        <v>6</v>
      </c>
      <c r="B184" s="1" t="s">
        <v>228</v>
      </c>
      <c r="C184" s="25">
        <f>AVERAGEIFS(B$108:B$149, $S$66:$S$107, "&gt;1", $S$108:$S$149, "&gt;1")</f>
        <v>2.1233333333333335</v>
      </c>
      <c r="D184" s="25">
        <f t="shared" ref="D184:O184" si="32">AVERAGEIFS(C$108:C$149, $S$66:$S$107, "&gt;1", $S$108:$S$149, "&gt;1")</f>
        <v>84.17</v>
      </c>
      <c r="E184" s="25">
        <f t="shared" si="32"/>
        <v>7.5683333333333342</v>
      </c>
      <c r="F184" s="25">
        <f t="shared" si="32"/>
        <v>4.4033333333333333</v>
      </c>
      <c r="G184" s="25">
        <f t="shared" si="32"/>
        <v>5.9033333333333333</v>
      </c>
      <c r="H184" s="25">
        <f t="shared" si="32"/>
        <v>2.3533333333333331</v>
      </c>
      <c r="I184" s="25">
        <f t="shared" si="32"/>
        <v>6.7583333333333329</v>
      </c>
      <c r="J184" s="25">
        <f t="shared" si="32"/>
        <v>13.468333333333334</v>
      </c>
      <c r="K184" s="25">
        <f t="shared" si="32"/>
        <v>26.495000000000001</v>
      </c>
      <c r="L184" s="25">
        <f t="shared" si="32"/>
        <v>5.6666666666666671E-2</v>
      </c>
      <c r="M184" s="25">
        <f t="shared" si="32"/>
        <v>5.6666666666666671E-2</v>
      </c>
      <c r="N184" s="25">
        <f t="shared" si="32"/>
        <v>0.33333333333333331</v>
      </c>
      <c r="O184" s="25">
        <f t="shared" si="32"/>
        <v>1.8666666666666668E-2</v>
      </c>
      <c r="R184" s="1">
        <f>COUNTIFS($X$108:$X$149, "YES")</f>
        <v>3</v>
      </c>
      <c r="S184" s="1" t="s">
        <v>219</v>
      </c>
      <c r="T184" s="25">
        <f>AVERAGEIFS(B$108:B$149, $X$108:$X$149, "YES")</f>
        <v>2.5133333333333332</v>
      </c>
      <c r="U184" s="25">
        <f t="shared" ref="U184:AF184" si="33">AVERAGEIFS(C$108:C$149, $X$108:$X$149, "YES")</f>
        <v>80.100000000000009</v>
      </c>
      <c r="V184" s="25">
        <f t="shared" si="33"/>
        <v>9.9966666666666679</v>
      </c>
      <c r="W184" s="25">
        <f t="shared" si="33"/>
        <v>5.54</v>
      </c>
      <c r="X184" s="25">
        <f t="shared" si="33"/>
        <v>8.2333333333333325</v>
      </c>
      <c r="Y184" s="25">
        <f t="shared" si="33"/>
        <v>3.1033333333333335</v>
      </c>
      <c r="Z184" s="25">
        <f t="shared" si="33"/>
        <v>8.6433333333333326</v>
      </c>
      <c r="AA184" s="25">
        <f t="shared" si="33"/>
        <v>18.23</v>
      </c>
      <c r="AB184" s="25">
        <f t="shared" si="33"/>
        <v>36.206666666666671</v>
      </c>
      <c r="AC184" s="25">
        <f t="shared" si="33"/>
        <v>0</v>
      </c>
      <c r="AD184" s="25">
        <f t="shared" si="33"/>
        <v>0</v>
      </c>
      <c r="AE184" s="25">
        <f t="shared" si="33"/>
        <v>0</v>
      </c>
      <c r="AF184" s="25">
        <f t="shared" si="33"/>
        <v>0</v>
      </c>
    </row>
    <row r="186" spans="1:32" ht="28.8" x14ac:dyDescent="0.35">
      <c r="A186" s="35"/>
      <c r="B186" s="13" t="s">
        <v>173</v>
      </c>
      <c r="C186" s="13" t="s">
        <v>175</v>
      </c>
      <c r="D186" s="13" t="s">
        <v>159</v>
      </c>
      <c r="E186" s="13" t="s">
        <v>160</v>
      </c>
      <c r="F186" s="13" t="s">
        <v>21</v>
      </c>
      <c r="G186" s="13" t="s">
        <v>161</v>
      </c>
      <c r="H186" s="13" t="s">
        <v>22</v>
      </c>
      <c r="I186" s="13" t="s">
        <v>162</v>
      </c>
      <c r="J186" s="13" t="s">
        <v>163</v>
      </c>
      <c r="K186" s="13" t="s">
        <v>164</v>
      </c>
      <c r="L186" s="13" t="s">
        <v>165</v>
      </c>
      <c r="M186" s="13" t="s">
        <v>166</v>
      </c>
      <c r="N186" s="13" t="s">
        <v>167</v>
      </c>
      <c r="O186" s="13" t="s">
        <v>168</v>
      </c>
    </row>
    <row r="187" spans="1:32" x14ac:dyDescent="0.35">
      <c r="A187" s="1">
        <f>COUNTIFS($Y$108:$Y$149, "YES")</f>
        <v>1</v>
      </c>
      <c r="B187" s="1" t="s">
        <v>230</v>
      </c>
      <c r="C187" s="25">
        <f t="shared" ref="C186:O187" si="34">AVERAGEIFS(B$66:B$107, $Y$108:$Y$149, "YES")</f>
        <v>2.57</v>
      </c>
      <c r="D187" s="25">
        <f t="shared" si="34"/>
        <v>80.36</v>
      </c>
      <c r="E187" s="25">
        <f t="shared" si="34"/>
        <v>9.7899999999999991</v>
      </c>
      <c r="F187" s="25">
        <f t="shared" si="34"/>
        <v>5.43</v>
      </c>
      <c r="G187" s="25">
        <f t="shared" si="34"/>
        <v>8.43</v>
      </c>
      <c r="H187" s="25">
        <f t="shared" si="34"/>
        <v>3.36</v>
      </c>
      <c r="I187" s="25">
        <f t="shared" si="34"/>
        <v>8.7899999999999991</v>
      </c>
      <c r="J187" s="25">
        <f t="shared" si="34"/>
        <v>18.21</v>
      </c>
      <c r="K187" s="25">
        <f t="shared" si="34"/>
        <v>36.97</v>
      </c>
      <c r="L187" s="25">
        <f t="shared" si="34"/>
        <v>0</v>
      </c>
      <c r="M187" s="25">
        <f t="shared" si="34"/>
        <v>0</v>
      </c>
      <c r="N187" s="25">
        <f t="shared" si="34"/>
        <v>0</v>
      </c>
      <c r="O187" s="25">
        <f t="shared" si="34"/>
        <v>0</v>
      </c>
    </row>
    <row r="188" spans="1:32" x14ac:dyDescent="0.35">
      <c r="A188" s="1">
        <f>COUNTIFS($Y$108:$Y$149, "YES")</f>
        <v>1</v>
      </c>
      <c r="B188" s="1" t="s">
        <v>231</v>
      </c>
      <c r="C188" s="25">
        <f t="shared" ref="C187:O188" si="35">AVERAGEIFS(B$108:B$149, $Y$108:$Y$149, "YES")</f>
        <v>2.46</v>
      </c>
      <c r="D188" s="25">
        <f t="shared" si="35"/>
        <v>80.23</v>
      </c>
      <c r="E188" s="25">
        <f t="shared" si="35"/>
        <v>9.92</v>
      </c>
      <c r="F188" s="25">
        <f t="shared" si="35"/>
        <v>5.54</v>
      </c>
      <c r="G188" s="25">
        <f t="shared" si="35"/>
        <v>8.08</v>
      </c>
      <c r="H188" s="25">
        <f t="shared" si="35"/>
        <v>3</v>
      </c>
      <c r="I188" s="25">
        <f t="shared" si="35"/>
        <v>8.5399999999999991</v>
      </c>
      <c r="J188" s="25">
        <f t="shared" si="35"/>
        <v>18</v>
      </c>
      <c r="K188" s="25">
        <f t="shared" si="35"/>
        <v>35.54</v>
      </c>
      <c r="L188" s="25">
        <f t="shared" si="35"/>
        <v>0</v>
      </c>
      <c r="M188" s="25">
        <f t="shared" si="35"/>
        <v>0</v>
      </c>
      <c r="N188" s="25">
        <f t="shared" si="35"/>
        <v>0</v>
      </c>
      <c r="O188" s="25">
        <f t="shared" si="35"/>
        <v>0</v>
      </c>
    </row>
    <row r="189" spans="1:32" ht="15" customHeight="1" x14ac:dyDescent="0.35"/>
    <row r="190" spans="1:32" ht="15" customHeight="1" x14ac:dyDescent="0.35"/>
    <row r="191" spans="1:32" x14ac:dyDescent="0.35">
      <c r="A191" s="23" t="s">
        <v>176</v>
      </c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32" ht="15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5" ht="28.8" x14ac:dyDescent="0.35">
      <c r="A193" s="13" t="s">
        <v>178</v>
      </c>
      <c r="B193" s="13" t="s">
        <v>173</v>
      </c>
      <c r="C193" s="13" t="s">
        <v>175</v>
      </c>
      <c r="D193" s="13" t="s">
        <v>159</v>
      </c>
      <c r="E193" s="13" t="s">
        <v>160</v>
      </c>
      <c r="F193" s="13" t="s">
        <v>21</v>
      </c>
      <c r="G193" s="13" t="s">
        <v>161</v>
      </c>
      <c r="H193" s="13" t="s">
        <v>22</v>
      </c>
      <c r="I193" s="13" t="s">
        <v>162</v>
      </c>
      <c r="J193" s="13" t="s">
        <v>163</v>
      </c>
      <c r="K193" s="13" t="s">
        <v>164</v>
      </c>
      <c r="L193" s="13" t="s">
        <v>165</v>
      </c>
      <c r="M193" s="13" t="s">
        <v>166</v>
      </c>
      <c r="N193" s="13" t="s">
        <v>167</v>
      </c>
      <c r="O193" s="13" t="s">
        <v>168</v>
      </c>
    </row>
    <row r="194" spans="1:15" x14ac:dyDescent="0.35">
      <c r="A194" s="1">
        <f>COUNTIF($A$24:$A$149, "*albfernandez-GDS-PMD-Security*Buggy")</f>
        <v>5</v>
      </c>
      <c r="B194" s="1" t="s">
        <v>189</v>
      </c>
      <c r="C194" s="25">
        <f t="shared" ref="C194:O194" si="36">AVERAGEIF($A$24:$A$149, "*albfernandez-GDS-PMD-Security*_Buggy", B$24:B$149)</f>
        <v>3.218</v>
      </c>
      <c r="D194" s="25">
        <f t="shared" si="36"/>
        <v>76.114000000000004</v>
      </c>
      <c r="E194" s="25">
        <f t="shared" si="36"/>
        <v>11.389999999999999</v>
      </c>
      <c r="F194" s="25">
        <f t="shared" si="36"/>
        <v>6.8020000000000014</v>
      </c>
      <c r="G194" s="25">
        <f t="shared" si="36"/>
        <v>9.8800000000000008</v>
      </c>
      <c r="H194" s="25">
        <f t="shared" si="36"/>
        <v>3.7</v>
      </c>
      <c r="I194" s="25">
        <f t="shared" si="36"/>
        <v>10.5</v>
      </c>
      <c r="J194" s="25">
        <f t="shared" si="36"/>
        <v>21.276</v>
      </c>
      <c r="K194" s="25">
        <f t="shared" si="36"/>
        <v>46.86</v>
      </c>
      <c r="L194" s="25">
        <f t="shared" si="36"/>
        <v>0.74199999999999999</v>
      </c>
      <c r="M194" s="25">
        <f t="shared" si="36"/>
        <v>0.15</v>
      </c>
      <c r="N194" s="25">
        <f t="shared" si="36"/>
        <v>21.845999999999997</v>
      </c>
      <c r="O194" s="25">
        <f t="shared" si="36"/>
        <v>1.218</v>
      </c>
    </row>
    <row r="195" spans="1:15" x14ac:dyDescent="0.35">
      <c r="A195" s="1">
        <f>COUNTIF($A$24:$A$149, "*albfernandez-GDS-PMD-Security*Fixed")</f>
        <v>5</v>
      </c>
      <c r="B195" s="1" t="s">
        <v>190</v>
      </c>
      <c r="C195" s="25">
        <f t="shared" ref="C195:O195" si="37">AVERAGEIF($A$24:$A$149, "*albfernandez-GDS-PMD-Security*_Fixed", B$24:B$149)</f>
        <v>3.226</v>
      </c>
      <c r="D195" s="25">
        <f t="shared" si="37"/>
        <v>76.013999999999996</v>
      </c>
      <c r="E195" s="25">
        <f t="shared" si="37"/>
        <v>11.458</v>
      </c>
      <c r="F195" s="25">
        <f t="shared" si="37"/>
        <v>6.8259999999999987</v>
      </c>
      <c r="G195" s="25">
        <f t="shared" si="37"/>
        <v>9.8879999999999999</v>
      </c>
      <c r="H195" s="25">
        <f t="shared" si="37"/>
        <v>3.6960000000000002</v>
      </c>
      <c r="I195" s="25">
        <f t="shared" si="37"/>
        <v>10.52</v>
      </c>
      <c r="J195" s="25">
        <f t="shared" si="37"/>
        <v>21.351999999999997</v>
      </c>
      <c r="K195" s="25">
        <f t="shared" si="37"/>
        <v>47.007999999999996</v>
      </c>
      <c r="L195" s="25">
        <f t="shared" si="37"/>
        <v>0.73799999999999999</v>
      </c>
      <c r="M195" s="25">
        <f t="shared" si="37"/>
        <v>0.15</v>
      </c>
      <c r="N195" s="25">
        <f t="shared" si="37"/>
        <v>21.745999999999999</v>
      </c>
      <c r="O195" s="25">
        <f t="shared" si="37"/>
        <v>1.2100000000000002</v>
      </c>
    </row>
    <row r="196" spans="1:15" x14ac:dyDescent="0.35">
      <c r="A196" s="1">
        <f>COUNTIF($A$24:$A$149, "*albfernandez-GDS-PMD-Security*Repaired")</f>
        <v>5</v>
      </c>
      <c r="B196" s="1" t="s">
        <v>191</v>
      </c>
      <c r="C196" s="25">
        <f t="shared" ref="C196:O196" si="38">AVERAGEIF($A$24:$A$149, "*albfernandez-GDS-PMD-Security*_Repaired", B$24:B$149)</f>
        <v>3.1859999999999999</v>
      </c>
      <c r="D196" s="25">
        <f t="shared" si="38"/>
        <v>76.397999999999996</v>
      </c>
      <c r="E196" s="25">
        <f t="shared" si="38"/>
        <v>11.363999999999999</v>
      </c>
      <c r="F196" s="25">
        <f t="shared" si="38"/>
        <v>6.7860000000000014</v>
      </c>
      <c r="G196" s="25">
        <f t="shared" si="38"/>
        <v>9.7039999999999988</v>
      </c>
      <c r="H196" s="25">
        <f t="shared" si="38"/>
        <v>3.6519999999999997</v>
      </c>
      <c r="I196" s="25">
        <f t="shared" si="38"/>
        <v>10.436</v>
      </c>
      <c r="J196" s="25">
        <f t="shared" si="38"/>
        <v>21.068000000000001</v>
      </c>
      <c r="K196" s="25">
        <f t="shared" si="38"/>
        <v>46.462000000000003</v>
      </c>
      <c r="L196" s="25">
        <f t="shared" si="38"/>
        <v>0.61199999999999999</v>
      </c>
      <c r="M196" s="25">
        <f t="shared" si="38"/>
        <v>0.15212000000000001</v>
      </c>
      <c r="N196" s="25">
        <f t="shared" si="38"/>
        <v>18.821999999999996</v>
      </c>
      <c r="O196" s="25">
        <f t="shared" si="38"/>
        <v>1.046</v>
      </c>
    </row>
    <row r="198" spans="1:15" ht="28.8" x14ac:dyDescent="0.35">
      <c r="B198" s="13" t="s">
        <v>173</v>
      </c>
      <c r="C198" s="13" t="s">
        <v>175</v>
      </c>
      <c r="D198" s="13" t="s">
        <v>159</v>
      </c>
      <c r="E198" s="13" t="s">
        <v>160</v>
      </c>
      <c r="F198" s="13" t="s">
        <v>21</v>
      </c>
      <c r="G198" s="13" t="s">
        <v>161</v>
      </c>
      <c r="H198" s="13" t="s">
        <v>22</v>
      </c>
      <c r="I198" s="13" t="s">
        <v>162</v>
      </c>
      <c r="J198" s="13" t="s">
        <v>163</v>
      </c>
      <c r="K198" s="13" t="s">
        <v>164</v>
      </c>
      <c r="L198" s="13" t="s">
        <v>165</v>
      </c>
      <c r="M198" s="13" t="s">
        <v>166</v>
      </c>
      <c r="N198" s="13" t="s">
        <v>167</v>
      </c>
      <c r="O198" s="13" t="s">
        <v>168</v>
      </c>
    </row>
    <row r="199" spans="1:15" x14ac:dyDescent="0.35">
      <c r="A199" s="1">
        <f>COUNTIF($A$24:$A$149, "*dungba88-libra*Buggy")</f>
        <v>3</v>
      </c>
      <c r="B199" s="1" t="s">
        <v>192</v>
      </c>
      <c r="C199" s="25">
        <f t="shared" ref="C199:O199" si="39">AVERAGEIF($A$24:$A$149, "*dungba88-libra*_Buggy", B$24:B$149)</f>
        <v>1.7766666666666666</v>
      </c>
      <c r="D199" s="25">
        <f t="shared" si="39"/>
        <v>89.11</v>
      </c>
      <c r="E199" s="25">
        <f t="shared" si="39"/>
        <v>4.1100000000000003</v>
      </c>
      <c r="F199" s="25">
        <f t="shared" si="39"/>
        <v>2.89</v>
      </c>
      <c r="G199" s="25">
        <f t="shared" si="39"/>
        <v>2.7766666666666668</v>
      </c>
      <c r="H199" s="25">
        <f t="shared" si="39"/>
        <v>1.4433333333333334</v>
      </c>
      <c r="I199" s="25">
        <f t="shared" si="39"/>
        <v>4.3366666666666669</v>
      </c>
      <c r="J199" s="25">
        <f t="shared" si="39"/>
        <v>6.8900000000000006</v>
      </c>
      <c r="K199" s="25">
        <f t="shared" si="39"/>
        <v>13.39</v>
      </c>
      <c r="L199" s="25">
        <f t="shared" si="39"/>
        <v>0.11333333333333334</v>
      </c>
      <c r="M199" s="25">
        <f t="shared" si="39"/>
        <v>0.11333333333333334</v>
      </c>
      <c r="N199" s="25">
        <f t="shared" si="39"/>
        <v>0.66666666666666663</v>
      </c>
      <c r="O199" s="25">
        <f t="shared" si="39"/>
        <v>3.7333333333333336E-2</v>
      </c>
    </row>
    <row r="200" spans="1:15" x14ac:dyDescent="0.35">
      <c r="A200" s="1">
        <f>COUNTIF($A$24:$A$149, "*dungba88-libra*Fixed")</f>
        <v>3</v>
      </c>
      <c r="B200" s="1" t="s">
        <v>193</v>
      </c>
      <c r="C200" s="25">
        <f t="shared" ref="C200:O200" si="40">AVERAGEIF($A$24:$A$149, "*dungba88-libra*_Fixed", B$24:B$149)</f>
        <v>2</v>
      </c>
      <c r="D200" s="25">
        <f t="shared" si="40"/>
        <v>88.663333333333341</v>
      </c>
      <c r="E200" s="25">
        <f t="shared" si="40"/>
        <v>4.5566666666666666</v>
      </c>
      <c r="F200" s="25">
        <f t="shared" si="40"/>
        <v>3.0033333333333334</v>
      </c>
      <c r="G200" s="25">
        <f t="shared" si="40"/>
        <v>3.3333333333333335</v>
      </c>
      <c r="H200" s="25">
        <f t="shared" si="40"/>
        <v>1.4433333333333334</v>
      </c>
      <c r="I200" s="25">
        <f t="shared" si="40"/>
        <v>4.4466666666666663</v>
      </c>
      <c r="J200" s="25">
        <f t="shared" si="40"/>
        <v>7.8900000000000006</v>
      </c>
      <c r="K200" s="25">
        <f t="shared" si="40"/>
        <v>14.62</v>
      </c>
      <c r="L200" s="25">
        <f t="shared" si="40"/>
        <v>0.11333333333333334</v>
      </c>
      <c r="M200" s="25">
        <f t="shared" si="40"/>
        <v>0.11333333333333334</v>
      </c>
      <c r="N200" s="25">
        <f t="shared" si="40"/>
        <v>0.66666666666666663</v>
      </c>
      <c r="O200" s="25">
        <f t="shared" si="40"/>
        <v>3.7333333333333336E-2</v>
      </c>
    </row>
    <row r="201" spans="1:15" x14ac:dyDescent="0.35">
      <c r="A201" s="1">
        <f>COUNTIF($A$24:$A$149, "*dungba88-libra*Repaired")</f>
        <v>3</v>
      </c>
      <c r="B201" s="1" t="s">
        <v>194</v>
      </c>
      <c r="C201" s="25">
        <f t="shared" ref="C201:O201" si="41">AVERAGEIF($A$24:$A$149, "*dungba88-libra*_Repaired", B$24:B$149)</f>
        <v>1.6633333333333333</v>
      </c>
      <c r="D201" s="25">
        <f t="shared" si="41"/>
        <v>89.67</v>
      </c>
      <c r="E201" s="25">
        <f t="shared" si="41"/>
        <v>3.5566666666666666</v>
      </c>
      <c r="F201" s="25">
        <f t="shared" si="41"/>
        <v>2.89</v>
      </c>
      <c r="G201" s="25">
        <f t="shared" si="41"/>
        <v>2.2233333333333332</v>
      </c>
      <c r="H201" s="25">
        <f t="shared" si="41"/>
        <v>1.33</v>
      </c>
      <c r="I201" s="25">
        <f t="shared" si="41"/>
        <v>4.2233333333333336</v>
      </c>
      <c r="J201" s="25">
        <f t="shared" si="41"/>
        <v>5.7766666666666664</v>
      </c>
      <c r="K201" s="25">
        <f t="shared" si="41"/>
        <v>12.07</v>
      </c>
      <c r="L201" s="25">
        <f t="shared" si="41"/>
        <v>0.11333333333333334</v>
      </c>
      <c r="M201" s="25">
        <f t="shared" si="41"/>
        <v>0.11333333333333334</v>
      </c>
      <c r="N201" s="25">
        <f t="shared" si="41"/>
        <v>0.66666666666666663</v>
      </c>
      <c r="O201" s="25">
        <f t="shared" si="41"/>
        <v>3.7333333333333336E-2</v>
      </c>
    </row>
    <row r="203" spans="1:15" ht="28.8" x14ac:dyDescent="0.35">
      <c r="B203" s="13" t="s">
        <v>173</v>
      </c>
      <c r="C203" s="13" t="s">
        <v>175</v>
      </c>
      <c r="D203" s="13" t="s">
        <v>159</v>
      </c>
      <c r="E203" s="13" t="s">
        <v>160</v>
      </c>
      <c r="F203" s="13" t="s">
        <v>21</v>
      </c>
      <c r="G203" s="13" t="s">
        <v>161</v>
      </c>
      <c r="H203" s="13" t="s">
        <v>22</v>
      </c>
      <c r="I203" s="13" t="s">
        <v>162</v>
      </c>
      <c r="J203" s="13" t="s">
        <v>163</v>
      </c>
      <c r="K203" s="13" t="s">
        <v>164</v>
      </c>
      <c r="L203" s="13" t="s">
        <v>165</v>
      </c>
      <c r="M203" s="13" t="s">
        <v>166</v>
      </c>
      <c r="N203" s="13" t="s">
        <v>167</v>
      </c>
      <c r="O203" s="13" t="s">
        <v>168</v>
      </c>
    </row>
    <row r="204" spans="1:15" x14ac:dyDescent="0.35">
      <c r="A204" s="1">
        <f>COUNTIF($A$24:$A$149, "*julianps-modelmapper-module*Buggy")</f>
        <v>6</v>
      </c>
      <c r="B204" s="1" t="s">
        <v>195</v>
      </c>
      <c r="C204" s="25">
        <f t="shared" ref="C204:O204" si="42">AVERAGEIF($A$24:$A$149, "*julianps-modelmapper-module*_Buggy", B$24:B$149)</f>
        <v>1</v>
      </c>
      <c r="D204" s="25">
        <f t="shared" si="42"/>
        <v>92</v>
      </c>
      <c r="E204" s="25">
        <f t="shared" si="42"/>
        <v>5</v>
      </c>
      <c r="F204" s="25">
        <f t="shared" si="42"/>
        <v>4</v>
      </c>
      <c r="G204" s="25">
        <f t="shared" si="42"/>
        <v>3</v>
      </c>
      <c r="H204" s="25">
        <f t="shared" si="42"/>
        <v>1</v>
      </c>
      <c r="I204" s="25">
        <f t="shared" si="42"/>
        <v>5</v>
      </c>
      <c r="J204" s="25">
        <f t="shared" si="42"/>
        <v>8</v>
      </c>
      <c r="K204" s="25">
        <f t="shared" si="42"/>
        <v>15</v>
      </c>
      <c r="L204" s="25">
        <f t="shared" si="42"/>
        <v>0</v>
      </c>
      <c r="M204" s="25">
        <f t="shared" si="42"/>
        <v>0</v>
      </c>
      <c r="N204" s="25">
        <f t="shared" si="42"/>
        <v>0</v>
      </c>
      <c r="O204" s="25">
        <f t="shared" si="42"/>
        <v>0</v>
      </c>
    </row>
    <row r="205" spans="1:15" x14ac:dyDescent="0.35">
      <c r="A205" s="1">
        <f>COUNTIF($A$24:$A$149, "*julianps-modelmapper-module*Fixed")</f>
        <v>6</v>
      </c>
      <c r="B205" s="1" t="s">
        <v>196</v>
      </c>
      <c r="C205" s="25">
        <f t="shared" ref="C205:O205" si="43">AVERAGEIF($A$24:$A$149, "*julianps-modelmapper-module*_Fixed", B$24:B$149)</f>
        <v>1</v>
      </c>
      <c r="D205" s="25">
        <f t="shared" si="43"/>
        <v>92</v>
      </c>
      <c r="E205" s="25">
        <f t="shared" si="43"/>
        <v>5</v>
      </c>
      <c r="F205" s="25">
        <f t="shared" si="43"/>
        <v>4</v>
      </c>
      <c r="G205" s="25">
        <f t="shared" si="43"/>
        <v>3</v>
      </c>
      <c r="H205" s="25">
        <f t="shared" si="43"/>
        <v>1</v>
      </c>
      <c r="I205" s="25">
        <f t="shared" si="43"/>
        <v>5</v>
      </c>
      <c r="J205" s="25">
        <f t="shared" si="43"/>
        <v>8</v>
      </c>
      <c r="K205" s="25">
        <f t="shared" si="43"/>
        <v>15</v>
      </c>
      <c r="L205" s="25">
        <f t="shared" si="43"/>
        <v>0</v>
      </c>
      <c r="M205" s="25">
        <f t="shared" si="43"/>
        <v>0</v>
      </c>
      <c r="N205" s="25">
        <f t="shared" si="43"/>
        <v>0</v>
      </c>
      <c r="O205" s="25">
        <f t="shared" si="43"/>
        <v>0</v>
      </c>
    </row>
    <row r="206" spans="1:15" x14ac:dyDescent="0.35">
      <c r="A206" s="1">
        <f>COUNTIF($A$24:$A$149, "*julianps-modelmapper-module*Repaired")</f>
        <v>6</v>
      </c>
      <c r="B206" s="1" t="s">
        <v>197</v>
      </c>
      <c r="C206" s="25">
        <f t="shared" ref="C206:O206" si="44">AVERAGEIF($A$24:$A$149, "*julianps-modelmapper-module*_Repaired", B$24:B$149)</f>
        <v>1.1666666666666667</v>
      </c>
      <c r="D206" s="25">
        <f t="shared" si="44"/>
        <v>96.666666666666671</v>
      </c>
      <c r="E206" s="25">
        <f t="shared" si="44"/>
        <v>3.3333333333333335</v>
      </c>
      <c r="F206" s="25">
        <f t="shared" si="44"/>
        <v>4.166666666666667</v>
      </c>
      <c r="G206" s="25">
        <f t="shared" si="44"/>
        <v>0.66666666666666663</v>
      </c>
      <c r="H206" s="25">
        <f t="shared" si="44"/>
        <v>0.33333333333333331</v>
      </c>
      <c r="I206" s="25">
        <f t="shared" si="44"/>
        <v>4.5</v>
      </c>
      <c r="J206" s="25">
        <f t="shared" si="44"/>
        <v>4</v>
      </c>
      <c r="K206" s="25">
        <f t="shared" si="44"/>
        <v>8.9816666666666674</v>
      </c>
      <c r="L206" s="25">
        <f t="shared" si="44"/>
        <v>0.33333333333333331</v>
      </c>
      <c r="M206" s="25">
        <f t="shared" si="44"/>
        <v>8.3333333333333329E-2</v>
      </c>
      <c r="N206" s="25">
        <f t="shared" si="44"/>
        <v>7.3966666666666674</v>
      </c>
      <c r="O206" s="25">
        <f t="shared" si="44"/>
        <v>0.41166666666666668</v>
      </c>
    </row>
    <row r="208" spans="1:15" ht="28.8" x14ac:dyDescent="0.35">
      <c r="B208" s="13" t="s">
        <v>173</v>
      </c>
      <c r="C208" s="13" t="s">
        <v>175</v>
      </c>
      <c r="D208" s="13" t="s">
        <v>159</v>
      </c>
      <c r="E208" s="13" t="s">
        <v>160</v>
      </c>
      <c r="F208" s="13" t="s">
        <v>21</v>
      </c>
      <c r="G208" s="13" t="s">
        <v>161</v>
      </c>
      <c r="H208" s="13" t="s">
        <v>22</v>
      </c>
      <c r="I208" s="13" t="s">
        <v>162</v>
      </c>
      <c r="J208" s="13" t="s">
        <v>163</v>
      </c>
      <c r="K208" s="13" t="s">
        <v>164</v>
      </c>
      <c r="L208" s="13" t="s">
        <v>165</v>
      </c>
      <c r="M208" s="13" t="s">
        <v>166</v>
      </c>
      <c r="N208" s="13" t="s">
        <v>167</v>
      </c>
      <c r="O208" s="13" t="s">
        <v>168</v>
      </c>
    </row>
    <row r="209" spans="1:15" x14ac:dyDescent="0.35">
      <c r="A209" s="1">
        <f>COUNTIF($A$24:$A$149, "*opentracing-contrib-java-p6sp*Buggy")</f>
        <v>5</v>
      </c>
      <c r="B209" s="1" t="s">
        <v>198</v>
      </c>
      <c r="C209" s="25">
        <f t="shared" ref="C209:O209" si="45">AVERAGEIF($A$24:$A$149, "*opentracing-contrib-java-p6sp*_Buggy", B$24:B$149)</f>
        <v>2.62</v>
      </c>
      <c r="D209" s="25">
        <f t="shared" si="45"/>
        <v>79.849999999999994</v>
      </c>
      <c r="E209" s="25">
        <f t="shared" si="45"/>
        <v>10.31</v>
      </c>
      <c r="F209" s="25">
        <f t="shared" si="45"/>
        <v>5.54</v>
      </c>
      <c r="G209" s="25">
        <f t="shared" si="45"/>
        <v>8.69</v>
      </c>
      <c r="H209" s="25">
        <f t="shared" si="45"/>
        <v>3.31</v>
      </c>
      <c r="I209" s="25">
        <f t="shared" si="45"/>
        <v>8.85</v>
      </c>
      <c r="J209" s="25">
        <f t="shared" si="45"/>
        <v>19</v>
      </c>
      <c r="K209" s="25">
        <f t="shared" si="45"/>
        <v>37.72</v>
      </c>
      <c r="L209" s="25">
        <f t="shared" si="45"/>
        <v>0</v>
      </c>
      <c r="M209" s="25">
        <f t="shared" si="45"/>
        <v>0</v>
      </c>
      <c r="N209" s="25">
        <f t="shared" si="45"/>
        <v>0</v>
      </c>
      <c r="O209" s="25">
        <f t="shared" si="45"/>
        <v>0</v>
      </c>
    </row>
    <row r="210" spans="1:15" x14ac:dyDescent="0.35">
      <c r="A210" s="1">
        <f>COUNTIF($A$24:$A$149, "*opentracing-contrib-java-p6sp*Fixed")</f>
        <v>5</v>
      </c>
      <c r="B210" s="1" t="s">
        <v>199</v>
      </c>
      <c r="C210" s="25">
        <f t="shared" ref="C210:O210" si="46">AVERAGEIF($A$24:$A$149, "*opentracing-contrib-java-p6sp*_Fixed", B$24:B$149)</f>
        <v>2.57</v>
      </c>
      <c r="D210" s="25">
        <f t="shared" si="46"/>
        <v>80.36</v>
      </c>
      <c r="E210" s="25">
        <f t="shared" si="46"/>
        <v>9.7899999999999991</v>
      </c>
      <c r="F210" s="25">
        <f t="shared" si="46"/>
        <v>5.43</v>
      </c>
      <c r="G210" s="25">
        <f t="shared" si="46"/>
        <v>8.43</v>
      </c>
      <c r="H210" s="25">
        <f t="shared" si="46"/>
        <v>3.3600000000000003</v>
      </c>
      <c r="I210" s="25">
        <f t="shared" si="46"/>
        <v>8.7899999999999991</v>
      </c>
      <c r="J210" s="25">
        <f t="shared" si="46"/>
        <v>18.21</v>
      </c>
      <c r="K210" s="25">
        <f t="shared" si="46"/>
        <v>36.97</v>
      </c>
      <c r="L210" s="25">
        <f t="shared" si="46"/>
        <v>0</v>
      </c>
      <c r="M210" s="25">
        <f t="shared" si="46"/>
        <v>0</v>
      </c>
      <c r="N210" s="25">
        <f t="shared" si="46"/>
        <v>0</v>
      </c>
      <c r="O210" s="25">
        <f t="shared" si="46"/>
        <v>0</v>
      </c>
    </row>
    <row r="211" spans="1:15" x14ac:dyDescent="0.35">
      <c r="A211" s="1">
        <f>COUNTIF($A$24:$A$149, "*opentracing-contrib-java-p6sp*Repaired")</f>
        <v>5</v>
      </c>
      <c r="B211" s="1" t="s">
        <v>200</v>
      </c>
      <c r="C211" s="25">
        <f t="shared" ref="C211:O211" si="47">AVERAGEIF($A$24:$A$149, "*opentracing-contrib-java-p6sp*_Repaired", B$24:B$149)</f>
        <v>2.54</v>
      </c>
      <c r="D211" s="25">
        <f t="shared" si="47"/>
        <v>80.12</v>
      </c>
      <c r="E211" s="25">
        <f t="shared" si="47"/>
        <v>10.044</v>
      </c>
      <c r="F211" s="25">
        <f t="shared" si="47"/>
        <v>5.524</v>
      </c>
      <c r="G211" s="25">
        <f t="shared" si="47"/>
        <v>8.3239999999999998</v>
      </c>
      <c r="H211" s="25">
        <f t="shared" si="47"/>
        <v>3.1540000000000004</v>
      </c>
      <c r="I211" s="25">
        <f t="shared" si="47"/>
        <v>8.68</v>
      </c>
      <c r="J211" s="25">
        <f t="shared" si="47"/>
        <v>18.368000000000002</v>
      </c>
      <c r="K211" s="25">
        <f t="shared" si="47"/>
        <v>36.53</v>
      </c>
      <c r="L211" s="25">
        <f t="shared" si="47"/>
        <v>0</v>
      </c>
      <c r="M211" s="25">
        <f t="shared" si="47"/>
        <v>0</v>
      </c>
      <c r="N211" s="25">
        <f t="shared" si="47"/>
        <v>0</v>
      </c>
      <c r="O211" s="25">
        <f t="shared" si="47"/>
        <v>0</v>
      </c>
    </row>
    <row r="213" spans="1:15" ht="28.8" x14ac:dyDescent="0.35">
      <c r="B213" s="13" t="s">
        <v>173</v>
      </c>
      <c r="C213" s="13" t="s">
        <v>175</v>
      </c>
      <c r="D213" s="13" t="s">
        <v>159</v>
      </c>
      <c r="E213" s="13" t="s">
        <v>160</v>
      </c>
      <c r="F213" s="13" t="s">
        <v>21</v>
      </c>
      <c r="G213" s="13" t="s">
        <v>161</v>
      </c>
      <c r="H213" s="13" t="s">
        <v>22</v>
      </c>
      <c r="I213" s="13" t="s">
        <v>162</v>
      </c>
      <c r="J213" s="13" t="s">
        <v>163</v>
      </c>
      <c r="K213" s="13" t="s">
        <v>164</v>
      </c>
      <c r="L213" s="13" t="s">
        <v>165</v>
      </c>
      <c r="M213" s="13" t="s">
        <v>166</v>
      </c>
      <c r="N213" s="13" t="s">
        <v>167</v>
      </c>
      <c r="O213" s="13" t="s">
        <v>168</v>
      </c>
    </row>
    <row r="214" spans="1:15" x14ac:dyDescent="0.35">
      <c r="A214" s="1">
        <f>COUNTIF($A$24:$A$149, "*SzFMV2018-Tavasz-AutomatedCar*Buggy")</f>
        <v>6</v>
      </c>
      <c r="B214" s="1" t="s">
        <v>201</v>
      </c>
      <c r="C214" s="25">
        <f t="shared" ref="C214:O214" si="48">AVERAGEIF($A$24:$A$149, "*SzFMV2018-Tavasz-AutomatedCar*_Buggy", B$24:B$149)</f>
        <v>1</v>
      </c>
      <c r="D214" s="25">
        <f t="shared" si="48"/>
        <v>74.569999999999993</v>
      </c>
      <c r="E214" s="25">
        <f t="shared" si="48"/>
        <v>11</v>
      </c>
      <c r="F214" s="25">
        <f t="shared" si="48"/>
        <v>9.86</v>
      </c>
      <c r="G214" s="25">
        <f t="shared" si="48"/>
        <v>6.86</v>
      </c>
      <c r="H214" s="25">
        <f t="shared" si="48"/>
        <v>2</v>
      </c>
      <c r="I214" s="25">
        <f t="shared" si="48"/>
        <v>11.86</v>
      </c>
      <c r="J214" s="25">
        <f t="shared" si="48"/>
        <v>17.86</v>
      </c>
      <c r="K214" s="25">
        <f t="shared" si="48"/>
        <v>52.87</v>
      </c>
      <c r="L214" s="25">
        <f t="shared" si="48"/>
        <v>2</v>
      </c>
      <c r="M214" s="25">
        <f t="shared" si="48"/>
        <v>4.9999999999999996E-2</v>
      </c>
      <c r="N214" s="25">
        <f t="shared" si="48"/>
        <v>30.41</v>
      </c>
      <c r="O214" s="25">
        <f t="shared" si="48"/>
        <v>1.6899999999999997</v>
      </c>
    </row>
    <row r="215" spans="1:15" x14ac:dyDescent="0.35">
      <c r="A215" s="1">
        <f>COUNTIF($A$24:$A$149, "*SzFMV2018-Tavasz-AutomatedCar*Fixed")</f>
        <v>6</v>
      </c>
      <c r="B215" s="1" t="s">
        <v>202</v>
      </c>
      <c r="C215" s="26">
        <f t="shared" ref="C215:O215" si="49">AVERAGEIF($A$24:$A$149, "*SzFMV2018-Tavasz-AutomatedCar*_Fixed", B$24:B$149)</f>
        <v>1</v>
      </c>
      <c r="D215" s="26">
        <f t="shared" si="49"/>
        <v>74.569999999999993</v>
      </c>
      <c r="E215" s="26">
        <f t="shared" si="49"/>
        <v>11</v>
      </c>
      <c r="F215" s="26">
        <f t="shared" si="49"/>
        <v>9.86</v>
      </c>
      <c r="G215" s="26">
        <f t="shared" si="49"/>
        <v>6.71</v>
      </c>
      <c r="H215" s="26">
        <f t="shared" si="49"/>
        <v>2</v>
      </c>
      <c r="I215" s="26">
        <f t="shared" si="49"/>
        <v>11.86</v>
      </c>
      <c r="J215" s="26">
        <f t="shared" si="49"/>
        <v>17.710000000000004</v>
      </c>
      <c r="K215" s="26">
        <f t="shared" si="49"/>
        <v>52.800000000000004</v>
      </c>
      <c r="L215" s="26">
        <f t="shared" si="49"/>
        <v>2</v>
      </c>
      <c r="M215" s="26">
        <f t="shared" si="49"/>
        <v>4.9999999999999996E-2</v>
      </c>
      <c r="N215" s="26">
        <f t="shared" si="49"/>
        <v>30.41</v>
      </c>
      <c r="O215" s="26">
        <f t="shared" si="49"/>
        <v>1.6899999999999997</v>
      </c>
    </row>
    <row r="216" spans="1:15" x14ac:dyDescent="0.35">
      <c r="A216" s="1">
        <f>COUNTIF($A$24:$A$149, "*SzFMV2018-Tavasz-AutomatedCar*Repaired")</f>
        <v>6</v>
      </c>
      <c r="B216" s="1" t="s">
        <v>203</v>
      </c>
      <c r="C216" s="26">
        <f t="shared" ref="C216:O216" si="50">AVERAGEIF($A$24:$A$149, "*SzFMV2018-Tavasz-AutomatedCar*_Repaired", B$24:B$149)</f>
        <v>1.0233333333333332</v>
      </c>
      <c r="D216" s="26">
        <f t="shared" si="50"/>
        <v>74.263333333333335</v>
      </c>
      <c r="E216" s="26">
        <f t="shared" si="50"/>
        <v>10.998333333333335</v>
      </c>
      <c r="F216" s="26">
        <f t="shared" si="50"/>
        <v>9.9533333333333331</v>
      </c>
      <c r="G216" s="26">
        <f t="shared" si="50"/>
        <v>6.93</v>
      </c>
      <c r="H216" s="26">
        <f t="shared" si="50"/>
        <v>2.0950000000000002</v>
      </c>
      <c r="I216" s="26">
        <f t="shared" si="50"/>
        <v>12.048333333333332</v>
      </c>
      <c r="J216" s="26">
        <f t="shared" si="50"/>
        <v>17.928333333333331</v>
      </c>
      <c r="K216" s="26">
        <f t="shared" si="50"/>
        <v>53.723333333333329</v>
      </c>
      <c r="L216" s="26">
        <f t="shared" si="50"/>
        <v>2.0483333333333333</v>
      </c>
      <c r="M216" s="26">
        <f t="shared" si="50"/>
        <v>5.5333333333333325E-2</v>
      </c>
      <c r="N216" s="26">
        <f t="shared" si="50"/>
        <v>35.678333333333335</v>
      </c>
      <c r="O216" s="26">
        <f t="shared" si="50"/>
        <v>1.9833333333333332</v>
      </c>
    </row>
    <row r="218" spans="1:15" ht="28.8" x14ac:dyDescent="0.35">
      <c r="B218" s="13" t="s">
        <v>173</v>
      </c>
      <c r="C218" s="13" t="s">
        <v>175</v>
      </c>
      <c r="D218" s="13" t="s">
        <v>159</v>
      </c>
      <c r="E218" s="13" t="s">
        <v>160</v>
      </c>
      <c r="F218" s="13" t="s">
        <v>21</v>
      </c>
      <c r="G218" s="13" t="s">
        <v>161</v>
      </c>
      <c r="H218" s="13" t="s">
        <v>22</v>
      </c>
      <c r="I218" s="13" t="s">
        <v>162</v>
      </c>
      <c r="J218" s="13" t="s">
        <v>163</v>
      </c>
      <c r="K218" s="13" t="s">
        <v>164</v>
      </c>
      <c r="L218" s="13" t="s">
        <v>165</v>
      </c>
      <c r="M218" s="13" t="s">
        <v>166</v>
      </c>
      <c r="N218" s="13" t="s">
        <v>167</v>
      </c>
      <c r="O218" s="13" t="s">
        <v>168</v>
      </c>
    </row>
    <row r="219" spans="1:15" x14ac:dyDescent="0.35">
      <c r="A219" s="1">
        <f>COUNTIF($A$24:$A$149, "*traccar-traccar*Buggy")</f>
        <v>6</v>
      </c>
      <c r="B219" s="1" t="s">
        <v>204</v>
      </c>
      <c r="C219" s="25">
        <f t="shared" ref="C219:O219" si="51">AVERAGEIF($A$24:$A$149, "*traccar-traccar*_Buggy", B$24:B$149)</f>
        <v>5.75</v>
      </c>
      <c r="D219" s="25">
        <f t="shared" si="51"/>
        <v>68.5</v>
      </c>
      <c r="E219" s="25">
        <f t="shared" si="51"/>
        <v>22.25</v>
      </c>
      <c r="F219" s="25">
        <f t="shared" si="51"/>
        <v>7.62</v>
      </c>
      <c r="G219" s="25">
        <f t="shared" si="51"/>
        <v>21.62</v>
      </c>
      <c r="H219" s="25">
        <f t="shared" si="51"/>
        <v>4.38</v>
      </c>
      <c r="I219" s="25">
        <f t="shared" si="51"/>
        <v>12</v>
      </c>
      <c r="J219" s="25">
        <f t="shared" si="51"/>
        <v>43.88</v>
      </c>
      <c r="K219" s="25">
        <f t="shared" si="51"/>
        <v>66.92</v>
      </c>
      <c r="L219" s="25">
        <f t="shared" si="51"/>
        <v>0</v>
      </c>
      <c r="M219" s="25">
        <f t="shared" si="51"/>
        <v>0</v>
      </c>
      <c r="N219" s="25">
        <f t="shared" si="51"/>
        <v>0</v>
      </c>
      <c r="O219" s="25">
        <f t="shared" si="51"/>
        <v>0</v>
      </c>
    </row>
    <row r="220" spans="1:15" x14ac:dyDescent="0.35">
      <c r="A220" s="1">
        <f>COUNTIF($A$24:$A$149, "*traccar-traccar*Fixed")</f>
        <v>6</v>
      </c>
      <c r="B220" s="1" t="s">
        <v>205</v>
      </c>
      <c r="C220" s="26">
        <f t="shared" ref="C220:O220" si="52">AVERAGEIF($A$24:$A$149, "*traccar-traccar*_Fixed", B$24:B$149)</f>
        <v>5.88</v>
      </c>
      <c r="D220" s="26">
        <f t="shared" si="52"/>
        <v>68.5</v>
      </c>
      <c r="E220" s="26">
        <f t="shared" si="52"/>
        <v>22.5</v>
      </c>
      <c r="F220" s="26">
        <f t="shared" si="52"/>
        <v>7.62</v>
      </c>
      <c r="G220" s="26">
        <f t="shared" si="52"/>
        <v>22</v>
      </c>
      <c r="H220" s="26">
        <f t="shared" si="52"/>
        <v>4.38</v>
      </c>
      <c r="I220" s="26">
        <f t="shared" si="52"/>
        <v>12</v>
      </c>
      <c r="J220" s="26">
        <f t="shared" si="52"/>
        <v>44.5</v>
      </c>
      <c r="K220" s="26">
        <f t="shared" si="52"/>
        <v>67.08</v>
      </c>
      <c r="L220" s="26">
        <f t="shared" si="52"/>
        <v>0</v>
      </c>
      <c r="M220" s="26">
        <f t="shared" si="52"/>
        <v>0</v>
      </c>
      <c r="N220" s="26">
        <f t="shared" si="52"/>
        <v>0</v>
      </c>
      <c r="O220" s="26">
        <f t="shared" si="52"/>
        <v>0</v>
      </c>
    </row>
    <row r="221" spans="1:15" x14ac:dyDescent="0.35">
      <c r="A221" s="1">
        <f>COUNTIF($A$24:$A$149, "*traccar-traccar*Repaired")</f>
        <v>6</v>
      </c>
      <c r="B221" s="1" t="s">
        <v>206</v>
      </c>
      <c r="C221" s="26">
        <f t="shared" ref="C221:O221" si="53">AVERAGEIF($A$24:$A$149, "*traccar-traccar*_Repaired", B$24:B$149)</f>
        <v>5.3116666666666665</v>
      </c>
      <c r="D221" s="26">
        <f t="shared" si="53"/>
        <v>68.916666666666671</v>
      </c>
      <c r="E221" s="26">
        <f t="shared" si="53"/>
        <v>20.75</v>
      </c>
      <c r="F221" s="26">
        <f t="shared" si="53"/>
        <v>7.52</v>
      </c>
      <c r="G221" s="26">
        <f t="shared" si="53"/>
        <v>19.808333333333334</v>
      </c>
      <c r="H221" s="26">
        <f t="shared" si="53"/>
        <v>4.38</v>
      </c>
      <c r="I221" s="26">
        <f t="shared" si="53"/>
        <v>11.9</v>
      </c>
      <c r="J221" s="26">
        <f t="shared" si="53"/>
        <v>40.55833333333333</v>
      </c>
      <c r="K221" s="26">
        <f t="shared" si="53"/>
        <v>65.278333333333336</v>
      </c>
      <c r="L221" s="26">
        <f t="shared" si="53"/>
        <v>0</v>
      </c>
      <c r="M221" s="26">
        <f t="shared" si="53"/>
        <v>0</v>
      </c>
      <c r="N221" s="26">
        <f t="shared" si="53"/>
        <v>0</v>
      </c>
      <c r="O221" s="26">
        <f t="shared" si="53"/>
        <v>0</v>
      </c>
    </row>
    <row r="224" spans="1:15" x14ac:dyDescent="0.35">
      <c r="A224" s="23" t="s">
        <v>177</v>
      </c>
      <c r="B224" s="24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spans="1:15" ht="15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ht="28.8" x14ac:dyDescent="0.35">
      <c r="A226" s="13" t="s">
        <v>178</v>
      </c>
      <c r="B226" s="13" t="s">
        <v>173</v>
      </c>
      <c r="C226" s="13" t="s">
        <v>175</v>
      </c>
      <c r="D226" s="13" t="s">
        <v>159</v>
      </c>
      <c r="E226" s="13" t="s">
        <v>160</v>
      </c>
      <c r="F226" s="13" t="s">
        <v>21</v>
      </c>
      <c r="G226" s="13" t="s">
        <v>161</v>
      </c>
      <c r="H226" s="13" t="s">
        <v>22</v>
      </c>
      <c r="I226" s="13" t="s">
        <v>162</v>
      </c>
      <c r="J226" s="13" t="s">
        <v>163</v>
      </c>
      <c r="K226" s="13" t="s">
        <v>164</v>
      </c>
      <c r="L226" s="13" t="s">
        <v>165</v>
      </c>
      <c r="M226" s="13" t="s">
        <v>166</v>
      </c>
      <c r="N226" s="13" t="s">
        <v>167</v>
      </c>
      <c r="O226" s="13" t="s">
        <v>168</v>
      </c>
    </row>
    <row r="227" spans="1:15" x14ac:dyDescent="0.35">
      <c r="A227" s="1">
        <f>COUNTIF($A$24:$A$149, "Arja*Fixed")</f>
        <v>26</v>
      </c>
      <c r="B227" s="1" t="s">
        <v>179</v>
      </c>
      <c r="C227" s="25">
        <f>AVERAGEIF($A$24:$A$149, "Arja*Fixed", B$24:B$149)</f>
        <v>2.568461538461539</v>
      </c>
      <c r="D227" s="25">
        <f t="shared" ref="D227:N227" si="54">AVERAGEIF($A$24:$A$149, "Arja*Fixed", C$24:C$149)</f>
        <v>79.533846153846127</v>
      </c>
      <c r="E227" s="25">
        <f t="shared" si="54"/>
        <v>11.127692307692305</v>
      </c>
      <c r="F227" s="25">
        <f t="shared" si="54"/>
        <v>6.3934615384615388</v>
      </c>
      <c r="G227" s="25">
        <f t="shared" si="54"/>
        <v>9.1919230769230769</v>
      </c>
      <c r="H227" s="25">
        <f t="shared" si="54"/>
        <v>2.6753846153846155</v>
      </c>
      <c r="I227" s="25">
        <f t="shared" si="54"/>
        <v>9.0680769230769247</v>
      </c>
      <c r="J227" s="25">
        <f t="shared" si="54"/>
        <v>20.318846153846152</v>
      </c>
      <c r="K227" s="25">
        <f t="shared" si="54"/>
        <v>40.56807692307693</v>
      </c>
      <c r="L227" s="25">
        <f t="shared" si="54"/>
        <v>0.51769230769230767</v>
      </c>
      <c r="M227" s="25">
        <f t="shared" si="54"/>
        <v>5.0961538461538468E-2</v>
      </c>
      <c r="N227" s="25">
        <f t="shared" si="54"/>
        <v>9.6007692307692292</v>
      </c>
      <c r="O227" s="25">
        <f>AVERAGEIF($A$24:$A$149, "Arja*Fixed", N$24:N$149)</f>
        <v>0.53392307692307683</v>
      </c>
    </row>
    <row r="228" spans="1:15" ht="15" thickBot="1" x14ac:dyDescent="0.4">
      <c r="A228" s="28">
        <f>COUNTIF($A$24:$A$149, "Arja*Repaired")</f>
        <v>26</v>
      </c>
      <c r="B228" s="28" t="s">
        <v>180</v>
      </c>
      <c r="C228" s="29">
        <f>AVERAGEIF($A$24:$A$149, "Arja*Repaired", B$24:B$149)</f>
        <v>2.4215384615384616</v>
      </c>
      <c r="D228" s="29">
        <f t="shared" ref="D228:O228" si="55">AVERAGEIF($A$24:$A$149, "Arja*Repaired", C$24:C$149)</f>
        <v>81.206923076923076</v>
      </c>
      <c r="E228" s="29">
        <f t="shared" si="55"/>
        <v>10.330769230769231</v>
      </c>
      <c r="F228" s="29">
        <f t="shared" si="55"/>
        <v>6.3992307692307691</v>
      </c>
      <c r="G228" s="29">
        <f t="shared" si="55"/>
        <v>8.0784615384615392</v>
      </c>
      <c r="H228" s="29">
        <f t="shared" si="55"/>
        <v>2.4384615384615387</v>
      </c>
      <c r="I228" s="29">
        <f t="shared" si="55"/>
        <v>8.837692307692306</v>
      </c>
      <c r="J228" s="29">
        <f t="shared" si="55"/>
        <v>18.408846153846152</v>
      </c>
      <c r="K228" s="29">
        <f t="shared" si="55"/>
        <v>38.34269230769231</v>
      </c>
      <c r="L228" s="29">
        <f t="shared" si="55"/>
        <v>0.50576923076923075</v>
      </c>
      <c r="M228" s="29">
        <f t="shared" si="55"/>
        <v>5.296153846153847E-2</v>
      </c>
      <c r="N228" s="29">
        <f t="shared" si="55"/>
        <v>10.267307692307693</v>
      </c>
      <c r="O228" s="29">
        <f t="shared" si="55"/>
        <v>0.57084615384615389</v>
      </c>
    </row>
    <row r="229" spans="1:15" x14ac:dyDescent="0.35">
      <c r="A229" s="1">
        <f>COUNTIF($A$24:$A$149, "GenProg*Fixed")</f>
        <v>5</v>
      </c>
      <c r="B229" s="1" t="s">
        <v>181</v>
      </c>
      <c r="C229" s="25">
        <f>AVERAGEIF($A$24:$A$149, "GenProg*Fixed", B$24:B$149)</f>
        <v>1</v>
      </c>
      <c r="D229" s="25">
        <f t="shared" ref="D229:O229" si="56">AVERAGEIF($A$24:$A$149, "GenProg*Fixed", C$24:C$149)</f>
        <v>74.569999999999993</v>
      </c>
      <c r="E229" s="25">
        <f t="shared" si="56"/>
        <v>11</v>
      </c>
      <c r="F229" s="25">
        <f t="shared" si="56"/>
        <v>9.86</v>
      </c>
      <c r="G229" s="25">
        <f t="shared" si="56"/>
        <v>6.7099999999999991</v>
      </c>
      <c r="H229" s="25">
        <f t="shared" si="56"/>
        <v>2</v>
      </c>
      <c r="I229" s="25">
        <f t="shared" si="56"/>
        <v>11.86</v>
      </c>
      <c r="J229" s="25">
        <f t="shared" si="56"/>
        <v>17.71</v>
      </c>
      <c r="K229" s="25">
        <f t="shared" si="56"/>
        <v>52.8</v>
      </c>
      <c r="L229" s="25">
        <f t="shared" si="56"/>
        <v>2</v>
      </c>
      <c r="M229" s="25">
        <f t="shared" si="56"/>
        <v>0.05</v>
      </c>
      <c r="N229" s="25">
        <f t="shared" si="56"/>
        <v>30.410000000000004</v>
      </c>
      <c r="O229" s="25">
        <f t="shared" si="56"/>
        <v>1.69</v>
      </c>
    </row>
    <row r="230" spans="1:15" ht="15" thickBot="1" x14ac:dyDescent="0.4">
      <c r="A230" s="28">
        <f>COUNTIF($A$24:$A$149, "GenProg*Repaired")</f>
        <v>5</v>
      </c>
      <c r="B230" s="28" t="s">
        <v>182</v>
      </c>
      <c r="C230" s="29">
        <f>AVERAGEIF($A$24:$A$149, "GenProg*Repaired", B$24:B$149)</f>
        <v>1</v>
      </c>
      <c r="D230" s="29">
        <f t="shared" ref="D230:O230" si="57">AVERAGEIF($A$24:$A$149, "GenProg*Repaired", C$24:C$149)</f>
        <v>73.486000000000004</v>
      </c>
      <c r="E230" s="29">
        <f t="shared" si="57"/>
        <v>11.2</v>
      </c>
      <c r="F230" s="29">
        <f t="shared" si="57"/>
        <v>10.370000000000001</v>
      </c>
      <c r="G230" s="29">
        <f t="shared" si="57"/>
        <v>7.202</v>
      </c>
      <c r="H230" s="29">
        <f t="shared" si="57"/>
        <v>2.2280000000000002</v>
      </c>
      <c r="I230" s="29">
        <f t="shared" si="57"/>
        <v>12.6</v>
      </c>
      <c r="J230" s="29">
        <f t="shared" si="57"/>
        <v>18.398000000000003</v>
      </c>
      <c r="K230" s="29">
        <f t="shared" si="57"/>
        <v>56.54</v>
      </c>
      <c r="L230" s="29">
        <f t="shared" si="57"/>
        <v>1.9440000000000002</v>
      </c>
      <c r="M230" s="29">
        <f t="shared" si="57"/>
        <v>9.8000000000000004E-2</v>
      </c>
      <c r="N230" s="29">
        <f t="shared" si="57"/>
        <v>36.606000000000002</v>
      </c>
      <c r="O230" s="29">
        <f t="shared" si="57"/>
        <v>2.0339999999999998</v>
      </c>
    </row>
    <row r="231" spans="1:15" x14ac:dyDescent="0.35">
      <c r="A231" s="1">
        <f>COUNTIF($A$24:$A$149, "Kali*Fixed")</f>
        <v>5</v>
      </c>
      <c r="B231" s="1" t="s">
        <v>183</v>
      </c>
      <c r="C231" s="25">
        <f>AVERAGEIF($A$24:$A$149, "Kali*Fixed", B$24:B$149)</f>
        <v>3.0960000000000001</v>
      </c>
      <c r="D231" s="25">
        <f t="shared" ref="D231:O231" si="58">AVERAGEIF($A$24:$A$149, "Kali*Fixed", C$24:C$149)</f>
        <v>78.08</v>
      </c>
      <c r="E231" s="25">
        <f t="shared" si="58"/>
        <v>12.318000000000001</v>
      </c>
      <c r="F231" s="25">
        <f t="shared" si="58"/>
        <v>6.5879999999999992</v>
      </c>
      <c r="G231" s="25">
        <f t="shared" si="58"/>
        <v>10.571999999999999</v>
      </c>
      <c r="H231" s="25">
        <f t="shared" si="58"/>
        <v>2.8659999999999997</v>
      </c>
      <c r="I231" s="25">
        <f t="shared" si="58"/>
        <v>9.4559999999999995</v>
      </c>
      <c r="J231" s="25">
        <f t="shared" si="58"/>
        <v>22.89</v>
      </c>
      <c r="K231" s="25">
        <f t="shared" si="58"/>
        <v>43.652000000000001</v>
      </c>
      <c r="L231" s="25">
        <f t="shared" si="58"/>
        <v>0.51400000000000001</v>
      </c>
      <c r="M231" s="25">
        <f t="shared" si="58"/>
        <v>1.3000000000000001E-2</v>
      </c>
      <c r="N231" s="25">
        <f t="shared" si="58"/>
        <v>8.7140000000000004</v>
      </c>
      <c r="O231" s="25">
        <f t="shared" si="58"/>
        <v>0.48399999999999999</v>
      </c>
    </row>
    <row r="232" spans="1:15" ht="15" thickBot="1" x14ac:dyDescent="0.4">
      <c r="A232" s="28">
        <f>COUNTIF($A$24:$A$149, "Kali*Repaired")</f>
        <v>5</v>
      </c>
      <c r="B232" s="28" t="s">
        <v>184</v>
      </c>
      <c r="C232" s="29">
        <f>AVERAGEIF($A$24:$A$149, "Kali*Repaired", B$24:B$149)</f>
        <v>3.1340000000000003</v>
      </c>
      <c r="D232" s="29">
        <f t="shared" ref="D232:O232" si="59">AVERAGEIF($A$24:$A$149, "Kali*Repaired", C$24:C$149)</f>
        <v>75.86</v>
      </c>
      <c r="E232" s="29">
        <f t="shared" si="59"/>
        <v>11.92</v>
      </c>
      <c r="F232" s="29">
        <f t="shared" si="59"/>
        <v>6.7359999999999998</v>
      </c>
      <c r="G232" s="29">
        <f t="shared" si="59"/>
        <v>10.24</v>
      </c>
      <c r="H232" s="29">
        <f t="shared" si="59"/>
        <v>3.0939999999999999</v>
      </c>
      <c r="I232" s="29">
        <f t="shared" si="59"/>
        <v>9.831999999999999</v>
      </c>
      <c r="J232" s="29">
        <f t="shared" si="59"/>
        <v>22.16</v>
      </c>
      <c r="K232" s="29">
        <f t="shared" si="59"/>
        <v>44.432000000000002</v>
      </c>
      <c r="L232" s="29">
        <f t="shared" si="59"/>
        <v>0.90800000000000003</v>
      </c>
      <c r="M232" s="29">
        <f t="shared" si="59"/>
        <v>0.11112000000000002</v>
      </c>
      <c r="N232" s="29">
        <f t="shared" si="59"/>
        <v>17.521999999999998</v>
      </c>
      <c r="O232" s="29">
        <f t="shared" si="59"/>
        <v>0.97399999999999998</v>
      </c>
    </row>
    <row r="233" spans="1:15" x14ac:dyDescent="0.35">
      <c r="A233" s="1">
        <f>COUNTIF($A$24:$A$149, "Nopol*Fixed")</f>
        <v>1</v>
      </c>
      <c r="B233" s="1" t="s">
        <v>185</v>
      </c>
      <c r="C233" s="25">
        <f>AVERAGEIF($A$24:$A$149, "Nopol*Fixed", B$24:B$149)</f>
        <v>1.49</v>
      </c>
      <c r="D233" s="25">
        <f t="shared" ref="D233:O233" si="60">AVERAGEIF($A$24:$A$149, "Nopol*Fixed", C$24:C$149)</f>
        <v>89.41</v>
      </c>
      <c r="E233" s="25">
        <f t="shared" si="60"/>
        <v>5.92</v>
      </c>
      <c r="F233" s="25">
        <f t="shared" si="60"/>
        <v>3.31</v>
      </c>
      <c r="G233" s="25">
        <f t="shared" si="60"/>
        <v>3.69</v>
      </c>
      <c r="H233" s="25">
        <f t="shared" si="60"/>
        <v>1.92</v>
      </c>
      <c r="I233" s="25">
        <f t="shared" si="60"/>
        <v>5.23</v>
      </c>
      <c r="J233" s="25">
        <f t="shared" si="60"/>
        <v>9.6199999999999992</v>
      </c>
      <c r="K233" s="25">
        <f t="shared" si="60"/>
        <v>19.39</v>
      </c>
      <c r="L233" s="25">
        <f t="shared" si="60"/>
        <v>0.22</v>
      </c>
      <c r="M233" s="25">
        <f t="shared" si="60"/>
        <v>0.11</v>
      </c>
      <c r="N233" s="25">
        <f t="shared" si="60"/>
        <v>2.4700000000000002</v>
      </c>
      <c r="O233" s="25">
        <f t="shared" si="60"/>
        <v>0.14000000000000001</v>
      </c>
    </row>
    <row r="234" spans="1:15" ht="15" thickBot="1" x14ac:dyDescent="0.4">
      <c r="A234" s="28">
        <f>COUNTIF($A$24:$A$149, "Nopol*Repaired")</f>
        <v>1</v>
      </c>
      <c r="B234" s="28" t="s">
        <v>186</v>
      </c>
      <c r="C234" s="29">
        <f>AVERAGEIF($A$24:$A$149, "Nopol*Repaired", B$24:B$149)</f>
        <v>1.53</v>
      </c>
      <c r="D234" s="29">
        <f t="shared" ref="D234:O234" si="61">AVERAGEIF($A$24:$A$149, "Nopol*Repaired", C$24:C$149)</f>
        <v>89.38</v>
      </c>
      <c r="E234" s="29">
        <f t="shared" si="61"/>
        <v>5.95</v>
      </c>
      <c r="F234" s="29">
        <f t="shared" si="61"/>
        <v>3.33</v>
      </c>
      <c r="G234" s="29">
        <f t="shared" si="61"/>
        <v>3.82</v>
      </c>
      <c r="H234" s="29">
        <f t="shared" si="61"/>
        <v>1.95</v>
      </c>
      <c r="I234" s="29">
        <f t="shared" si="61"/>
        <v>5.28</v>
      </c>
      <c r="J234" s="29">
        <f t="shared" si="61"/>
        <v>9.77</v>
      </c>
      <c r="K234" s="29">
        <f t="shared" si="61"/>
        <v>19.79</v>
      </c>
      <c r="L234" s="29">
        <f t="shared" si="61"/>
        <v>0.22</v>
      </c>
      <c r="M234" s="29">
        <f t="shared" si="61"/>
        <v>0.11</v>
      </c>
      <c r="N234" s="29">
        <f t="shared" si="61"/>
        <v>2.4700000000000002</v>
      </c>
      <c r="O234" s="29">
        <f t="shared" si="61"/>
        <v>0.14000000000000001</v>
      </c>
    </row>
    <row r="235" spans="1:15" x14ac:dyDescent="0.35">
      <c r="A235" s="1">
        <f>COUNTIF($A$24:$A$149, "RSRepair*Fixed")</f>
        <v>5</v>
      </c>
      <c r="B235" s="1" t="s">
        <v>187</v>
      </c>
      <c r="C235" s="25">
        <f>AVERAGEIF($A$24:$A$149, "RSRepair*Fixed", B$24:B$149)</f>
        <v>1</v>
      </c>
      <c r="D235" s="25">
        <f t="shared" ref="D235:O235" si="62">AVERAGEIF($A$24:$A$149, "RSRepair*Fixed", C$24:C$149)</f>
        <v>74.569999999999993</v>
      </c>
      <c r="E235" s="25">
        <f t="shared" si="62"/>
        <v>11</v>
      </c>
      <c r="F235" s="25">
        <f t="shared" si="62"/>
        <v>9.86</v>
      </c>
      <c r="G235" s="25">
        <f t="shared" si="62"/>
        <v>6.7099999999999991</v>
      </c>
      <c r="H235" s="25">
        <f t="shared" si="62"/>
        <v>2</v>
      </c>
      <c r="I235" s="25">
        <f t="shared" si="62"/>
        <v>11.86</v>
      </c>
      <c r="J235" s="25">
        <f t="shared" si="62"/>
        <v>17.71</v>
      </c>
      <c r="K235" s="25">
        <f t="shared" si="62"/>
        <v>52.8</v>
      </c>
      <c r="L235" s="25">
        <f t="shared" si="62"/>
        <v>2</v>
      </c>
      <c r="M235" s="25">
        <f t="shared" si="62"/>
        <v>0.05</v>
      </c>
      <c r="N235" s="25">
        <f t="shared" si="62"/>
        <v>30.410000000000004</v>
      </c>
      <c r="O235" s="25">
        <f t="shared" si="62"/>
        <v>1.69</v>
      </c>
    </row>
    <row r="236" spans="1:15" ht="15" thickBot="1" x14ac:dyDescent="0.4">
      <c r="A236" s="28">
        <f>COUNTIF($A$24:$A$149, "RSRepair*Repaired")</f>
        <v>5</v>
      </c>
      <c r="B236" s="28" t="s">
        <v>188</v>
      </c>
      <c r="C236" s="29">
        <f>AVERAGEIF($A$24:$A$149, "RSRepair*Repaired", B$24:B$149)</f>
        <v>1</v>
      </c>
      <c r="D236" s="29">
        <f t="shared" ref="D236:O236" si="63">AVERAGEIF($A$24:$A$149, "RSRepair*Repaired", C$24:C$149)</f>
        <v>74.539999999999992</v>
      </c>
      <c r="E236" s="29">
        <f t="shared" si="63"/>
        <v>11.14</v>
      </c>
      <c r="F236" s="29">
        <f t="shared" si="63"/>
        <v>10.056000000000001</v>
      </c>
      <c r="G236" s="29">
        <f t="shared" si="63"/>
        <v>6.6280000000000001</v>
      </c>
      <c r="H236" s="29">
        <f t="shared" si="63"/>
        <v>2.056</v>
      </c>
      <c r="I236" s="29">
        <f t="shared" si="63"/>
        <v>12.114000000000001</v>
      </c>
      <c r="J236" s="29">
        <f t="shared" si="63"/>
        <v>17.772000000000002</v>
      </c>
      <c r="K236" s="29">
        <f t="shared" si="63"/>
        <v>53.898000000000003</v>
      </c>
      <c r="L236" s="29">
        <f t="shared" si="63"/>
        <v>1.8579999999999999</v>
      </c>
      <c r="M236" s="29">
        <f t="shared" si="63"/>
        <v>5.28E-2</v>
      </c>
      <c r="N236" s="29">
        <f t="shared" si="63"/>
        <v>28.931999999999999</v>
      </c>
      <c r="O236" s="29">
        <f t="shared" si="63"/>
        <v>1.6079999999999999</v>
      </c>
    </row>
    <row r="237" spans="1:15" ht="15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ht="15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ht="15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ht="15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ht="15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ht="15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ht="15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ht="15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ht="15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ht="15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ht="15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ht="15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ht="15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ht="15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</sheetData>
  <sortState ref="A25:O150">
    <sortCondition ref="O25:O150"/>
    <sortCondition ref="A25:A150"/>
  </sortState>
  <mergeCells count="1">
    <mergeCell ref="R168:U168"/>
  </mergeCells>
  <conditionalFormatting sqref="P66:P149">
    <cfRule type="cellIs" dxfId="6" priority="93" operator="greaterThan">
      <formula>$P$70</formula>
    </cfRule>
  </conditionalFormatting>
  <conditionalFormatting sqref="Q66:Q149">
    <cfRule type="cellIs" dxfId="5" priority="92" operator="greaterThan">
      <formula>$P$70</formula>
    </cfRule>
  </conditionalFormatting>
  <conditionalFormatting sqref="R66:R149">
    <cfRule type="cellIs" dxfId="4" priority="91" operator="greaterThan">
      <formula>$P$70</formula>
    </cfRule>
  </conditionalFormatting>
  <conditionalFormatting sqref="C195:O195 C200:O200 C205:O205 C210:O210 C215:O215 C220:O220 C164:O164 C171:O171 C175:O175 C179:O179 C183:O183 T171:AF171 T175:AF175 T179:AF179 T183:AF183 C187:O187 C227:O227 C229:O229 C231:O231 C233:O233 C235:O235">
    <cfRule type="cellIs" dxfId="3" priority="83" operator="greaterThan">
      <formula>C165</formula>
    </cfRule>
    <cfRule type="cellIs" dxfId="2" priority="85" operator="equal">
      <formula>C165</formula>
    </cfRule>
  </conditionalFormatting>
  <conditionalFormatting sqref="C196:O196 C201:O201 C206:O206 C211:O211 C216:O216 C221:O221 C165:O165 C172:O172 C176:O176 C180:O180 C184:O184 T172:AF172 T176:AF176 T180:AF180 T184:AF184 C188:O188 C228:O228 C230:O230 C232:O232 C234:O234 C236:O236">
    <cfRule type="cellIs" dxfId="1" priority="84" operator="greaterThan">
      <formula>C164</formula>
    </cfRule>
    <cfRule type="cellIs" dxfId="0" priority="86" operator="equal">
      <formula>C164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2023-07-30T11:37:19Z</dcterms:created>
  <dcterms:modified xsi:type="dcterms:W3CDTF">2023-11-06T17:21:44Z</dcterms:modified>
</cp:coreProperties>
</file>