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210" i="2" l="1"/>
  <c r="A209" i="2"/>
  <c r="A202" i="2"/>
  <c r="A201" i="2"/>
  <c r="A198" i="2"/>
  <c r="A197" i="2"/>
  <c r="C205" i="2" l="1"/>
  <c r="A223" i="2" l="1"/>
  <c r="A221" i="2"/>
  <c r="A218" i="2"/>
  <c r="A216" i="2"/>
  <c r="A222" i="2" l="1"/>
  <c r="A217" i="2"/>
  <c r="O223" i="2" l="1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75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126" i="2" l="1"/>
  <c r="O24" i="2"/>
  <c r="D191" i="2" l="1"/>
  <c r="E191" i="2"/>
  <c r="F191" i="2"/>
  <c r="G191" i="2"/>
  <c r="H191" i="2"/>
  <c r="I191" i="2"/>
  <c r="J191" i="2"/>
  <c r="K191" i="2"/>
  <c r="L191" i="2"/>
  <c r="M191" i="2"/>
  <c r="N191" i="2"/>
  <c r="O191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C191" i="2"/>
  <c r="C190" i="2"/>
  <c r="C189" i="2"/>
  <c r="O108" i="2" l="1"/>
  <c r="O153" i="2"/>
  <c r="O67" i="2"/>
  <c r="O156" i="2"/>
  <c r="O134" i="2"/>
  <c r="O31" i="2"/>
  <c r="O30" i="2"/>
  <c r="O81" i="2"/>
  <c r="O58" i="2"/>
  <c r="O157" i="2"/>
  <c r="O65" i="2"/>
  <c r="O71" i="2"/>
  <c r="O72" i="2"/>
  <c r="O47" i="2"/>
  <c r="O56" i="2"/>
  <c r="O85" i="2"/>
  <c r="O125" i="2"/>
  <c r="O113" i="2"/>
  <c r="O129" i="2"/>
  <c r="O137" i="2"/>
  <c r="O27" i="2"/>
  <c r="O73" i="2"/>
  <c r="O96" i="2"/>
  <c r="O122" i="2"/>
  <c r="O120" i="2"/>
  <c r="O52" i="2"/>
  <c r="O103" i="2"/>
  <c r="O171" i="2"/>
  <c r="O101" i="2"/>
  <c r="O166" i="2"/>
  <c r="O143" i="2"/>
  <c r="O75" i="2"/>
  <c r="O155" i="2"/>
  <c r="O54" i="2"/>
  <c r="O158" i="2"/>
  <c r="O35" i="2"/>
  <c r="O130" i="2"/>
  <c r="O151" i="2"/>
  <c r="O34" i="2"/>
  <c r="O99" i="2"/>
  <c r="O66" i="2"/>
  <c r="O53" i="2"/>
  <c r="O139" i="2"/>
  <c r="O114" i="2"/>
  <c r="O93" i="2"/>
  <c r="O106" i="2"/>
  <c r="O33" i="2"/>
  <c r="O59" i="2"/>
  <c r="O82" i="2"/>
  <c r="O102" i="2"/>
  <c r="O168" i="2"/>
  <c r="O159" i="2"/>
  <c r="O119" i="2"/>
  <c r="O84" i="2"/>
  <c r="O41" i="2"/>
  <c r="O57" i="2"/>
  <c r="O109" i="2"/>
  <c r="O136" i="2"/>
  <c r="O87" i="2"/>
  <c r="O112" i="2"/>
  <c r="O43" i="2"/>
  <c r="O26" i="2"/>
  <c r="O149" i="2"/>
  <c r="O167" i="2"/>
  <c r="O86" i="2"/>
  <c r="O123" i="2"/>
  <c r="O74" i="2"/>
  <c r="O28" i="2"/>
  <c r="O160" i="2"/>
  <c r="O115" i="2"/>
  <c r="O49" i="2"/>
  <c r="O127" i="2"/>
  <c r="O89" i="2"/>
  <c r="O50" i="2"/>
  <c r="O39" i="2"/>
  <c r="O91" i="2"/>
  <c r="O170" i="2"/>
  <c r="O37" i="2"/>
  <c r="O145" i="2"/>
  <c r="O100" i="2"/>
  <c r="O55" i="2"/>
  <c r="O128" i="2"/>
  <c r="O165" i="2"/>
  <c r="O173" i="2"/>
  <c r="O174" i="2"/>
  <c r="O97" i="2"/>
  <c r="O61" i="2"/>
  <c r="O69" i="2"/>
  <c r="O172" i="2"/>
  <c r="O51" i="2"/>
  <c r="O64" i="2"/>
  <c r="O79" i="2"/>
  <c r="O70" i="2"/>
  <c r="O38" i="2"/>
  <c r="O144" i="2"/>
  <c r="O62" i="2"/>
  <c r="O68" i="2"/>
  <c r="O176" i="2"/>
  <c r="O154" i="2"/>
  <c r="O104" i="2"/>
  <c r="O94" i="2"/>
  <c r="O32" i="2"/>
  <c r="O29" i="2"/>
  <c r="O98" i="2"/>
  <c r="O146" i="2"/>
  <c r="O152" i="2"/>
  <c r="O92" i="2"/>
  <c r="O46" i="2"/>
  <c r="O80" i="2"/>
  <c r="O78" i="2"/>
  <c r="O148" i="2"/>
  <c r="O63" i="2"/>
  <c r="O44" i="2"/>
  <c r="O147" i="2"/>
  <c r="O76" i="2"/>
  <c r="O60" i="2"/>
  <c r="O36" i="2"/>
  <c r="O117" i="2"/>
  <c r="O124" i="2"/>
  <c r="O105" i="2"/>
  <c r="O48" i="2"/>
  <c r="O45" i="2"/>
  <c r="O135" i="2"/>
  <c r="O175" i="2"/>
  <c r="O163" i="2"/>
  <c r="O169" i="2"/>
  <c r="O121" i="2"/>
  <c r="O116" i="2"/>
  <c r="O142" i="2"/>
  <c r="O133" i="2"/>
  <c r="O138" i="2"/>
  <c r="O111" i="2"/>
  <c r="O131" i="2"/>
  <c r="O140" i="2"/>
  <c r="O95" i="2"/>
  <c r="O141" i="2"/>
  <c r="O162" i="2"/>
  <c r="O42" i="2"/>
  <c r="O164" i="2"/>
  <c r="O25" i="2"/>
  <c r="O150" i="2"/>
  <c r="O110" i="2"/>
  <c r="O83" i="2"/>
  <c r="O132" i="2"/>
  <c r="O90" i="2"/>
  <c r="O107" i="2"/>
  <c r="O77" i="2"/>
  <c r="O118" i="2"/>
  <c r="O40" i="2"/>
  <c r="O161" i="2"/>
  <c r="O88" i="2"/>
  <c r="L209" i="2" l="1"/>
  <c r="J209" i="2"/>
  <c r="L205" i="2"/>
  <c r="L202" i="2"/>
  <c r="G201" i="2"/>
  <c r="J197" i="2"/>
  <c r="H197" i="2"/>
  <c r="C202" i="2"/>
  <c r="C201" i="2"/>
  <c r="J205" i="2"/>
  <c r="F209" i="2"/>
  <c r="M206" i="2"/>
  <c r="M201" i="2"/>
  <c r="H198" i="2"/>
  <c r="M205" i="2"/>
  <c r="I205" i="2"/>
  <c r="D201" i="2"/>
  <c r="D198" i="2"/>
  <c r="G209" i="2"/>
  <c r="C209" i="2"/>
  <c r="E209" i="2"/>
  <c r="N198" i="2"/>
  <c r="I197" i="2"/>
  <c r="I202" i="2"/>
  <c r="H202" i="2"/>
  <c r="E198" i="2"/>
  <c r="E197" i="2"/>
  <c r="O210" i="2"/>
  <c r="L206" i="2"/>
  <c r="N206" i="2"/>
  <c r="F202" i="2"/>
  <c r="I198" i="2"/>
  <c r="E206" i="2"/>
  <c r="C210" i="2"/>
  <c r="N209" i="2"/>
  <c r="O197" i="2"/>
  <c r="O205" i="2"/>
  <c r="J201" i="2"/>
  <c r="J198" i="2"/>
  <c r="F197" i="2"/>
  <c r="K205" i="2"/>
  <c r="M210" i="2"/>
  <c r="H201" i="2"/>
  <c r="N202" i="2"/>
  <c r="K209" i="2"/>
  <c r="E210" i="2"/>
  <c r="I206" i="2"/>
  <c r="C197" i="2"/>
  <c r="J202" i="2"/>
  <c r="K198" i="2"/>
  <c r="O206" i="2"/>
  <c r="D205" i="2"/>
  <c r="J210" i="2"/>
  <c r="I210" i="2"/>
  <c r="I209" i="2"/>
  <c r="F210" i="2"/>
  <c r="C206" i="2"/>
  <c r="K201" i="2"/>
  <c r="L197" i="2"/>
  <c r="M202" i="2"/>
  <c r="D202" i="2"/>
  <c r="H209" i="2"/>
  <c r="F205" i="2"/>
  <c r="K206" i="2"/>
  <c r="G206" i="2"/>
  <c r="H210" i="2"/>
  <c r="K202" i="2"/>
  <c r="L198" i="2"/>
  <c r="I201" i="2"/>
  <c r="N201" i="2"/>
  <c r="E201" i="2"/>
  <c r="G205" i="2"/>
  <c r="H206" i="2"/>
  <c r="D206" i="2"/>
  <c r="N205" i="2"/>
  <c r="L201" i="2"/>
  <c r="M197" i="2"/>
  <c r="K197" i="2"/>
  <c r="O198" i="2"/>
  <c r="F198" i="2"/>
  <c r="K210" i="2"/>
  <c r="F201" i="2"/>
  <c r="G198" i="2"/>
  <c r="N210" i="2"/>
  <c r="J206" i="2"/>
  <c r="G210" i="2"/>
  <c r="M198" i="2"/>
  <c r="H205" i="2"/>
  <c r="E205" i="2"/>
  <c r="C198" i="2"/>
  <c r="G197" i="2"/>
  <c r="O209" i="2"/>
  <c r="L210" i="2"/>
  <c r="O202" i="2"/>
  <c r="D209" i="2"/>
  <c r="D210" i="2"/>
  <c r="F206" i="2"/>
  <c r="N197" i="2"/>
  <c r="G202" i="2"/>
  <c r="E202" i="2"/>
  <c r="D197" i="2"/>
  <c r="M209" i="2"/>
  <c r="O201" i="2"/>
</calcChain>
</file>

<file path=xl/sharedStrings.xml><?xml version="1.0" encoding="utf-8"?>
<sst xmlns="http://schemas.openxmlformats.org/spreadsheetml/2006/main" count="375" uniqueCount="239">
  <si>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</si>
  <si>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</si>
  <si>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</si>
  <si>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</si>
  <si>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</si>
  <si>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</si>
  <si>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</si>
  <si>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</si>
  <si>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</si>
  <si>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</si>
  <si>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</si>
  <si>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</si>
  <si>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</si>
  <si>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</si>
  <si>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</si>
  <si>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</si>
  <si>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</si>
  <si>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</si>
  <si>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</si>
  <si>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</si>
  <si>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</si>
  <si>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</si>
  <si>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</si>
  <si>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</si>
  <si>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</si>
  <si>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</si>
  <si>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</si>
  <si>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</si>
  <si>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</si>
  <si>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</si>
  <si>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</si>
  <si>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</si>
  <si>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</si>
  <si>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</si>
  <si>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</si>
  <si>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</si>
  <si>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</si>
  <si>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</si>
  <si>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</si>
  <si>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</si>
  <si>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</si>
  <si>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</si>
  <si>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</si>
  <si>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</si>
  <si>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</si>
  <si>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</si>
  <si>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</si>
  <si>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</si>
  <si>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</si>
  <si>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</si>
  <si>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</si>
  <si>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</si>
  <si>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</si>
  <si>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</si>
  <si>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</si>
  <si>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</si>
  <si>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</si>
  <si>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</si>
  <si>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</si>
  <si>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</si>
  <si>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</si>
  <si>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</si>
  <si>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</si>
  <si>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</si>
  <si>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</si>
  <si>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</si>
  <si>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</si>
  <si>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</si>
  <si>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</si>
  <si>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</si>
  <si>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</si>
  <si>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</si>
  <si>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</si>
  <si>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</si>
  <si>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</si>
  <si>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</si>
  <si>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</si>
  <si>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</si>
  <si>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</si>
  <si>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</si>
  <si>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</si>
  <si>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</si>
  <si>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</si>
  <si>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</si>
  <si>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</si>
  <si>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1 241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</si>
  <si>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</si>
  <si>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</si>
  <si>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</si>
  <si>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</si>
  <si>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</si>
  <si>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</si>
  <si>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</si>
  <si>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</si>
  <si>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</si>
  <si>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</si>
  <si>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</si>
  <si>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</si>
  <si>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</si>
  <si>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</si>
  <si>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</si>
  <si>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</si>
  <si>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</si>
  <si>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</si>
  <si>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</si>
  <si>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</si>
  <si>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</si>
  <si>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</si>
  <si>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</si>
  <si>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</si>
  <si>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</si>
  <si>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</si>
  <si>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</si>
  <si>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</si>
  <si>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</si>
  <si>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</si>
  <si>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</si>
  <si>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</si>
  <si>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</si>
  <si>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</si>
  <si>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</si>
  <si>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</si>
  <si>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</si>
  <si>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</si>
  <si>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</si>
  <si>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</si>
  <si>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</si>
  <si>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</si>
  <si>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</si>
  <si>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</si>
  <si>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</si>
  <si>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</si>
  <si>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</si>
  <si>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</si>
  <si>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</si>
  <si>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</si>
  <si>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</si>
  <si>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</si>
  <si>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</si>
  <si>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</si>
  <si>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</si>
  <si>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</si>
  <si>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</si>
  <si>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</si>
  <si>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</si>
  <si>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</si>
  <si>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</si>
  <si>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</si>
  <si>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</si>
  <si>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</si>
  <si>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</si>
  <si>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</si>
  <si>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</si>
  <si>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</si>
  <si>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</si>
  <si>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</si>
  <si>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</si>
  <si>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</si>
  <si>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</si>
  <si>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</si>
  <si>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</si>
  <si>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</si>
  <si>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</si>
  <si>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</si>
  <si>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</si>
  <si>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</si>
  <si>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</si>
  <si>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</si>
  <si>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</si>
  <si>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</si>
  <si>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</si>
  <si>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</si>
  <si>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</si>
  <si>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</si>
  <si>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</si>
  <si>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</si>
  <si>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</si>
  <si>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</si>
  <si>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</si>
  <si>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</si>
  <si>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</si>
  <si>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</si>
  <si>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</si>
  <si>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</si>
  <si>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</si>
  <si>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</si>
  <si>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</si>
  <si>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</si>
  <si>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</si>
  <si>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</si>
  <si>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</si>
  <si>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</si>
  <si>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</si>
  <si>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</si>
  <si>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</si>
  <si>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</si>
  <si>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</si>
  <si>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</si>
  <si>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</si>
  <si>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</si>
  <si>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</si>
  <si>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</si>
  <si>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</si>
  <si>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</si>
  <si>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</si>
  <si>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</si>
  <si>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</si>
  <si>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</si>
  <si>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</si>
  <si>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</si>
  <si>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</si>
  <si>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</si>
  <si>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</si>
  <si>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</si>
  <si>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Multi-Hunk &amp; Multi-Line</t>
  </si>
  <si>
    <t>Cyclomatic Complexity</t>
  </si>
  <si>
    <t>Single-Avg-Fixed</t>
  </si>
  <si>
    <t>Single-Avg-Repaired</t>
  </si>
  <si>
    <t>Multi-Avg-Fixed</t>
  </si>
  <si>
    <t>Multi-Avg-Repaired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</si>
  <si>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</si>
  <si>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</si>
  <si>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</si>
  <si>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</si>
  <si>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</si>
  <si>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</si>
  <si>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</si>
  <si>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</si>
  <si>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</si>
  <si>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</si>
  <si>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</si>
  <si>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</si>
  <si>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</si>
  <si>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Avg-Commons-Math-Buggy</t>
  </si>
  <si>
    <t>Avg-Commons-Math-Fixed</t>
  </si>
  <si>
    <t>Avg-Commons-Math-Repaired</t>
  </si>
  <si>
    <t>Avg-Jackrabbit-Oak-Buggy</t>
  </si>
  <si>
    <t>Avg-Jackrabbit-Oak-Fixed</t>
  </si>
  <si>
    <t>Avg-Jackrabbit-Oak-Repaired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</si>
</sst>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showGridLines="0" tabSelected="1" topLeftCell="A176" zoomScale="55" zoomScaleNormal="55" workbookViewId="0">
      <selection activeCell="A211" sqref="A211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3" spans="1:18" ht="30" customHeight="1" x14ac:dyDescent="0.35">
      <c r="A23" s="12" t="s">
        <v>211</v>
      </c>
      <c r="B23" s="12" t="s">
        <v>20</v>
      </c>
      <c r="C23" s="12" t="s">
        <v>198</v>
      </c>
      <c r="D23" s="12" t="s">
        <v>199</v>
      </c>
      <c r="E23" s="12" t="s">
        <v>21</v>
      </c>
      <c r="F23" s="12" t="s">
        <v>200</v>
      </c>
      <c r="G23" s="12" t="s">
        <v>22</v>
      </c>
      <c r="H23" s="12" t="s">
        <v>201</v>
      </c>
      <c r="I23" s="12" t="s">
        <v>202</v>
      </c>
      <c r="J23" s="12" t="s">
        <v>203</v>
      </c>
      <c r="K23" s="12" t="s">
        <v>204</v>
      </c>
      <c r="L23" s="12" t="s">
        <v>205</v>
      </c>
      <c r="M23" s="12" t="s">
        <v>206</v>
      </c>
      <c r="N23" s="12" t="s">
        <v>207</v>
      </c>
      <c r="O23" s="12" t="s">
        <v>194</v>
      </c>
      <c r="P23" s="12" t="s">
        <v>208</v>
      </c>
      <c r="Q23" s="12" t="s">
        <v>209</v>
      </c>
      <c r="R23" s="12" t="s">
        <v>210</v>
      </c>
    </row>
    <row r="24" spans="1:18" x14ac:dyDescent="0.35">
      <c r="A24" s="7" t="s">
        <v>30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" si="0">IF(NOT(ISERR(SEARCH("*_Buggy",$A24))), "Buggy", IF(NOT(ISERR(SEARCH("*_Fixed",$A24))), "Fixed", IF(NOT(ISERR(SEARCH("*_Repaired",$A24))), "Repaired", "")))</f>
        <v>Buggy</v>
      </c>
      <c r="P24" s="13"/>
      <c r="Q24" s="13"/>
      <c r="R24" s="13"/>
    </row>
    <row r="25" spans="1:18" x14ac:dyDescent="0.35">
      <c r="A25" s="5" t="s">
        <v>166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ref="O25:O56" si="1">IF(NOT(ISERR(SEARCH("*_Buggy",$A25))), "Buggy", IF(NOT(ISERR(SEARCH("*_Fixed",$A25))), "Fixed", IF(NOT(ISERR(SEARCH("*_Repaired",$A25))), "Repaired", "")))</f>
        <v>Buggy</v>
      </c>
      <c r="P25" s="13"/>
      <c r="Q25" s="13"/>
      <c r="R25" s="13"/>
    </row>
    <row r="26" spans="1:18" x14ac:dyDescent="0.35">
      <c r="A26" s="7" t="s">
        <v>87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1"/>
        <v>Buggy</v>
      </c>
      <c r="P26" s="13"/>
      <c r="Q26" s="13"/>
      <c r="R26" s="13"/>
    </row>
    <row r="27" spans="1:18" x14ac:dyDescent="0.35">
      <c r="A27" s="5" t="s">
        <v>45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1"/>
        <v>Buggy</v>
      </c>
      <c r="P27" s="13"/>
      <c r="Q27" s="13"/>
      <c r="R27" s="13"/>
    </row>
    <row r="28" spans="1:18" x14ac:dyDescent="0.35">
      <c r="A28" s="7" t="s">
        <v>93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1"/>
        <v>Buggy</v>
      </c>
      <c r="P28" s="13"/>
      <c r="Q28" s="13"/>
      <c r="R28" s="13"/>
    </row>
    <row r="29" spans="1:18" x14ac:dyDescent="0.35">
      <c r="A29" s="5" t="s">
        <v>128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1"/>
        <v>Buggy</v>
      </c>
      <c r="P29" s="13"/>
      <c r="Q29" s="13"/>
      <c r="R29" s="13"/>
    </row>
    <row r="30" spans="1:18" x14ac:dyDescent="0.35">
      <c r="A30" s="5" t="s">
        <v>31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1"/>
        <v>Buggy</v>
      </c>
      <c r="P30" s="13"/>
      <c r="Q30" s="13"/>
      <c r="R30" s="13"/>
    </row>
    <row r="31" spans="1:18" x14ac:dyDescent="0.35">
      <c r="A31" s="5" t="s">
        <v>29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1"/>
        <v>Buggy</v>
      </c>
      <c r="P31" s="13"/>
      <c r="Q31" s="13"/>
      <c r="R31" s="13"/>
    </row>
    <row r="32" spans="1:18" x14ac:dyDescent="0.35">
      <c r="A32" s="7" t="s">
        <v>127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1"/>
        <v>Buggy</v>
      </c>
      <c r="P32" s="13"/>
      <c r="Q32" s="13"/>
      <c r="R32" s="13"/>
    </row>
    <row r="33" spans="1:18" x14ac:dyDescent="0.35">
      <c r="A33" s="5" t="s">
        <v>71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1"/>
        <v>Buggy</v>
      </c>
      <c r="P33" s="13"/>
      <c r="Q33" s="13"/>
      <c r="R33" s="13"/>
    </row>
    <row r="34" spans="1:18" x14ac:dyDescent="0.35">
      <c r="A34" s="5" t="s">
        <v>63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1"/>
        <v>Buggy</v>
      </c>
      <c r="P34" s="13"/>
      <c r="Q34" s="13"/>
      <c r="R34" s="13"/>
    </row>
    <row r="35" spans="1:18" x14ac:dyDescent="0.35">
      <c r="A35" s="7" t="s">
        <v>60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1"/>
        <v>Buggy</v>
      </c>
      <c r="P35" s="13"/>
      <c r="Q35" s="13"/>
      <c r="R35" s="13"/>
    </row>
    <row r="36" spans="1:18" x14ac:dyDescent="0.35">
      <c r="A36" s="7" t="s">
        <v>143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1"/>
        <v>Buggy</v>
      </c>
      <c r="P36" s="13"/>
      <c r="Q36" s="13"/>
      <c r="R36" s="13"/>
    </row>
    <row r="37" spans="1:18" x14ac:dyDescent="0.35">
      <c r="A37" s="7" t="s">
        <v>103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1"/>
        <v>Buggy</v>
      </c>
      <c r="P37" s="13"/>
      <c r="Q37" s="13"/>
      <c r="R37" s="13"/>
    </row>
    <row r="38" spans="1:18" x14ac:dyDescent="0.35">
      <c r="A38" s="7" t="s">
        <v>119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1"/>
        <v>Buggy</v>
      </c>
      <c r="P38" s="13"/>
      <c r="Q38" s="13"/>
      <c r="R38" s="13"/>
    </row>
    <row r="39" spans="1:18" x14ac:dyDescent="0.35">
      <c r="A39" s="5" t="s">
        <v>100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1"/>
        <v>Buggy</v>
      </c>
      <c r="P39" s="13"/>
      <c r="Q39" s="13"/>
      <c r="R39" s="13"/>
    </row>
    <row r="40" spans="1:18" x14ac:dyDescent="0.35">
      <c r="A40" s="7" t="s">
        <v>175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1"/>
        <v>Buggy</v>
      </c>
      <c r="P40" s="13"/>
      <c r="Q40" s="13"/>
      <c r="R40" s="13"/>
    </row>
    <row r="41" spans="1:18" x14ac:dyDescent="0.35">
      <c r="A41" s="5" t="s">
        <v>79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1"/>
        <v>Buggy</v>
      </c>
      <c r="P41" s="13"/>
      <c r="Q41" s="13"/>
      <c r="R41" s="13"/>
    </row>
    <row r="42" spans="1:18" x14ac:dyDescent="0.35">
      <c r="A42" s="5" t="s">
        <v>164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1"/>
        <v>Buggy</v>
      </c>
      <c r="P42" s="13"/>
      <c r="Q42" s="13"/>
      <c r="R42" s="13"/>
    </row>
    <row r="43" spans="1:18" x14ac:dyDescent="0.35">
      <c r="A43" s="5" t="s">
        <v>86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1"/>
        <v>Buggy</v>
      </c>
      <c r="P43" s="13"/>
      <c r="Q43" s="13"/>
      <c r="R43" s="13"/>
    </row>
    <row r="44" spans="1:18" x14ac:dyDescent="0.35">
      <c r="A44" s="5" t="s">
        <v>138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1"/>
        <v>Buggy</v>
      </c>
      <c r="P44" s="13"/>
      <c r="Q44" s="13"/>
      <c r="R44" s="13"/>
    </row>
    <row r="45" spans="1:18" x14ac:dyDescent="0.35">
      <c r="A45" s="5" t="s">
        <v>148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Buggy</v>
      </c>
      <c r="P45" s="13"/>
      <c r="Q45" s="13"/>
      <c r="R45" s="13"/>
    </row>
    <row r="46" spans="1:18" x14ac:dyDescent="0.35">
      <c r="A46" s="7" t="s">
        <v>133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1"/>
        <v>Buggy</v>
      </c>
      <c r="P46" s="13"/>
      <c r="Q46" s="13"/>
      <c r="R46" s="13"/>
    </row>
    <row r="47" spans="1:18" x14ac:dyDescent="0.35">
      <c r="A47" s="7" t="s">
        <v>38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1"/>
        <v>Buggy</v>
      </c>
      <c r="P47" s="13"/>
      <c r="Q47" s="13"/>
      <c r="R47" s="13"/>
    </row>
    <row r="48" spans="1:18" x14ac:dyDescent="0.35">
      <c r="A48" s="7" t="s">
        <v>147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1"/>
        <v>Buggy</v>
      </c>
      <c r="P48" s="13"/>
      <c r="Q48" s="13"/>
      <c r="R48" s="13"/>
    </row>
    <row r="49" spans="1:18" x14ac:dyDescent="0.35">
      <c r="A49" s="5" t="s">
        <v>96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1"/>
        <v>Buggy</v>
      </c>
      <c r="P49" s="13"/>
      <c r="Q49" s="13"/>
      <c r="R49" s="13"/>
    </row>
    <row r="50" spans="1:18" x14ac:dyDescent="0.35">
      <c r="A50" s="7" t="s">
        <v>99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1"/>
        <v>Buggy</v>
      </c>
      <c r="P50" s="13"/>
      <c r="Q50" s="13"/>
      <c r="R50" s="13"/>
    </row>
    <row r="51" spans="1:18" x14ac:dyDescent="0.35">
      <c r="A51" s="7" t="s">
        <v>115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1"/>
        <v>Buggy</v>
      </c>
      <c r="P51" s="13"/>
      <c r="Q51" s="13"/>
      <c r="R51" s="13"/>
    </row>
    <row r="52" spans="1:18" x14ac:dyDescent="0.35">
      <c r="A52" s="7" t="s">
        <v>50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1"/>
        <v>Buggy</v>
      </c>
      <c r="P52" s="13"/>
      <c r="Q52" s="13"/>
      <c r="R52" s="13"/>
    </row>
    <row r="53" spans="1:18" x14ac:dyDescent="0.35">
      <c r="A53" s="7" t="s">
        <v>66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1"/>
        <v>Buggy</v>
      </c>
      <c r="P53" s="13"/>
      <c r="Q53" s="13"/>
      <c r="R53" s="13"/>
    </row>
    <row r="54" spans="1:18" x14ac:dyDescent="0.35">
      <c r="A54" s="7" t="s">
        <v>58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1"/>
        <v>Buggy</v>
      </c>
      <c r="P54" s="13"/>
      <c r="Q54" s="13"/>
      <c r="R54" s="13"/>
    </row>
    <row r="55" spans="1:18" x14ac:dyDescent="0.35">
      <c r="A55" s="5" t="s">
        <v>106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1"/>
        <v>Buggy</v>
      </c>
      <c r="P55" s="13"/>
      <c r="Q55" s="13"/>
      <c r="R55" s="13"/>
    </row>
    <row r="56" spans="1:18" x14ac:dyDescent="0.35">
      <c r="A56" s="5" t="s">
        <v>39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si="1"/>
        <v>Buggy</v>
      </c>
      <c r="P56" s="13"/>
      <c r="Q56" s="13"/>
      <c r="R56" s="13"/>
    </row>
    <row r="57" spans="1:18" x14ac:dyDescent="0.35">
      <c r="A57" s="7" t="s">
        <v>80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ref="O57:O88" si="2">IF(NOT(ISERR(SEARCH("*_Buggy",$A57))), "Buggy", IF(NOT(ISERR(SEARCH("*_Fixed",$A57))), "Fixed", IF(NOT(ISERR(SEARCH("*_Repaired",$A57))), "Repaired", "")))</f>
        <v>Buggy</v>
      </c>
      <c r="P57" s="13"/>
      <c r="Q57" s="13"/>
      <c r="R57" s="13"/>
    </row>
    <row r="58" spans="1:18" x14ac:dyDescent="0.35">
      <c r="A58" s="5" t="s">
        <v>33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2"/>
        <v>Buggy</v>
      </c>
      <c r="P58" s="13"/>
      <c r="Q58" s="13"/>
      <c r="R58" s="13"/>
    </row>
    <row r="59" spans="1:18" x14ac:dyDescent="0.35">
      <c r="A59" s="7" t="s">
        <v>72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2"/>
        <v>Buggy</v>
      </c>
      <c r="P59" s="13"/>
      <c r="Q59" s="13"/>
      <c r="R59" s="13"/>
    </row>
    <row r="60" spans="1:18" x14ac:dyDescent="0.35">
      <c r="A60" s="5" t="s">
        <v>142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2"/>
        <v>Buggy</v>
      </c>
      <c r="P60" s="13"/>
      <c r="Q60" s="13"/>
      <c r="R60" s="13"/>
    </row>
    <row r="61" spans="1:18" x14ac:dyDescent="0.35">
      <c r="A61" s="5" t="s">
        <v>112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 t="s">
        <v>85</v>
      </c>
      <c r="N61" s="6">
        <v>68.92</v>
      </c>
      <c r="O61" s="13" t="str">
        <f t="shared" si="2"/>
        <v>Buggy</v>
      </c>
      <c r="P61" s="13"/>
      <c r="Q61" s="13"/>
      <c r="R61" s="13"/>
    </row>
    <row r="62" spans="1:18" x14ac:dyDescent="0.35">
      <c r="A62" s="7" t="s">
        <v>121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2"/>
        <v>Buggy</v>
      </c>
      <c r="P62" s="13"/>
      <c r="Q62" s="13"/>
      <c r="R62" s="13"/>
    </row>
    <row r="63" spans="1:18" x14ac:dyDescent="0.35">
      <c r="A63" s="7" t="s">
        <v>137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2"/>
        <v>Buggy</v>
      </c>
      <c r="P63" s="13"/>
      <c r="Q63" s="13"/>
      <c r="R63" s="13"/>
    </row>
    <row r="64" spans="1:18" x14ac:dyDescent="0.35">
      <c r="A64" s="5" t="s">
        <v>116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2"/>
        <v>Buggy</v>
      </c>
      <c r="P64" s="13"/>
      <c r="Q64" s="13"/>
      <c r="R64" s="13"/>
    </row>
    <row r="65" spans="1:19" x14ac:dyDescent="0.35">
      <c r="A65" s="5" t="s">
        <v>35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2"/>
        <v>Buggy</v>
      </c>
      <c r="P65" s="13"/>
      <c r="Q65" s="13"/>
      <c r="R65" s="13"/>
    </row>
    <row r="66" spans="1:19" x14ac:dyDescent="0.35">
      <c r="A66" s="5" t="s">
        <v>65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2"/>
        <v>Buggy</v>
      </c>
      <c r="P66" s="13"/>
      <c r="Q66" s="13"/>
      <c r="R66" s="13"/>
    </row>
    <row r="67" spans="1:19" x14ac:dyDescent="0.35">
      <c r="A67" s="7" t="s">
        <v>26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2"/>
        <v>Buggy</v>
      </c>
      <c r="P67" s="13"/>
      <c r="Q67" s="13"/>
      <c r="R67" s="13"/>
    </row>
    <row r="68" spans="1:19" x14ac:dyDescent="0.35">
      <c r="A68" s="5" t="s">
        <v>122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2"/>
        <v>Buggy</v>
      </c>
      <c r="P68" s="13"/>
      <c r="Q68" s="13"/>
      <c r="R68" s="13"/>
    </row>
    <row r="69" spans="1:19" x14ac:dyDescent="0.35">
      <c r="A69" s="7" t="s">
        <v>113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2"/>
        <v>Buggy</v>
      </c>
      <c r="P69" s="13"/>
      <c r="Q69" s="13"/>
      <c r="R69" s="13"/>
    </row>
    <row r="70" spans="1:19" x14ac:dyDescent="0.35">
      <c r="A70" s="5" t="s">
        <v>118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2"/>
        <v>Buggy</v>
      </c>
      <c r="P70" s="13"/>
      <c r="Q70" s="13"/>
      <c r="R70" s="13"/>
    </row>
    <row r="71" spans="1:19" x14ac:dyDescent="0.35">
      <c r="A71" s="7" t="s">
        <v>36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2"/>
        <v>Buggy</v>
      </c>
      <c r="P71" s="13"/>
      <c r="Q71" s="13"/>
      <c r="R71" s="13"/>
    </row>
    <row r="72" spans="1:19" x14ac:dyDescent="0.35">
      <c r="A72" s="5" t="s">
        <v>37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2"/>
        <v>Buggy</v>
      </c>
      <c r="P72" s="13"/>
      <c r="Q72" s="13"/>
      <c r="R72" s="13"/>
    </row>
    <row r="73" spans="1:19" x14ac:dyDescent="0.35">
      <c r="A73" s="7" t="s">
        <v>46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2"/>
        <v>Buggy</v>
      </c>
      <c r="P73" s="13"/>
      <c r="Q73" s="13"/>
      <c r="R73" s="13"/>
    </row>
    <row r="74" spans="1:19" ht="15" thickBot="1" x14ac:dyDescent="0.4">
      <c r="A74" s="18" t="s">
        <v>92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2"/>
        <v>Buggy</v>
      </c>
      <c r="P74" s="20"/>
      <c r="Q74" s="20"/>
      <c r="R74" s="20"/>
    </row>
    <row r="75" spans="1:19" x14ac:dyDescent="0.35">
      <c r="A75" s="7" t="s">
        <v>56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Fixed</v>
      </c>
      <c r="P75" s="23">
        <v>1</v>
      </c>
      <c r="Q75" s="13">
        <v>0</v>
      </c>
      <c r="R75" s="23">
        <v>3</v>
      </c>
      <c r="S75" s="1">
        <f>Q75+R75</f>
        <v>3</v>
      </c>
    </row>
    <row r="76" spans="1:19" x14ac:dyDescent="0.35">
      <c r="A76" s="21" t="s">
        <v>141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2"/>
        <v>Fixed</v>
      </c>
      <c r="P76" s="24">
        <v>1</v>
      </c>
      <c r="Q76" s="17">
        <v>0</v>
      </c>
      <c r="R76" s="24">
        <v>3</v>
      </c>
      <c r="S76" s="1">
        <f t="shared" ref="S76:S139" si="3">Q76+R76</f>
        <v>3</v>
      </c>
    </row>
    <row r="77" spans="1:19" x14ac:dyDescent="0.35">
      <c r="A77" s="7" t="s">
        <v>173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2"/>
        <v>Fixed</v>
      </c>
      <c r="P77" s="23">
        <v>1</v>
      </c>
      <c r="Q77" s="13">
        <v>0</v>
      </c>
      <c r="R77" s="23">
        <v>3</v>
      </c>
      <c r="S77" s="1">
        <f t="shared" si="3"/>
        <v>3</v>
      </c>
    </row>
    <row r="78" spans="1:19" x14ac:dyDescent="0.35">
      <c r="A78" s="7" t="s">
        <v>135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2"/>
        <v>Fixed</v>
      </c>
      <c r="P78" s="23">
        <v>1</v>
      </c>
      <c r="Q78" s="13">
        <v>0</v>
      </c>
      <c r="R78" s="23">
        <v>3</v>
      </c>
      <c r="S78" s="1">
        <f t="shared" si="3"/>
        <v>3</v>
      </c>
    </row>
    <row r="79" spans="1:19" x14ac:dyDescent="0.35">
      <c r="A79" s="7" t="s">
        <v>117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2"/>
        <v>Fixed</v>
      </c>
      <c r="P79" s="23">
        <v>1</v>
      </c>
      <c r="Q79" s="13">
        <v>0</v>
      </c>
      <c r="R79" s="23">
        <v>3</v>
      </c>
      <c r="S79" s="1">
        <f t="shared" si="3"/>
        <v>3</v>
      </c>
    </row>
    <row r="80" spans="1:19" x14ac:dyDescent="0.35">
      <c r="A80" s="5" t="s">
        <v>134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2"/>
        <v>Fixed</v>
      </c>
      <c r="P80" s="23">
        <v>3</v>
      </c>
      <c r="Q80" s="23">
        <v>5</v>
      </c>
      <c r="R80" s="23">
        <v>19</v>
      </c>
      <c r="S80" s="1">
        <f t="shared" si="3"/>
        <v>24</v>
      </c>
    </row>
    <row r="81" spans="1:19" x14ac:dyDescent="0.35">
      <c r="A81" s="7" t="s">
        <v>32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2"/>
        <v>Fixed</v>
      </c>
      <c r="P81" s="23">
        <v>3</v>
      </c>
      <c r="Q81" s="23">
        <v>5</v>
      </c>
      <c r="R81" s="23">
        <v>19</v>
      </c>
      <c r="S81" s="1">
        <f t="shared" si="3"/>
        <v>24</v>
      </c>
    </row>
    <row r="82" spans="1:19" x14ac:dyDescent="0.35">
      <c r="A82" s="5" t="s">
        <v>73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2"/>
        <v>Fixed</v>
      </c>
      <c r="P82" s="23">
        <v>3</v>
      </c>
      <c r="Q82" s="23">
        <v>5</v>
      </c>
      <c r="R82" s="23">
        <v>19</v>
      </c>
      <c r="S82" s="1">
        <f t="shared" si="3"/>
        <v>24</v>
      </c>
    </row>
    <row r="83" spans="1:19" x14ac:dyDescent="0.35">
      <c r="A83" s="7" t="s">
        <v>169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2"/>
        <v>Fixed</v>
      </c>
      <c r="P83" s="23">
        <v>3</v>
      </c>
      <c r="Q83" s="23">
        <v>5</v>
      </c>
      <c r="R83" s="23">
        <v>19</v>
      </c>
      <c r="S83" s="1">
        <f t="shared" si="3"/>
        <v>24</v>
      </c>
    </row>
    <row r="84" spans="1:19" x14ac:dyDescent="0.35">
      <c r="A84" s="7" t="s">
        <v>78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2"/>
        <v>Fixed</v>
      </c>
      <c r="P84" s="23">
        <v>3</v>
      </c>
      <c r="Q84" s="23">
        <v>5</v>
      </c>
      <c r="R84" s="23">
        <v>19</v>
      </c>
      <c r="S84" s="1">
        <f t="shared" si="3"/>
        <v>24</v>
      </c>
    </row>
    <row r="85" spans="1:19" x14ac:dyDescent="0.35">
      <c r="A85" s="7" t="s">
        <v>40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2"/>
        <v>Fixed</v>
      </c>
      <c r="P85" s="23">
        <v>1</v>
      </c>
      <c r="Q85" s="23">
        <v>1</v>
      </c>
      <c r="R85" s="23">
        <v>13</v>
      </c>
      <c r="S85" s="1">
        <f t="shared" si="3"/>
        <v>14</v>
      </c>
    </row>
    <row r="86" spans="1:19" x14ac:dyDescent="0.35">
      <c r="A86" s="5" t="s">
        <v>90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2"/>
        <v>Fixed</v>
      </c>
      <c r="P86" s="23">
        <v>1</v>
      </c>
      <c r="Q86" s="23">
        <v>1</v>
      </c>
      <c r="R86" s="23">
        <v>13</v>
      </c>
      <c r="S86" s="1">
        <f t="shared" si="3"/>
        <v>14</v>
      </c>
    </row>
    <row r="87" spans="1:19" x14ac:dyDescent="0.35">
      <c r="A87" s="5" t="s">
        <v>83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2"/>
        <v>Fixed</v>
      </c>
      <c r="P87" s="23">
        <v>1</v>
      </c>
      <c r="Q87" s="23">
        <v>1</v>
      </c>
      <c r="R87" s="23">
        <v>13</v>
      </c>
      <c r="S87" s="1">
        <f t="shared" si="3"/>
        <v>14</v>
      </c>
    </row>
    <row r="88" spans="1:19" x14ac:dyDescent="0.35">
      <c r="A88" s="5" t="s">
        <v>23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si="2"/>
        <v>Fixed</v>
      </c>
      <c r="P88" s="23">
        <v>1</v>
      </c>
      <c r="Q88" s="23">
        <v>1</v>
      </c>
      <c r="R88" s="23">
        <v>13</v>
      </c>
      <c r="S88" s="1">
        <f t="shared" si="3"/>
        <v>14</v>
      </c>
    </row>
    <row r="89" spans="1:19" x14ac:dyDescent="0.35">
      <c r="A89" s="5" t="s">
        <v>98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ref="O89:O120" si="4">IF(NOT(ISERR(SEARCH("*_Buggy",$A89))), "Buggy", IF(NOT(ISERR(SEARCH("*_Fixed",$A89))), "Fixed", IF(NOT(ISERR(SEARCH("*_Repaired",$A89))), "Repaired", "")))</f>
        <v>Fixed</v>
      </c>
      <c r="P89" s="23">
        <v>1</v>
      </c>
      <c r="Q89" s="23">
        <v>1</v>
      </c>
      <c r="R89" s="23">
        <v>13</v>
      </c>
      <c r="S89" s="1">
        <f t="shared" si="3"/>
        <v>14</v>
      </c>
    </row>
    <row r="90" spans="1:19" x14ac:dyDescent="0.35">
      <c r="A90" s="7" t="s">
        <v>171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4"/>
        <v>Fixed</v>
      </c>
      <c r="P90" s="23">
        <v>7</v>
      </c>
      <c r="Q90" s="23">
        <v>7</v>
      </c>
      <c r="R90" s="23">
        <v>7</v>
      </c>
      <c r="S90" s="1">
        <f t="shared" si="3"/>
        <v>14</v>
      </c>
    </row>
    <row r="91" spans="1:19" x14ac:dyDescent="0.35">
      <c r="A91" s="7" t="s">
        <v>101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4"/>
        <v>Fixed</v>
      </c>
      <c r="P91" s="23">
        <v>7</v>
      </c>
      <c r="Q91" s="23">
        <v>7</v>
      </c>
      <c r="R91" s="23">
        <v>7</v>
      </c>
      <c r="S91" s="1">
        <f t="shared" si="3"/>
        <v>14</v>
      </c>
    </row>
    <row r="92" spans="1:19" x14ac:dyDescent="0.35">
      <c r="A92" s="5" t="s">
        <v>132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4"/>
        <v>Fixed</v>
      </c>
      <c r="P92" s="23">
        <v>7</v>
      </c>
      <c r="Q92" s="23">
        <v>7</v>
      </c>
      <c r="R92" s="23">
        <v>7</v>
      </c>
      <c r="S92" s="1">
        <f t="shared" si="3"/>
        <v>14</v>
      </c>
    </row>
    <row r="93" spans="1:19" x14ac:dyDescent="0.35">
      <c r="A93" s="5" t="s">
        <v>69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Fixed</v>
      </c>
      <c r="P93" s="23">
        <v>2</v>
      </c>
      <c r="Q93" s="23">
        <v>2</v>
      </c>
      <c r="R93" s="23">
        <v>2</v>
      </c>
      <c r="S93" s="1">
        <f t="shared" si="3"/>
        <v>4</v>
      </c>
    </row>
    <row r="94" spans="1:19" x14ac:dyDescent="0.35">
      <c r="A94" s="5" t="s">
        <v>126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4"/>
        <v>Fixed</v>
      </c>
      <c r="P94" s="23">
        <v>2</v>
      </c>
      <c r="Q94" s="23">
        <v>2</v>
      </c>
      <c r="R94" s="23">
        <v>2</v>
      </c>
      <c r="S94" s="1">
        <f t="shared" si="3"/>
        <v>4</v>
      </c>
    </row>
    <row r="95" spans="1:19" x14ac:dyDescent="0.35">
      <c r="A95" s="7" t="s">
        <v>161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4"/>
        <v>Fixed</v>
      </c>
      <c r="P95" s="23">
        <v>1</v>
      </c>
      <c r="Q95" s="23">
        <v>1</v>
      </c>
      <c r="R95" s="23">
        <v>3</v>
      </c>
      <c r="S95" s="1">
        <f t="shared" si="3"/>
        <v>4</v>
      </c>
    </row>
    <row r="96" spans="1:19" x14ac:dyDescent="0.35">
      <c r="A96" s="5" t="s">
        <v>47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4"/>
        <v>Fixed</v>
      </c>
      <c r="P96" s="23">
        <v>4</v>
      </c>
      <c r="Q96" s="23">
        <v>4</v>
      </c>
      <c r="R96" s="23">
        <v>4</v>
      </c>
      <c r="S96" s="1">
        <f t="shared" si="3"/>
        <v>8</v>
      </c>
    </row>
    <row r="97" spans="1:19" x14ac:dyDescent="0.35">
      <c r="A97" s="7" t="s">
        <v>111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4"/>
        <v>Fixed</v>
      </c>
      <c r="P97" s="23">
        <v>21</v>
      </c>
      <c r="Q97" s="23">
        <v>18</v>
      </c>
      <c r="R97" s="23">
        <v>29</v>
      </c>
      <c r="S97" s="1">
        <f t="shared" si="3"/>
        <v>47</v>
      </c>
    </row>
    <row r="98" spans="1:19" x14ac:dyDescent="0.35">
      <c r="A98" s="7" t="s">
        <v>129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4"/>
        <v>Fixed</v>
      </c>
      <c r="P98" s="23">
        <v>5</v>
      </c>
      <c r="Q98" s="23">
        <v>4</v>
      </c>
      <c r="R98" s="23">
        <v>4</v>
      </c>
      <c r="S98" s="1">
        <f t="shared" si="3"/>
        <v>8</v>
      </c>
    </row>
    <row r="99" spans="1:19" x14ac:dyDescent="0.35">
      <c r="A99" s="7" t="s">
        <v>64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4"/>
        <v>Fixed</v>
      </c>
      <c r="P99" s="23">
        <v>1</v>
      </c>
      <c r="Q99" s="23">
        <v>1</v>
      </c>
      <c r="R99" s="23">
        <v>3</v>
      </c>
      <c r="S99" s="1">
        <f t="shared" si="3"/>
        <v>4</v>
      </c>
    </row>
    <row r="100" spans="1:19" x14ac:dyDescent="0.35">
      <c r="A100" s="7" t="s">
        <v>105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4"/>
        <v>Fixed</v>
      </c>
      <c r="P100" s="23">
        <v>1</v>
      </c>
      <c r="Q100" s="23">
        <v>8</v>
      </c>
      <c r="R100" s="23">
        <v>1</v>
      </c>
      <c r="S100" s="1">
        <f t="shared" si="3"/>
        <v>9</v>
      </c>
    </row>
    <row r="101" spans="1:19" x14ac:dyDescent="0.35">
      <c r="A101" s="5" t="s">
        <v>53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4"/>
        <v>Fixed</v>
      </c>
      <c r="P101" s="23">
        <v>3</v>
      </c>
      <c r="Q101" s="23">
        <v>5</v>
      </c>
      <c r="R101" s="23">
        <v>19</v>
      </c>
      <c r="S101" s="1">
        <f t="shared" si="3"/>
        <v>24</v>
      </c>
    </row>
    <row r="102" spans="1:19" x14ac:dyDescent="0.35">
      <c r="A102" s="7" t="s">
        <v>74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4"/>
        <v>Fixed</v>
      </c>
      <c r="P102" s="23">
        <v>3</v>
      </c>
      <c r="Q102" s="23">
        <v>5</v>
      </c>
      <c r="R102" s="23">
        <v>19</v>
      </c>
      <c r="S102" s="1">
        <f t="shared" si="3"/>
        <v>24</v>
      </c>
    </row>
    <row r="103" spans="1:19" x14ac:dyDescent="0.35">
      <c r="A103" s="5" t="s">
        <v>51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4"/>
        <v>Fixed</v>
      </c>
      <c r="P103" s="23">
        <v>3</v>
      </c>
      <c r="Q103" s="23">
        <v>5</v>
      </c>
      <c r="R103" s="23">
        <v>19</v>
      </c>
      <c r="S103" s="1">
        <f t="shared" si="3"/>
        <v>24</v>
      </c>
    </row>
    <row r="104" spans="1:19" x14ac:dyDescent="0.35">
      <c r="A104" s="7" t="s">
        <v>125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4"/>
        <v>Fixed</v>
      </c>
      <c r="P104" s="23">
        <v>3</v>
      </c>
      <c r="Q104" s="23">
        <v>5</v>
      </c>
      <c r="R104" s="23">
        <v>19</v>
      </c>
      <c r="S104" s="1">
        <f t="shared" si="3"/>
        <v>24</v>
      </c>
    </row>
    <row r="105" spans="1:19" x14ac:dyDescent="0.35">
      <c r="A105" s="5" t="s">
        <v>146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4"/>
        <v>Fixed</v>
      </c>
      <c r="P105" s="23">
        <v>3</v>
      </c>
      <c r="Q105" s="23">
        <v>5</v>
      </c>
      <c r="R105" s="23">
        <v>19</v>
      </c>
      <c r="S105" s="1">
        <f t="shared" si="3"/>
        <v>24</v>
      </c>
    </row>
    <row r="106" spans="1:19" x14ac:dyDescent="0.35">
      <c r="A106" s="7" t="s">
        <v>70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4"/>
        <v>Fixed</v>
      </c>
      <c r="P106" s="23">
        <v>1</v>
      </c>
      <c r="Q106" s="23">
        <v>1</v>
      </c>
      <c r="R106" s="23">
        <v>13</v>
      </c>
      <c r="S106" s="1">
        <f t="shared" si="3"/>
        <v>14</v>
      </c>
    </row>
    <row r="107" spans="1:19" x14ac:dyDescent="0.35">
      <c r="A107" s="5" t="s">
        <v>172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4"/>
        <v>Fixed</v>
      </c>
      <c r="P107" s="23">
        <v>2</v>
      </c>
      <c r="Q107" s="23">
        <v>3</v>
      </c>
      <c r="R107" s="23">
        <v>5</v>
      </c>
      <c r="S107" s="1">
        <f t="shared" si="3"/>
        <v>8</v>
      </c>
    </row>
    <row r="108" spans="1:19" x14ac:dyDescent="0.35">
      <c r="A108" s="7" t="s">
        <v>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4"/>
        <v>Fixed</v>
      </c>
      <c r="P108" s="23">
        <v>2</v>
      </c>
      <c r="Q108" s="23">
        <v>3</v>
      </c>
      <c r="R108" s="23">
        <v>5</v>
      </c>
      <c r="S108" s="1">
        <f t="shared" si="3"/>
        <v>8</v>
      </c>
    </row>
    <row r="109" spans="1:19" x14ac:dyDescent="0.35">
      <c r="A109" s="5" t="s">
        <v>81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4"/>
        <v>Fixed</v>
      </c>
      <c r="P109" s="23">
        <v>2</v>
      </c>
      <c r="Q109" s="23">
        <v>3</v>
      </c>
      <c r="R109" s="23">
        <v>5</v>
      </c>
      <c r="S109" s="1">
        <f t="shared" si="3"/>
        <v>8</v>
      </c>
    </row>
    <row r="110" spans="1:19" x14ac:dyDescent="0.35">
      <c r="A110" s="5" t="s">
        <v>168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4"/>
        <v>Fixed</v>
      </c>
      <c r="P110" s="23">
        <v>2</v>
      </c>
      <c r="Q110" s="23">
        <v>3</v>
      </c>
      <c r="R110" s="23">
        <v>5</v>
      </c>
      <c r="S110" s="1">
        <f t="shared" si="3"/>
        <v>8</v>
      </c>
    </row>
    <row r="111" spans="1:19" x14ac:dyDescent="0.35">
      <c r="A111" s="5" t="s">
        <v>158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4"/>
        <v>Fixed</v>
      </c>
      <c r="P111" s="23">
        <v>2</v>
      </c>
      <c r="Q111" s="23">
        <v>3</v>
      </c>
      <c r="R111" s="23">
        <v>5</v>
      </c>
      <c r="S111" s="1">
        <f t="shared" si="3"/>
        <v>8</v>
      </c>
    </row>
    <row r="112" spans="1:19" x14ac:dyDescent="0.35">
      <c r="A112" s="7" t="s">
        <v>84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 t="s">
        <v>85</v>
      </c>
      <c r="N112" s="8">
        <v>68.92</v>
      </c>
      <c r="O112" s="13" t="str">
        <f t="shared" si="4"/>
        <v>Fixed</v>
      </c>
      <c r="P112" s="23">
        <v>1</v>
      </c>
      <c r="Q112" s="23">
        <v>1</v>
      </c>
      <c r="R112" s="23">
        <v>1</v>
      </c>
      <c r="S112" s="1">
        <f t="shared" si="3"/>
        <v>2</v>
      </c>
    </row>
    <row r="113" spans="1:19" x14ac:dyDescent="0.35">
      <c r="A113" s="7" t="s">
        <v>42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4"/>
        <v>Fixed</v>
      </c>
      <c r="P113" s="23">
        <v>7</v>
      </c>
      <c r="Q113" s="23">
        <v>7</v>
      </c>
      <c r="R113" s="23">
        <v>7</v>
      </c>
      <c r="S113" s="1">
        <f t="shared" si="3"/>
        <v>14</v>
      </c>
    </row>
    <row r="114" spans="1:19" x14ac:dyDescent="0.35">
      <c r="A114" s="7" t="s">
        <v>68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4"/>
        <v>Fixed</v>
      </c>
      <c r="P114" s="23">
        <v>3</v>
      </c>
      <c r="Q114" s="23">
        <v>5</v>
      </c>
      <c r="R114" s="23">
        <v>19</v>
      </c>
      <c r="S114" s="1">
        <f t="shared" si="3"/>
        <v>24</v>
      </c>
    </row>
    <row r="115" spans="1:19" x14ac:dyDescent="0.35">
      <c r="A115" s="7" t="s">
        <v>95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4"/>
        <v>Fixed</v>
      </c>
      <c r="P115" s="23">
        <v>7</v>
      </c>
      <c r="Q115" s="23">
        <v>7</v>
      </c>
      <c r="R115" s="23">
        <v>7</v>
      </c>
      <c r="S115" s="1">
        <f t="shared" si="3"/>
        <v>14</v>
      </c>
    </row>
    <row r="116" spans="1:19" x14ac:dyDescent="0.35">
      <c r="A116" s="5" t="s">
        <v>154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4"/>
        <v>Fixed</v>
      </c>
      <c r="P116" s="23">
        <v>1</v>
      </c>
      <c r="Q116" s="23">
        <v>1</v>
      </c>
      <c r="R116" s="23">
        <v>3</v>
      </c>
      <c r="S116" s="1">
        <f t="shared" si="3"/>
        <v>4</v>
      </c>
    </row>
    <row r="117" spans="1:19" x14ac:dyDescent="0.35">
      <c r="A117" s="5" t="s">
        <v>144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4"/>
        <v>Fixed</v>
      </c>
      <c r="P117" s="23">
        <v>16</v>
      </c>
      <c r="Q117" s="23">
        <v>120</v>
      </c>
      <c r="R117" s="23">
        <v>21</v>
      </c>
      <c r="S117" s="1">
        <f t="shared" si="3"/>
        <v>141</v>
      </c>
    </row>
    <row r="118" spans="1:19" x14ac:dyDescent="0.35">
      <c r="A118" s="5" t="s">
        <v>174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4"/>
        <v>Fixed</v>
      </c>
      <c r="P118" s="23">
        <v>3</v>
      </c>
      <c r="Q118" s="23">
        <v>5</v>
      </c>
      <c r="R118" s="23">
        <v>19</v>
      </c>
      <c r="S118" s="1">
        <f t="shared" si="3"/>
        <v>24</v>
      </c>
    </row>
    <row r="119" spans="1:19" x14ac:dyDescent="0.35">
      <c r="A119" s="5" t="s">
        <v>77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4"/>
        <v>Fixed</v>
      </c>
      <c r="P119" s="23">
        <v>3</v>
      </c>
      <c r="Q119" s="23">
        <v>5</v>
      </c>
      <c r="R119" s="23">
        <v>19</v>
      </c>
      <c r="S119" s="1">
        <f t="shared" si="3"/>
        <v>24</v>
      </c>
    </row>
    <row r="120" spans="1:19" x14ac:dyDescent="0.35">
      <c r="A120" s="5" t="s">
        <v>49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si="4"/>
        <v>Fixed</v>
      </c>
      <c r="P120" s="23">
        <v>3</v>
      </c>
      <c r="Q120" s="23">
        <v>5</v>
      </c>
      <c r="R120" s="23">
        <v>19</v>
      </c>
      <c r="S120" s="1">
        <f t="shared" si="3"/>
        <v>24</v>
      </c>
    </row>
    <row r="121" spans="1:19" x14ac:dyDescent="0.35">
      <c r="A121" s="7" t="s">
        <v>153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ref="O121:O152" si="5">IF(NOT(ISERR(SEARCH("*_Buggy",$A121))), "Buggy", IF(NOT(ISERR(SEARCH("*_Fixed",$A121))), "Fixed", IF(NOT(ISERR(SEARCH("*_Repaired",$A121))), "Repaired", "")))</f>
        <v>Fixed</v>
      </c>
      <c r="P121" s="23">
        <v>3</v>
      </c>
      <c r="Q121" s="23">
        <v>5</v>
      </c>
      <c r="R121" s="23">
        <v>19</v>
      </c>
      <c r="S121" s="1">
        <f t="shared" si="3"/>
        <v>24</v>
      </c>
    </row>
    <row r="122" spans="1:19" x14ac:dyDescent="0.35">
      <c r="A122" s="7" t="s">
        <v>48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5"/>
        <v>Fixed</v>
      </c>
      <c r="P122" s="23">
        <v>3</v>
      </c>
      <c r="Q122" s="23">
        <v>5</v>
      </c>
      <c r="R122" s="23">
        <v>19</v>
      </c>
      <c r="S122" s="1">
        <f t="shared" si="3"/>
        <v>24</v>
      </c>
    </row>
    <row r="123" spans="1:19" x14ac:dyDescent="0.35">
      <c r="A123" s="7" t="s">
        <v>91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5"/>
        <v>Fixed</v>
      </c>
      <c r="P123" s="23">
        <v>1</v>
      </c>
      <c r="Q123" s="23">
        <v>1</v>
      </c>
      <c r="R123" s="23">
        <v>13</v>
      </c>
      <c r="S123" s="1">
        <f t="shared" si="3"/>
        <v>14</v>
      </c>
    </row>
    <row r="124" spans="1:19" x14ac:dyDescent="0.35">
      <c r="A124" s="7" t="s">
        <v>145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5"/>
        <v>Fixed</v>
      </c>
      <c r="P124" s="23">
        <v>1</v>
      </c>
      <c r="Q124" s="23">
        <v>1</v>
      </c>
      <c r="R124" s="23">
        <v>13</v>
      </c>
      <c r="S124" s="1">
        <f t="shared" si="3"/>
        <v>14</v>
      </c>
    </row>
    <row r="125" spans="1:19" ht="15" thickBot="1" x14ac:dyDescent="0.4">
      <c r="A125" s="18" t="s">
        <v>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5"/>
        <v>Fixed</v>
      </c>
      <c r="P125" s="25">
        <v>7</v>
      </c>
      <c r="Q125" s="25">
        <v>7</v>
      </c>
      <c r="R125" s="25">
        <v>7</v>
      </c>
      <c r="S125" s="1">
        <f t="shared" si="3"/>
        <v>14</v>
      </c>
    </row>
    <row r="126" spans="1:19" x14ac:dyDescent="0.35">
      <c r="A126" s="15" t="s">
        <v>140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5"/>
        <v>Repaired</v>
      </c>
      <c r="P126" s="24">
        <v>1</v>
      </c>
      <c r="Q126" s="24">
        <v>1</v>
      </c>
      <c r="R126" s="24">
        <v>3</v>
      </c>
      <c r="S126" s="1">
        <f t="shared" si="3"/>
        <v>4</v>
      </c>
    </row>
    <row r="127" spans="1:19" x14ac:dyDescent="0.35">
      <c r="A127" s="7" t="s">
        <v>97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5"/>
        <v>Repaired</v>
      </c>
      <c r="P127" s="23">
        <v>1</v>
      </c>
      <c r="Q127" s="23">
        <v>1</v>
      </c>
      <c r="R127" s="23">
        <v>3</v>
      </c>
      <c r="S127" s="1">
        <f t="shared" si="3"/>
        <v>4</v>
      </c>
    </row>
    <row r="128" spans="1:19" x14ac:dyDescent="0.35">
      <c r="A128" s="7" t="s">
        <v>107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5"/>
        <v>Repaired</v>
      </c>
      <c r="P128" s="23">
        <v>1</v>
      </c>
      <c r="Q128" s="23">
        <v>2</v>
      </c>
      <c r="R128" s="23">
        <v>4</v>
      </c>
      <c r="S128" s="1">
        <f t="shared" si="3"/>
        <v>6</v>
      </c>
    </row>
    <row r="129" spans="1:19" x14ac:dyDescent="0.35">
      <c r="A129" s="5" t="s">
        <v>43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5"/>
        <v>Repaired</v>
      </c>
      <c r="P129" s="23">
        <v>2</v>
      </c>
      <c r="Q129" s="23">
        <v>2</v>
      </c>
      <c r="R129" s="23">
        <v>8</v>
      </c>
      <c r="S129" s="1">
        <f t="shared" si="3"/>
        <v>10</v>
      </c>
    </row>
    <row r="130" spans="1:19" x14ac:dyDescent="0.35">
      <c r="A130" s="5" t="s">
        <v>61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5"/>
        <v>Repaired</v>
      </c>
      <c r="P130" s="23">
        <v>2</v>
      </c>
      <c r="Q130" s="23">
        <v>2</v>
      </c>
      <c r="R130" s="23">
        <v>4</v>
      </c>
      <c r="S130" s="1">
        <f t="shared" si="3"/>
        <v>6</v>
      </c>
    </row>
    <row r="131" spans="1:19" x14ac:dyDescent="0.35">
      <c r="A131" s="7" t="s">
        <v>159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5"/>
        <v>Repaired</v>
      </c>
      <c r="P131" s="23">
        <v>3</v>
      </c>
      <c r="Q131" s="23">
        <v>3</v>
      </c>
      <c r="R131" s="23">
        <v>2</v>
      </c>
      <c r="S131" s="1">
        <f t="shared" si="3"/>
        <v>5</v>
      </c>
    </row>
    <row r="132" spans="1:19" x14ac:dyDescent="0.35">
      <c r="A132" s="5" t="s">
        <v>170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5"/>
        <v>Repaired</v>
      </c>
      <c r="P132" s="23">
        <v>2</v>
      </c>
      <c r="Q132" s="23">
        <v>2</v>
      </c>
      <c r="R132" s="13">
        <v>0</v>
      </c>
      <c r="S132" s="1">
        <f t="shared" si="3"/>
        <v>2</v>
      </c>
    </row>
    <row r="133" spans="1:19" x14ac:dyDescent="0.35">
      <c r="A133" s="5" t="s">
        <v>156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5"/>
        <v>Repaired</v>
      </c>
      <c r="P133" s="23">
        <v>1</v>
      </c>
      <c r="Q133" s="23">
        <v>1</v>
      </c>
      <c r="R133" s="23">
        <v>1</v>
      </c>
      <c r="S133" s="1">
        <f t="shared" si="3"/>
        <v>2</v>
      </c>
    </row>
    <row r="134" spans="1:19" x14ac:dyDescent="0.35">
      <c r="A134" s="7" t="s">
        <v>28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5"/>
        <v>Repaired</v>
      </c>
      <c r="P134" s="23">
        <v>3</v>
      </c>
      <c r="Q134" s="23">
        <v>3</v>
      </c>
      <c r="R134" s="23">
        <v>2</v>
      </c>
      <c r="S134" s="1">
        <f t="shared" si="3"/>
        <v>5</v>
      </c>
    </row>
    <row r="135" spans="1:19" x14ac:dyDescent="0.35">
      <c r="A135" s="7" t="s">
        <v>149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5"/>
        <v>Repaired</v>
      </c>
      <c r="P135" s="23">
        <v>2</v>
      </c>
      <c r="Q135" s="23">
        <v>2</v>
      </c>
      <c r="R135" s="23">
        <v>2</v>
      </c>
      <c r="S135" s="1">
        <f t="shared" si="3"/>
        <v>4</v>
      </c>
    </row>
    <row r="136" spans="1:19" x14ac:dyDescent="0.35">
      <c r="A136" s="7" t="s">
        <v>82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5"/>
        <v>Repaired</v>
      </c>
      <c r="P136" s="23">
        <v>3</v>
      </c>
      <c r="Q136" s="23">
        <v>3</v>
      </c>
      <c r="R136" s="23">
        <v>15</v>
      </c>
      <c r="S136" s="1">
        <f t="shared" si="3"/>
        <v>18</v>
      </c>
    </row>
    <row r="137" spans="1:19" x14ac:dyDescent="0.35">
      <c r="A137" s="7" t="s">
        <v>44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5"/>
        <v>Repaired</v>
      </c>
      <c r="P137" s="23">
        <v>3</v>
      </c>
      <c r="Q137" s="23">
        <v>3</v>
      </c>
      <c r="R137" s="23">
        <v>16</v>
      </c>
      <c r="S137" s="1">
        <f t="shared" si="3"/>
        <v>19</v>
      </c>
    </row>
    <row r="138" spans="1:19" x14ac:dyDescent="0.35">
      <c r="A138" s="7" t="s">
        <v>157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5"/>
        <v>Repaired</v>
      </c>
      <c r="P138" s="23">
        <v>2</v>
      </c>
      <c r="Q138" s="23">
        <v>3</v>
      </c>
      <c r="R138" s="23">
        <v>14</v>
      </c>
      <c r="S138" s="1">
        <f t="shared" si="3"/>
        <v>17</v>
      </c>
    </row>
    <row r="139" spans="1:19" x14ac:dyDescent="0.35">
      <c r="A139" s="5" t="s">
        <v>67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5"/>
        <v>Repaired</v>
      </c>
      <c r="P139" s="23">
        <v>2</v>
      </c>
      <c r="Q139" s="23">
        <v>2</v>
      </c>
      <c r="R139" s="23">
        <v>11</v>
      </c>
      <c r="S139" s="1">
        <f t="shared" si="3"/>
        <v>13</v>
      </c>
    </row>
    <row r="140" spans="1:19" x14ac:dyDescent="0.35">
      <c r="A140" s="5" t="s">
        <v>160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5"/>
        <v>Repaired</v>
      </c>
      <c r="P140" s="23">
        <v>3</v>
      </c>
      <c r="Q140" s="23">
        <v>3</v>
      </c>
      <c r="R140" s="23">
        <v>11</v>
      </c>
      <c r="S140" s="1">
        <f t="shared" ref="S140:S176" si="6">Q140+R140</f>
        <v>14</v>
      </c>
    </row>
    <row r="141" spans="1:19" x14ac:dyDescent="0.35">
      <c r="A141" s="5" t="s">
        <v>162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5"/>
        <v>Repaired</v>
      </c>
      <c r="P141" s="23">
        <v>2</v>
      </c>
      <c r="Q141" s="23">
        <v>7</v>
      </c>
      <c r="R141" s="13">
        <v>0</v>
      </c>
      <c r="S141" s="1">
        <f t="shared" si="6"/>
        <v>7</v>
      </c>
    </row>
    <row r="142" spans="1:19" x14ac:dyDescent="0.35">
      <c r="A142" s="7" t="s">
        <v>155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5"/>
        <v>Repaired</v>
      </c>
      <c r="P142" s="23">
        <v>3</v>
      </c>
      <c r="Q142" s="23">
        <v>5</v>
      </c>
      <c r="R142" s="23">
        <v>5</v>
      </c>
      <c r="S142" s="1">
        <f t="shared" si="6"/>
        <v>10</v>
      </c>
    </row>
    <row r="143" spans="1:19" x14ac:dyDescent="0.35">
      <c r="A143" s="5" t="s">
        <v>55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5"/>
        <v>Repaired</v>
      </c>
      <c r="P143" s="23">
        <v>3</v>
      </c>
      <c r="Q143" s="23">
        <v>8</v>
      </c>
      <c r="R143" s="23">
        <v>12</v>
      </c>
      <c r="S143" s="1">
        <f t="shared" si="6"/>
        <v>20</v>
      </c>
    </row>
    <row r="144" spans="1:19" x14ac:dyDescent="0.35">
      <c r="A144" s="5" t="s">
        <v>120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5"/>
        <v>Repaired</v>
      </c>
      <c r="P144" s="23">
        <v>3</v>
      </c>
      <c r="Q144" s="23">
        <v>4</v>
      </c>
      <c r="R144" s="23">
        <v>4</v>
      </c>
      <c r="S144" s="1">
        <f t="shared" si="6"/>
        <v>8</v>
      </c>
    </row>
    <row r="145" spans="1:19" x14ac:dyDescent="0.35">
      <c r="A145" s="5" t="s">
        <v>104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5"/>
        <v>Repaired</v>
      </c>
      <c r="P145" s="23">
        <v>2</v>
      </c>
      <c r="Q145" s="23">
        <v>3</v>
      </c>
      <c r="R145" s="23">
        <v>6</v>
      </c>
      <c r="S145" s="1">
        <f t="shared" si="6"/>
        <v>9</v>
      </c>
    </row>
    <row r="146" spans="1:19" x14ac:dyDescent="0.35">
      <c r="A146" s="5" t="s">
        <v>130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5"/>
        <v>Repaired</v>
      </c>
      <c r="P146" s="23">
        <v>1</v>
      </c>
      <c r="Q146" s="23">
        <v>1</v>
      </c>
      <c r="R146" s="23">
        <v>1</v>
      </c>
      <c r="S146" s="1">
        <f t="shared" si="6"/>
        <v>2</v>
      </c>
    </row>
    <row r="147" spans="1:19" x14ac:dyDescent="0.35">
      <c r="A147" s="7" t="s">
        <v>139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5"/>
        <v>Repaired</v>
      </c>
      <c r="P147" s="23">
        <v>1</v>
      </c>
      <c r="Q147" s="23">
        <v>1</v>
      </c>
      <c r="R147" s="23">
        <v>3</v>
      </c>
      <c r="S147" s="1">
        <f t="shared" si="6"/>
        <v>4</v>
      </c>
    </row>
    <row r="148" spans="1:19" x14ac:dyDescent="0.35">
      <c r="A148" s="5" t="s">
        <v>136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5"/>
        <v>Repaired</v>
      </c>
      <c r="P148" s="23">
        <v>1</v>
      </c>
      <c r="Q148" s="23">
        <v>3</v>
      </c>
      <c r="R148" s="23">
        <v>5</v>
      </c>
      <c r="S148" s="1">
        <f t="shared" si="6"/>
        <v>8</v>
      </c>
    </row>
    <row r="149" spans="1:19" x14ac:dyDescent="0.35">
      <c r="A149" s="5" t="s">
        <v>88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5"/>
        <v>Repaired</v>
      </c>
      <c r="P149" s="23">
        <v>1</v>
      </c>
      <c r="Q149" s="23">
        <v>3</v>
      </c>
      <c r="R149" s="23">
        <v>5</v>
      </c>
      <c r="S149" s="1">
        <f t="shared" si="6"/>
        <v>8</v>
      </c>
    </row>
    <row r="150" spans="1:19" x14ac:dyDescent="0.35">
      <c r="A150" s="7" t="s">
        <v>167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5"/>
        <v>Repaired</v>
      </c>
      <c r="P150" s="23">
        <v>1</v>
      </c>
      <c r="Q150" s="23">
        <v>1</v>
      </c>
      <c r="R150" s="23">
        <v>1</v>
      </c>
      <c r="S150" s="1">
        <f t="shared" si="6"/>
        <v>2</v>
      </c>
    </row>
    <row r="151" spans="1:19" x14ac:dyDescent="0.35">
      <c r="A151" s="7" t="s">
        <v>62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5"/>
        <v>Repaired</v>
      </c>
      <c r="P151" s="23">
        <v>1</v>
      </c>
      <c r="Q151" s="23">
        <v>1</v>
      </c>
      <c r="R151" s="23">
        <v>3</v>
      </c>
      <c r="S151" s="1">
        <f t="shared" si="6"/>
        <v>4</v>
      </c>
    </row>
    <row r="152" spans="1:19" x14ac:dyDescent="0.35">
      <c r="A152" s="7" t="s">
        <v>131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si="5"/>
        <v>Repaired</v>
      </c>
      <c r="P152" s="23">
        <v>3</v>
      </c>
      <c r="Q152" s="23">
        <v>5</v>
      </c>
      <c r="R152" s="23">
        <v>3</v>
      </c>
      <c r="S152" s="1">
        <f t="shared" si="6"/>
        <v>8</v>
      </c>
    </row>
    <row r="153" spans="1:19" x14ac:dyDescent="0.35">
      <c r="A153" s="5" t="s">
        <v>25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ref="O153:O176" si="7">IF(NOT(ISERR(SEARCH("*_Buggy",$A153))), "Buggy", IF(NOT(ISERR(SEARCH("*_Fixed",$A153))), "Fixed", IF(NOT(ISERR(SEARCH("*_Repaired",$A153))), "Repaired", "")))</f>
        <v>Repaired</v>
      </c>
      <c r="P153" s="23">
        <v>3</v>
      </c>
      <c r="Q153" s="23">
        <v>8</v>
      </c>
      <c r="R153" s="23">
        <v>4</v>
      </c>
      <c r="S153" s="1">
        <f t="shared" si="6"/>
        <v>12</v>
      </c>
    </row>
    <row r="154" spans="1:19" x14ac:dyDescent="0.35">
      <c r="A154" s="5" t="s">
        <v>124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7"/>
        <v>Repaired</v>
      </c>
      <c r="P154" s="23">
        <v>3</v>
      </c>
      <c r="Q154" s="23">
        <v>9</v>
      </c>
      <c r="R154" s="13">
        <v>0</v>
      </c>
      <c r="S154" s="1">
        <f t="shared" si="6"/>
        <v>9</v>
      </c>
    </row>
    <row r="155" spans="1:19" x14ac:dyDescent="0.35">
      <c r="A155" s="5" t="s">
        <v>57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7"/>
        <v>Repaired</v>
      </c>
      <c r="P155" s="23">
        <v>5</v>
      </c>
      <c r="Q155" s="23">
        <v>7</v>
      </c>
      <c r="R155" s="23">
        <v>5</v>
      </c>
      <c r="S155" s="1">
        <f t="shared" si="6"/>
        <v>12</v>
      </c>
    </row>
    <row r="156" spans="1:19" x14ac:dyDescent="0.35">
      <c r="A156" s="5" t="s">
        <v>27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7"/>
        <v>Repaired</v>
      </c>
      <c r="P156" s="23">
        <v>7</v>
      </c>
      <c r="Q156" s="23">
        <v>13</v>
      </c>
      <c r="R156" s="23">
        <v>8</v>
      </c>
      <c r="S156" s="1">
        <f t="shared" si="6"/>
        <v>21</v>
      </c>
    </row>
    <row r="157" spans="1:19" x14ac:dyDescent="0.35">
      <c r="A157" s="7" t="s">
        <v>34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7"/>
        <v>Repaired</v>
      </c>
      <c r="P157" s="23">
        <v>1</v>
      </c>
      <c r="Q157" s="23">
        <v>1</v>
      </c>
      <c r="R157" s="23">
        <v>10</v>
      </c>
      <c r="S157" s="1">
        <f t="shared" si="6"/>
        <v>11</v>
      </c>
    </row>
    <row r="158" spans="1:19" x14ac:dyDescent="0.35">
      <c r="A158" s="5" t="s">
        <v>59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7"/>
        <v>Repaired</v>
      </c>
      <c r="P158" s="23">
        <v>4</v>
      </c>
      <c r="Q158" s="23">
        <v>4</v>
      </c>
      <c r="R158" s="23">
        <v>6</v>
      </c>
      <c r="S158" s="1">
        <f t="shared" si="6"/>
        <v>10</v>
      </c>
    </row>
    <row r="159" spans="1:19" x14ac:dyDescent="0.35">
      <c r="A159" s="7" t="s">
        <v>76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7"/>
        <v>Repaired</v>
      </c>
      <c r="P159" s="23">
        <v>5</v>
      </c>
      <c r="Q159" s="23">
        <v>15</v>
      </c>
      <c r="R159" s="23">
        <v>21</v>
      </c>
      <c r="S159" s="1">
        <f t="shared" si="6"/>
        <v>36</v>
      </c>
    </row>
    <row r="160" spans="1:19" x14ac:dyDescent="0.35">
      <c r="A160" s="5" t="s">
        <v>94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7"/>
        <v>Repaired</v>
      </c>
      <c r="P160" s="23">
        <v>2</v>
      </c>
      <c r="Q160" s="23">
        <v>2</v>
      </c>
      <c r="R160" s="23">
        <v>3</v>
      </c>
      <c r="S160" s="1">
        <f t="shared" si="6"/>
        <v>5</v>
      </c>
    </row>
    <row r="161" spans="1:19" x14ac:dyDescent="0.35">
      <c r="A161" s="5" t="s">
        <v>176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7"/>
        <v>Repaired</v>
      </c>
      <c r="P161" s="23">
        <v>5</v>
      </c>
      <c r="Q161" s="23">
        <v>13</v>
      </c>
      <c r="R161" s="23">
        <v>17</v>
      </c>
      <c r="S161" s="1">
        <f t="shared" si="6"/>
        <v>30</v>
      </c>
    </row>
    <row r="162" spans="1:19" x14ac:dyDescent="0.35">
      <c r="A162" s="7" t="s">
        <v>163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7"/>
        <v>Repaired</v>
      </c>
      <c r="P162" s="23">
        <v>3</v>
      </c>
      <c r="Q162" s="23">
        <v>11</v>
      </c>
      <c r="R162" s="23">
        <v>13</v>
      </c>
      <c r="S162" s="1">
        <f t="shared" si="6"/>
        <v>24</v>
      </c>
    </row>
    <row r="163" spans="1:19" x14ac:dyDescent="0.35">
      <c r="A163" s="7" t="s">
        <v>151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 t="s">
        <v>85</v>
      </c>
      <c r="N163" s="8">
        <v>68.92</v>
      </c>
      <c r="O163" s="13" t="str">
        <f t="shared" si="7"/>
        <v>Repaired</v>
      </c>
      <c r="P163" s="23">
        <v>3</v>
      </c>
      <c r="Q163" s="23">
        <v>20</v>
      </c>
      <c r="R163" s="23">
        <v>23</v>
      </c>
      <c r="S163" s="1">
        <f t="shared" si="6"/>
        <v>43</v>
      </c>
    </row>
    <row r="164" spans="1:19" x14ac:dyDescent="0.35">
      <c r="A164" s="7" t="s">
        <v>165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7"/>
        <v>Repaired</v>
      </c>
      <c r="P164" s="23">
        <v>2</v>
      </c>
      <c r="Q164" s="23">
        <v>19</v>
      </c>
      <c r="R164" s="13">
        <v>0</v>
      </c>
      <c r="S164" s="1">
        <f t="shared" si="6"/>
        <v>19</v>
      </c>
    </row>
    <row r="165" spans="1:19" x14ac:dyDescent="0.35">
      <c r="A165" s="5" t="s">
        <v>108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7"/>
        <v>Repaired</v>
      </c>
      <c r="P165" s="23">
        <v>1</v>
      </c>
      <c r="Q165" s="23">
        <v>1</v>
      </c>
      <c r="R165" s="23">
        <v>3</v>
      </c>
      <c r="S165" s="1">
        <f t="shared" si="6"/>
        <v>4</v>
      </c>
    </row>
    <row r="166" spans="1:19" x14ac:dyDescent="0.35">
      <c r="A166" s="7" t="s">
        <v>54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7"/>
        <v>Repaired</v>
      </c>
      <c r="P166" s="23">
        <v>1</v>
      </c>
      <c r="Q166" s="23">
        <v>1</v>
      </c>
      <c r="R166" s="23">
        <v>1</v>
      </c>
      <c r="S166" s="1">
        <f t="shared" si="6"/>
        <v>2</v>
      </c>
    </row>
    <row r="167" spans="1:19" x14ac:dyDescent="0.35">
      <c r="A167" s="7" t="s">
        <v>89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7"/>
        <v>Repaired</v>
      </c>
      <c r="P167" s="23">
        <v>1</v>
      </c>
      <c r="Q167" s="23">
        <v>1</v>
      </c>
      <c r="R167" s="23">
        <v>3</v>
      </c>
      <c r="S167" s="1">
        <f t="shared" si="6"/>
        <v>4</v>
      </c>
    </row>
    <row r="168" spans="1:19" x14ac:dyDescent="0.35">
      <c r="A168" s="5" t="s">
        <v>75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7"/>
        <v>Repaired</v>
      </c>
      <c r="P168" s="23">
        <v>2</v>
      </c>
      <c r="Q168" s="23">
        <v>21</v>
      </c>
      <c r="R168" s="23">
        <v>23</v>
      </c>
      <c r="S168" s="1">
        <f t="shared" si="6"/>
        <v>44</v>
      </c>
    </row>
    <row r="169" spans="1:19" x14ac:dyDescent="0.35">
      <c r="A169" s="5" t="s">
        <v>152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7"/>
        <v>Repaired</v>
      </c>
      <c r="P169" s="23">
        <v>1</v>
      </c>
      <c r="Q169" s="23">
        <v>3</v>
      </c>
      <c r="R169" s="13">
        <v>0</v>
      </c>
      <c r="S169" s="1">
        <f t="shared" si="6"/>
        <v>3</v>
      </c>
    </row>
    <row r="170" spans="1:19" x14ac:dyDescent="0.35">
      <c r="A170" s="5" t="s">
        <v>102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7"/>
        <v>Repaired</v>
      </c>
      <c r="P170" s="23">
        <v>1</v>
      </c>
      <c r="Q170" s="23">
        <v>1</v>
      </c>
      <c r="R170" s="23">
        <v>3</v>
      </c>
      <c r="S170" s="1">
        <f t="shared" si="6"/>
        <v>4</v>
      </c>
    </row>
    <row r="171" spans="1:19" x14ac:dyDescent="0.35">
      <c r="A171" s="7" t="s">
        <v>52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7"/>
        <v>Repaired</v>
      </c>
      <c r="P171" s="23">
        <v>2</v>
      </c>
      <c r="Q171" s="23">
        <v>7</v>
      </c>
      <c r="R171" s="23">
        <v>1</v>
      </c>
      <c r="S171" s="1">
        <f t="shared" si="6"/>
        <v>8</v>
      </c>
    </row>
    <row r="172" spans="1:19" x14ac:dyDescent="0.35">
      <c r="A172" s="5" t="s">
        <v>114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7"/>
        <v>Repaired</v>
      </c>
      <c r="P172" s="23">
        <v>2</v>
      </c>
      <c r="Q172" s="23">
        <v>2</v>
      </c>
      <c r="R172" s="23">
        <v>1</v>
      </c>
      <c r="S172" s="1">
        <f t="shared" si="6"/>
        <v>3</v>
      </c>
    </row>
    <row r="173" spans="1:19" x14ac:dyDescent="0.35">
      <c r="A173" s="7" t="s">
        <v>109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7"/>
        <v>Repaired</v>
      </c>
      <c r="P173" s="23">
        <v>1</v>
      </c>
      <c r="Q173" s="23">
        <v>1</v>
      </c>
      <c r="R173" s="23">
        <v>1</v>
      </c>
      <c r="S173" s="1">
        <f t="shared" si="6"/>
        <v>2</v>
      </c>
    </row>
    <row r="174" spans="1:19" x14ac:dyDescent="0.35">
      <c r="A174" s="5" t="s">
        <v>110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7"/>
        <v>Repaired</v>
      </c>
      <c r="P174" s="23">
        <v>1</v>
      </c>
      <c r="Q174" s="23">
        <v>1</v>
      </c>
      <c r="R174" s="23">
        <v>10</v>
      </c>
      <c r="S174" s="1">
        <f t="shared" si="6"/>
        <v>11</v>
      </c>
    </row>
    <row r="175" spans="1:19" x14ac:dyDescent="0.35">
      <c r="A175" s="5" t="s">
        <v>150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7"/>
        <v>Repaired</v>
      </c>
      <c r="P175" s="23">
        <v>1</v>
      </c>
      <c r="Q175" s="23">
        <v>1</v>
      </c>
      <c r="R175" s="23">
        <v>10</v>
      </c>
      <c r="S175" s="1">
        <f t="shared" si="6"/>
        <v>11</v>
      </c>
    </row>
    <row r="176" spans="1:19" x14ac:dyDescent="0.35">
      <c r="A176" s="7" t="s">
        <v>123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7"/>
        <v>Repaired</v>
      </c>
      <c r="P176" s="23">
        <v>1</v>
      </c>
      <c r="Q176" s="23">
        <v>11</v>
      </c>
      <c r="R176" s="13">
        <v>0</v>
      </c>
      <c r="S176" s="1">
        <f t="shared" si="6"/>
        <v>11</v>
      </c>
    </row>
    <row r="177" spans="1:18" ht="30" customHeight="1" x14ac:dyDescent="0.35">
      <c r="A177" s="12" t="s">
        <v>211</v>
      </c>
      <c r="B177" s="12" t="s">
        <v>20</v>
      </c>
      <c r="C177" s="12" t="s">
        <v>198</v>
      </c>
      <c r="D177" s="12" t="s">
        <v>199</v>
      </c>
      <c r="E177" s="12" t="s">
        <v>21</v>
      </c>
      <c r="F177" s="12" t="s">
        <v>200</v>
      </c>
      <c r="G177" s="12" t="s">
        <v>22</v>
      </c>
      <c r="H177" s="12" t="s">
        <v>201</v>
      </c>
      <c r="I177" s="12" t="s">
        <v>202</v>
      </c>
      <c r="J177" s="12" t="s">
        <v>203</v>
      </c>
      <c r="K177" s="12" t="s">
        <v>204</v>
      </c>
      <c r="L177" s="12" t="s">
        <v>205</v>
      </c>
      <c r="M177" s="12" t="s">
        <v>206</v>
      </c>
      <c r="N177" s="12" t="s">
        <v>207</v>
      </c>
      <c r="O177" s="12" t="s">
        <v>194</v>
      </c>
      <c r="P177" s="12" t="s">
        <v>208</v>
      </c>
      <c r="Q177" s="12" t="s">
        <v>209</v>
      </c>
      <c r="R177" s="12" t="s">
        <v>210</v>
      </c>
    </row>
    <row r="178" spans="1:18" x14ac:dyDescent="0.35">
      <c r="A178" s="9" t="s">
        <v>177</v>
      </c>
      <c r="B178" s="9">
        <v>513.07000000000005</v>
      </c>
      <c r="C178" s="9" t="s">
        <v>178</v>
      </c>
      <c r="D178" s="9" t="s">
        <v>179</v>
      </c>
      <c r="E178" s="9" t="s">
        <v>180</v>
      </c>
      <c r="F178" s="9" t="s">
        <v>181</v>
      </c>
      <c r="G178" s="9">
        <v>663.4</v>
      </c>
      <c r="H178" s="9" t="s">
        <v>182</v>
      </c>
      <c r="I178" s="9" t="s">
        <v>183</v>
      </c>
      <c r="J178" s="9" t="s">
        <v>184</v>
      </c>
      <c r="K178" s="9">
        <v>85.81</v>
      </c>
      <c r="L178" s="9">
        <v>7.03</v>
      </c>
      <c r="M178" s="9" t="s">
        <v>185</v>
      </c>
      <c r="N178" s="9">
        <v>361.36</v>
      </c>
      <c r="O178" s="10"/>
    </row>
    <row r="179" spans="1:18" x14ac:dyDescent="0.35">
      <c r="A179" s="11" t="s">
        <v>186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18" x14ac:dyDescent="0.35">
      <c r="A180" s="9" t="s">
        <v>187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18" x14ac:dyDescent="0.35">
      <c r="A181" s="11" t="s">
        <v>188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85</v>
      </c>
      <c r="N181" s="11">
        <v>68.92</v>
      </c>
      <c r="O181" s="10"/>
    </row>
    <row r="182" spans="1:18" x14ac:dyDescent="0.35">
      <c r="A182" s="9" t="s">
        <v>189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18" x14ac:dyDescent="0.35">
      <c r="A183" s="11" t="s">
        <v>190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191</v>
      </c>
      <c r="J183" s="11" t="s">
        <v>192</v>
      </c>
      <c r="K183" s="11">
        <v>0.42</v>
      </c>
      <c r="L183" s="11">
        <v>1.9E-3</v>
      </c>
      <c r="M183" s="11" t="s">
        <v>193</v>
      </c>
      <c r="N183" s="11">
        <v>89.92</v>
      </c>
      <c r="O183" s="10"/>
    </row>
    <row r="186" spans="1:18" x14ac:dyDescent="0.35">
      <c r="A186" s="26" t="s">
        <v>213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18" ht="35.4" customHeight="1" x14ac:dyDescent="0.35">
      <c r="B188" s="12" t="s">
        <v>212</v>
      </c>
      <c r="C188" s="12" t="s">
        <v>20</v>
      </c>
      <c r="D188" s="12" t="s">
        <v>198</v>
      </c>
      <c r="E188" s="12" t="s">
        <v>199</v>
      </c>
      <c r="F188" s="12" t="s">
        <v>21</v>
      </c>
      <c r="G188" s="12" t="s">
        <v>200</v>
      </c>
      <c r="H188" s="12" t="s">
        <v>22</v>
      </c>
      <c r="I188" s="12" t="s">
        <v>201</v>
      </c>
      <c r="J188" s="12" t="s">
        <v>202</v>
      </c>
      <c r="K188" s="12" t="s">
        <v>203</v>
      </c>
      <c r="L188" s="12" t="s">
        <v>204</v>
      </c>
      <c r="M188" s="12" t="s">
        <v>205</v>
      </c>
      <c r="N188" s="12" t="s">
        <v>206</v>
      </c>
      <c r="O188" s="12" t="s">
        <v>207</v>
      </c>
    </row>
    <row r="189" spans="1:18" x14ac:dyDescent="0.35">
      <c r="B189" s="1" t="s">
        <v>195</v>
      </c>
      <c r="C189" s="14">
        <f xml:space="preserve"> AVERAGEIF($A$24:$A$176, "*Buggy",B$24:B$176)</f>
        <v>3.225882352941178</v>
      </c>
      <c r="D189" s="14">
        <f xml:space="preserve"> AVERAGEIF($A$24:$A$176, "*Buggy",C$24:C$176)</f>
        <v>78.776274509803912</v>
      </c>
      <c r="E189" s="14">
        <f xml:space="preserve"> AVERAGEIF($A$24:$A$176, "*Buggy",D$24:D$176)</f>
        <v>23.686078431372543</v>
      </c>
      <c r="F189" s="14">
        <f xml:space="preserve"> AVERAGEIF($A$24:$A$176, "*Buggy",E$24:E$176)</f>
        <v>7.2852941176470587</v>
      </c>
      <c r="G189" s="14">
        <f xml:space="preserve"> AVERAGEIF($A$24:$A$176, "*Buggy",F$24:F$176)</f>
        <v>14.90980392156863</v>
      </c>
      <c r="H189" s="14">
        <f xml:space="preserve"> AVERAGEIF($A$24:$A$176, "*Buggy",G$24:G$176)</f>
        <v>4.3131372549019602</v>
      </c>
      <c r="I189" s="14">
        <f xml:space="preserve"> AVERAGEIF($A$24:$A$176, "*Buggy",H$24:H$176)</f>
        <v>11.599411764705881</v>
      </c>
      <c r="J189" s="14">
        <f xml:space="preserve"> AVERAGEIF($A$24:$A$176, "*Buggy",I$24:I$176)</f>
        <v>38.596274509803898</v>
      </c>
      <c r="K189" s="14">
        <f xml:space="preserve"> AVERAGEIF($A$24:$A$176, "*Buggy",J$24:J$176)</f>
        <v>65.102156862745105</v>
      </c>
      <c r="L189" s="14">
        <f xml:space="preserve"> AVERAGEIF($A$24:$A$176, "*Buggy",K$24:K$176)</f>
        <v>0.56178431372549031</v>
      </c>
      <c r="M189" s="14">
        <f xml:space="preserve"> AVERAGEIF($A$24:$A$176, "*Buggy",L$24:L$176)</f>
        <v>4.592156862745099E-2</v>
      </c>
      <c r="N189" s="14">
        <f xml:space="preserve"> AVERAGEIF($A$24:$A$176, "*Buggy",M$24:M$176)</f>
        <v>18.572199999999999</v>
      </c>
      <c r="O189" s="14">
        <f xml:space="preserve"> AVERAGEIF($A$24:$A$176, "*Buggy",N$24:N$176)</f>
        <v>2.3623725490196072</v>
      </c>
    </row>
    <row r="190" spans="1:18" x14ac:dyDescent="0.35">
      <c r="B190" s="1" t="s">
        <v>196</v>
      </c>
      <c r="C190" s="14">
        <f xml:space="preserve"> AVERAGEIF($A$24:$A$176, "*Fixed",B$24:B$176)</f>
        <v>3.4094117647058821</v>
      </c>
      <c r="D190" s="14">
        <f xml:space="preserve"> AVERAGEIF($A$24:$A$176, "*Fixed",C$24:C$176)</f>
        <v>78.530196078431388</v>
      </c>
      <c r="E190" s="14">
        <f xml:space="preserve"> AVERAGEIF($A$24:$A$176, "*Fixed",D$24:D$176)</f>
        <v>23.924901960784307</v>
      </c>
      <c r="F190" s="14">
        <f xml:space="preserve"> AVERAGEIF($A$24:$A$176, "*Fixed",E$24:E$176)</f>
        <v>7.3060784313725522</v>
      </c>
      <c r="G190" s="14">
        <f xml:space="preserve"> AVERAGEIF($A$24:$A$176, "*Fixed",F$24:F$176)</f>
        <v>15.764509803921564</v>
      </c>
      <c r="H190" s="14">
        <f xml:space="preserve"> AVERAGEIF($A$24:$A$176, "*Fixed",G$24:G$176)</f>
        <v>4.3756862745098033</v>
      </c>
      <c r="I190" s="14">
        <f xml:space="preserve"> AVERAGEIF($A$24:$A$176, "*Fixed",H$24:H$176)</f>
        <v>11.681372549019608</v>
      </c>
      <c r="J190" s="14">
        <f xml:space="preserve"> AVERAGEIF($A$24:$A$176, "*Fixed",I$24:I$176)</f>
        <v>39.690392156862735</v>
      </c>
      <c r="K190" s="14">
        <f xml:space="preserve"> AVERAGEIF($A$24:$A$176, "*Fixed",J$24:J$176)</f>
        <v>65.971568627450978</v>
      </c>
      <c r="L190" s="14">
        <f xml:space="preserve"> AVERAGEIF($A$24:$A$176, "*Fixed",K$24:K$176)</f>
        <v>0.55860784313725487</v>
      </c>
      <c r="M190" s="14">
        <f xml:space="preserve"> AVERAGEIF($A$24:$A$176, "*Fixed",L$24:L$176)</f>
        <v>4.592156862745099E-2</v>
      </c>
      <c r="N190" s="14">
        <f xml:space="preserve"> AVERAGEIF($A$24:$A$176, "*Fixed",M$24:M$176)</f>
        <v>18.509399999999996</v>
      </c>
      <c r="O190" s="14">
        <f xml:space="preserve"> AVERAGEIF($A$24:$A$176, "*Fixed",N$24:N$176)</f>
        <v>2.3590392156862743</v>
      </c>
    </row>
    <row r="191" spans="1:18" x14ac:dyDescent="0.35">
      <c r="B191" s="1" t="s">
        <v>197</v>
      </c>
      <c r="C191" s="14">
        <f xml:space="preserve"> AVERAGEIF($A$24:$A$176, "*Repaired",B$24:B$176)</f>
        <v>3.424509803921568</v>
      </c>
      <c r="D191" s="14">
        <f xml:space="preserve"> AVERAGEIF($A$24:$A$176, "*Repaired",C$24:C$176)</f>
        <v>78.645686274509828</v>
      </c>
      <c r="E191" s="14">
        <f xml:space="preserve"> AVERAGEIF($A$24:$A$176, "*Repaired",D$24:D$176)</f>
        <v>24.032549019607846</v>
      </c>
      <c r="F191" s="14">
        <f xml:space="preserve"> AVERAGEIF($A$24:$A$176, "*Repaired",E$24:E$176)</f>
        <v>7.3231372549019627</v>
      </c>
      <c r="G191" s="14">
        <f xml:space="preserve"> AVERAGEIF($A$24:$A$176, "*Repaired",F$24:F$176)</f>
        <v>15.519411764705881</v>
      </c>
      <c r="H191" s="14">
        <f xml:space="preserve"> AVERAGEIF($A$24:$A$176, "*Repaired",G$24:G$176)</f>
        <v>4.3221568627450981</v>
      </c>
      <c r="I191" s="14">
        <f xml:space="preserve"> AVERAGEIF($A$24:$A$176, "*Repaired",H$24:H$176)</f>
        <v>11.644705882352941</v>
      </c>
      <c r="J191" s="14">
        <f xml:space="preserve"> AVERAGEIF($A$24:$A$176, "*Repaired",I$24:I$176)</f>
        <v>39.550980392156859</v>
      </c>
      <c r="K191" s="14">
        <f xml:space="preserve"> AVERAGEIF($A$24:$A$176, "*Repaired",J$24:J$176)</f>
        <v>65.592745098039202</v>
      </c>
      <c r="L191" s="14">
        <f xml:space="preserve"> AVERAGEIF($A$24:$A$176, "*Repaired",K$24:K$176)</f>
        <v>0.56178431372549031</v>
      </c>
      <c r="M191" s="14">
        <f xml:space="preserve"> AVERAGEIF($A$24:$A$176, "*Repaired",L$24:L$176)</f>
        <v>4.592156862745099E-2</v>
      </c>
      <c r="N191" s="14">
        <f xml:space="preserve"> AVERAGEIF($A$24:$A$176, "*Repaired",M$24:M$176)</f>
        <v>18.572199999999999</v>
      </c>
      <c r="O191" s="14">
        <f xml:space="preserve"> AVERAGEIF($A$24:$A$176, "*Repaired",N$24:N$176)</f>
        <v>2.3623725490196072</v>
      </c>
    </row>
    <row r="192" spans="1:18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15" x14ac:dyDescent="0.35">
      <c r="A194" s="26" t="s">
        <v>214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6" spans="1:15" ht="33" customHeight="1" x14ac:dyDescent="0.35">
      <c r="B196" s="12" t="s">
        <v>212</v>
      </c>
      <c r="C196" s="12" t="s">
        <v>215</v>
      </c>
      <c r="D196" s="12" t="s">
        <v>198</v>
      </c>
      <c r="E196" s="12" t="s">
        <v>199</v>
      </c>
      <c r="F196" s="12" t="s">
        <v>21</v>
      </c>
      <c r="G196" s="12" t="s">
        <v>200</v>
      </c>
      <c r="H196" s="12" t="s">
        <v>22</v>
      </c>
      <c r="I196" s="12" t="s">
        <v>201</v>
      </c>
      <c r="J196" s="12" t="s">
        <v>202</v>
      </c>
      <c r="K196" s="12" t="s">
        <v>203</v>
      </c>
      <c r="L196" s="12" t="s">
        <v>204</v>
      </c>
      <c r="M196" s="12" t="s">
        <v>205</v>
      </c>
      <c r="N196" s="12" t="s">
        <v>206</v>
      </c>
      <c r="O196" s="12" t="s">
        <v>207</v>
      </c>
    </row>
    <row r="197" spans="1:15" x14ac:dyDescent="0.35">
      <c r="A197" s="1">
        <f>COUNTIFS($O$24:$O$176, "*Fixed", $P$24:$P$176, "&lt;2")</f>
        <v>18</v>
      </c>
      <c r="B197" s="1" t="s">
        <v>216</v>
      </c>
      <c r="C197" s="28">
        <f>AVERAGEIFS(B$24:B$176, $O$24:$O$176, "*Fixed", $P$24:$P$176, "&lt;2")</f>
        <v>4.8327777777777774</v>
      </c>
      <c r="D197" s="28">
        <f>AVERAGEIFS(C$24:C$176, $O$24:$O$176, "*Fixed", $P$24:$P$176, "&lt;2")</f>
        <v>70.464444444444439</v>
      </c>
      <c r="E197" s="28">
        <f>AVERAGEIFS(D$24:D$176, $O$24:$O$176, "*Fixed", $P$24:$P$176, "&lt;2")</f>
        <v>40.714444444444446</v>
      </c>
      <c r="F197" s="28">
        <f>AVERAGEIFS(E$24:E$176, $O$24:$O$176, "*Fixed", $P$24:$P$176, "&lt;2")</f>
        <v>9.8761111111111113</v>
      </c>
      <c r="G197" s="28">
        <f>AVERAGEIFS(F$24:F$176, $O$24:$O$176, "*Fixed", $P$24:$P$176, "&lt;2")</f>
        <v>26.883333333333336</v>
      </c>
      <c r="H197" s="28">
        <f>AVERAGEIFS(G$24:G$176, $O$24:$O$176, "*Fixed", $P$24:$P$176, "&lt;2")</f>
        <v>6.0133333333333328</v>
      </c>
      <c r="I197" s="28">
        <f>AVERAGEIFS(H$24:H$176, $O$24:$O$176, "*Fixed", $P$24:$P$176, "&lt;2")</f>
        <v>15.889444444444447</v>
      </c>
      <c r="J197" s="28">
        <f>AVERAGEIFS(I$24:I$176, $O$24:$O$176, "*Fixed", $P$24:$P$176, "&lt;2")</f>
        <v>67.601111111111109</v>
      </c>
      <c r="K197" s="28">
        <f>AVERAGEIFS(J$24:J$176, $O$24:$O$176, "*Fixed", $P$24:$P$176, "&lt;2")</f>
        <v>100.8888888888889</v>
      </c>
      <c r="L197" s="28">
        <f>AVERAGEIFS(K$24:K$176, $O$24:$O$176, "*Fixed", $P$24:$P$176, "&lt;2")</f>
        <v>0.48499999999999993</v>
      </c>
      <c r="M197" s="28">
        <f>AVERAGEIFS(L$24:L$176, $O$24:$O$176, "*Fixed", $P$24:$P$176, "&lt;2")</f>
        <v>4.1888888888888892E-2</v>
      </c>
      <c r="N197" s="28">
        <f>AVERAGEIFS(M$24:M$176, $O$24:$O$176, "*Fixed", $P$24:$P$176, "&lt;2")</f>
        <v>6.5294117647058822</v>
      </c>
      <c r="O197" s="28">
        <f>AVERAGEIFS(N$24:N$176, $O$24:$O$176, "*Fixed", $P$24:$P$176, "&lt;2")</f>
        <v>4.1711111111111112</v>
      </c>
    </row>
    <row r="198" spans="1:15" x14ac:dyDescent="0.35">
      <c r="A198" s="1">
        <f>COUNTIFS($O$24:$O$176, "*Repaired", $P$24:$P$176, "&lt;2")</f>
        <v>20</v>
      </c>
      <c r="B198" s="1" t="s">
        <v>217</v>
      </c>
      <c r="C198" s="28">
        <f>AVERAGEIFS(B$24:B$176, $O$24:$O$176, "*Repaired", $P$24:$P$176, "&lt;2")</f>
        <v>3.2160000000000002</v>
      </c>
      <c r="D198" s="28">
        <f>AVERAGEIFS(C$24:C$176, $O$24:$O$176, "*Repaired", $P$24:$P$176, "&lt;2")</f>
        <v>79.440000000000012</v>
      </c>
      <c r="E198" s="28">
        <f>AVERAGEIFS(D$24:D$176, $O$24:$O$176, "*Repaired", $P$24:$P$176, "&lt;2")</f>
        <v>19.792499999999997</v>
      </c>
      <c r="F198" s="28">
        <f>AVERAGEIFS(E$24:E$176, $O$24:$O$176, "*Repaired", $P$24:$P$176, "&lt;2")</f>
        <v>6.3534999999999995</v>
      </c>
      <c r="G198" s="28">
        <f>AVERAGEIFS(F$24:F$176, $O$24:$O$176, "*Repaired", $P$24:$P$176, "&lt;2")</f>
        <v>13.4305</v>
      </c>
      <c r="H198" s="28">
        <f>AVERAGEIFS(G$24:G$176, $O$24:$O$176, "*Repaired", $P$24:$P$176, "&lt;2")</f>
        <v>4.0074999999999994</v>
      </c>
      <c r="I198" s="28">
        <f>AVERAGEIFS(H$24:H$176, $O$24:$O$176, "*Repaired", $P$24:$P$176, "&lt;2")</f>
        <v>10.360500000000002</v>
      </c>
      <c r="J198" s="28">
        <f>AVERAGEIFS(I$24:I$176, $O$24:$O$176, "*Repaired", $P$24:$P$176, "&lt;2")</f>
        <v>33.221500000000006</v>
      </c>
      <c r="K198" s="28">
        <f>AVERAGEIFS(J$24:J$176, $O$24:$O$176, "*Repaired", $P$24:$P$176, "&lt;2")</f>
        <v>55.818000000000005</v>
      </c>
      <c r="L198" s="28">
        <f>AVERAGEIFS(K$24:K$176, $O$24:$O$176, "*Repaired", $P$24:$P$176, "&lt;2")</f>
        <v>0.52405000000000013</v>
      </c>
      <c r="M198" s="28">
        <f>AVERAGEIFS(L$24:L$176, $O$24:$O$176, "*Repaired", $P$24:$P$176, "&lt;2")</f>
        <v>5.6300000000000003E-2</v>
      </c>
      <c r="N198" s="28">
        <f>AVERAGEIFS(M$24:M$176, $O$24:$O$176, "*Repaired", $P$24:$P$176, "&lt;2")</f>
        <v>15.980500000000001</v>
      </c>
      <c r="O198" s="28">
        <f>AVERAGEIFS(N$24:N$176, $O$24:$O$176, "*Repaired", $P$24:$P$176, "&lt;2")</f>
        <v>0.88755000000000006</v>
      </c>
    </row>
    <row r="200" spans="1:15" ht="28.8" customHeight="1" x14ac:dyDescent="0.35">
      <c r="B200" s="12" t="s">
        <v>212</v>
      </c>
      <c r="C200" s="12" t="s">
        <v>215</v>
      </c>
      <c r="D200" s="12" t="s">
        <v>198</v>
      </c>
      <c r="E200" s="12" t="s">
        <v>199</v>
      </c>
      <c r="F200" s="12" t="s">
        <v>21</v>
      </c>
      <c r="G200" s="12" t="s">
        <v>200</v>
      </c>
      <c r="H200" s="12" t="s">
        <v>22</v>
      </c>
      <c r="I200" s="12" t="s">
        <v>201</v>
      </c>
      <c r="J200" s="12" t="s">
        <v>202</v>
      </c>
      <c r="K200" s="12" t="s">
        <v>203</v>
      </c>
      <c r="L200" s="12" t="s">
        <v>204</v>
      </c>
      <c r="M200" s="12" t="s">
        <v>205</v>
      </c>
      <c r="N200" s="12" t="s">
        <v>206</v>
      </c>
      <c r="O200" s="12" t="s">
        <v>207</v>
      </c>
    </row>
    <row r="201" spans="1:15" x14ac:dyDescent="0.35">
      <c r="A201" s="1">
        <f>COUNTIFS($O$24:$O$176, "*Fixed", $P$24:$P$176, "&gt;1")</f>
        <v>33</v>
      </c>
      <c r="B201" s="1" t="s">
        <v>218</v>
      </c>
      <c r="C201" s="28">
        <f>AVERAGEIFS(B$24:B$176, $O$24:$O$176, "*Fixed", $P$24:$P$176, "&gt;1")</f>
        <v>2.6330303030303046</v>
      </c>
      <c r="D201" s="28">
        <f>AVERAGEIFS(C$24:C$176, $O$24:$O$176, "*Fixed", $P$24:$P$176, "&gt;1")</f>
        <v>82.929696969696948</v>
      </c>
      <c r="E201" s="28">
        <f>AVERAGEIFS(D$24:D$176, $O$24:$O$176, "*Fixed", $P$24:$P$176, "&gt;1")</f>
        <v>14.76696969696969</v>
      </c>
      <c r="F201" s="28">
        <f>AVERAGEIFS(E$24:E$176, $O$24:$O$176, "*Fixed", $P$24:$P$176, "&gt;1")</f>
        <v>5.9042424242424261</v>
      </c>
      <c r="G201" s="28">
        <f>AVERAGEIFS(F$24:F$176, $O$24:$O$176, "*Fixed", $P$24:$P$176, "&gt;1")</f>
        <v>9.6996969696969675</v>
      </c>
      <c r="H201" s="28">
        <f>AVERAGEIFS(G$24:G$176, $O$24:$O$176, "*Fixed", $P$24:$P$176, "&gt;1")</f>
        <v>3.4824242424242415</v>
      </c>
      <c r="I201" s="28">
        <f>AVERAGEIFS(H$24:H$176, $O$24:$O$176, "*Fixed", $P$24:$P$176, "&gt;1")</f>
        <v>9.3860606060606084</v>
      </c>
      <c r="J201" s="28">
        <f>AVERAGEIFS(I$24:I$176, $O$24:$O$176, "*Fixed", $P$24:$P$176, "&gt;1")</f>
        <v>24.466363636363631</v>
      </c>
      <c r="K201" s="28">
        <f>AVERAGEIFS(J$24:J$176, $O$24:$O$176, "*Fixed", $P$24:$P$176, "&gt;1")</f>
        <v>46.925757575757572</v>
      </c>
      <c r="L201" s="28">
        <f>AVERAGEIFS(K$24:K$176, $O$24:$O$176, "*Fixed", $P$24:$P$176, "&gt;1")</f>
        <v>0.59875757575757582</v>
      </c>
      <c r="M201" s="28">
        <f>AVERAGEIFS(L$24:L$176, $O$24:$O$176, "*Fixed", $P$24:$P$176, "&gt;1")</f>
        <v>4.8121212121212113E-2</v>
      </c>
      <c r="N201" s="28">
        <f>AVERAGEIFS(M$24:M$176, $O$24:$O$176, "*Fixed", $P$24:$P$176, "&gt;1")</f>
        <v>24.680909090909093</v>
      </c>
      <c r="O201" s="28">
        <f>AVERAGEIFS(N$24:N$176, $O$24:$O$176, "*Fixed", $P$24:$P$176, "&gt;1")</f>
        <v>1.3706363636363637</v>
      </c>
    </row>
    <row r="202" spans="1:15" x14ac:dyDescent="0.35">
      <c r="A202" s="1">
        <f>COUNTIFS($O$24:$O$176, "*Repaired", $P$24:$P$176, "&gt;1")</f>
        <v>31</v>
      </c>
      <c r="B202" s="1" t="s">
        <v>219</v>
      </c>
      <c r="C202" s="28">
        <f>AVERAGEIFS(B$24:B$176, $O$24:$O$176, "*Repaired", $P$24:$P$176, "&gt;1")</f>
        <v>3.5590322580645171</v>
      </c>
      <c r="D202" s="28">
        <f>AVERAGEIFS(C$24:C$176, $O$24:$O$176, "*Repaired", $P$24:$P$176, "&gt;1")</f>
        <v>78.133225806451605</v>
      </c>
      <c r="E202" s="28">
        <f>AVERAGEIFS(D$24:D$176, $O$24:$O$176, "*Repaired", $P$24:$P$176, "&gt;1")</f>
        <v>26.76806451612903</v>
      </c>
      <c r="F202" s="28">
        <f>AVERAGEIFS(E$24:E$176, $O$24:$O$176, "*Repaired", $P$24:$P$176, "&gt;1")</f>
        <v>7.9487096774193553</v>
      </c>
      <c r="G202" s="28">
        <f>AVERAGEIFS(F$24:F$176, $O$24:$O$176, "*Repaired", $P$24:$P$176, "&gt;1")</f>
        <v>16.867096774193552</v>
      </c>
      <c r="H202" s="28">
        <f>AVERAGEIFS(G$24:G$176, $O$24:$O$176, "*Repaired", $P$24:$P$176, "&gt;1")</f>
        <v>4.5251612903225809</v>
      </c>
      <c r="I202" s="28">
        <f>AVERAGEIFS(H$24:H$176, $O$24:$O$176, "*Repaired", $P$24:$P$176, "&gt;1")</f>
        <v>12.473225806451614</v>
      </c>
      <c r="J202" s="28">
        <f>AVERAGEIFS(I$24:I$176, $O$24:$O$176, "*Repaired", $P$24:$P$176, "&gt;1")</f>
        <v>43.634516129032271</v>
      </c>
      <c r="K202" s="28">
        <f>AVERAGEIFS(J$24:J$176, $O$24:$O$176, "*Repaired", $P$24:$P$176, "&gt;1")</f>
        <v>71.899032258064494</v>
      </c>
      <c r="L202" s="28">
        <f>AVERAGEIFS(K$24:K$176, $O$24:$O$176, "*Repaired", $P$24:$P$176, "&gt;1")</f>
        <v>0.58612903225806467</v>
      </c>
      <c r="M202" s="28">
        <f>AVERAGEIFS(L$24:L$176, $O$24:$O$176, "*Repaired", $P$24:$P$176, "&gt;1")</f>
        <v>3.9225806451612902E-2</v>
      </c>
      <c r="N202" s="28">
        <f>AVERAGEIFS(M$24:M$176, $O$24:$O$176, "*Repaired", $P$24:$P$176, "&gt;1")</f>
        <v>20.300000000000004</v>
      </c>
      <c r="O202" s="28">
        <f>AVERAGEIFS(N$24:N$176, $O$24:$O$176, "*Repaired", $P$24:$P$176, "&gt;1")</f>
        <v>3.3138709677419356</v>
      </c>
    </row>
    <row r="203" spans="1:15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</row>
    <row r="204" spans="1:15" ht="30.6" customHeight="1" x14ac:dyDescent="0.35">
      <c r="B204" s="12" t="s">
        <v>212</v>
      </c>
      <c r="C204" s="12" t="s">
        <v>215</v>
      </c>
      <c r="D204" s="12" t="s">
        <v>198</v>
      </c>
      <c r="E204" s="12" t="s">
        <v>199</v>
      </c>
      <c r="F204" s="12" t="s">
        <v>21</v>
      </c>
      <c r="G204" s="12" t="s">
        <v>200</v>
      </c>
      <c r="H204" s="12" t="s">
        <v>22</v>
      </c>
      <c r="I204" s="12" t="s">
        <v>201</v>
      </c>
      <c r="J204" s="12" t="s">
        <v>202</v>
      </c>
      <c r="K204" s="12" t="s">
        <v>203</v>
      </c>
      <c r="L204" s="12" t="s">
        <v>204</v>
      </c>
      <c r="M204" s="12" t="s">
        <v>205</v>
      </c>
      <c r="N204" s="12" t="s">
        <v>206</v>
      </c>
      <c r="O204" s="12" t="s">
        <v>207</v>
      </c>
    </row>
    <row r="205" spans="1:15" x14ac:dyDescent="0.35">
      <c r="B205" s="1" t="s">
        <v>216</v>
      </c>
      <c r="C205" s="28" t="e">
        <f>AVERAGEIFS(B$24:B$176, $O$24:$O$176, "*Fixed", $S$24:$S$176, "&lt;2")</f>
        <v>#DIV/0!</v>
      </c>
      <c r="D205" s="28" t="e">
        <f>AVERAGEIFS(C$24:C$176, $O$24:$O$176, "*Fixed", $S$24:$S$176, "&lt;2")</f>
        <v>#DIV/0!</v>
      </c>
      <c r="E205" s="28" t="e">
        <f>AVERAGEIFS(D$24:D$176, $O$24:$O$176, "*Fixed", $S$24:$S$176, "&lt;2")</f>
        <v>#DIV/0!</v>
      </c>
      <c r="F205" s="28" t="e">
        <f>AVERAGEIFS(E$24:E$176, $O$24:$O$176, "*Fixed", $S$24:$S$176, "&lt;2")</f>
        <v>#DIV/0!</v>
      </c>
      <c r="G205" s="28" t="e">
        <f>AVERAGEIFS(F$24:F$176, $O$24:$O$176, "*Fixed", $S$24:$S$176, "&lt;2")</f>
        <v>#DIV/0!</v>
      </c>
      <c r="H205" s="28" t="e">
        <f>AVERAGEIFS(G$24:G$176, $O$24:$O$176, "*Fixed", $S$24:$S$176, "&lt;2")</f>
        <v>#DIV/0!</v>
      </c>
      <c r="I205" s="28" t="e">
        <f>AVERAGEIFS(H$24:H$176, $O$24:$O$176, "*Fixed", $S$24:$S$176, "&lt;2")</f>
        <v>#DIV/0!</v>
      </c>
      <c r="J205" s="28" t="e">
        <f>AVERAGEIFS(I$24:I$176, $O$24:$O$176, "*Fixed", $S$24:$S$176, "&lt;2")</f>
        <v>#DIV/0!</v>
      </c>
      <c r="K205" s="28" t="e">
        <f>AVERAGEIFS(J$24:J$176, $O$24:$O$176, "*Fixed", $S$24:$S$176, "&lt;2")</f>
        <v>#DIV/0!</v>
      </c>
      <c r="L205" s="28" t="e">
        <f>AVERAGEIFS(K$24:K$176, $O$24:$O$176, "*Fixed", $S$24:$S$176, "&lt;2")</f>
        <v>#DIV/0!</v>
      </c>
      <c r="M205" s="28" t="e">
        <f>AVERAGEIFS(L$24:L$176, $O$24:$O$176, "*Fixed", $S$24:$S$176, "&lt;2")</f>
        <v>#DIV/0!</v>
      </c>
      <c r="N205" s="28" t="e">
        <f>AVERAGEIFS(M$24:M$176, $O$24:$O$176, "*Fixed", $S$24:$S$176, "&lt;2")</f>
        <v>#DIV/0!</v>
      </c>
      <c r="O205" s="28" t="e">
        <f>AVERAGEIFS(N$24:N$176, $O$24:$O$176, "*Fixed", $S$24:$S$176, "&lt;2")</f>
        <v>#DIV/0!</v>
      </c>
    </row>
    <row r="206" spans="1:15" x14ac:dyDescent="0.35">
      <c r="B206" s="1" t="s">
        <v>217</v>
      </c>
      <c r="C206" s="28" t="e">
        <f>AVERAGEIFS(B$24:B$176, $O$24:$O$176, "*Repaired", $S$24:$S$176, "&lt;2")</f>
        <v>#DIV/0!</v>
      </c>
      <c r="D206" s="28" t="e">
        <f>AVERAGEIFS(C$24:C$176, $O$24:$O$176, "*Repaired", $S$24:$S$176, "&lt;2")</f>
        <v>#DIV/0!</v>
      </c>
      <c r="E206" s="28" t="e">
        <f>AVERAGEIFS(D$24:D$176, $O$24:$O$176, "*Repaired", $S$24:$S$176, "&lt;2")</f>
        <v>#DIV/0!</v>
      </c>
      <c r="F206" s="28" t="e">
        <f>AVERAGEIFS(E$24:E$176, $O$24:$O$176, "*Repaired", $S$24:$S$176, "&lt;2")</f>
        <v>#DIV/0!</v>
      </c>
      <c r="G206" s="28" t="e">
        <f>AVERAGEIFS(F$24:F$176, $O$24:$O$176, "*Repaired", $S$24:$S$176, "&lt;2")</f>
        <v>#DIV/0!</v>
      </c>
      <c r="H206" s="28" t="e">
        <f>AVERAGEIFS(G$24:G$176, $O$24:$O$176, "*Repaired", $S$24:$S$176, "&lt;2")</f>
        <v>#DIV/0!</v>
      </c>
      <c r="I206" s="28" t="e">
        <f>AVERAGEIFS(H$24:H$176, $O$24:$O$176, "*Repaired", $S$24:$S$176, "&lt;2")</f>
        <v>#DIV/0!</v>
      </c>
      <c r="J206" s="28" t="e">
        <f>AVERAGEIFS(I$24:I$176, $O$24:$O$176, "*Repaired", $S$24:$S$176, "&lt;2")</f>
        <v>#DIV/0!</v>
      </c>
      <c r="K206" s="28" t="e">
        <f>AVERAGEIFS(J$24:J$176, $O$24:$O$176, "*Repaired", $S$24:$S$176, "&lt;2")</f>
        <v>#DIV/0!</v>
      </c>
      <c r="L206" s="28" t="e">
        <f>AVERAGEIFS(K$24:K$176, $O$24:$O$176, "*Repaired", $S$24:$S$176, "&lt;2")</f>
        <v>#DIV/0!</v>
      </c>
      <c r="M206" s="28" t="e">
        <f>AVERAGEIFS(L$24:L$176, $O$24:$O$176, "*Repaired", $S$24:$S$176, "&lt;2")</f>
        <v>#DIV/0!</v>
      </c>
      <c r="N206" s="28" t="e">
        <f>AVERAGEIFS(M$24:M$176, $O$24:$O$176, "*Repaired", $S$24:$S$176, "&lt;2")</f>
        <v>#DIV/0!</v>
      </c>
      <c r="O206" s="28" t="e">
        <f>AVERAGEIFS(N$24:N$176, $O$24:$O$176, "*Repaired", $S$24:$S$176, "&lt;2")</f>
        <v>#DIV/0!</v>
      </c>
    </row>
    <row r="207" spans="1:15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ht="31.8" customHeight="1" x14ac:dyDescent="0.35">
      <c r="B208" s="12" t="s">
        <v>212</v>
      </c>
      <c r="C208" s="12" t="s">
        <v>215</v>
      </c>
      <c r="D208" s="12" t="s">
        <v>198</v>
      </c>
      <c r="E208" s="12" t="s">
        <v>199</v>
      </c>
      <c r="F208" s="12" t="s">
        <v>21</v>
      </c>
      <c r="G208" s="12" t="s">
        <v>200</v>
      </c>
      <c r="H208" s="12" t="s">
        <v>22</v>
      </c>
      <c r="I208" s="12" t="s">
        <v>201</v>
      </c>
      <c r="J208" s="12" t="s">
        <v>202</v>
      </c>
      <c r="K208" s="12" t="s">
        <v>203</v>
      </c>
      <c r="L208" s="12" t="s">
        <v>204</v>
      </c>
      <c r="M208" s="12" t="s">
        <v>205</v>
      </c>
      <c r="N208" s="12" t="s">
        <v>206</v>
      </c>
      <c r="O208" s="12" t="s">
        <v>207</v>
      </c>
    </row>
    <row r="209" spans="1:15" x14ac:dyDescent="0.35">
      <c r="A209" s="1">
        <f>COUNTIFS($O$24:$O$176, "*Fixed", $S$24:$S$176, "&gt;1")</f>
        <v>51</v>
      </c>
      <c r="B209" s="1" t="s">
        <v>218</v>
      </c>
      <c r="C209" s="28">
        <f>AVERAGEIFS(B$24:B$176, $O$24:$O$176, "*Fixed", $S$24:$S$176, "&gt;1")</f>
        <v>3.4094117647058821</v>
      </c>
      <c r="D209" s="28">
        <f>AVERAGEIFS(C$24:C$176, $O$24:$O$176, "*Fixed", $S$24:$S$176, "&gt;1")</f>
        <v>78.530196078431388</v>
      </c>
      <c r="E209" s="28">
        <f>AVERAGEIFS(D$24:D$176, $O$24:$O$176, "*Fixed", $S$24:$S$176, "&gt;1")</f>
        <v>23.924901960784307</v>
      </c>
      <c r="F209" s="28">
        <f>AVERAGEIFS(E$24:E$176, $O$24:$O$176, "*Fixed", $S$24:$S$176, "&gt;1")</f>
        <v>7.3060784313725522</v>
      </c>
      <c r="G209" s="28">
        <f>AVERAGEIFS(F$24:F$176, $O$24:$O$176, "*Fixed", $S$24:$S$176, "&gt;1")</f>
        <v>15.764509803921564</v>
      </c>
      <c r="H209" s="28">
        <f>AVERAGEIFS(G$24:G$176, $O$24:$O$176, "*Fixed", $S$24:$S$176, "&gt;1")</f>
        <v>4.3756862745098033</v>
      </c>
      <c r="I209" s="28">
        <f>AVERAGEIFS(H$24:H$176, $O$24:$O$176, "*Fixed", $S$24:$S$176, "&gt;1")</f>
        <v>11.681372549019608</v>
      </c>
      <c r="J209" s="28">
        <f>AVERAGEIFS(I$24:I$176, $O$24:$O$176, "*Fixed", $S$24:$S$176, "&gt;1")</f>
        <v>39.690392156862735</v>
      </c>
      <c r="K209" s="28">
        <f>AVERAGEIFS(J$24:J$176, $O$24:$O$176, "*Fixed", $S$24:$S$176, "&gt;1")</f>
        <v>65.971568627450978</v>
      </c>
      <c r="L209" s="28">
        <f>AVERAGEIFS(K$24:K$176, $O$24:$O$176, "*Fixed", $S$24:$S$176, "&gt;1")</f>
        <v>0.55860784313725487</v>
      </c>
      <c r="M209" s="28">
        <f>AVERAGEIFS(L$24:L$176, $O$24:$O$176, "*Fixed", $S$24:$S$176, "&gt;1")</f>
        <v>4.592156862745099E-2</v>
      </c>
      <c r="N209" s="28">
        <f>AVERAGEIFS(M$24:M$176, $O$24:$O$176, "*Fixed", $S$24:$S$176, "&gt;1")</f>
        <v>18.509399999999996</v>
      </c>
      <c r="O209" s="28">
        <f>AVERAGEIFS(N$24:N$176, $O$24:$O$176, "*Fixed", $S$24:$S$176, "&gt;1")</f>
        <v>2.3590392156862743</v>
      </c>
    </row>
    <row r="210" spans="1:15" x14ac:dyDescent="0.35">
      <c r="A210" s="1">
        <f>COUNTIFS($O$24:$O$176, "*Repaired", $S$24:$S$176, "&gt;1")</f>
        <v>51</v>
      </c>
      <c r="B210" s="1" t="s">
        <v>219</v>
      </c>
      <c r="C210" s="28">
        <f>AVERAGEIFS(B$24:B$176, $O$24:$O$176, "*Repaired", $S$24:$S$176, "&gt;1")</f>
        <v>3.424509803921568</v>
      </c>
      <c r="D210" s="28">
        <f>AVERAGEIFS(C$24:C$176, $O$24:$O$176, "*Repaired", $S$24:$S$176, "&gt;1")</f>
        <v>78.645686274509828</v>
      </c>
      <c r="E210" s="28">
        <f>AVERAGEIFS(D$24:D$176, $O$24:$O$176, "*Repaired", $S$24:$S$176, "&gt;1")</f>
        <v>24.032549019607846</v>
      </c>
      <c r="F210" s="28">
        <f>AVERAGEIFS(E$24:E$176, $O$24:$O$176, "*Repaired", $S$24:$S$176, "&gt;1")</f>
        <v>7.3231372549019627</v>
      </c>
      <c r="G210" s="28">
        <f>AVERAGEIFS(F$24:F$176, $O$24:$O$176, "*Repaired", $S$24:$S$176, "&gt;1")</f>
        <v>15.519411764705881</v>
      </c>
      <c r="H210" s="28">
        <f>AVERAGEIFS(G$24:G$176, $O$24:$O$176, "*Repaired", $S$24:$S$176, "&gt;1")</f>
        <v>4.3221568627450981</v>
      </c>
      <c r="I210" s="28">
        <f>AVERAGEIFS(H$24:H$176, $O$24:$O$176, "*Repaired", $S$24:$S$176, "&gt;1")</f>
        <v>11.644705882352941</v>
      </c>
      <c r="J210" s="28">
        <f>AVERAGEIFS(I$24:I$176, $O$24:$O$176, "*Repaired", $S$24:$S$176, "&gt;1")</f>
        <v>39.550980392156859</v>
      </c>
      <c r="K210" s="28">
        <f>AVERAGEIFS(J$24:J$176, $O$24:$O$176, "*Repaired", $S$24:$S$176, "&gt;1")</f>
        <v>65.592745098039202</v>
      </c>
      <c r="L210" s="28">
        <f>AVERAGEIFS(K$24:K$176, $O$24:$O$176, "*Repaired", $S$24:$S$176, "&gt;1")</f>
        <v>0.56178431372549031</v>
      </c>
      <c r="M210" s="28">
        <f>AVERAGEIFS(L$24:L$176, $O$24:$O$176, "*Repaired", $S$24:$S$176, "&gt;1")</f>
        <v>4.592156862745099E-2</v>
      </c>
      <c r="N210" s="28">
        <f>AVERAGEIFS(M$24:M$176, $O$24:$O$176, "*Repaired", $S$24:$S$176, "&gt;1")</f>
        <v>18.572199999999999</v>
      </c>
      <c r="O210" s="28">
        <f>AVERAGEIFS(N$24:N$176, $O$24:$O$176, "*Repaired", $S$24:$S$176, "&gt;1")</f>
        <v>2.3623725490196072</v>
      </c>
    </row>
    <row r="213" spans="1:15" x14ac:dyDescent="0.35">
      <c r="A213" s="26" t="s">
        <v>220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5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5" ht="28.8" customHeight="1" x14ac:dyDescent="0.35">
      <c r="A215" s="12" t="s">
        <v>222</v>
      </c>
      <c r="B215" s="12" t="s">
        <v>212</v>
      </c>
      <c r="C215" s="12" t="s">
        <v>215</v>
      </c>
      <c r="D215" s="12" t="s">
        <v>198</v>
      </c>
      <c r="E215" s="12" t="s">
        <v>199</v>
      </c>
      <c r="F215" s="12" t="s">
        <v>21</v>
      </c>
      <c r="G215" s="12" t="s">
        <v>200</v>
      </c>
      <c r="H215" s="12" t="s">
        <v>22</v>
      </c>
      <c r="I215" s="12" t="s">
        <v>201</v>
      </c>
      <c r="J215" s="12" t="s">
        <v>202</v>
      </c>
      <c r="K215" s="12" t="s">
        <v>203</v>
      </c>
      <c r="L215" s="12" t="s">
        <v>204</v>
      </c>
      <c r="M215" s="12" t="s">
        <v>205</v>
      </c>
      <c r="N215" s="12" t="s">
        <v>206</v>
      </c>
      <c r="O215" s="12" t="s">
        <v>207</v>
      </c>
    </row>
    <row r="216" spans="1:15" x14ac:dyDescent="0.35">
      <c r="A216" s="1">
        <f>COUNTIF($A$24:$A$176, "*Commons-Math*Buggy")</f>
        <v>49</v>
      </c>
      <c r="B216" s="1" t="s">
        <v>233</v>
      </c>
      <c r="C216" s="28">
        <f t="shared" ref="C216:O216" si="8">AVERAGEIF($A$24:$A$176, "*Commons-Math*_Buggy", B$24:B$176)</f>
        <v>3.2914285714285727</v>
      </c>
      <c r="D216" s="28">
        <f t="shared" si="8"/>
        <v>78.420204081632633</v>
      </c>
      <c r="E216" s="28">
        <f t="shared" si="8"/>
        <v>24.387551020408157</v>
      </c>
      <c r="F216" s="28">
        <f t="shared" si="8"/>
        <v>7.4553061224489783</v>
      </c>
      <c r="G216" s="28">
        <f t="shared" si="8"/>
        <v>15.391020408163268</v>
      </c>
      <c r="H216" s="28">
        <f t="shared" si="8"/>
        <v>4.3769387755102036</v>
      </c>
      <c r="I216" s="28">
        <f t="shared" si="8"/>
        <v>11.832857142857142</v>
      </c>
      <c r="J216" s="28">
        <f t="shared" si="8"/>
        <v>39.778979591836716</v>
      </c>
      <c r="K216" s="28">
        <f t="shared" si="8"/>
        <v>66.847959183673467</v>
      </c>
      <c r="L216" s="28">
        <f t="shared" si="8"/>
        <v>0.58471428571428574</v>
      </c>
      <c r="M216" s="28">
        <f t="shared" si="8"/>
        <v>4.7795918367346951E-2</v>
      </c>
      <c r="N216" s="28">
        <f t="shared" si="8"/>
        <v>19.346041666666665</v>
      </c>
      <c r="O216" s="28">
        <f t="shared" si="8"/>
        <v>2.4587959183673465</v>
      </c>
    </row>
    <row r="217" spans="1:15" x14ac:dyDescent="0.35">
      <c r="A217" s="1">
        <f>COUNTIF($A$24:$A$176, "*Commons-Math*Fixed")</f>
        <v>49</v>
      </c>
      <c r="B217" s="1" t="s">
        <v>234</v>
      </c>
      <c r="C217" s="28">
        <f t="shared" ref="C217:O217" si="9">AVERAGEIF($A$24:$A$176, "*Commons-Math*_Fixed", B$24:B$176)</f>
        <v>3.4824489795918359</v>
      </c>
      <c r="D217" s="28">
        <f t="shared" si="9"/>
        <v>78.184489795918381</v>
      </c>
      <c r="E217" s="28">
        <f t="shared" si="9"/>
        <v>24.610816326530603</v>
      </c>
      <c r="F217" s="28">
        <f t="shared" si="9"/>
        <v>7.4614285714285753</v>
      </c>
      <c r="G217" s="28">
        <f t="shared" si="9"/>
        <v>16.269999999999992</v>
      </c>
      <c r="H217" s="28">
        <f t="shared" si="9"/>
        <v>4.4367346938775505</v>
      </c>
      <c r="I217" s="28">
        <f t="shared" si="9"/>
        <v>11.897755102040817</v>
      </c>
      <c r="J217" s="28">
        <f t="shared" si="9"/>
        <v>40.88183673469387</v>
      </c>
      <c r="K217" s="28">
        <f t="shared" si="9"/>
        <v>67.627142857142843</v>
      </c>
      <c r="L217" s="28">
        <f t="shared" si="9"/>
        <v>0.58140816326530609</v>
      </c>
      <c r="M217" s="28">
        <f t="shared" si="9"/>
        <v>4.7795918367346951E-2</v>
      </c>
      <c r="N217" s="28">
        <f t="shared" si="9"/>
        <v>19.280624999999997</v>
      </c>
      <c r="O217" s="28">
        <f t="shared" si="9"/>
        <v>2.4553265306122443</v>
      </c>
    </row>
    <row r="218" spans="1:15" x14ac:dyDescent="0.35">
      <c r="A218" s="1">
        <f>COUNTIF($A$24:$A$176, "*Commons-Math*Repaired")</f>
        <v>49</v>
      </c>
      <c r="B218" s="1" t="s">
        <v>235</v>
      </c>
      <c r="C218" s="28">
        <f t="shared" ref="C218:O218" si="10">AVERAGEIF($A$24:$A$176, "*Commons-Math*_Repaired", B$24:B$176)</f>
        <v>3.4955102040816328</v>
      </c>
      <c r="D218" s="28">
        <f t="shared" si="10"/>
        <v>78.292040816326548</v>
      </c>
      <c r="E218" s="28">
        <f t="shared" si="10"/>
        <v>24.755918367346936</v>
      </c>
      <c r="F218" s="28">
        <f t="shared" si="10"/>
        <v>7.4893877551020438</v>
      </c>
      <c r="G218" s="28">
        <f t="shared" si="10"/>
        <v>16.020204081632652</v>
      </c>
      <c r="H218" s="28">
        <f t="shared" si="10"/>
        <v>4.3863265306122452</v>
      </c>
      <c r="I218" s="28">
        <f t="shared" si="10"/>
        <v>11.875102040816325</v>
      </c>
      <c r="J218" s="28">
        <f t="shared" si="10"/>
        <v>40.774897959183662</v>
      </c>
      <c r="K218" s="28">
        <f t="shared" si="10"/>
        <v>67.33612244897958</v>
      </c>
      <c r="L218" s="28">
        <f t="shared" si="10"/>
        <v>0.58471428571428574</v>
      </c>
      <c r="M218" s="28">
        <f t="shared" si="10"/>
        <v>4.7795918367346951E-2</v>
      </c>
      <c r="N218" s="28">
        <f t="shared" si="10"/>
        <v>19.346041666666665</v>
      </c>
      <c r="O218" s="28">
        <f t="shared" si="10"/>
        <v>2.4587959183673465</v>
      </c>
    </row>
    <row r="220" spans="1:15" ht="30.6" customHeight="1" x14ac:dyDescent="0.35">
      <c r="B220" s="12" t="s">
        <v>212</v>
      </c>
      <c r="C220" s="12" t="s">
        <v>215</v>
      </c>
      <c r="D220" s="12" t="s">
        <v>198</v>
      </c>
      <c r="E220" s="12" t="s">
        <v>199</v>
      </c>
      <c r="F220" s="12" t="s">
        <v>21</v>
      </c>
      <c r="G220" s="12" t="s">
        <v>200</v>
      </c>
      <c r="H220" s="12" t="s">
        <v>22</v>
      </c>
      <c r="I220" s="12" t="s">
        <v>201</v>
      </c>
      <c r="J220" s="12" t="s">
        <v>202</v>
      </c>
      <c r="K220" s="12" t="s">
        <v>203</v>
      </c>
      <c r="L220" s="12" t="s">
        <v>204</v>
      </c>
      <c r="M220" s="12" t="s">
        <v>205</v>
      </c>
      <c r="N220" s="12" t="s">
        <v>206</v>
      </c>
      <c r="O220" s="12" t="s">
        <v>207</v>
      </c>
    </row>
    <row r="221" spans="1:15" x14ac:dyDescent="0.35">
      <c r="A221" s="1">
        <f>COUNTIF($A$24:$A$176, "*Jackrabbit-Oak*Buggy")</f>
        <v>2</v>
      </c>
      <c r="B221" s="1" t="s">
        <v>236</v>
      </c>
      <c r="C221" s="28">
        <f t="shared" ref="C221:O221" si="11">AVERAGEIF($A$24:$A$176, "*Jackrabbit-Oak*_Buggy", B$24:B$176)</f>
        <v>1.62</v>
      </c>
      <c r="D221" s="28">
        <f t="shared" si="11"/>
        <v>87.5</v>
      </c>
      <c r="E221" s="28">
        <f t="shared" si="11"/>
        <v>6.5</v>
      </c>
      <c r="F221" s="28">
        <f t="shared" si="11"/>
        <v>3.12</v>
      </c>
      <c r="G221" s="28">
        <f t="shared" si="11"/>
        <v>3.12</v>
      </c>
      <c r="H221" s="28">
        <f t="shared" si="11"/>
        <v>2.75</v>
      </c>
      <c r="I221" s="28">
        <f t="shared" si="11"/>
        <v>5.88</v>
      </c>
      <c r="J221" s="28">
        <f t="shared" si="11"/>
        <v>9.6199999999999992</v>
      </c>
      <c r="K221" s="28">
        <f t="shared" si="11"/>
        <v>22.33</v>
      </c>
      <c r="L221" s="28">
        <f t="shared" si="11"/>
        <v>0</v>
      </c>
      <c r="M221" s="28">
        <f t="shared" si="11"/>
        <v>0</v>
      </c>
      <c r="N221" s="28">
        <f t="shared" si="11"/>
        <v>0</v>
      </c>
      <c r="O221" s="28">
        <f t="shared" si="11"/>
        <v>0</v>
      </c>
    </row>
    <row r="222" spans="1:15" x14ac:dyDescent="0.35">
      <c r="A222" s="1">
        <f>COUNTIF($A$24:$A$176, "*Jackrabbit-Oak*Fixed")</f>
        <v>2</v>
      </c>
      <c r="B222" s="1" t="s">
        <v>237</v>
      </c>
      <c r="C222" s="28">
        <f t="shared" ref="C222:O222" si="12">AVERAGEIF($A$24:$A$176, "*Jackrabbit-Oak*_Fixed", B$24:B$176)</f>
        <v>1.62</v>
      </c>
      <c r="D222" s="28">
        <f t="shared" si="12"/>
        <v>87</v>
      </c>
      <c r="E222" s="28">
        <f t="shared" si="12"/>
        <v>7.12</v>
      </c>
      <c r="F222" s="28">
        <f t="shared" si="12"/>
        <v>3.5</v>
      </c>
      <c r="G222" s="28">
        <f t="shared" si="12"/>
        <v>3.38</v>
      </c>
      <c r="H222" s="28">
        <f t="shared" si="12"/>
        <v>2.88</v>
      </c>
      <c r="I222" s="28">
        <f t="shared" si="12"/>
        <v>6.38</v>
      </c>
      <c r="J222" s="28">
        <f t="shared" si="12"/>
        <v>10.5</v>
      </c>
      <c r="K222" s="28">
        <f t="shared" si="12"/>
        <v>25.41</v>
      </c>
      <c r="L222" s="28">
        <f t="shared" si="12"/>
        <v>0</v>
      </c>
      <c r="M222" s="28">
        <f t="shared" si="12"/>
        <v>0</v>
      </c>
      <c r="N222" s="28">
        <f t="shared" si="12"/>
        <v>0</v>
      </c>
      <c r="O222" s="28">
        <f t="shared" si="12"/>
        <v>0</v>
      </c>
    </row>
    <row r="223" spans="1:15" x14ac:dyDescent="0.35">
      <c r="A223" s="1">
        <f>COUNTIF($A$24:$A$176, "*Jackrabbit-Oak*Repaired")</f>
        <v>2</v>
      </c>
      <c r="B223" s="1" t="s">
        <v>238</v>
      </c>
      <c r="C223" s="28">
        <f t="shared" ref="C223:O223" si="13">AVERAGEIF($A$24:$A$176, "*Jackrabbit-Oak*_Repaired", B$24:B$176)</f>
        <v>1.6850000000000001</v>
      </c>
      <c r="D223" s="28">
        <f t="shared" si="13"/>
        <v>87.31</v>
      </c>
      <c r="E223" s="28">
        <f t="shared" si="13"/>
        <v>6.3100000000000005</v>
      </c>
      <c r="F223" s="28">
        <f t="shared" si="13"/>
        <v>3.25</v>
      </c>
      <c r="G223" s="28">
        <f t="shared" si="13"/>
        <v>3.25</v>
      </c>
      <c r="H223" s="28">
        <f t="shared" si="13"/>
        <v>2.75</v>
      </c>
      <c r="I223" s="28">
        <f t="shared" si="13"/>
        <v>6</v>
      </c>
      <c r="J223" s="28">
        <f t="shared" si="13"/>
        <v>9.5650000000000013</v>
      </c>
      <c r="K223" s="28">
        <f t="shared" si="13"/>
        <v>22.880000000000003</v>
      </c>
      <c r="L223" s="28">
        <f t="shared" si="13"/>
        <v>0</v>
      </c>
      <c r="M223" s="28">
        <f t="shared" si="13"/>
        <v>0</v>
      </c>
      <c r="N223" s="28">
        <f t="shared" si="13"/>
        <v>0</v>
      </c>
      <c r="O223" s="28">
        <f t="shared" si="13"/>
        <v>0</v>
      </c>
    </row>
    <row r="226" spans="1:15" x14ac:dyDescent="0.35">
      <c r="A226" s="26" t="s">
        <v>221</v>
      </c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2" t="s">
        <v>222</v>
      </c>
      <c r="B228" s="12" t="s">
        <v>212</v>
      </c>
      <c r="C228" s="12" t="s">
        <v>215</v>
      </c>
      <c r="D228" s="12" t="s">
        <v>198</v>
      </c>
      <c r="E228" s="12" t="s">
        <v>199</v>
      </c>
      <c r="F228" s="12" t="s">
        <v>21</v>
      </c>
      <c r="G228" s="12" t="s">
        <v>200</v>
      </c>
      <c r="H228" s="12" t="s">
        <v>22</v>
      </c>
      <c r="I228" s="12" t="s">
        <v>201</v>
      </c>
      <c r="J228" s="12" t="s">
        <v>202</v>
      </c>
      <c r="K228" s="12" t="s">
        <v>203</v>
      </c>
      <c r="L228" s="12" t="s">
        <v>204</v>
      </c>
      <c r="M228" s="12" t="s">
        <v>205</v>
      </c>
      <c r="N228" s="12" t="s">
        <v>206</v>
      </c>
      <c r="O228" s="12" t="s">
        <v>207</v>
      </c>
    </row>
    <row r="229" spans="1:15" x14ac:dyDescent="0.35">
      <c r="A229" s="1">
        <f>COUNTIF($A$24:$A$176, "Arja*Fixed")</f>
        <v>21</v>
      </c>
      <c r="B229" s="1" t="s">
        <v>223</v>
      </c>
      <c r="C229" s="28">
        <f t="shared" ref="C229:O229" si="14">AVERAGEIF($A$24:$A$176, "Arja*Fixed", B$24:B$176)</f>
        <v>3.9533333333333331</v>
      </c>
      <c r="D229" s="28">
        <f t="shared" si="14"/>
        <v>76.475238095238083</v>
      </c>
      <c r="E229" s="28">
        <f t="shared" si="14"/>
        <v>31.231428571428566</v>
      </c>
      <c r="F229" s="28">
        <f t="shared" si="14"/>
        <v>7.8638095238095236</v>
      </c>
      <c r="G229" s="28">
        <f t="shared" si="14"/>
        <v>19.423333333333332</v>
      </c>
      <c r="H229" s="28">
        <f t="shared" si="14"/>
        <v>4.6747619047619038</v>
      </c>
      <c r="I229" s="28">
        <f t="shared" si="14"/>
        <v>12.537619047619049</v>
      </c>
      <c r="J229" s="28">
        <f t="shared" si="14"/>
        <v>50.656190476190488</v>
      </c>
      <c r="K229" s="28">
        <f t="shared" si="14"/>
        <v>76.446190476190466</v>
      </c>
      <c r="L229" s="28">
        <f t="shared" si="14"/>
        <v>0.64428571428571413</v>
      </c>
      <c r="M229" s="28">
        <f t="shared" si="14"/>
        <v>4.5809523809523814E-2</v>
      </c>
      <c r="N229" s="28">
        <f t="shared" si="14"/>
        <v>19.481904761904762</v>
      </c>
      <c r="O229" s="28">
        <f t="shared" si="14"/>
        <v>1.0814285714285716</v>
      </c>
    </row>
    <row r="230" spans="1:15" ht="15" thickBot="1" x14ac:dyDescent="0.4">
      <c r="A230" s="30">
        <f>COUNTIF($A$24:$A$176, "Arja*Repaired")</f>
        <v>21</v>
      </c>
      <c r="B230" s="30" t="s">
        <v>224</v>
      </c>
      <c r="C230" s="31">
        <f t="shared" ref="C230:O230" si="15">AVERAGEIF($A$24:$A$176, "Arja*Repaired", B$24:B$176)</f>
        <v>4.0628571428571432</v>
      </c>
      <c r="D230" s="31">
        <f t="shared" si="15"/>
        <v>76.583333333333329</v>
      </c>
      <c r="E230" s="31">
        <f t="shared" si="15"/>
        <v>31.759999999999998</v>
      </c>
      <c r="F230" s="31">
        <f t="shared" si="15"/>
        <v>7.8466666666666667</v>
      </c>
      <c r="G230" s="31">
        <f t="shared" si="15"/>
        <v>19.358095238095238</v>
      </c>
      <c r="H230" s="31">
        <f t="shared" si="15"/>
        <v>4.6842857142857151</v>
      </c>
      <c r="I230" s="31">
        <f t="shared" si="15"/>
        <v>12.530000000000003</v>
      </c>
      <c r="J230" s="31">
        <f t="shared" si="15"/>
        <v>51.119047619047606</v>
      </c>
      <c r="K230" s="31">
        <f t="shared" si="15"/>
        <v>76.477142857142852</v>
      </c>
      <c r="L230" s="31">
        <f t="shared" si="15"/>
        <v>0.64428571428571413</v>
      </c>
      <c r="M230" s="31">
        <f t="shared" si="15"/>
        <v>4.5809523809523814E-2</v>
      </c>
      <c r="N230" s="31">
        <f t="shared" si="15"/>
        <v>19.481904761904762</v>
      </c>
      <c r="O230" s="31">
        <f t="shared" si="15"/>
        <v>1.0814285714285716</v>
      </c>
    </row>
    <row r="231" spans="1:15" x14ac:dyDescent="0.35">
      <c r="A231" s="1">
        <f>COUNTIF($A$24:$A$176, "GenProg*Fixed")</f>
        <v>13</v>
      </c>
      <c r="B231" s="1" t="s">
        <v>225</v>
      </c>
      <c r="C231" s="28">
        <f t="shared" ref="C231:O231" si="16">AVERAGEIF($A$24:$A$176, "GenProg*Fixed", B$24:B$176)</f>
        <v>2.9007692307692308</v>
      </c>
      <c r="D231" s="28">
        <f t="shared" si="16"/>
        <v>80.19923076923078</v>
      </c>
      <c r="E231" s="28">
        <f t="shared" si="16"/>
        <v>18.531538461538464</v>
      </c>
      <c r="F231" s="28">
        <f t="shared" si="16"/>
        <v>7.2492307692307696</v>
      </c>
      <c r="G231" s="28">
        <f t="shared" si="16"/>
        <v>13.443846153846156</v>
      </c>
      <c r="H231" s="28">
        <f t="shared" si="16"/>
        <v>4.37</v>
      </c>
      <c r="I231" s="28">
        <f t="shared" si="16"/>
        <v>11.61923076923077</v>
      </c>
      <c r="J231" s="28">
        <f t="shared" si="16"/>
        <v>31.976153846153842</v>
      </c>
      <c r="K231" s="28">
        <f t="shared" si="16"/>
        <v>60.873076923076937</v>
      </c>
      <c r="L231" s="28">
        <f t="shared" si="16"/>
        <v>0.57000000000000006</v>
      </c>
      <c r="M231" s="28">
        <f t="shared" si="16"/>
        <v>3.6615384615384619E-2</v>
      </c>
      <c r="N231" s="28">
        <f t="shared" si="16"/>
        <v>19.249166666666667</v>
      </c>
      <c r="O231" s="28">
        <f t="shared" si="16"/>
        <v>6.2876923076923088</v>
      </c>
    </row>
    <row r="232" spans="1:15" ht="15" thickBot="1" x14ac:dyDescent="0.4">
      <c r="A232" s="30">
        <f>COUNTIF($A$24:$A$176, "GenProg*Repaired")</f>
        <v>13</v>
      </c>
      <c r="B232" s="30" t="s">
        <v>226</v>
      </c>
      <c r="C232" s="31">
        <f t="shared" ref="C232:O232" si="17">AVERAGEIF($A$24:$A$176, "GenProg*Repaired", B$24:B$176)</f>
        <v>2.7846153846153849</v>
      </c>
      <c r="D232" s="31">
        <f t="shared" si="17"/>
        <v>80.377692307692314</v>
      </c>
      <c r="E232" s="31">
        <f t="shared" si="17"/>
        <v>18.165384615384617</v>
      </c>
      <c r="F232" s="31">
        <f t="shared" si="17"/>
        <v>7.3276923076923062</v>
      </c>
      <c r="G232" s="31">
        <f t="shared" si="17"/>
        <v>12.911538461538461</v>
      </c>
      <c r="H232" s="31">
        <f t="shared" si="17"/>
        <v>4.24</v>
      </c>
      <c r="I232" s="31">
        <f t="shared" si="17"/>
        <v>11.56769230769231</v>
      </c>
      <c r="J232" s="31">
        <f t="shared" si="17"/>
        <v>31.073076923076922</v>
      </c>
      <c r="K232" s="31">
        <f t="shared" si="17"/>
        <v>60.154615384615404</v>
      </c>
      <c r="L232" s="31">
        <f t="shared" si="17"/>
        <v>0.57000000000000006</v>
      </c>
      <c r="M232" s="31">
        <f t="shared" si="17"/>
        <v>3.6615384615384619E-2</v>
      </c>
      <c r="N232" s="31">
        <f t="shared" si="17"/>
        <v>19.249166666666667</v>
      </c>
      <c r="O232" s="31">
        <f t="shared" si="17"/>
        <v>6.2876923076923088</v>
      </c>
    </row>
    <row r="233" spans="1:15" x14ac:dyDescent="0.35">
      <c r="A233" s="1">
        <f>COUNTIF($A$24:$A$176, "Kali*Fixed")</f>
        <v>3</v>
      </c>
      <c r="B233" s="1" t="s">
        <v>227</v>
      </c>
      <c r="C233" s="28">
        <f t="shared" ref="C233:O233" si="18">AVERAGEIF($A$24:$A$176, "Kali*Fixed", B$24:B$176)</f>
        <v>2.0333333333333337</v>
      </c>
      <c r="D233" s="28">
        <f t="shared" si="18"/>
        <v>84.95</v>
      </c>
      <c r="E233" s="28">
        <f t="shared" si="18"/>
        <v>8.9666666666666668</v>
      </c>
      <c r="F233" s="28">
        <f t="shared" si="18"/>
        <v>4.7566666666666668</v>
      </c>
      <c r="G233" s="28">
        <f t="shared" si="18"/>
        <v>6.22</v>
      </c>
      <c r="H233" s="28">
        <f t="shared" si="18"/>
        <v>2.8933333333333331</v>
      </c>
      <c r="I233" s="28">
        <f t="shared" si="18"/>
        <v>7.6499999999999995</v>
      </c>
      <c r="J233" s="28">
        <f t="shared" si="18"/>
        <v>15.186666666666667</v>
      </c>
      <c r="K233" s="28">
        <f t="shared" si="18"/>
        <v>33.646666666666668</v>
      </c>
      <c r="L233" s="28">
        <f t="shared" si="18"/>
        <v>0.78333333333333333</v>
      </c>
      <c r="M233" s="28">
        <f t="shared" si="18"/>
        <v>4.2666666666666665E-2</v>
      </c>
      <c r="N233" s="28">
        <f t="shared" si="18"/>
        <v>32.659999999999997</v>
      </c>
      <c r="O233" s="28">
        <f t="shared" si="18"/>
        <v>1.8133333333333335</v>
      </c>
    </row>
    <row r="234" spans="1:15" ht="15" thickBot="1" x14ac:dyDescent="0.4">
      <c r="A234" s="30">
        <f>COUNTIF($A$24:$A$176, "Kali*Repaired")</f>
        <v>3</v>
      </c>
      <c r="B234" s="30" t="s">
        <v>228</v>
      </c>
      <c r="C234" s="31">
        <f t="shared" ref="C234:O234" si="19">AVERAGEIF($A$24:$A$176, "Kali*Repaired", B$24:B$176)</f>
        <v>2.0066666666666664</v>
      </c>
      <c r="D234" s="31">
        <f t="shared" si="19"/>
        <v>85.096666666666678</v>
      </c>
      <c r="E234" s="31">
        <f t="shared" si="19"/>
        <v>8.4600000000000009</v>
      </c>
      <c r="F234" s="31">
        <f t="shared" si="19"/>
        <v>4.7433333333333332</v>
      </c>
      <c r="G234" s="31">
        <f t="shared" si="19"/>
        <v>5.9233333333333329</v>
      </c>
      <c r="H234" s="31">
        <f t="shared" si="19"/>
        <v>2.7766666666666668</v>
      </c>
      <c r="I234" s="31">
        <f t="shared" si="19"/>
        <v>7.5166666666666666</v>
      </c>
      <c r="J234" s="31">
        <f t="shared" si="19"/>
        <v>14.383333333333335</v>
      </c>
      <c r="K234" s="31">
        <f t="shared" si="19"/>
        <v>32.49</v>
      </c>
      <c r="L234" s="31">
        <f t="shared" si="19"/>
        <v>0.78333333333333333</v>
      </c>
      <c r="M234" s="31">
        <f t="shared" si="19"/>
        <v>4.2666666666666665E-2</v>
      </c>
      <c r="N234" s="31">
        <f t="shared" si="19"/>
        <v>32.659999999999997</v>
      </c>
      <c r="O234" s="31">
        <f t="shared" si="19"/>
        <v>1.8133333333333335</v>
      </c>
    </row>
    <row r="235" spans="1:15" x14ac:dyDescent="0.35">
      <c r="A235" s="1">
        <f>COUNTIF($A$24:$A$176, "Nopol*Fixed")</f>
        <v>1</v>
      </c>
      <c r="B235" s="1" t="s">
        <v>229</v>
      </c>
      <c r="C235" s="28">
        <f t="shared" ref="C235:O235" si="20">AVERAGEIF($A$24:$A$176, "Nopol*Fixed", B$24:B$176)</f>
        <v>3.29</v>
      </c>
      <c r="D235" s="28">
        <f t="shared" si="20"/>
        <v>75.73</v>
      </c>
      <c r="E235" s="28">
        <f t="shared" si="20"/>
        <v>20.88</v>
      </c>
      <c r="F235" s="28">
        <f t="shared" si="20"/>
        <v>8.51</v>
      </c>
      <c r="G235" s="28">
        <f t="shared" si="20"/>
        <v>16.670000000000002</v>
      </c>
      <c r="H235" s="28">
        <f t="shared" si="20"/>
        <v>5.0199999999999996</v>
      </c>
      <c r="I235" s="28">
        <f t="shared" si="20"/>
        <v>13.53</v>
      </c>
      <c r="J235" s="28">
        <f t="shared" si="20"/>
        <v>37.549999999999997</v>
      </c>
      <c r="K235" s="28">
        <f t="shared" si="20"/>
        <v>73.849999999999994</v>
      </c>
      <c r="L235" s="28">
        <f t="shared" si="20"/>
        <v>9.8000000000000004E-2</v>
      </c>
      <c r="M235" s="28">
        <f t="shared" si="20"/>
        <v>3.9E-2</v>
      </c>
      <c r="N235" s="28">
        <f t="shared" si="20"/>
        <v>2.4300000000000002</v>
      </c>
      <c r="O235" s="28">
        <f t="shared" si="20"/>
        <v>0.14000000000000001</v>
      </c>
    </row>
    <row r="236" spans="1:15" ht="15" thickBot="1" x14ac:dyDescent="0.4">
      <c r="A236" s="30">
        <f>COUNTIF($A$24:$A$176, "Nopol*Repaired")</f>
        <v>1</v>
      </c>
      <c r="B236" s="30" t="s">
        <v>230</v>
      </c>
      <c r="C236" s="31">
        <f t="shared" ref="C236:O236" si="21">AVERAGEIF($A$24:$A$176, "Nopol*Repaired", B$24:B$176)</f>
        <v>3.59</v>
      </c>
      <c r="D236" s="31">
        <f t="shared" si="21"/>
        <v>75.3</v>
      </c>
      <c r="E236" s="31">
        <f t="shared" si="21"/>
        <v>21.44</v>
      </c>
      <c r="F236" s="31">
        <f t="shared" si="21"/>
        <v>8.61</v>
      </c>
      <c r="G236" s="31">
        <f t="shared" si="21"/>
        <v>17.2</v>
      </c>
      <c r="H236" s="31">
        <f t="shared" si="21"/>
        <v>5.31</v>
      </c>
      <c r="I236" s="31">
        <f t="shared" si="21"/>
        <v>13.93</v>
      </c>
      <c r="J236" s="31">
        <f t="shared" si="21"/>
        <v>38.65</v>
      </c>
      <c r="K236" s="31">
        <f t="shared" si="21"/>
        <v>76.17</v>
      </c>
      <c r="L236" s="31">
        <f t="shared" si="21"/>
        <v>0.26</v>
      </c>
      <c r="M236" s="31">
        <f t="shared" si="21"/>
        <v>3.9E-2</v>
      </c>
      <c r="N236" s="31">
        <f t="shared" si="21"/>
        <v>5.57</v>
      </c>
      <c r="O236" s="31">
        <f t="shared" si="21"/>
        <v>0.31</v>
      </c>
    </row>
    <row r="237" spans="1:15" x14ac:dyDescent="0.35">
      <c r="A237" s="1">
        <f>COUNTIF($A$24:$A$176, "RSRepair*Fixed")</f>
        <v>8</v>
      </c>
      <c r="B237" s="1" t="s">
        <v>231</v>
      </c>
      <c r="C237" s="28">
        <f t="shared" ref="C237:O237" si="22">AVERAGEIF($A$24:$A$176, "RSRepair*Fixed", B$24:B$176)</f>
        <v>3.6725000000000003</v>
      </c>
      <c r="D237" s="28">
        <f t="shared" si="22"/>
        <v>76.286249999999995</v>
      </c>
      <c r="E237" s="28">
        <f t="shared" si="22"/>
        <v>27.195</v>
      </c>
      <c r="F237" s="28">
        <f t="shared" si="22"/>
        <v>8.1512499999999992</v>
      </c>
      <c r="G237" s="28">
        <f t="shared" si="22"/>
        <v>17.8</v>
      </c>
      <c r="H237" s="28">
        <f t="shared" si="22"/>
        <v>4.6725000000000003</v>
      </c>
      <c r="I237" s="28">
        <f t="shared" si="22"/>
        <v>12.823750000000002</v>
      </c>
      <c r="J237" s="28">
        <f t="shared" si="22"/>
        <v>44.994999999999997</v>
      </c>
      <c r="K237" s="28">
        <f t="shared" si="22"/>
        <v>74.61375000000001</v>
      </c>
      <c r="L237" s="28">
        <f t="shared" si="22"/>
        <v>0.48875000000000002</v>
      </c>
      <c r="M237" s="28">
        <f t="shared" si="22"/>
        <v>3.5500000000000004E-2</v>
      </c>
      <c r="N237" s="28">
        <f t="shared" si="22"/>
        <v>19.6175</v>
      </c>
      <c r="O237" s="28">
        <f t="shared" si="22"/>
        <v>1.0899999999999999</v>
      </c>
    </row>
    <row r="238" spans="1:15" ht="15" thickBot="1" x14ac:dyDescent="0.4">
      <c r="A238" s="30">
        <f>COUNTIF($A$24:$A$176, "RSRepair*Repaired")</f>
        <v>8</v>
      </c>
      <c r="B238" s="30" t="s">
        <v>232</v>
      </c>
      <c r="C238" s="31">
        <f t="shared" ref="C238:O238" si="23">AVERAGEIF($A$24:$A$176, "RSRepair*Repaired", B$24:B$176)</f>
        <v>3.5812500000000003</v>
      </c>
      <c r="D238" s="31">
        <f t="shared" si="23"/>
        <v>76.556249999999991</v>
      </c>
      <c r="E238" s="31">
        <f t="shared" si="23"/>
        <v>26.94875</v>
      </c>
      <c r="F238" s="31">
        <f t="shared" si="23"/>
        <v>8.1187499999999986</v>
      </c>
      <c r="G238" s="31">
        <f t="shared" si="23"/>
        <v>17.056249999999999</v>
      </c>
      <c r="H238" s="31">
        <f t="shared" si="23"/>
        <v>4.5374999999999996</v>
      </c>
      <c r="I238" s="31">
        <f t="shared" si="23"/>
        <v>12.65625</v>
      </c>
      <c r="J238" s="31">
        <f t="shared" si="23"/>
        <v>44.002499999999998</v>
      </c>
      <c r="K238" s="31">
        <f t="shared" si="23"/>
        <v>73.032500000000013</v>
      </c>
      <c r="L238" s="31">
        <f t="shared" si="23"/>
        <v>0.48875000000000002</v>
      </c>
      <c r="M238" s="31">
        <f t="shared" si="23"/>
        <v>3.5500000000000004E-2</v>
      </c>
      <c r="N238" s="31">
        <f t="shared" si="23"/>
        <v>19.6175</v>
      </c>
      <c r="O238" s="31">
        <f t="shared" si="23"/>
        <v>1.0899999999999999</v>
      </c>
    </row>
  </sheetData>
  <sortState ref="A27:O177">
    <sortCondition ref="O27:O177"/>
    <sortCondition ref="A27:A177"/>
  </sortState>
  <conditionalFormatting sqref="C191:O191">
    <cfRule type="cellIs" dxfId="20" priority="16" operator="equal">
      <formula>C190</formula>
    </cfRule>
    <cfRule type="cellIs" dxfId="19" priority="19" operator="greaterThan">
      <formula>C190</formula>
    </cfRule>
  </conditionalFormatting>
  <conditionalFormatting sqref="C190:O190">
    <cfRule type="cellIs" dxfId="18" priority="17" operator="equal">
      <formula>C191</formula>
    </cfRule>
    <cfRule type="cellIs" dxfId="17" priority="18" operator="greaterThan">
      <formula>C191</formula>
    </cfRule>
  </conditionalFormatting>
  <conditionalFormatting sqref="P75:P176">
    <cfRule type="cellIs" dxfId="16" priority="15" operator="greaterThan">
      <formula>$P$75</formula>
    </cfRule>
  </conditionalFormatting>
  <conditionalFormatting sqref="Q75:Q176">
    <cfRule type="cellIs" dxfId="15" priority="14" operator="greaterThan">
      <formula>$P$75</formula>
    </cfRule>
  </conditionalFormatting>
  <conditionalFormatting sqref="R75:R176">
    <cfRule type="cellIs" dxfId="14" priority="13" operator="greaterThan">
      <formula>$P$75</formula>
    </cfRule>
  </conditionalFormatting>
  <conditionalFormatting sqref="C202:O202 C198:O198 C206:O206 C210:O210">
    <cfRule type="cellIs" dxfId="13" priority="9" operator="equal">
      <formula>C197</formula>
    </cfRule>
    <cfRule type="cellIs" dxfId="12" priority="11" operator="greaterThan">
      <formula>C197</formula>
    </cfRule>
  </conditionalFormatting>
  <conditionalFormatting sqref="C197:O197 C201:O201 C205:O205 C209:O209">
    <cfRule type="cellIs" dxfId="11" priority="10" operator="equal">
      <formula>C198</formula>
    </cfRule>
    <cfRule type="cellIs" dxfId="10" priority="12" operator="greaterThan">
      <formula>C198</formula>
    </cfRule>
  </conditionalFormatting>
  <conditionalFormatting sqref="C218:O218 C223:O223">
    <cfRule type="cellIs" dxfId="9" priority="5" operator="equal">
      <formula>C217</formula>
    </cfRule>
    <cfRule type="cellIs" dxfId="8" priority="7" operator="greaterThan">
      <formula>C217</formula>
    </cfRule>
  </conditionalFormatting>
  <conditionalFormatting sqref="C217:O217 C222:O222">
    <cfRule type="cellIs" dxfId="7" priority="6" operator="equal">
      <formula>C218</formula>
    </cfRule>
    <cfRule type="cellIs" dxfId="6" priority="8" operator="greaterThan">
      <formula>C218</formula>
    </cfRule>
  </conditionalFormatting>
  <conditionalFormatting sqref="C229:O229 C231:O231 C233:O233 C235:O235 C237:O237">
    <cfRule type="cellIs" dxfId="5" priority="2" operator="equal">
      <formula>C230</formula>
    </cfRule>
    <cfRule type="cellIs" dxfId="4" priority="4" operator="greaterThan">
      <formula>C230</formula>
    </cfRule>
  </conditionalFormatting>
  <conditionalFormatting sqref="C230:O230 C232:O232 C234:O234 C236:O236 C238:O238">
    <cfRule type="cellIs" dxfId="3" priority="1" operator="equal">
      <formula>C229</formula>
    </cfRule>
    <cfRule type="cellIs" dxfId="2" priority="3" operator="greaterThan">
      <formula>C229</formula>
    </cfRule>
  </conditionalFormatting>
  <conditionalFormatting sqref="B192:N192">
    <cfRule type="cellIs" dxfId="1" priority="20" operator="equal">
      <formula>C191</formula>
    </cfRule>
    <cfRule type="cellIs" dxfId="0" priority="21" operator="greaterThan">
      <formula>C191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2023-09-17T12:41:46Z</dcterms:modified>
</cp:coreProperties>
</file>